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Havelvac3" sheetId="1" r:id="rId1"/>
    <sheet name="Havelvac 1" sheetId="2" r:id="rId2"/>
    <sheet name="Havelvac 2" sheetId="3" r:id="rId3"/>
  </sheets>
  <calcPr calcId="145621"/>
</workbook>
</file>

<file path=xl/calcChain.xml><?xml version="1.0" encoding="utf-8"?>
<calcChain xmlns="http://schemas.openxmlformats.org/spreadsheetml/2006/main">
  <c r="M364" i="3" l="1"/>
  <c r="K364" i="3"/>
  <c r="E364" i="3"/>
  <c r="M344" i="3"/>
  <c r="K344" i="3"/>
  <c r="E344" i="3"/>
  <c r="M343" i="3"/>
  <c r="K301" i="3"/>
  <c r="H301" i="3"/>
  <c r="E301" i="3"/>
  <c r="K294" i="3"/>
  <c r="H294" i="3"/>
  <c r="E294" i="3"/>
  <c r="M293" i="3"/>
  <c r="M301" i="3" s="1"/>
  <c r="K251" i="3"/>
  <c r="K246" i="3"/>
  <c r="M245" i="3"/>
  <c r="M246" i="3" s="1"/>
  <c r="H206" i="3"/>
  <c r="E206" i="3"/>
  <c r="H201" i="3"/>
  <c r="E201" i="3"/>
  <c r="K200" i="3"/>
  <c r="K206" i="3" s="1"/>
  <c r="H153" i="3"/>
  <c r="E153" i="3"/>
  <c r="K148" i="3"/>
  <c r="H148" i="3"/>
  <c r="E148" i="3"/>
  <c r="K147" i="3"/>
  <c r="K153" i="3" s="1"/>
  <c r="K101" i="3"/>
  <c r="H101" i="3"/>
  <c r="E101" i="3"/>
  <c r="K97" i="3"/>
  <c r="H97" i="3"/>
  <c r="E97" i="3"/>
  <c r="M96" i="3"/>
  <c r="M101" i="3" s="1"/>
  <c r="K53" i="3"/>
  <c r="E53" i="3"/>
  <c r="K47" i="3"/>
  <c r="H47" i="3"/>
  <c r="E47" i="3"/>
  <c r="M46" i="3"/>
  <c r="M53" i="3" s="1"/>
  <c r="D101" i="2"/>
  <c r="E101" i="2"/>
  <c r="I101" i="2"/>
  <c r="J101" i="2"/>
  <c r="N101" i="2"/>
  <c r="O101" i="2"/>
  <c r="D43" i="2"/>
  <c r="E43" i="2"/>
  <c r="N43" i="2"/>
  <c r="O43" i="2"/>
  <c r="Q478" i="2"/>
  <c r="L478" i="2"/>
  <c r="G478" i="2"/>
  <c r="R477" i="2"/>
  <c r="O477" i="2"/>
  <c r="P477" i="2" s="1"/>
  <c r="J477" i="2"/>
  <c r="K477" i="2" s="1"/>
  <c r="R476" i="2"/>
  <c r="O476" i="2"/>
  <c r="P476" i="2" s="1"/>
  <c r="J476" i="2"/>
  <c r="K476" i="2" s="1"/>
  <c r="R475" i="2"/>
  <c r="O475" i="2"/>
  <c r="P475" i="2" s="1"/>
  <c r="J475" i="2"/>
  <c r="K475" i="2" s="1"/>
  <c r="R474" i="2"/>
  <c r="O474" i="2"/>
  <c r="P474" i="2" s="1"/>
  <c r="J474" i="2"/>
  <c r="K474" i="2" s="1"/>
  <c r="Q472" i="2"/>
  <c r="L472" i="2"/>
  <c r="G472" i="2"/>
  <c r="R471" i="2"/>
  <c r="E471" i="2"/>
  <c r="F471" i="2" s="1"/>
  <c r="S471" i="2" s="1"/>
  <c r="R470" i="2"/>
  <c r="O470" i="2"/>
  <c r="P470" i="2" s="1"/>
  <c r="J470" i="2"/>
  <c r="K470" i="2" s="1"/>
  <c r="R469" i="2"/>
  <c r="O469" i="2"/>
  <c r="P469" i="2" s="1"/>
  <c r="J469" i="2"/>
  <c r="K469" i="2" s="1"/>
  <c r="R468" i="2"/>
  <c r="O468" i="2"/>
  <c r="P468" i="2" s="1"/>
  <c r="J468" i="2"/>
  <c r="K468" i="2" s="1"/>
  <c r="E468" i="2"/>
  <c r="F468" i="2" s="1"/>
  <c r="Q466" i="2"/>
  <c r="L466" i="2"/>
  <c r="G466" i="2"/>
  <c r="R465" i="2"/>
  <c r="O465" i="2"/>
  <c r="P465" i="2" s="1"/>
  <c r="J465" i="2"/>
  <c r="K465" i="2" s="1"/>
  <c r="E465" i="2"/>
  <c r="F465" i="2" s="1"/>
  <c r="R464" i="2"/>
  <c r="O464" i="2"/>
  <c r="P464" i="2" s="1"/>
  <c r="J464" i="2"/>
  <c r="K464" i="2" s="1"/>
  <c r="K466" i="2" s="1"/>
  <c r="E464" i="2"/>
  <c r="F464" i="2" s="1"/>
  <c r="R461" i="2"/>
  <c r="K461" i="2"/>
  <c r="K462" i="2" s="1"/>
  <c r="S462" i="2" s="1"/>
  <c r="K458" i="2"/>
  <c r="S458" i="2" s="1"/>
  <c r="I458" i="2"/>
  <c r="R458" i="2" s="1"/>
  <c r="R455" i="2"/>
  <c r="P455" i="2"/>
  <c r="R454" i="2"/>
  <c r="K454" i="2"/>
  <c r="S454" i="2" s="1"/>
  <c r="Q452" i="2"/>
  <c r="L452" i="2"/>
  <c r="G452" i="2"/>
  <c r="R451" i="2"/>
  <c r="J451" i="2"/>
  <c r="K451" i="2" s="1"/>
  <c r="S451" i="2" s="1"/>
  <c r="R450" i="2"/>
  <c r="O450" i="2"/>
  <c r="P450" i="2" s="1"/>
  <c r="J450" i="2"/>
  <c r="K450" i="2" s="1"/>
  <c r="E450" i="2"/>
  <c r="F450" i="2" s="1"/>
  <c r="R449" i="2"/>
  <c r="O449" i="2"/>
  <c r="P449" i="2" s="1"/>
  <c r="J449" i="2"/>
  <c r="K449" i="2" s="1"/>
  <c r="R448" i="2"/>
  <c r="O448" i="2"/>
  <c r="P448" i="2" s="1"/>
  <c r="J448" i="2"/>
  <c r="K448" i="2" s="1"/>
  <c r="O447" i="2"/>
  <c r="N447" i="2"/>
  <c r="R447" i="2" s="1"/>
  <c r="J447" i="2"/>
  <c r="K447" i="2" s="1"/>
  <c r="R446" i="2"/>
  <c r="E446" i="2"/>
  <c r="F446" i="2" s="1"/>
  <c r="S446" i="2" s="1"/>
  <c r="R445" i="2"/>
  <c r="O445" i="2"/>
  <c r="P445" i="2" s="1"/>
  <c r="J445" i="2"/>
  <c r="K445" i="2" s="1"/>
  <c r="R444" i="2"/>
  <c r="O444" i="2"/>
  <c r="P444" i="2" s="1"/>
  <c r="S444" i="2" s="1"/>
  <c r="R443" i="2"/>
  <c r="E443" i="2"/>
  <c r="F443" i="2" s="1"/>
  <c r="S443" i="2" s="1"/>
  <c r="R442" i="2"/>
  <c r="J442" i="2"/>
  <c r="K442" i="2" s="1"/>
  <c r="S442" i="2" s="1"/>
  <c r="R441" i="2"/>
  <c r="J441" i="2"/>
  <c r="K441" i="2" s="1"/>
  <c r="S441" i="2" s="1"/>
  <c r="R440" i="2"/>
  <c r="O440" i="2"/>
  <c r="P440" i="2" s="1"/>
  <c r="J440" i="2"/>
  <c r="K440" i="2" s="1"/>
  <c r="E440" i="2"/>
  <c r="F440" i="2" s="1"/>
  <c r="R439" i="2"/>
  <c r="O439" i="2"/>
  <c r="P439" i="2" s="1"/>
  <c r="J439" i="2"/>
  <c r="K439" i="2" s="1"/>
  <c r="R438" i="2"/>
  <c r="O438" i="2"/>
  <c r="P438" i="2" s="1"/>
  <c r="J438" i="2"/>
  <c r="K438" i="2" s="1"/>
  <c r="E438" i="2"/>
  <c r="F438" i="2" s="1"/>
  <c r="R437" i="2"/>
  <c r="O437" i="2"/>
  <c r="P437" i="2" s="1"/>
  <c r="J437" i="2"/>
  <c r="K437" i="2" s="1"/>
  <c r="R436" i="2"/>
  <c r="O436" i="2"/>
  <c r="P436" i="2" s="1"/>
  <c r="J436" i="2"/>
  <c r="K436" i="2" s="1"/>
  <c r="R435" i="2"/>
  <c r="O435" i="2"/>
  <c r="P435" i="2" s="1"/>
  <c r="J435" i="2"/>
  <c r="K435" i="2" s="1"/>
  <c r="E435" i="2"/>
  <c r="F435" i="2" s="1"/>
  <c r="R434" i="2"/>
  <c r="O434" i="2"/>
  <c r="P434" i="2" s="1"/>
  <c r="J434" i="2"/>
  <c r="K434" i="2" s="1"/>
  <c r="E434" i="2"/>
  <c r="F434" i="2" s="1"/>
  <c r="R433" i="2"/>
  <c r="O433" i="2"/>
  <c r="P433" i="2" s="1"/>
  <c r="J433" i="2"/>
  <c r="K433" i="2" s="1"/>
  <c r="E433" i="2"/>
  <c r="F433" i="2" s="1"/>
  <c r="R432" i="2"/>
  <c r="O432" i="2"/>
  <c r="P432" i="2" s="1"/>
  <c r="J432" i="2"/>
  <c r="K432" i="2" s="1"/>
  <c r="E432" i="2"/>
  <c r="F432" i="2" s="1"/>
  <c r="R431" i="2"/>
  <c r="O431" i="2"/>
  <c r="P431" i="2" s="1"/>
  <c r="J431" i="2"/>
  <c r="K431" i="2" s="1"/>
  <c r="E431" i="2"/>
  <c r="F431" i="2" s="1"/>
  <c r="R430" i="2"/>
  <c r="O430" i="2"/>
  <c r="P430" i="2" s="1"/>
  <c r="J430" i="2"/>
  <c r="K430" i="2" s="1"/>
  <c r="R429" i="2"/>
  <c r="O429" i="2"/>
  <c r="P429" i="2" s="1"/>
  <c r="J429" i="2"/>
  <c r="K429" i="2" s="1"/>
  <c r="E429" i="2"/>
  <c r="F429" i="2" s="1"/>
  <c r="R428" i="2"/>
  <c r="O428" i="2"/>
  <c r="P428" i="2" s="1"/>
  <c r="J428" i="2"/>
  <c r="K428" i="2" s="1"/>
  <c r="E428" i="2"/>
  <c r="F428" i="2" s="1"/>
  <c r="R427" i="2"/>
  <c r="O427" i="2"/>
  <c r="P427" i="2" s="1"/>
  <c r="J427" i="2"/>
  <c r="K427" i="2" s="1"/>
  <c r="E427" i="2"/>
  <c r="F427" i="2" s="1"/>
  <c r="R426" i="2"/>
  <c r="O426" i="2"/>
  <c r="P426" i="2" s="1"/>
  <c r="J426" i="2"/>
  <c r="K426" i="2" s="1"/>
  <c r="E426" i="2"/>
  <c r="F426" i="2" s="1"/>
  <c r="O425" i="2"/>
  <c r="P425" i="2" s="1"/>
  <c r="J425" i="2"/>
  <c r="I425" i="2"/>
  <c r="E425" i="2"/>
  <c r="F425" i="2" s="1"/>
  <c r="R424" i="2"/>
  <c r="O424" i="2"/>
  <c r="P424" i="2" s="1"/>
  <c r="J424" i="2"/>
  <c r="K424" i="2" s="1"/>
  <c r="R423" i="2"/>
  <c r="O423" i="2"/>
  <c r="P423" i="2" s="1"/>
  <c r="J423" i="2"/>
  <c r="K423" i="2" s="1"/>
  <c r="E423" i="2"/>
  <c r="F423" i="2" s="1"/>
  <c r="R422" i="2"/>
  <c r="O422" i="2"/>
  <c r="P422" i="2" s="1"/>
  <c r="J422" i="2"/>
  <c r="K422" i="2" s="1"/>
  <c r="E422" i="2"/>
  <c r="F422" i="2" s="1"/>
  <c r="R421" i="2"/>
  <c r="O421" i="2"/>
  <c r="P421" i="2" s="1"/>
  <c r="J421" i="2"/>
  <c r="K421" i="2" s="1"/>
  <c r="R420" i="2"/>
  <c r="O420" i="2"/>
  <c r="P420" i="2" s="1"/>
  <c r="J420" i="2"/>
  <c r="K420" i="2" s="1"/>
  <c r="E420" i="2"/>
  <c r="F420" i="2" s="1"/>
  <c r="R419" i="2"/>
  <c r="O419" i="2"/>
  <c r="P419" i="2" s="1"/>
  <c r="J419" i="2"/>
  <c r="K419" i="2" s="1"/>
  <c r="R418" i="2"/>
  <c r="O418" i="2"/>
  <c r="P418" i="2" s="1"/>
  <c r="J418" i="2"/>
  <c r="K418" i="2" s="1"/>
  <c r="E418" i="2"/>
  <c r="F418" i="2" s="1"/>
  <c r="R417" i="2"/>
  <c r="O417" i="2"/>
  <c r="P417" i="2" s="1"/>
  <c r="J417" i="2"/>
  <c r="K417" i="2" s="1"/>
  <c r="E417" i="2"/>
  <c r="F417" i="2" s="1"/>
  <c r="R416" i="2"/>
  <c r="O416" i="2"/>
  <c r="P416" i="2" s="1"/>
  <c r="J416" i="2"/>
  <c r="K416" i="2" s="1"/>
  <c r="E416" i="2"/>
  <c r="F416" i="2" s="1"/>
  <c r="R415" i="2"/>
  <c r="O415" i="2"/>
  <c r="P415" i="2" s="1"/>
  <c r="J415" i="2"/>
  <c r="K415" i="2" s="1"/>
  <c r="E415" i="2"/>
  <c r="F415" i="2" s="1"/>
  <c r="R414" i="2"/>
  <c r="O414" i="2"/>
  <c r="P414" i="2" s="1"/>
  <c r="J414" i="2"/>
  <c r="K414" i="2" s="1"/>
  <c r="E414" i="2"/>
  <c r="F414" i="2" s="1"/>
  <c r="R413" i="2"/>
  <c r="O413" i="2"/>
  <c r="P413" i="2" s="1"/>
  <c r="J413" i="2"/>
  <c r="K413" i="2" s="1"/>
  <c r="E413" i="2"/>
  <c r="F413" i="2" s="1"/>
  <c r="Q402" i="2"/>
  <c r="L402" i="2"/>
  <c r="G402" i="2"/>
  <c r="R401" i="2"/>
  <c r="O401" i="2"/>
  <c r="P401" i="2" s="1"/>
  <c r="J401" i="2"/>
  <c r="K401" i="2" s="1"/>
  <c r="E401" i="2"/>
  <c r="F401" i="2" s="1"/>
  <c r="R400" i="2"/>
  <c r="O400" i="2"/>
  <c r="P400" i="2" s="1"/>
  <c r="J400" i="2"/>
  <c r="K400" i="2" s="1"/>
  <c r="E400" i="2"/>
  <c r="F400" i="2" s="1"/>
  <c r="R399" i="2"/>
  <c r="O399" i="2"/>
  <c r="P399" i="2" s="1"/>
  <c r="J399" i="2"/>
  <c r="K399" i="2" s="1"/>
  <c r="E399" i="2"/>
  <c r="F399" i="2" s="1"/>
  <c r="R398" i="2"/>
  <c r="O398" i="2"/>
  <c r="P398" i="2" s="1"/>
  <c r="J398" i="2"/>
  <c r="K398" i="2" s="1"/>
  <c r="E398" i="2"/>
  <c r="F398" i="2" s="1"/>
  <c r="Q396" i="2"/>
  <c r="L396" i="2"/>
  <c r="G396" i="2"/>
  <c r="R395" i="2"/>
  <c r="O395" i="2"/>
  <c r="P395" i="2" s="1"/>
  <c r="E395" i="2"/>
  <c r="F395" i="2" s="1"/>
  <c r="R394" i="2"/>
  <c r="J394" i="2"/>
  <c r="K394" i="2" s="1"/>
  <c r="S394" i="2" s="1"/>
  <c r="R393" i="2"/>
  <c r="O393" i="2"/>
  <c r="P393" i="2" s="1"/>
  <c r="J393" i="2"/>
  <c r="K393" i="2" s="1"/>
  <c r="E393" i="2"/>
  <c r="F393" i="2" s="1"/>
  <c r="R392" i="2"/>
  <c r="O392" i="2"/>
  <c r="P392" i="2" s="1"/>
  <c r="J392" i="2"/>
  <c r="K392" i="2" s="1"/>
  <c r="E392" i="2"/>
  <c r="F392" i="2" s="1"/>
  <c r="Q390" i="2"/>
  <c r="L390" i="2"/>
  <c r="G390" i="2"/>
  <c r="R389" i="2"/>
  <c r="O389" i="2"/>
  <c r="P389" i="2" s="1"/>
  <c r="J389" i="2"/>
  <c r="K389" i="2" s="1"/>
  <c r="E389" i="2"/>
  <c r="F389" i="2" s="1"/>
  <c r="R388" i="2"/>
  <c r="O388" i="2"/>
  <c r="P388" i="2" s="1"/>
  <c r="J388" i="2"/>
  <c r="K388" i="2" s="1"/>
  <c r="E388" i="2"/>
  <c r="F388" i="2" s="1"/>
  <c r="Q386" i="2"/>
  <c r="L386" i="2"/>
  <c r="G386" i="2"/>
  <c r="R385" i="2"/>
  <c r="O385" i="2"/>
  <c r="P385" i="2" s="1"/>
  <c r="J385" i="2"/>
  <c r="K385" i="2" s="1"/>
  <c r="E385" i="2"/>
  <c r="F385" i="2" s="1"/>
  <c r="R384" i="2"/>
  <c r="O384" i="2"/>
  <c r="P384" i="2" s="1"/>
  <c r="J384" i="2"/>
  <c r="K384" i="2" s="1"/>
  <c r="E384" i="2"/>
  <c r="F384" i="2" s="1"/>
  <c r="R383" i="2"/>
  <c r="O383" i="2"/>
  <c r="P383" i="2" s="1"/>
  <c r="J383" i="2"/>
  <c r="K383" i="2" s="1"/>
  <c r="E383" i="2"/>
  <c r="F383" i="2" s="1"/>
  <c r="R382" i="2"/>
  <c r="O382" i="2"/>
  <c r="P382" i="2" s="1"/>
  <c r="J382" i="2"/>
  <c r="K382" i="2" s="1"/>
  <c r="E382" i="2"/>
  <c r="F382" i="2" s="1"/>
  <c r="R381" i="2"/>
  <c r="E381" i="2"/>
  <c r="F381" i="2" s="1"/>
  <c r="S381" i="2" s="1"/>
  <c r="O380" i="2"/>
  <c r="P380" i="2" s="1"/>
  <c r="J380" i="2"/>
  <c r="I380" i="2"/>
  <c r="F380" i="2"/>
  <c r="R379" i="2"/>
  <c r="O379" i="2"/>
  <c r="P379" i="2" s="1"/>
  <c r="J379" i="2"/>
  <c r="K379" i="2" s="1"/>
  <c r="R378" i="2"/>
  <c r="O378" i="2"/>
  <c r="P378" i="2" s="1"/>
  <c r="J378" i="2"/>
  <c r="K378" i="2" s="1"/>
  <c r="E378" i="2"/>
  <c r="F378" i="2" s="1"/>
  <c r="R377" i="2"/>
  <c r="O377" i="2"/>
  <c r="P377" i="2" s="1"/>
  <c r="J377" i="2"/>
  <c r="K377" i="2" s="1"/>
  <c r="E377" i="2"/>
  <c r="F377" i="2" s="1"/>
  <c r="R376" i="2"/>
  <c r="O376" i="2"/>
  <c r="P376" i="2" s="1"/>
  <c r="J376" i="2"/>
  <c r="K376" i="2" s="1"/>
  <c r="E376" i="2"/>
  <c r="F376" i="2" s="1"/>
  <c r="R375" i="2"/>
  <c r="E375" i="2"/>
  <c r="F375" i="2" s="1"/>
  <c r="S375" i="2" s="1"/>
  <c r="O374" i="2"/>
  <c r="P374" i="2" s="1"/>
  <c r="J374" i="2"/>
  <c r="I374" i="2"/>
  <c r="E374" i="2"/>
  <c r="F374" i="2" s="1"/>
  <c r="R373" i="2"/>
  <c r="O373" i="2"/>
  <c r="P373" i="2" s="1"/>
  <c r="J373" i="2"/>
  <c r="K373" i="2" s="1"/>
  <c r="E373" i="2"/>
  <c r="F373" i="2" s="1"/>
  <c r="R372" i="2"/>
  <c r="O372" i="2"/>
  <c r="P372" i="2" s="1"/>
  <c r="J372" i="2"/>
  <c r="K372" i="2" s="1"/>
  <c r="E372" i="2"/>
  <c r="F372" i="2" s="1"/>
  <c r="R371" i="2"/>
  <c r="O371" i="2"/>
  <c r="P371" i="2" s="1"/>
  <c r="J371" i="2"/>
  <c r="K371" i="2" s="1"/>
  <c r="E371" i="2"/>
  <c r="F371" i="2" s="1"/>
  <c r="R370" i="2"/>
  <c r="O370" i="2"/>
  <c r="P370" i="2" s="1"/>
  <c r="J370" i="2"/>
  <c r="K370" i="2" s="1"/>
  <c r="E370" i="2"/>
  <c r="F370" i="2" s="1"/>
  <c r="R369" i="2"/>
  <c r="O369" i="2"/>
  <c r="P369" i="2" s="1"/>
  <c r="J369" i="2"/>
  <c r="K369" i="2" s="1"/>
  <c r="E369" i="2"/>
  <c r="F369" i="2" s="1"/>
  <c r="O368" i="2"/>
  <c r="N368" i="2"/>
  <c r="J368" i="2"/>
  <c r="I368" i="2"/>
  <c r="E368" i="2"/>
  <c r="D368" i="2"/>
  <c r="R367" i="2"/>
  <c r="O367" i="2"/>
  <c r="P367" i="2" s="1"/>
  <c r="J367" i="2"/>
  <c r="K367" i="2" s="1"/>
  <c r="E367" i="2"/>
  <c r="F367" i="2" s="1"/>
  <c r="R366" i="2"/>
  <c r="O366" i="2"/>
  <c r="P366" i="2" s="1"/>
  <c r="J366" i="2"/>
  <c r="K366" i="2" s="1"/>
  <c r="E366" i="2"/>
  <c r="F366" i="2" s="1"/>
  <c r="R365" i="2"/>
  <c r="O365" i="2"/>
  <c r="P365" i="2" s="1"/>
  <c r="J365" i="2"/>
  <c r="K365" i="2" s="1"/>
  <c r="E365" i="2"/>
  <c r="F365" i="2" s="1"/>
  <c r="R364" i="2"/>
  <c r="O364" i="2"/>
  <c r="P364" i="2" s="1"/>
  <c r="J364" i="2"/>
  <c r="K364" i="2" s="1"/>
  <c r="E364" i="2"/>
  <c r="F364" i="2" s="1"/>
  <c r="R363" i="2"/>
  <c r="O363" i="2"/>
  <c r="P363" i="2" s="1"/>
  <c r="J363" i="2"/>
  <c r="K363" i="2" s="1"/>
  <c r="E363" i="2"/>
  <c r="F363" i="2" s="1"/>
  <c r="R362" i="2"/>
  <c r="O362" i="2"/>
  <c r="P362" i="2" s="1"/>
  <c r="J362" i="2"/>
  <c r="K362" i="2" s="1"/>
  <c r="E362" i="2"/>
  <c r="F362" i="2" s="1"/>
  <c r="R361" i="2"/>
  <c r="O361" i="2"/>
  <c r="P361" i="2" s="1"/>
  <c r="J361" i="2"/>
  <c r="K361" i="2" s="1"/>
  <c r="E361" i="2"/>
  <c r="F361" i="2" s="1"/>
  <c r="R360" i="2"/>
  <c r="O360" i="2"/>
  <c r="P360" i="2" s="1"/>
  <c r="J360" i="2"/>
  <c r="K360" i="2" s="1"/>
  <c r="E360" i="2"/>
  <c r="F360" i="2" s="1"/>
  <c r="R359" i="2"/>
  <c r="O359" i="2"/>
  <c r="P359" i="2" s="1"/>
  <c r="J359" i="2"/>
  <c r="K359" i="2" s="1"/>
  <c r="E359" i="2"/>
  <c r="F359" i="2" s="1"/>
  <c r="R358" i="2"/>
  <c r="O358" i="2"/>
  <c r="P358" i="2" s="1"/>
  <c r="J358" i="2"/>
  <c r="K358" i="2" s="1"/>
  <c r="E358" i="2"/>
  <c r="F358" i="2" s="1"/>
  <c r="R357" i="2"/>
  <c r="O357" i="2"/>
  <c r="P357" i="2" s="1"/>
  <c r="J357" i="2"/>
  <c r="K357" i="2" s="1"/>
  <c r="E357" i="2"/>
  <c r="F357" i="2" s="1"/>
  <c r="R356" i="2"/>
  <c r="O356" i="2"/>
  <c r="P356" i="2" s="1"/>
  <c r="J356" i="2"/>
  <c r="K356" i="2" s="1"/>
  <c r="E356" i="2"/>
  <c r="F356" i="2" s="1"/>
  <c r="R355" i="2"/>
  <c r="O355" i="2"/>
  <c r="P355" i="2" s="1"/>
  <c r="J355" i="2"/>
  <c r="K355" i="2" s="1"/>
  <c r="E355" i="2"/>
  <c r="F355" i="2" s="1"/>
  <c r="R354" i="2"/>
  <c r="O354" i="2"/>
  <c r="P354" i="2" s="1"/>
  <c r="J354" i="2"/>
  <c r="K354" i="2" s="1"/>
  <c r="E354" i="2"/>
  <c r="F354" i="2" s="1"/>
  <c r="R353" i="2"/>
  <c r="O353" i="2"/>
  <c r="P353" i="2" s="1"/>
  <c r="J353" i="2"/>
  <c r="K353" i="2" s="1"/>
  <c r="E353" i="2"/>
  <c r="F353" i="2" s="1"/>
  <c r="R352" i="2"/>
  <c r="O352" i="2"/>
  <c r="P352" i="2" s="1"/>
  <c r="J352" i="2"/>
  <c r="K352" i="2" s="1"/>
  <c r="E352" i="2"/>
  <c r="F352" i="2" s="1"/>
  <c r="R351" i="2"/>
  <c r="O351" i="2"/>
  <c r="P351" i="2" s="1"/>
  <c r="J351" i="2"/>
  <c r="K351" i="2" s="1"/>
  <c r="E351" i="2"/>
  <c r="F351" i="2" s="1"/>
  <c r="R350" i="2"/>
  <c r="O350" i="2"/>
  <c r="P350" i="2" s="1"/>
  <c r="J350" i="2"/>
  <c r="K350" i="2" s="1"/>
  <c r="E350" i="2"/>
  <c r="F350" i="2" s="1"/>
  <c r="R349" i="2"/>
  <c r="O349" i="2"/>
  <c r="P349" i="2" s="1"/>
  <c r="J349" i="2"/>
  <c r="K349" i="2" s="1"/>
  <c r="E349" i="2"/>
  <c r="F349" i="2" s="1"/>
  <c r="R348" i="2"/>
  <c r="O348" i="2"/>
  <c r="P348" i="2" s="1"/>
  <c r="J348" i="2"/>
  <c r="K348" i="2" s="1"/>
  <c r="E348" i="2"/>
  <c r="F348" i="2" s="1"/>
  <c r="Q337" i="2"/>
  <c r="L337" i="2"/>
  <c r="G337" i="2"/>
  <c r="R336" i="2"/>
  <c r="O336" i="2"/>
  <c r="P336" i="2" s="1"/>
  <c r="J336" i="2"/>
  <c r="K336" i="2" s="1"/>
  <c r="E336" i="2"/>
  <c r="F336" i="2" s="1"/>
  <c r="R335" i="2"/>
  <c r="O335" i="2"/>
  <c r="P335" i="2" s="1"/>
  <c r="J335" i="2"/>
  <c r="K335" i="2" s="1"/>
  <c r="E335" i="2"/>
  <c r="F335" i="2" s="1"/>
  <c r="R334" i="2"/>
  <c r="O334" i="2"/>
  <c r="P334" i="2" s="1"/>
  <c r="J334" i="2"/>
  <c r="K334" i="2" s="1"/>
  <c r="E334" i="2"/>
  <c r="F334" i="2" s="1"/>
  <c r="R333" i="2"/>
  <c r="O333" i="2"/>
  <c r="P333" i="2" s="1"/>
  <c r="J333" i="2"/>
  <c r="K333" i="2" s="1"/>
  <c r="E333" i="2"/>
  <c r="F333" i="2" s="1"/>
  <c r="Q331" i="2"/>
  <c r="L331" i="2"/>
  <c r="G331" i="2"/>
  <c r="R330" i="2"/>
  <c r="J330" i="2"/>
  <c r="K330" i="2" s="1"/>
  <c r="S330" i="2" s="1"/>
  <c r="R329" i="2"/>
  <c r="O329" i="2"/>
  <c r="P329" i="2" s="1"/>
  <c r="E329" i="2"/>
  <c r="F329" i="2" s="1"/>
  <c r="R328" i="2"/>
  <c r="O328" i="2"/>
  <c r="P328" i="2" s="1"/>
  <c r="J328" i="2"/>
  <c r="K328" i="2" s="1"/>
  <c r="R327" i="2"/>
  <c r="O327" i="2"/>
  <c r="P327" i="2" s="1"/>
  <c r="J327" i="2"/>
  <c r="K327" i="2" s="1"/>
  <c r="E327" i="2"/>
  <c r="F327" i="2" s="1"/>
  <c r="Q325" i="2"/>
  <c r="L325" i="2"/>
  <c r="G325" i="2"/>
  <c r="R324" i="2"/>
  <c r="O324" i="2"/>
  <c r="P324" i="2" s="1"/>
  <c r="J324" i="2"/>
  <c r="K324" i="2" s="1"/>
  <c r="E324" i="2"/>
  <c r="F324" i="2" s="1"/>
  <c r="R323" i="2"/>
  <c r="O323" i="2"/>
  <c r="P323" i="2" s="1"/>
  <c r="J323" i="2"/>
  <c r="K323" i="2" s="1"/>
  <c r="E323" i="2"/>
  <c r="F323" i="2" s="1"/>
  <c r="F325" i="2" s="1"/>
  <c r="Q321" i="2"/>
  <c r="L321" i="2"/>
  <c r="G321" i="2"/>
  <c r="R320" i="2"/>
  <c r="J320" i="2"/>
  <c r="K320" i="2" s="1"/>
  <c r="S320" i="2" s="1"/>
  <c r="R319" i="2"/>
  <c r="O319" i="2"/>
  <c r="P319" i="2" s="1"/>
  <c r="J319" i="2"/>
  <c r="K319" i="2" s="1"/>
  <c r="R318" i="2"/>
  <c r="J318" i="2"/>
  <c r="K318" i="2" s="1"/>
  <c r="S318" i="2" s="1"/>
  <c r="R317" i="2"/>
  <c r="J317" i="2"/>
  <c r="K317" i="2" s="1"/>
  <c r="S317" i="2" s="1"/>
  <c r="J316" i="2"/>
  <c r="I316" i="2"/>
  <c r="R315" i="2"/>
  <c r="E315" i="2"/>
  <c r="F315" i="2" s="1"/>
  <c r="S315" i="2" s="1"/>
  <c r="R314" i="2"/>
  <c r="O314" i="2"/>
  <c r="P314" i="2" s="1"/>
  <c r="J314" i="2"/>
  <c r="K314" i="2" s="1"/>
  <c r="R313" i="2"/>
  <c r="O313" i="2"/>
  <c r="P313" i="2" s="1"/>
  <c r="J313" i="2"/>
  <c r="K313" i="2" s="1"/>
  <c r="E313" i="2"/>
  <c r="F313" i="2" s="1"/>
  <c r="R312" i="2"/>
  <c r="O312" i="2"/>
  <c r="P312" i="2" s="1"/>
  <c r="J312" i="2"/>
  <c r="K312" i="2" s="1"/>
  <c r="E312" i="2"/>
  <c r="F312" i="2" s="1"/>
  <c r="R311" i="2"/>
  <c r="O311" i="2"/>
  <c r="P311" i="2" s="1"/>
  <c r="J311" i="2"/>
  <c r="K311" i="2" s="1"/>
  <c r="E311" i="2"/>
  <c r="F311" i="2" s="1"/>
  <c r="R310" i="2"/>
  <c r="O310" i="2"/>
  <c r="P310" i="2" s="1"/>
  <c r="J310" i="2"/>
  <c r="K310" i="2" s="1"/>
  <c r="E310" i="2"/>
  <c r="F310" i="2" s="1"/>
  <c r="O309" i="2"/>
  <c r="P309" i="2" s="1"/>
  <c r="E309" i="2"/>
  <c r="D309" i="2"/>
  <c r="R309" i="2" s="1"/>
  <c r="R308" i="2"/>
  <c r="J308" i="2"/>
  <c r="K308" i="2" s="1"/>
  <c r="S308" i="2" s="1"/>
  <c r="R307" i="2"/>
  <c r="O307" i="2"/>
  <c r="P307" i="2" s="1"/>
  <c r="J307" i="2"/>
  <c r="K307" i="2" s="1"/>
  <c r="E307" i="2"/>
  <c r="F307" i="2" s="1"/>
  <c r="R306" i="2"/>
  <c r="O306" i="2"/>
  <c r="P306" i="2" s="1"/>
  <c r="J306" i="2"/>
  <c r="K306" i="2" s="1"/>
  <c r="E306" i="2"/>
  <c r="F306" i="2" s="1"/>
  <c r="O305" i="2"/>
  <c r="N305" i="2"/>
  <c r="J305" i="2"/>
  <c r="K305" i="2" s="1"/>
  <c r="F305" i="2"/>
  <c r="E305" i="2"/>
  <c r="D305" i="2"/>
  <c r="R305" i="2" s="1"/>
  <c r="R304" i="2"/>
  <c r="O304" i="2"/>
  <c r="P304" i="2" s="1"/>
  <c r="J304" i="2"/>
  <c r="K304" i="2" s="1"/>
  <c r="R303" i="2"/>
  <c r="J303" i="2"/>
  <c r="K303" i="2" s="1"/>
  <c r="S303" i="2" s="1"/>
  <c r="R302" i="2"/>
  <c r="O302" i="2"/>
  <c r="P302" i="2" s="1"/>
  <c r="J302" i="2"/>
  <c r="K302" i="2" s="1"/>
  <c r="R301" i="2"/>
  <c r="O301" i="2"/>
  <c r="P301" i="2" s="1"/>
  <c r="J301" i="2"/>
  <c r="K301" i="2" s="1"/>
  <c r="R300" i="2"/>
  <c r="O300" i="2"/>
  <c r="P300" i="2" s="1"/>
  <c r="J300" i="2"/>
  <c r="K300" i="2" s="1"/>
  <c r="R299" i="2"/>
  <c r="O299" i="2"/>
  <c r="P299" i="2" s="1"/>
  <c r="J299" i="2"/>
  <c r="K299" i="2" s="1"/>
  <c r="E299" i="2"/>
  <c r="F299" i="2" s="1"/>
  <c r="R298" i="2"/>
  <c r="O298" i="2"/>
  <c r="P298" i="2" s="1"/>
  <c r="J298" i="2"/>
  <c r="K298" i="2" s="1"/>
  <c r="R297" i="2"/>
  <c r="J297" i="2"/>
  <c r="K297" i="2" s="1"/>
  <c r="S297" i="2" s="1"/>
  <c r="R296" i="2"/>
  <c r="O296" i="2"/>
  <c r="P296" i="2" s="1"/>
  <c r="J296" i="2"/>
  <c r="K296" i="2" s="1"/>
  <c r="E296" i="2"/>
  <c r="F296" i="2" s="1"/>
  <c r="R295" i="2"/>
  <c r="O295" i="2"/>
  <c r="P295" i="2" s="1"/>
  <c r="J295" i="2"/>
  <c r="K295" i="2" s="1"/>
  <c r="R294" i="2"/>
  <c r="O294" i="2"/>
  <c r="P294" i="2" s="1"/>
  <c r="J294" i="2"/>
  <c r="K294" i="2" s="1"/>
  <c r="R293" i="2"/>
  <c r="O293" i="2"/>
  <c r="P293" i="2" s="1"/>
  <c r="J293" i="2"/>
  <c r="K293" i="2" s="1"/>
  <c r="E293" i="2"/>
  <c r="F293" i="2" s="1"/>
  <c r="R292" i="2"/>
  <c r="O292" i="2"/>
  <c r="P292" i="2" s="1"/>
  <c r="J292" i="2"/>
  <c r="K292" i="2" s="1"/>
  <c r="E292" i="2"/>
  <c r="F292" i="2" s="1"/>
  <c r="R291" i="2"/>
  <c r="O291" i="2"/>
  <c r="P291" i="2" s="1"/>
  <c r="J291" i="2"/>
  <c r="K291" i="2" s="1"/>
  <c r="E291" i="2"/>
  <c r="F291" i="2" s="1"/>
  <c r="R290" i="2"/>
  <c r="O290" i="2"/>
  <c r="P290" i="2" s="1"/>
  <c r="J290" i="2"/>
  <c r="K290" i="2" s="1"/>
  <c r="E290" i="2"/>
  <c r="F290" i="2" s="1"/>
  <c r="R289" i="2"/>
  <c r="O289" i="2"/>
  <c r="P289" i="2" s="1"/>
  <c r="J289" i="2"/>
  <c r="K289" i="2" s="1"/>
  <c r="E289" i="2"/>
  <c r="F289" i="2" s="1"/>
  <c r="R288" i="2"/>
  <c r="O288" i="2"/>
  <c r="P288" i="2" s="1"/>
  <c r="J288" i="2"/>
  <c r="K288" i="2" s="1"/>
  <c r="E288" i="2"/>
  <c r="F288" i="2" s="1"/>
  <c r="R287" i="2"/>
  <c r="O287" i="2"/>
  <c r="P287" i="2" s="1"/>
  <c r="J287" i="2"/>
  <c r="K287" i="2" s="1"/>
  <c r="E287" i="2"/>
  <c r="F287" i="2" s="1"/>
  <c r="L275" i="2"/>
  <c r="G275" i="2"/>
  <c r="Q274" i="2"/>
  <c r="N274" i="2"/>
  <c r="M274" i="2"/>
  <c r="J274" i="2"/>
  <c r="K274" i="2" s="1"/>
  <c r="E274" i="2"/>
  <c r="F274" i="2" s="1"/>
  <c r="Q273" i="2"/>
  <c r="N273" i="2"/>
  <c r="M273" i="2"/>
  <c r="J273" i="2"/>
  <c r="K273" i="2" s="1"/>
  <c r="E273" i="2"/>
  <c r="F273" i="2" s="1"/>
  <c r="Q272" i="2"/>
  <c r="N272" i="2"/>
  <c r="M272" i="2"/>
  <c r="J272" i="2"/>
  <c r="K272" i="2" s="1"/>
  <c r="E272" i="2"/>
  <c r="F272" i="2" s="1"/>
  <c r="Q271" i="2"/>
  <c r="N271" i="2"/>
  <c r="M271" i="2"/>
  <c r="J271" i="2"/>
  <c r="K271" i="2" s="1"/>
  <c r="E271" i="2"/>
  <c r="F271" i="2" s="1"/>
  <c r="L269" i="2"/>
  <c r="G269" i="2"/>
  <c r="Q268" i="2"/>
  <c r="N268" i="2"/>
  <c r="M268" i="2"/>
  <c r="E268" i="2"/>
  <c r="F268" i="2" s="1"/>
  <c r="P268" i="2" s="1"/>
  <c r="Q267" i="2"/>
  <c r="N267" i="2"/>
  <c r="M267" i="2"/>
  <c r="J267" i="2"/>
  <c r="K267" i="2" s="1"/>
  <c r="E267" i="2"/>
  <c r="F267" i="2" s="1"/>
  <c r="Q266" i="2"/>
  <c r="N266" i="2"/>
  <c r="M266" i="2"/>
  <c r="J266" i="2"/>
  <c r="K266" i="2" s="1"/>
  <c r="E266" i="2"/>
  <c r="F266" i="2" s="1"/>
  <c r="Q265" i="2"/>
  <c r="N265" i="2"/>
  <c r="M265" i="2"/>
  <c r="J265" i="2"/>
  <c r="K265" i="2" s="1"/>
  <c r="E265" i="2"/>
  <c r="F265" i="2" s="1"/>
  <c r="L263" i="2"/>
  <c r="G263" i="2"/>
  <c r="Q262" i="2"/>
  <c r="N262" i="2"/>
  <c r="M262" i="2"/>
  <c r="J262" i="2"/>
  <c r="K262" i="2" s="1"/>
  <c r="E262" i="2"/>
  <c r="F262" i="2" s="1"/>
  <c r="Q261" i="2"/>
  <c r="N261" i="2"/>
  <c r="M261" i="2"/>
  <c r="J261" i="2"/>
  <c r="K261" i="2" s="1"/>
  <c r="E261" i="2"/>
  <c r="F261" i="2" s="1"/>
  <c r="L259" i="2"/>
  <c r="G259" i="2"/>
  <c r="Q258" i="2"/>
  <c r="N258" i="2"/>
  <c r="M258" i="2"/>
  <c r="E258" i="2"/>
  <c r="F258" i="2" s="1"/>
  <c r="P258" i="2" s="1"/>
  <c r="Q257" i="2"/>
  <c r="N257" i="2"/>
  <c r="M257" i="2"/>
  <c r="J257" i="2"/>
  <c r="K257" i="2" s="1"/>
  <c r="E257" i="2"/>
  <c r="F257" i="2" s="1"/>
  <c r="Q256" i="2"/>
  <c r="N256" i="2"/>
  <c r="M256" i="2"/>
  <c r="J256" i="2"/>
  <c r="K256" i="2" s="1"/>
  <c r="E256" i="2"/>
  <c r="F256" i="2" s="1"/>
  <c r="Q255" i="2"/>
  <c r="N255" i="2"/>
  <c r="M255" i="2"/>
  <c r="J255" i="2"/>
  <c r="K255" i="2" s="1"/>
  <c r="E255" i="2"/>
  <c r="F255" i="2" s="1"/>
  <c r="Q254" i="2"/>
  <c r="N254" i="2"/>
  <c r="M254" i="2"/>
  <c r="J254" i="2"/>
  <c r="K254" i="2" s="1"/>
  <c r="P254" i="2" s="1"/>
  <c r="Q253" i="2"/>
  <c r="N253" i="2"/>
  <c r="M253" i="2"/>
  <c r="E253" i="2"/>
  <c r="F253" i="2" s="1"/>
  <c r="P253" i="2" s="1"/>
  <c r="Q252" i="2"/>
  <c r="N252" i="2"/>
  <c r="M252" i="2"/>
  <c r="J252" i="2"/>
  <c r="K252" i="2" s="1"/>
  <c r="E252" i="2"/>
  <c r="F252" i="2" s="1"/>
  <c r="Q251" i="2"/>
  <c r="N251" i="2"/>
  <c r="M251" i="2"/>
  <c r="J251" i="2"/>
  <c r="K251" i="2" s="1"/>
  <c r="E251" i="2"/>
  <c r="F251" i="2" s="1"/>
  <c r="Q250" i="2"/>
  <c r="N250" i="2"/>
  <c r="M250" i="2"/>
  <c r="J250" i="2"/>
  <c r="K250" i="2" s="1"/>
  <c r="E250" i="2"/>
  <c r="F250" i="2" s="1"/>
  <c r="Q249" i="2"/>
  <c r="N249" i="2"/>
  <c r="M249" i="2"/>
  <c r="J249" i="2"/>
  <c r="K249" i="2" s="1"/>
  <c r="E249" i="2"/>
  <c r="F249" i="2" s="1"/>
  <c r="Q248" i="2"/>
  <c r="N248" i="2"/>
  <c r="M248" i="2"/>
  <c r="J248" i="2"/>
  <c r="K248" i="2" s="1"/>
  <c r="E248" i="2"/>
  <c r="F248" i="2" s="1"/>
  <c r="Q247" i="2"/>
  <c r="N247" i="2"/>
  <c r="M247" i="2"/>
  <c r="J247" i="2"/>
  <c r="K247" i="2" s="1"/>
  <c r="E247" i="2"/>
  <c r="F247" i="2" s="1"/>
  <c r="Q246" i="2"/>
  <c r="J246" i="2"/>
  <c r="I246" i="2"/>
  <c r="E246" i="2"/>
  <c r="D246" i="2"/>
  <c r="Q245" i="2"/>
  <c r="N245" i="2"/>
  <c r="M245" i="2"/>
  <c r="J245" i="2"/>
  <c r="K245" i="2" s="1"/>
  <c r="E245" i="2"/>
  <c r="F245" i="2" s="1"/>
  <c r="Q244" i="2"/>
  <c r="N244" i="2"/>
  <c r="M244" i="2"/>
  <c r="J244" i="2"/>
  <c r="K244" i="2" s="1"/>
  <c r="E244" i="2"/>
  <c r="F244" i="2" s="1"/>
  <c r="Q243" i="2"/>
  <c r="N243" i="2"/>
  <c r="M243" i="2"/>
  <c r="J243" i="2"/>
  <c r="K243" i="2" s="1"/>
  <c r="E243" i="2"/>
  <c r="F243" i="2" s="1"/>
  <c r="Q242" i="2"/>
  <c r="N242" i="2"/>
  <c r="M242" i="2"/>
  <c r="J242" i="2"/>
  <c r="K242" i="2" s="1"/>
  <c r="E242" i="2"/>
  <c r="F242" i="2" s="1"/>
  <c r="Q241" i="2"/>
  <c r="N241" i="2"/>
  <c r="M241" i="2"/>
  <c r="J241" i="2"/>
  <c r="K241" i="2" s="1"/>
  <c r="E241" i="2"/>
  <c r="F241" i="2" s="1"/>
  <c r="Q240" i="2"/>
  <c r="N240" i="2"/>
  <c r="M240" i="2"/>
  <c r="J240" i="2"/>
  <c r="K240" i="2" s="1"/>
  <c r="E240" i="2"/>
  <c r="F240" i="2" s="1"/>
  <c r="Q239" i="2"/>
  <c r="N239" i="2"/>
  <c r="M239" i="2"/>
  <c r="J239" i="2"/>
  <c r="K239" i="2" s="1"/>
  <c r="E239" i="2"/>
  <c r="F239" i="2" s="1"/>
  <c r="Q238" i="2"/>
  <c r="J238" i="2"/>
  <c r="I238" i="2"/>
  <c r="E238" i="2"/>
  <c r="D238" i="2"/>
  <c r="Q237" i="2"/>
  <c r="N237" i="2"/>
  <c r="M237" i="2"/>
  <c r="E237" i="2"/>
  <c r="F237" i="2" s="1"/>
  <c r="P237" i="2" s="1"/>
  <c r="Q236" i="2"/>
  <c r="N236" i="2"/>
  <c r="M236" i="2"/>
  <c r="J236" i="2"/>
  <c r="K236" i="2" s="1"/>
  <c r="E236" i="2"/>
  <c r="F236" i="2" s="1"/>
  <c r="Q235" i="2"/>
  <c r="N235" i="2"/>
  <c r="M235" i="2"/>
  <c r="J235" i="2"/>
  <c r="K235" i="2" s="1"/>
  <c r="E235" i="2"/>
  <c r="F235" i="2" s="1"/>
  <c r="Q234" i="2"/>
  <c r="N234" i="2"/>
  <c r="M234" i="2"/>
  <c r="J234" i="2"/>
  <c r="K234" i="2" s="1"/>
  <c r="E234" i="2"/>
  <c r="F234" i="2" s="1"/>
  <c r="Q233" i="2"/>
  <c r="N233" i="2"/>
  <c r="M233" i="2"/>
  <c r="J233" i="2"/>
  <c r="K233" i="2" s="1"/>
  <c r="E233" i="2"/>
  <c r="F233" i="2" s="1"/>
  <c r="Q232" i="2"/>
  <c r="J232" i="2"/>
  <c r="I232" i="2"/>
  <c r="E232" i="2"/>
  <c r="D232" i="2"/>
  <c r="M232" i="2" s="1"/>
  <c r="Q231" i="2"/>
  <c r="N231" i="2"/>
  <c r="M231" i="2"/>
  <c r="J231" i="2"/>
  <c r="K231" i="2" s="1"/>
  <c r="E231" i="2"/>
  <c r="F231" i="2" s="1"/>
  <c r="Q230" i="2"/>
  <c r="N230" i="2"/>
  <c r="M230" i="2"/>
  <c r="J230" i="2"/>
  <c r="K230" i="2" s="1"/>
  <c r="E230" i="2"/>
  <c r="F230" i="2" s="1"/>
  <c r="Q229" i="2"/>
  <c r="N229" i="2"/>
  <c r="M229" i="2"/>
  <c r="J229" i="2"/>
  <c r="K229" i="2" s="1"/>
  <c r="E229" i="2"/>
  <c r="F229" i="2" s="1"/>
  <c r="Q228" i="2"/>
  <c r="N228" i="2"/>
  <c r="M228" i="2"/>
  <c r="J228" i="2"/>
  <c r="K228" i="2" s="1"/>
  <c r="E228" i="2"/>
  <c r="F228" i="2" s="1"/>
  <c r="Q227" i="2"/>
  <c r="N227" i="2"/>
  <c r="M227" i="2"/>
  <c r="J227" i="2"/>
  <c r="K227" i="2" s="1"/>
  <c r="E227" i="2"/>
  <c r="F227" i="2" s="1"/>
  <c r="Q226" i="2"/>
  <c r="N226" i="2"/>
  <c r="M226" i="2"/>
  <c r="J226" i="2"/>
  <c r="K226" i="2" s="1"/>
  <c r="E226" i="2"/>
  <c r="F226" i="2" s="1"/>
  <c r="Q225" i="2"/>
  <c r="N225" i="2"/>
  <c r="M225" i="2"/>
  <c r="J225" i="2"/>
  <c r="K225" i="2" s="1"/>
  <c r="E225" i="2"/>
  <c r="F225" i="2" s="1"/>
  <c r="Q224" i="2"/>
  <c r="N224" i="2"/>
  <c r="M224" i="2"/>
  <c r="J224" i="2"/>
  <c r="K224" i="2" s="1"/>
  <c r="E224" i="2"/>
  <c r="F224" i="2" s="1"/>
  <c r="Q223" i="2"/>
  <c r="N223" i="2"/>
  <c r="M223" i="2"/>
  <c r="J223" i="2"/>
  <c r="K223" i="2" s="1"/>
  <c r="E223" i="2"/>
  <c r="F223" i="2" s="1"/>
  <c r="Q222" i="2"/>
  <c r="N222" i="2"/>
  <c r="M222" i="2"/>
  <c r="J222" i="2"/>
  <c r="K222" i="2" s="1"/>
  <c r="E222" i="2"/>
  <c r="F222" i="2" s="1"/>
  <c r="Q221" i="2"/>
  <c r="N221" i="2"/>
  <c r="M221" i="2"/>
  <c r="J221" i="2"/>
  <c r="K221" i="2" s="1"/>
  <c r="E221" i="2"/>
  <c r="F221" i="2" s="1"/>
  <c r="Q220" i="2"/>
  <c r="N220" i="2"/>
  <c r="M220" i="2"/>
  <c r="J220" i="2"/>
  <c r="K220" i="2" s="1"/>
  <c r="E220" i="2"/>
  <c r="F220" i="2" s="1"/>
  <c r="Q219" i="2"/>
  <c r="N219" i="2"/>
  <c r="M219" i="2"/>
  <c r="J219" i="2"/>
  <c r="K219" i="2" s="1"/>
  <c r="E219" i="2"/>
  <c r="F219" i="2" s="1"/>
  <c r="Q218" i="2"/>
  <c r="N218" i="2"/>
  <c r="M218" i="2"/>
  <c r="J218" i="2"/>
  <c r="K218" i="2" s="1"/>
  <c r="E218" i="2"/>
  <c r="F218" i="2" s="1"/>
  <c r="L207" i="2"/>
  <c r="G207" i="2"/>
  <c r="Q206" i="2"/>
  <c r="N206" i="2"/>
  <c r="M206" i="2"/>
  <c r="J206" i="2"/>
  <c r="K206" i="2" s="1"/>
  <c r="E206" i="2"/>
  <c r="F206" i="2" s="1"/>
  <c r="Q205" i="2"/>
  <c r="N205" i="2"/>
  <c r="M205" i="2"/>
  <c r="J205" i="2"/>
  <c r="K205" i="2" s="1"/>
  <c r="E205" i="2"/>
  <c r="F205" i="2" s="1"/>
  <c r="Q204" i="2"/>
  <c r="N204" i="2"/>
  <c r="M204" i="2"/>
  <c r="J204" i="2"/>
  <c r="K204" i="2" s="1"/>
  <c r="E204" i="2"/>
  <c r="F204" i="2" s="1"/>
  <c r="Q203" i="2"/>
  <c r="N203" i="2"/>
  <c r="M203" i="2"/>
  <c r="J203" i="2"/>
  <c r="K203" i="2" s="1"/>
  <c r="E203" i="2"/>
  <c r="F203" i="2" s="1"/>
  <c r="L201" i="2"/>
  <c r="G201" i="2"/>
  <c r="Q200" i="2"/>
  <c r="N200" i="2"/>
  <c r="M200" i="2"/>
  <c r="E200" i="2"/>
  <c r="F200" i="2" s="1"/>
  <c r="P200" i="2" s="1"/>
  <c r="Q199" i="2"/>
  <c r="N199" i="2"/>
  <c r="M199" i="2"/>
  <c r="J199" i="2"/>
  <c r="K199" i="2" s="1"/>
  <c r="E199" i="2"/>
  <c r="F199" i="2" s="1"/>
  <c r="Q198" i="2"/>
  <c r="N198" i="2"/>
  <c r="M198" i="2"/>
  <c r="J198" i="2"/>
  <c r="K198" i="2" s="1"/>
  <c r="E198" i="2"/>
  <c r="F198" i="2" s="1"/>
  <c r="Q197" i="2"/>
  <c r="N197" i="2"/>
  <c r="M197" i="2"/>
  <c r="J197" i="2"/>
  <c r="K197" i="2" s="1"/>
  <c r="E197" i="2"/>
  <c r="F197" i="2" s="1"/>
  <c r="L195" i="2"/>
  <c r="G195" i="2"/>
  <c r="Q194" i="2"/>
  <c r="N194" i="2"/>
  <c r="M194" i="2"/>
  <c r="J194" i="2"/>
  <c r="K194" i="2" s="1"/>
  <c r="E194" i="2"/>
  <c r="F194" i="2" s="1"/>
  <c r="Q193" i="2"/>
  <c r="N193" i="2"/>
  <c r="M193" i="2"/>
  <c r="J193" i="2"/>
  <c r="K193" i="2" s="1"/>
  <c r="E193" i="2"/>
  <c r="F193" i="2" s="1"/>
  <c r="K190" i="2"/>
  <c r="K191" i="2" s="1"/>
  <c r="L188" i="2"/>
  <c r="G188" i="2"/>
  <c r="Q187" i="2"/>
  <c r="N187" i="2"/>
  <c r="M187" i="2"/>
  <c r="J187" i="2"/>
  <c r="K187" i="2" s="1"/>
  <c r="E187" i="2"/>
  <c r="F187" i="2" s="1"/>
  <c r="Q186" i="2"/>
  <c r="N186" i="2"/>
  <c r="M186" i="2"/>
  <c r="J186" i="2"/>
  <c r="K186" i="2" s="1"/>
  <c r="E186" i="2"/>
  <c r="F186" i="2" s="1"/>
  <c r="Q185" i="2"/>
  <c r="N185" i="2"/>
  <c r="M185" i="2"/>
  <c r="J185" i="2"/>
  <c r="K185" i="2" s="1"/>
  <c r="E185" i="2"/>
  <c r="F185" i="2" s="1"/>
  <c r="Q184" i="2"/>
  <c r="N184" i="2"/>
  <c r="M184" i="2"/>
  <c r="J184" i="2"/>
  <c r="K184" i="2" s="1"/>
  <c r="E184" i="2"/>
  <c r="F184" i="2" s="1"/>
  <c r="Q183" i="2"/>
  <c r="N183" i="2"/>
  <c r="M183" i="2"/>
  <c r="E183" i="2"/>
  <c r="F183" i="2" s="1"/>
  <c r="P183" i="2" s="1"/>
  <c r="Q182" i="2"/>
  <c r="M182" i="2"/>
  <c r="J182" i="2"/>
  <c r="I182" i="2"/>
  <c r="N182" i="2" s="1"/>
  <c r="Q181" i="2"/>
  <c r="N181" i="2"/>
  <c r="M181" i="2"/>
  <c r="E181" i="2"/>
  <c r="F181" i="2" s="1"/>
  <c r="P181" i="2" s="1"/>
  <c r="Q180" i="2"/>
  <c r="N180" i="2"/>
  <c r="M180" i="2"/>
  <c r="J180" i="2"/>
  <c r="K180" i="2" s="1"/>
  <c r="P180" i="2" s="1"/>
  <c r="Q179" i="2"/>
  <c r="N179" i="2"/>
  <c r="M179" i="2"/>
  <c r="J179" i="2"/>
  <c r="K179" i="2" s="1"/>
  <c r="E179" i="2"/>
  <c r="F179" i="2" s="1"/>
  <c r="Q178" i="2"/>
  <c r="N178" i="2"/>
  <c r="M178" i="2"/>
  <c r="J178" i="2"/>
  <c r="K178" i="2" s="1"/>
  <c r="F178" i="2"/>
  <c r="Q177" i="2"/>
  <c r="N177" i="2"/>
  <c r="M177" i="2"/>
  <c r="J177" i="2"/>
  <c r="K177" i="2" s="1"/>
  <c r="P177" i="2" s="1"/>
  <c r="Q176" i="2"/>
  <c r="N176" i="2"/>
  <c r="M176" i="2"/>
  <c r="J176" i="2"/>
  <c r="K176" i="2" s="1"/>
  <c r="E176" i="2"/>
  <c r="F176" i="2" s="1"/>
  <c r="Q175" i="2"/>
  <c r="N175" i="2"/>
  <c r="M175" i="2"/>
  <c r="J175" i="2"/>
  <c r="K175" i="2" s="1"/>
  <c r="E175" i="2"/>
  <c r="F175" i="2" s="1"/>
  <c r="Q174" i="2"/>
  <c r="K174" i="2"/>
  <c r="J174" i="2"/>
  <c r="I174" i="2"/>
  <c r="E174" i="2"/>
  <c r="D174" i="2"/>
  <c r="Q173" i="2"/>
  <c r="N173" i="2"/>
  <c r="M173" i="2"/>
  <c r="J173" i="2"/>
  <c r="K173" i="2" s="1"/>
  <c r="E173" i="2"/>
  <c r="F173" i="2" s="1"/>
  <c r="Q172" i="2"/>
  <c r="N172" i="2"/>
  <c r="M172" i="2"/>
  <c r="J172" i="2"/>
  <c r="K172" i="2" s="1"/>
  <c r="E172" i="2"/>
  <c r="F172" i="2" s="1"/>
  <c r="Q171" i="2"/>
  <c r="N171" i="2"/>
  <c r="M171" i="2"/>
  <c r="J171" i="2"/>
  <c r="K171" i="2" s="1"/>
  <c r="E171" i="2"/>
  <c r="F171" i="2" s="1"/>
  <c r="Q170" i="2"/>
  <c r="N170" i="2"/>
  <c r="M170" i="2"/>
  <c r="J170" i="2"/>
  <c r="K170" i="2" s="1"/>
  <c r="E170" i="2"/>
  <c r="F170" i="2" s="1"/>
  <c r="Q169" i="2"/>
  <c r="N169" i="2"/>
  <c r="M169" i="2"/>
  <c r="J169" i="2"/>
  <c r="K169" i="2" s="1"/>
  <c r="E169" i="2"/>
  <c r="F169" i="2" s="1"/>
  <c r="Q168" i="2"/>
  <c r="N168" i="2"/>
  <c r="M168" i="2"/>
  <c r="J168" i="2"/>
  <c r="K168" i="2" s="1"/>
  <c r="E168" i="2"/>
  <c r="F168" i="2" s="1"/>
  <c r="Q167" i="2"/>
  <c r="N167" i="2"/>
  <c r="M167" i="2"/>
  <c r="J167" i="2"/>
  <c r="K167" i="2" s="1"/>
  <c r="E167" i="2"/>
  <c r="F167" i="2" s="1"/>
  <c r="Q166" i="2"/>
  <c r="N166" i="2"/>
  <c r="M166" i="2"/>
  <c r="J166" i="2"/>
  <c r="K166" i="2" s="1"/>
  <c r="E166" i="2"/>
  <c r="F166" i="2" s="1"/>
  <c r="Q165" i="2"/>
  <c r="J165" i="2"/>
  <c r="I165" i="2"/>
  <c r="E165" i="2"/>
  <c r="D165" i="2"/>
  <c r="M165" i="2" s="1"/>
  <c r="Q164" i="2"/>
  <c r="N164" i="2"/>
  <c r="M164" i="2"/>
  <c r="J164" i="2"/>
  <c r="K164" i="2" s="1"/>
  <c r="E164" i="2"/>
  <c r="F164" i="2" s="1"/>
  <c r="Q163" i="2"/>
  <c r="N163" i="2"/>
  <c r="M163" i="2"/>
  <c r="J163" i="2"/>
  <c r="K163" i="2" s="1"/>
  <c r="E163" i="2"/>
  <c r="F163" i="2" s="1"/>
  <c r="Q162" i="2"/>
  <c r="N162" i="2"/>
  <c r="M162" i="2"/>
  <c r="J162" i="2"/>
  <c r="K162" i="2" s="1"/>
  <c r="E162" i="2"/>
  <c r="F162" i="2" s="1"/>
  <c r="Q161" i="2"/>
  <c r="N161" i="2"/>
  <c r="M161" i="2"/>
  <c r="J161" i="2"/>
  <c r="K161" i="2" s="1"/>
  <c r="E161" i="2"/>
  <c r="F161" i="2" s="1"/>
  <c r="Q160" i="2"/>
  <c r="N160" i="2"/>
  <c r="M160" i="2"/>
  <c r="J160" i="2"/>
  <c r="K160" i="2" s="1"/>
  <c r="E160" i="2"/>
  <c r="F160" i="2" s="1"/>
  <c r="Q159" i="2"/>
  <c r="N159" i="2"/>
  <c r="M159" i="2"/>
  <c r="J159" i="2"/>
  <c r="K159" i="2" s="1"/>
  <c r="E159" i="2"/>
  <c r="F159" i="2" s="1"/>
  <c r="Q158" i="2"/>
  <c r="J158" i="2"/>
  <c r="K158" i="2" s="1"/>
  <c r="E158" i="2"/>
  <c r="D158" i="2"/>
  <c r="N158" i="2" s="1"/>
  <c r="Q157" i="2"/>
  <c r="N157" i="2"/>
  <c r="M157" i="2"/>
  <c r="J157" i="2"/>
  <c r="K157" i="2" s="1"/>
  <c r="P157" i="2" s="1"/>
  <c r="Q156" i="2"/>
  <c r="N156" i="2"/>
  <c r="M156" i="2"/>
  <c r="J156" i="2"/>
  <c r="K156" i="2" s="1"/>
  <c r="P156" i="2" s="1"/>
  <c r="Q155" i="2"/>
  <c r="N155" i="2"/>
  <c r="M155" i="2"/>
  <c r="J155" i="2"/>
  <c r="K155" i="2" s="1"/>
  <c r="E155" i="2"/>
  <c r="F155" i="2" s="1"/>
  <c r="Q154" i="2"/>
  <c r="N154" i="2"/>
  <c r="M154" i="2"/>
  <c r="J154" i="2"/>
  <c r="K154" i="2" s="1"/>
  <c r="E154" i="2"/>
  <c r="F154" i="2" s="1"/>
  <c r="Q153" i="2"/>
  <c r="N153" i="2"/>
  <c r="M153" i="2"/>
  <c r="J153" i="2"/>
  <c r="K153" i="2" s="1"/>
  <c r="E153" i="2"/>
  <c r="F153" i="2" s="1"/>
  <c r="Q152" i="2"/>
  <c r="N152" i="2"/>
  <c r="M152" i="2"/>
  <c r="J152" i="2"/>
  <c r="K152" i="2" s="1"/>
  <c r="E152" i="2"/>
  <c r="F152" i="2" s="1"/>
  <c r="Q151" i="2"/>
  <c r="N151" i="2"/>
  <c r="M151" i="2"/>
  <c r="J151" i="2"/>
  <c r="K151" i="2" s="1"/>
  <c r="E151" i="2"/>
  <c r="F151" i="2" s="1"/>
  <c r="Q150" i="2"/>
  <c r="N150" i="2"/>
  <c r="M150" i="2"/>
  <c r="J150" i="2"/>
  <c r="K150" i="2" s="1"/>
  <c r="P150" i="2" s="1"/>
  <c r="Q149" i="2"/>
  <c r="N149" i="2"/>
  <c r="M149" i="2"/>
  <c r="J149" i="2"/>
  <c r="K149" i="2" s="1"/>
  <c r="E149" i="2"/>
  <c r="F149" i="2" s="1"/>
  <c r="Q148" i="2"/>
  <c r="N148" i="2"/>
  <c r="M148" i="2"/>
  <c r="J148" i="2"/>
  <c r="K148" i="2" s="1"/>
  <c r="E148" i="2"/>
  <c r="F148" i="2" s="1"/>
  <c r="Q147" i="2"/>
  <c r="N147" i="2"/>
  <c r="M147" i="2"/>
  <c r="J147" i="2"/>
  <c r="K147" i="2" s="1"/>
  <c r="E147" i="2"/>
  <c r="F147" i="2" s="1"/>
  <c r="Q146" i="2"/>
  <c r="N146" i="2"/>
  <c r="M146" i="2"/>
  <c r="J146" i="2"/>
  <c r="K146" i="2" s="1"/>
  <c r="E146" i="2"/>
  <c r="F146" i="2" s="1"/>
  <c r="Q145" i="2"/>
  <c r="N145" i="2"/>
  <c r="M145" i="2"/>
  <c r="J145" i="2"/>
  <c r="K145" i="2" s="1"/>
  <c r="E145" i="2"/>
  <c r="F145" i="2" s="1"/>
  <c r="Q144" i="2"/>
  <c r="N144" i="2"/>
  <c r="M144" i="2"/>
  <c r="J144" i="2"/>
  <c r="K144" i="2" s="1"/>
  <c r="E144" i="2"/>
  <c r="F144" i="2" s="1"/>
  <c r="Q133" i="2"/>
  <c r="L133" i="2"/>
  <c r="G133" i="2"/>
  <c r="R132" i="2"/>
  <c r="O132" i="2"/>
  <c r="P132" i="2" s="1"/>
  <c r="J132" i="2"/>
  <c r="K132" i="2" s="1"/>
  <c r="E132" i="2"/>
  <c r="F132" i="2" s="1"/>
  <c r="R131" i="2"/>
  <c r="O131" i="2"/>
  <c r="P131" i="2" s="1"/>
  <c r="J131" i="2"/>
  <c r="K131" i="2" s="1"/>
  <c r="E131" i="2"/>
  <c r="F131" i="2" s="1"/>
  <c r="R130" i="2"/>
  <c r="O130" i="2"/>
  <c r="P130" i="2" s="1"/>
  <c r="J130" i="2"/>
  <c r="K130" i="2" s="1"/>
  <c r="E130" i="2"/>
  <c r="F130" i="2" s="1"/>
  <c r="R129" i="2"/>
  <c r="O129" i="2"/>
  <c r="P129" i="2" s="1"/>
  <c r="J129" i="2"/>
  <c r="K129" i="2" s="1"/>
  <c r="E129" i="2"/>
  <c r="F129" i="2" s="1"/>
  <c r="Q127" i="2"/>
  <c r="L127" i="2"/>
  <c r="G127" i="2"/>
  <c r="R126" i="2"/>
  <c r="J126" i="2"/>
  <c r="K126" i="2" s="1"/>
  <c r="E126" i="2"/>
  <c r="F126" i="2" s="1"/>
  <c r="R125" i="2"/>
  <c r="O125" i="2"/>
  <c r="P125" i="2" s="1"/>
  <c r="E125" i="2"/>
  <c r="F125" i="2" s="1"/>
  <c r="R124" i="2"/>
  <c r="J124" i="2"/>
  <c r="K124" i="2" s="1"/>
  <c r="E124" i="2"/>
  <c r="F124" i="2" s="1"/>
  <c r="R123" i="2"/>
  <c r="O123" i="2"/>
  <c r="P123" i="2" s="1"/>
  <c r="J123" i="2"/>
  <c r="K123" i="2" s="1"/>
  <c r="E123" i="2"/>
  <c r="F123" i="2" s="1"/>
  <c r="Q121" i="2"/>
  <c r="L121" i="2"/>
  <c r="G121" i="2"/>
  <c r="R120" i="2"/>
  <c r="O120" i="2"/>
  <c r="P120" i="2" s="1"/>
  <c r="J120" i="2"/>
  <c r="K120" i="2" s="1"/>
  <c r="E120" i="2"/>
  <c r="F120" i="2" s="1"/>
  <c r="R119" i="2"/>
  <c r="O119" i="2"/>
  <c r="P119" i="2" s="1"/>
  <c r="J119" i="2"/>
  <c r="K119" i="2" s="1"/>
  <c r="E119" i="2"/>
  <c r="F119" i="2" s="1"/>
  <c r="Q117" i="2"/>
  <c r="L117" i="2"/>
  <c r="G117" i="2"/>
  <c r="R116" i="2"/>
  <c r="O116" i="2"/>
  <c r="P116" i="2" s="1"/>
  <c r="J116" i="2"/>
  <c r="K116" i="2" s="1"/>
  <c r="E116" i="2"/>
  <c r="F116" i="2" s="1"/>
  <c r="R115" i="2"/>
  <c r="J115" i="2"/>
  <c r="K115" i="2" s="1"/>
  <c r="E115" i="2"/>
  <c r="F115" i="2" s="1"/>
  <c r="R114" i="2"/>
  <c r="J114" i="2"/>
  <c r="K114" i="2" s="1"/>
  <c r="E114" i="2"/>
  <c r="F114" i="2" s="1"/>
  <c r="R113" i="2"/>
  <c r="J113" i="2"/>
  <c r="K113" i="2" s="1"/>
  <c r="E113" i="2"/>
  <c r="F113" i="2" s="1"/>
  <c r="R112" i="2"/>
  <c r="O112" i="2"/>
  <c r="P112" i="2" s="1"/>
  <c r="K112" i="2"/>
  <c r="F112" i="2"/>
  <c r="R111" i="2"/>
  <c r="J111" i="2"/>
  <c r="K111" i="2" s="1"/>
  <c r="E111" i="2"/>
  <c r="F111" i="2" s="1"/>
  <c r="R110" i="2"/>
  <c r="O110" i="2"/>
  <c r="P110" i="2" s="1"/>
  <c r="J110" i="2"/>
  <c r="K110" i="2" s="1"/>
  <c r="E110" i="2"/>
  <c r="F110" i="2" s="1"/>
  <c r="R109" i="2"/>
  <c r="O109" i="2"/>
  <c r="P109" i="2" s="1"/>
  <c r="J109" i="2"/>
  <c r="K109" i="2" s="1"/>
  <c r="E109" i="2"/>
  <c r="F109" i="2" s="1"/>
  <c r="R108" i="2"/>
  <c r="J108" i="2"/>
  <c r="K108" i="2" s="1"/>
  <c r="E108" i="2"/>
  <c r="F108" i="2" s="1"/>
  <c r="R107" i="2"/>
  <c r="O107" i="2"/>
  <c r="P107" i="2" s="1"/>
  <c r="J107" i="2"/>
  <c r="K107" i="2" s="1"/>
  <c r="E107" i="2"/>
  <c r="F107" i="2" s="1"/>
  <c r="O106" i="2"/>
  <c r="N106" i="2"/>
  <c r="J106" i="2"/>
  <c r="K106" i="2" s="1"/>
  <c r="E106" i="2"/>
  <c r="F106" i="2" s="1"/>
  <c r="R105" i="2"/>
  <c r="O105" i="2"/>
  <c r="P105" i="2" s="1"/>
  <c r="J105" i="2"/>
  <c r="K105" i="2" s="1"/>
  <c r="E105" i="2"/>
  <c r="F105" i="2" s="1"/>
  <c r="R104" i="2"/>
  <c r="O104" i="2"/>
  <c r="P104" i="2" s="1"/>
  <c r="J104" i="2"/>
  <c r="K104" i="2" s="1"/>
  <c r="E104" i="2"/>
  <c r="F104" i="2" s="1"/>
  <c r="R103" i="2"/>
  <c r="O103" i="2"/>
  <c r="P103" i="2" s="1"/>
  <c r="J103" i="2"/>
  <c r="K103" i="2" s="1"/>
  <c r="E103" i="2"/>
  <c r="F103" i="2" s="1"/>
  <c r="R102" i="2"/>
  <c r="O102" i="2"/>
  <c r="P102" i="2" s="1"/>
  <c r="J102" i="2"/>
  <c r="K102" i="2" s="1"/>
  <c r="E102" i="2"/>
  <c r="F102" i="2" s="1"/>
  <c r="R100" i="2"/>
  <c r="J100" i="2"/>
  <c r="K100" i="2" s="1"/>
  <c r="E100" i="2"/>
  <c r="F100" i="2" s="1"/>
  <c r="R99" i="2"/>
  <c r="J99" i="2"/>
  <c r="K99" i="2" s="1"/>
  <c r="E99" i="2"/>
  <c r="F99" i="2" s="1"/>
  <c r="R98" i="2"/>
  <c r="J98" i="2"/>
  <c r="K98" i="2" s="1"/>
  <c r="E98" i="2"/>
  <c r="F98" i="2" s="1"/>
  <c r="R97" i="2"/>
  <c r="J97" i="2"/>
  <c r="K97" i="2" s="1"/>
  <c r="E97" i="2"/>
  <c r="F97" i="2" s="1"/>
  <c r="R96" i="2"/>
  <c r="O96" i="2"/>
  <c r="P96" i="2" s="1"/>
  <c r="J96" i="2"/>
  <c r="K96" i="2" s="1"/>
  <c r="E96" i="2"/>
  <c r="F96" i="2" s="1"/>
  <c r="O95" i="2"/>
  <c r="N95" i="2"/>
  <c r="J95" i="2"/>
  <c r="I95" i="2"/>
  <c r="E95" i="2"/>
  <c r="F95" i="2" s="1"/>
  <c r="R94" i="2"/>
  <c r="J94" i="2"/>
  <c r="K94" i="2" s="1"/>
  <c r="E94" i="2"/>
  <c r="F94" i="2" s="1"/>
  <c r="R93" i="2"/>
  <c r="O93" i="2"/>
  <c r="P93" i="2" s="1"/>
  <c r="J93" i="2"/>
  <c r="K93" i="2" s="1"/>
  <c r="E93" i="2"/>
  <c r="F93" i="2" s="1"/>
  <c r="R92" i="2"/>
  <c r="O92" i="2"/>
  <c r="P92" i="2" s="1"/>
  <c r="J92" i="2"/>
  <c r="K92" i="2" s="1"/>
  <c r="E92" i="2"/>
  <c r="F92" i="2" s="1"/>
  <c r="R91" i="2"/>
  <c r="J91" i="2"/>
  <c r="K91" i="2" s="1"/>
  <c r="E91" i="2"/>
  <c r="F91" i="2" s="1"/>
  <c r="R90" i="2"/>
  <c r="O90" i="2"/>
  <c r="P90" i="2" s="1"/>
  <c r="J90" i="2"/>
  <c r="K90" i="2" s="1"/>
  <c r="E90" i="2"/>
  <c r="F90" i="2" s="1"/>
  <c r="R89" i="2"/>
  <c r="J89" i="2"/>
  <c r="K89" i="2" s="1"/>
  <c r="E89" i="2"/>
  <c r="F89" i="2" s="1"/>
  <c r="R88" i="2"/>
  <c r="O88" i="2"/>
  <c r="P88" i="2" s="1"/>
  <c r="J88" i="2"/>
  <c r="K88" i="2" s="1"/>
  <c r="E88" i="2"/>
  <c r="F88" i="2" s="1"/>
  <c r="R87" i="2"/>
  <c r="O87" i="2"/>
  <c r="P87" i="2" s="1"/>
  <c r="J87" i="2"/>
  <c r="K87" i="2" s="1"/>
  <c r="E87" i="2"/>
  <c r="F87" i="2" s="1"/>
  <c r="R86" i="2"/>
  <c r="O86" i="2"/>
  <c r="P86" i="2" s="1"/>
  <c r="J86" i="2"/>
  <c r="K86" i="2" s="1"/>
  <c r="E86" i="2"/>
  <c r="F86" i="2" s="1"/>
  <c r="R85" i="2"/>
  <c r="O85" i="2"/>
  <c r="P85" i="2" s="1"/>
  <c r="J85" i="2"/>
  <c r="K85" i="2" s="1"/>
  <c r="E85" i="2"/>
  <c r="F85" i="2" s="1"/>
  <c r="R84" i="2"/>
  <c r="O84" i="2"/>
  <c r="P84" i="2" s="1"/>
  <c r="J84" i="2"/>
  <c r="K84" i="2" s="1"/>
  <c r="E84" i="2"/>
  <c r="F84" i="2" s="1"/>
  <c r="R83" i="2"/>
  <c r="O83" i="2"/>
  <c r="P83" i="2" s="1"/>
  <c r="J83" i="2"/>
  <c r="K83" i="2" s="1"/>
  <c r="E83" i="2"/>
  <c r="F83" i="2" s="1"/>
  <c r="Q72" i="2"/>
  <c r="L72" i="2"/>
  <c r="G72" i="2"/>
  <c r="R71" i="2"/>
  <c r="O71" i="2"/>
  <c r="P71" i="2" s="1"/>
  <c r="J71" i="2"/>
  <c r="K71" i="2" s="1"/>
  <c r="E71" i="2"/>
  <c r="F71" i="2" s="1"/>
  <c r="R70" i="2"/>
  <c r="O70" i="2"/>
  <c r="P70" i="2" s="1"/>
  <c r="J70" i="2"/>
  <c r="K70" i="2" s="1"/>
  <c r="E70" i="2"/>
  <c r="F70" i="2" s="1"/>
  <c r="R69" i="2"/>
  <c r="O69" i="2"/>
  <c r="P69" i="2" s="1"/>
  <c r="J69" i="2"/>
  <c r="K69" i="2" s="1"/>
  <c r="E69" i="2"/>
  <c r="F69" i="2" s="1"/>
  <c r="R68" i="2"/>
  <c r="O68" i="2"/>
  <c r="P68" i="2" s="1"/>
  <c r="J68" i="2"/>
  <c r="K68" i="2" s="1"/>
  <c r="E68" i="2"/>
  <c r="F68" i="2" s="1"/>
  <c r="Q66" i="2"/>
  <c r="L66" i="2"/>
  <c r="G66" i="2"/>
  <c r="R65" i="2"/>
  <c r="O65" i="2"/>
  <c r="P65" i="2" s="1"/>
  <c r="J65" i="2"/>
  <c r="K65" i="2" s="1"/>
  <c r="R64" i="2"/>
  <c r="E64" i="2"/>
  <c r="F64" i="2" s="1"/>
  <c r="S64" i="2" s="1"/>
  <c r="R63" i="2"/>
  <c r="O63" i="2"/>
  <c r="P63" i="2" s="1"/>
  <c r="J63" i="2"/>
  <c r="K63" i="2" s="1"/>
  <c r="E63" i="2"/>
  <c r="F63" i="2" s="1"/>
  <c r="R62" i="2"/>
  <c r="O62" i="2"/>
  <c r="P62" i="2" s="1"/>
  <c r="J62" i="2"/>
  <c r="K62" i="2" s="1"/>
  <c r="E62" i="2"/>
  <c r="F62" i="2" s="1"/>
  <c r="Q60" i="2"/>
  <c r="L60" i="2"/>
  <c r="G60" i="2"/>
  <c r="R59" i="2"/>
  <c r="O59" i="2"/>
  <c r="P59" i="2" s="1"/>
  <c r="J59" i="2"/>
  <c r="K59" i="2" s="1"/>
  <c r="E59" i="2"/>
  <c r="F59" i="2" s="1"/>
  <c r="R58" i="2"/>
  <c r="O58" i="2"/>
  <c r="P58" i="2" s="1"/>
  <c r="J58" i="2"/>
  <c r="K58" i="2" s="1"/>
  <c r="E58" i="2"/>
  <c r="F58" i="2" s="1"/>
  <c r="Q56" i="2"/>
  <c r="L56" i="2"/>
  <c r="G56" i="2"/>
  <c r="R55" i="2"/>
  <c r="O55" i="2"/>
  <c r="P55" i="2" s="1"/>
  <c r="S55" i="2" s="1"/>
  <c r="R54" i="2"/>
  <c r="O54" i="2"/>
  <c r="P54" i="2" s="1"/>
  <c r="J54" i="2"/>
  <c r="K54" i="2" s="1"/>
  <c r="E54" i="2"/>
  <c r="F54" i="2" s="1"/>
  <c r="R53" i="2"/>
  <c r="O53" i="2"/>
  <c r="P53" i="2" s="1"/>
  <c r="J53" i="2"/>
  <c r="K53" i="2" s="1"/>
  <c r="E53" i="2"/>
  <c r="F53" i="2" s="1"/>
  <c r="R52" i="2"/>
  <c r="O52" i="2"/>
  <c r="P52" i="2" s="1"/>
  <c r="J52" i="2"/>
  <c r="K52" i="2" s="1"/>
  <c r="E52" i="2"/>
  <c r="F52" i="2" s="1"/>
  <c r="O51" i="2"/>
  <c r="N51" i="2"/>
  <c r="J51" i="2"/>
  <c r="I51" i="2"/>
  <c r="E51" i="2"/>
  <c r="F51" i="2" s="1"/>
  <c r="R50" i="2"/>
  <c r="O50" i="2"/>
  <c r="P50" i="2" s="1"/>
  <c r="J50" i="2"/>
  <c r="K50" i="2" s="1"/>
  <c r="E50" i="2"/>
  <c r="F50" i="2" s="1"/>
  <c r="R49" i="2"/>
  <c r="O49" i="2"/>
  <c r="P49" i="2" s="1"/>
  <c r="J49" i="2"/>
  <c r="K49" i="2" s="1"/>
  <c r="E49" i="2"/>
  <c r="F49" i="2" s="1"/>
  <c r="R48" i="2"/>
  <c r="O48" i="2"/>
  <c r="P48" i="2" s="1"/>
  <c r="J48" i="2"/>
  <c r="K48" i="2" s="1"/>
  <c r="E48" i="2"/>
  <c r="F48" i="2" s="1"/>
  <c r="R47" i="2"/>
  <c r="O47" i="2"/>
  <c r="P47" i="2" s="1"/>
  <c r="J47" i="2"/>
  <c r="K47" i="2" s="1"/>
  <c r="E47" i="2"/>
  <c r="F47" i="2" s="1"/>
  <c r="R46" i="2"/>
  <c r="O46" i="2"/>
  <c r="P46" i="2" s="1"/>
  <c r="J46" i="2"/>
  <c r="K46" i="2" s="1"/>
  <c r="E46" i="2"/>
  <c r="F46" i="2" s="1"/>
  <c r="R45" i="2"/>
  <c r="O45" i="2"/>
  <c r="P45" i="2" s="1"/>
  <c r="J45" i="2"/>
  <c r="K45" i="2" s="1"/>
  <c r="E45" i="2"/>
  <c r="F45" i="2" s="1"/>
  <c r="R44" i="2"/>
  <c r="O44" i="2"/>
  <c r="P44" i="2" s="1"/>
  <c r="J44" i="2"/>
  <c r="K44" i="2" s="1"/>
  <c r="E44" i="2"/>
  <c r="F44" i="2" s="1"/>
  <c r="R42" i="2"/>
  <c r="O42" i="2"/>
  <c r="P42" i="2" s="1"/>
  <c r="J42" i="2"/>
  <c r="K42" i="2" s="1"/>
  <c r="E42" i="2"/>
  <c r="F42" i="2" s="1"/>
  <c r="R41" i="2"/>
  <c r="O41" i="2"/>
  <c r="P41" i="2" s="1"/>
  <c r="J41" i="2"/>
  <c r="K41" i="2" s="1"/>
  <c r="E41" i="2"/>
  <c r="F41" i="2" s="1"/>
  <c r="R40" i="2"/>
  <c r="O40" i="2"/>
  <c r="P40" i="2" s="1"/>
  <c r="J40" i="2"/>
  <c r="K40" i="2" s="1"/>
  <c r="R39" i="2"/>
  <c r="O39" i="2"/>
  <c r="P39" i="2" s="1"/>
  <c r="J39" i="2"/>
  <c r="K39" i="2" s="1"/>
  <c r="E39" i="2"/>
  <c r="F39" i="2" s="1"/>
  <c r="R38" i="2"/>
  <c r="O38" i="2"/>
  <c r="P38" i="2" s="1"/>
  <c r="J38" i="2"/>
  <c r="K38" i="2" s="1"/>
  <c r="E38" i="2"/>
  <c r="F38" i="2" s="1"/>
  <c r="R37" i="2"/>
  <c r="O37" i="2"/>
  <c r="P37" i="2" s="1"/>
  <c r="J37" i="2"/>
  <c r="K37" i="2" s="1"/>
  <c r="E37" i="2"/>
  <c r="F37" i="2" s="1"/>
  <c r="R36" i="2"/>
  <c r="O36" i="2"/>
  <c r="P36" i="2" s="1"/>
  <c r="J36" i="2"/>
  <c r="K36" i="2" s="1"/>
  <c r="E36" i="2"/>
  <c r="F36" i="2" s="1"/>
  <c r="O35" i="2"/>
  <c r="N35" i="2"/>
  <c r="J35" i="2"/>
  <c r="I35" i="2"/>
  <c r="E35" i="2"/>
  <c r="D35" i="2"/>
  <c r="R34" i="2"/>
  <c r="O34" i="2"/>
  <c r="P34" i="2" s="1"/>
  <c r="J34" i="2"/>
  <c r="K34" i="2" s="1"/>
  <c r="E34" i="2"/>
  <c r="F34" i="2" s="1"/>
  <c r="R33" i="2"/>
  <c r="O33" i="2"/>
  <c r="P33" i="2" s="1"/>
  <c r="J33" i="2"/>
  <c r="K33" i="2" s="1"/>
  <c r="E33" i="2"/>
  <c r="F33" i="2" s="1"/>
  <c r="R32" i="2"/>
  <c r="O32" i="2"/>
  <c r="P32" i="2" s="1"/>
  <c r="J32" i="2"/>
  <c r="K32" i="2" s="1"/>
  <c r="E32" i="2"/>
  <c r="F32" i="2" s="1"/>
  <c r="R31" i="2"/>
  <c r="O31" i="2"/>
  <c r="P31" i="2" s="1"/>
  <c r="J31" i="2"/>
  <c r="K31" i="2" s="1"/>
  <c r="E31" i="2"/>
  <c r="F31" i="2" s="1"/>
  <c r="R30" i="2"/>
  <c r="O30" i="2"/>
  <c r="P30" i="2" s="1"/>
  <c r="J30" i="2"/>
  <c r="K30" i="2" s="1"/>
  <c r="E30" i="2"/>
  <c r="F30" i="2" s="1"/>
  <c r="R29" i="2"/>
  <c r="E29" i="2"/>
  <c r="F29" i="2" s="1"/>
  <c r="O28" i="2"/>
  <c r="P28" i="2" s="1"/>
  <c r="J28" i="2"/>
  <c r="K28" i="2" s="1"/>
  <c r="E28" i="2"/>
  <c r="D28" i="2"/>
  <c r="R27" i="2"/>
  <c r="O27" i="2"/>
  <c r="P27" i="2" s="1"/>
  <c r="J27" i="2"/>
  <c r="K27" i="2" s="1"/>
  <c r="E27" i="2"/>
  <c r="F27" i="2" s="1"/>
  <c r="R26" i="2"/>
  <c r="O26" i="2"/>
  <c r="P26" i="2" s="1"/>
  <c r="J26" i="2"/>
  <c r="K26" i="2" s="1"/>
  <c r="E26" i="2"/>
  <c r="F26" i="2" s="1"/>
  <c r="R25" i="2"/>
  <c r="O25" i="2"/>
  <c r="P25" i="2" s="1"/>
  <c r="J25" i="2"/>
  <c r="K25" i="2" s="1"/>
  <c r="E25" i="2"/>
  <c r="F25" i="2" s="1"/>
  <c r="R24" i="2"/>
  <c r="O24" i="2"/>
  <c r="P24" i="2" s="1"/>
  <c r="J24" i="2"/>
  <c r="K24" i="2" s="1"/>
  <c r="E24" i="2"/>
  <c r="F24" i="2" s="1"/>
  <c r="R23" i="2"/>
  <c r="O23" i="2"/>
  <c r="P23" i="2" s="1"/>
  <c r="J23" i="2"/>
  <c r="K23" i="2" s="1"/>
  <c r="E23" i="2"/>
  <c r="F23" i="2" s="1"/>
  <c r="R22" i="2"/>
  <c r="O22" i="2"/>
  <c r="P22" i="2" s="1"/>
  <c r="J22" i="2"/>
  <c r="K22" i="2" s="1"/>
  <c r="E22" i="2"/>
  <c r="F22" i="2" s="1"/>
  <c r="R21" i="2"/>
  <c r="O21" i="2"/>
  <c r="P21" i="2" s="1"/>
  <c r="J21" i="2"/>
  <c r="K21" i="2" s="1"/>
  <c r="E21" i="2"/>
  <c r="F21" i="2" s="1"/>
  <c r="R20" i="2"/>
  <c r="O20" i="2"/>
  <c r="P20" i="2" s="1"/>
  <c r="J20" i="2"/>
  <c r="K20" i="2" s="1"/>
  <c r="E20" i="2"/>
  <c r="F20" i="2" s="1"/>
  <c r="R19" i="2"/>
  <c r="O19" i="2"/>
  <c r="P19" i="2" s="1"/>
  <c r="J19" i="2"/>
  <c r="K19" i="2" s="1"/>
  <c r="E19" i="2"/>
  <c r="F19" i="2" s="1"/>
  <c r="R18" i="2"/>
  <c r="O18" i="2"/>
  <c r="P18" i="2" s="1"/>
  <c r="J18" i="2"/>
  <c r="K18" i="2" s="1"/>
  <c r="E18" i="2"/>
  <c r="F18" i="2" s="1"/>
  <c r="R17" i="2"/>
  <c r="O17" i="2"/>
  <c r="P17" i="2" s="1"/>
  <c r="J17" i="2"/>
  <c r="K17" i="2" s="1"/>
  <c r="E17" i="2"/>
  <c r="F17" i="2" s="1"/>
  <c r="R16" i="2"/>
  <c r="O16" i="2"/>
  <c r="P16" i="2" s="1"/>
  <c r="J16" i="2"/>
  <c r="K16" i="2" s="1"/>
  <c r="E16" i="2"/>
  <c r="F16" i="2" s="1"/>
  <c r="R15" i="2"/>
  <c r="O15" i="2"/>
  <c r="P15" i="2" s="1"/>
  <c r="J15" i="2"/>
  <c r="K15" i="2" s="1"/>
  <c r="E15" i="2"/>
  <c r="F15" i="2" s="1"/>
  <c r="R14" i="2"/>
  <c r="O14" i="2"/>
  <c r="P14" i="2" s="1"/>
  <c r="J14" i="2"/>
  <c r="K14" i="2" s="1"/>
  <c r="E14" i="2"/>
  <c r="F14" i="2" s="1"/>
  <c r="R15" i="1"/>
  <c r="P15" i="1"/>
  <c r="O15" i="1"/>
  <c r="K15" i="1"/>
  <c r="S15" i="1" s="1"/>
  <c r="J15" i="1"/>
  <c r="M47" i="3" l="1"/>
  <c r="M97" i="3"/>
  <c r="M294" i="3"/>
  <c r="K201" i="3"/>
  <c r="M251" i="3"/>
  <c r="M366" i="3" s="1"/>
  <c r="P101" i="2"/>
  <c r="K101" i="2"/>
  <c r="R101" i="2"/>
  <c r="F101" i="2"/>
  <c r="F117" i="2" s="1"/>
  <c r="P206" i="2"/>
  <c r="R43" i="2"/>
  <c r="F43" i="2"/>
  <c r="P43" i="2"/>
  <c r="P175" i="2"/>
  <c r="Q275" i="2"/>
  <c r="P176" i="2"/>
  <c r="P255" i="2"/>
  <c r="K456" i="2"/>
  <c r="P331" i="2"/>
  <c r="P184" i="2"/>
  <c r="S461" i="2"/>
  <c r="S477" i="2"/>
  <c r="F35" i="2"/>
  <c r="K95" i="2"/>
  <c r="S355" i="2"/>
  <c r="S373" i="2"/>
  <c r="S126" i="2"/>
  <c r="S393" i="2"/>
  <c r="S365" i="2"/>
  <c r="F72" i="2"/>
  <c r="S91" i="2"/>
  <c r="P60" i="2"/>
  <c r="Q403" i="2"/>
  <c r="S448" i="2"/>
  <c r="S475" i="2"/>
  <c r="S32" i="2"/>
  <c r="S113" i="2"/>
  <c r="F165" i="2"/>
  <c r="N174" i="2"/>
  <c r="K182" i="2"/>
  <c r="P182" i="2" s="1"/>
  <c r="S307" i="2"/>
  <c r="S415" i="2"/>
  <c r="Q479" i="2"/>
  <c r="R35" i="2"/>
  <c r="S96" i="2"/>
  <c r="S100" i="2"/>
  <c r="K165" i="2"/>
  <c r="P242" i="2"/>
  <c r="G276" i="2"/>
  <c r="K263" i="2"/>
  <c r="P273" i="2"/>
  <c r="S328" i="2"/>
  <c r="S350" i="2"/>
  <c r="S360" i="2"/>
  <c r="S367" i="2"/>
  <c r="P447" i="2"/>
  <c r="S447" i="2" s="1"/>
  <c r="F60" i="2"/>
  <c r="S288" i="2"/>
  <c r="P72" i="2"/>
  <c r="S21" i="2"/>
  <c r="S109" i="2"/>
  <c r="Q134" i="2"/>
  <c r="S124" i="2"/>
  <c r="P167" i="2"/>
  <c r="P171" i="2"/>
  <c r="P204" i="2"/>
  <c r="Q207" i="2"/>
  <c r="P225" i="2"/>
  <c r="P229" i="2"/>
  <c r="P257" i="2"/>
  <c r="K269" i="2"/>
  <c r="S310" i="2"/>
  <c r="S312" i="2"/>
  <c r="S349" i="2"/>
  <c r="S353" i="2"/>
  <c r="S358" i="2"/>
  <c r="S363" i="2"/>
  <c r="P368" i="2"/>
  <c r="P386" i="2" s="1"/>
  <c r="S399" i="2"/>
  <c r="S426" i="2"/>
  <c r="S39" i="2"/>
  <c r="S47" i="2"/>
  <c r="S59" i="2"/>
  <c r="P95" i="2"/>
  <c r="P149" i="2"/>
  <c r="P161" i="2"/>
  <c r="P164" i="2"/>
  <c r="P169" i="2"/>
  <c r="P173" i="2"/>
  <c r="Q195" i="2"/>
  <c r="P236" i="2"/>
  <c r="P241" i="2"/>
  <c r="F263" i="2"/>
  <c r="Q263" i="2"/>
  <c r="S295" i="2"/>
  <c r="S299" i="2"/>
  <c r="F309" i="2"/>
  <c r="S309" i="2" s="1"/>
  <c r="K337" i="2"/>
  <c r="S364" i="2"/>
  <c r="S377" i="2"/>
  <c r="S383" i="2"/>
  <c r="S438" i="2"/>
  <c r="S70" i="2"/>
  <c r="S89" i="2"/>
  <c r="S93" i="2"/>
  <c r="P166" i="2"/>
  <c r="P170" i="2"/>
  <c r="S296" i="2"/>
  <c r="S357" i="2"/>
  <c r="S420" i="2"/>
  <c r="S421" i="2"/>
  <c r="S439" i="2"/>
  <c r="S468" i="2"/>
  <c r="S85" i="2"/>
  <c r="K127" i="2"/>
  <c r="K133" i="2"/>
  <c r="P151" i="2"/>
  <c r="P153" i="2"/>
  <c r="P186" i="2"/>
  <c r="P193" i="2"/>
  <c r="F207" i="2"/>
  <c r="P218" i="2"/>
  <c r="P221" i="2"/>
  <c r="F232" i="2"/>
  <c r="P233" i="2"/>
  <c r="P239" i="2"/>
  <c r="P266" i="2"/>
  <c r="P272" i="2"/>
  <c r="S302" i="2"/>
  <c r="S359" i="2"/>
  <c r="S362" i="2"/>
  <c r="S376" i="2"/>
  <c r="P390" i="2"/>
  <c r="P402" i="2"/>
  <c r="S401" i="2"/>
  <c r="S414" i="2"/>
  <c r="S69" i="2"/>
  <c r="S97" i="2"/>
  <c r="P179" i="2"/>
  <c r="P187" i="2"/>
  <c r="P205" i="2"/>
  <c r="P234" i="2"/>
  <c r="P244" i="2"/>
  <c r="S292" i="2"/>
  <c r="S306" i="2"/>
  <c r="S319" i="2"/>
  <c r="S351" i="2"/>
  <c r="S356" i="2"/>
  <c r="S400" i="2"/>
  <c r="S419" i="2"/>
  <c r="R374" i="2"/>
  <c r="K374" i="2"/>
  <c r="S374" i="2" s="1"/>
  <c r="F396" i="2"/>
  <c r="S392" i="2"/>
  <c r="P456" i="2"/>
  <c r="S455" i="2"/>
  <c r="S456" i="2" s="1"/>
  <c r="R51" i="2"/>
  <c r="K51" i="2"/>
  <c r="R316" i="2"/>
  <c r="K316" i="2"/>
  <c r="S316" i="2" s="1"/>
  <c r="S30" i="2"/>
  <c r="S42" i="2"/>
  <c r="P51" i="2"/>
  <c r="P155" i="2"/>
  <c r="Q259" i="2"/>
  <c r="K246" i="2"/>
  <c r="S31" i="2"/>
  <c r="G73" i="2"/>
  <c r="S88" i="2"/>
  <c r="S92" i="2"/>
  <c r="P160" i="2"/>
  <c r="P162" i="2"/>
  <c r="P163" i="2"/>
  <c r="K195" i="2"/>
  <c r="P261" i="2"/>
  <c r="K275" i="2"/>
  <c r="F402" i="2"/>
  <c r="M238" i="2"/>
  <c r="F238" i="2"/>
  <c r="R425" i="2"/>
  <c r="K425" i="2"/>
  <c r="S425" i="2" s="1"/>
  <c r="S17" i="2"/>
  <c r="S25" i="2"/>
  <c r="S29" i="2"/>
  <c r="S34" i="2"/>
  <c r="G134" i="2"/>
  <c r="F201" i="2"/>
  <c r="P219" i="2"/>
  <c r="P220" i="2"/>
  <c r="P222" i="2"/>
  <c r="P224" i="2"/>
  <c r="P226" i="2"/>
  <c r="P228" i="2"/>
  <c r="P230" i="2"/>
  <c r="P267" i="2"/>
  <c r="S291" i="2"/>
  <c r="P337" i="2"/>
  <c r="S348" i="2"/>
  <c r="S385" i="2"/>
  <c r="F390" i="2"/>
  <c r="S413" i="2"/>
  <c r="P466" i="2"/>
  <c r="K472" i="2"/>
  <c r="P478" i="2"/>
  <c r="P66" i="2"/>
  <c r="S83" i="2"/>
  <c r="S94" i="2"/>
  <c r="S99" i="2"/>
  <c r="L134" i="2"/>
  <c r="S123" i="2"/>
  <c r="S125" i="2"/>
  <c r="P133" i="2"/>
  <c r="Q188" i="2"/>
  <c r="P172" i="2"/>
  <c r="P185" i="2"/>
  <c r="P194" i="2"/>
  <c r="P198" i="2"/>
  <c r="P227" i="2"/>
  <c r="P231" i="2"/>
  <c r="P247" i="2"/>
  <c r="P252" i="2"/>
  <c r="P256" i="2"/>
  <c r="P262" i="2"/>
  <c r="S300" i="2"/>
  <c r="S311" i="2"/>
  <c r="Q338" i="2"/>
  <c r="S352" i="2"/>
  <c r="S366" i="2"/>
  <c r="S378" i="2"/>
  <c r="S398" i="2"/>
  <c r="S427" i="2"/>
  <c r="S445" i="2"/>
  <c r="L479" i="2"/>
  <c r="F472" i="2"/>
  <c r="S16" i="2"/>
  <c r="S20" i="2"/>
  <c r="S24" i="2"/>
  <c r="F28" i="2"/>
  <c r="S28" i="2" s="1"/>
  <c r="S33" i="2"/>
  <c r="P35" i="2"/>
  <c r="S38" i="2"/>
  <c r="S41" i="2"/>
  <c r="S46" i="2"/>
  <c r="S50" i="2"/>
  <c r="Q73" i="2"/>
  <c r="K60" i="2"/>
  <c r="L73" i="2"/>
  <c r="K72" i="2"/>
  <c r="S84" i="2"/>
  <c r="S87" i="2"/>
  <c r="S98" i="2"/>
  <c r="S103" i="2"/>
  <c r="P106" i="2"/>
  <c r="S106" i="2" s="1"/>
  <c r="S107" i="2"/>
  <c r="S111" i="2"/>
  <c r="S114" i="2"/>
  <c r="S116" i="2"/>
  <c r="S120" i="2"/>
  <c r="S131" i="2"/>
  <c r="P152" i="2"/>
  <c r="P154" i="2"/>
  <c r="P178" i="2"/>
  <c r="Q201" i="2"/>
  <c r="K232" i="2"/>
  <c r="P305" i="2"/>
  <c r="S305" i="2" s="1"/>
  <c r="S313" i="2"/>
  <c r="L338" i="2"/>
  <c r="K325" i="2"/>
  <c r="S327" i="2"/>
  <c r="S335" i="2"/>
  <c r="S354" i="2"/>
  <c r="S361" i="2"/>
  <c r="S370" i="2"/>
  <c r="S379" i="2"/>
  <c r="L403" i="2"/>
  <c r="S418" i="2"/>
  <c r="S428" i="2"/>
  <c r="S450" i="2"/>
  <c r="G479" i="2"/>
  <c r="S71" i="2"/>
  <c r="S86" i="2"/>
  <c r="S90" i="2"/>
  <c r="S108" i="2"/>
  <c r="S110" i="2"/>
  <c r="S112" i="2"/>
  <c r="S115" i="2"/>
  <c r="K121" i="2"/>
  <c r="P127" i="2"/>
  <c r="S132" i="2"/>
  <c r="P147" i="2"/>
  <c r="P159" i="2"/>
  <c r="P168" i="2"/>
  <c r="G208" i="2"/>
  <c r="P203" i="2"/>
  <c r="P223" i="2"/>
  <c r="P235" i="2"/>
  <c r="K238" i="2"/>
  <c r="P240" i="2"/>
  <c r="P243" i="2"/>
  <c r="P245" i="2"/>
  <c r="P250" i="2"/>
  <c r="P274" i="2"/>
  <c r="S290" i="2"/>
  <c r="P325" i="2"/>
  <c r="S417" i="2"/>
  <c r="S423" i="2"/>
  <c r="S436" i="2"/>
  <c r="S437" i="2"/>
  <c r="S470" i="2"/>
  <c r="S19" i="2"/>
  <c r="S23" i="2"/>
  <c r="S27" i="2"/>
  <c r="S37" i="2"/>
  <c r="S44" i="2"/>
  <c r="S49" i="2"/>
  <c r="S63" i="2"/>
  <c r="S105" i="2"/>
  <c r="S130" i="2"/>
  <c r="P145" i="2"/>
  <c r="P146" i="2"/>
  <c r="P148" i="2"/>
  <c r="P199" i="2"/>
  <c r="P248" i="2"/>
  <c r="P249" i="2"/>
  <c r="P251" i="2"/>
  <c r="L276" i="2"/>
  <c r="S289" i="2"/>
  <c r="S293" i="2"/>
  <c r="S314" i="2"/>
  <c r="S324" i="2"/>
  <c r="S372" i="2"/>
  <c r="S389" i="2"/>
  <c r="K402" i="2"/>
  <c r="S422" i="2"/>
  <c r="S429" i="2"/>
  <c r="S14" i="2"/>
  <c r="P144" i="2"/>
  <c r="S388" i="2"/>
  <c r="K390" i="2"/>
  <c r="P271" i="2"/>
  <c r="F275" i="2"/>
  <c r="F66" i="2"/>
  <c r="S62" i="2"/>
  <c r="S65" i="2"/>
  <c r="K66" i="2"/>
  <c r="S129" i="2"/>
  <c r="F133" i="2"/>
  <c r="S53" i="2"/>
  <c r="S15" i="2"/>
  <c r="S18" i="2"/>
  <c r="S22" i="2"/>
  <c r="S26" i="2"/>
  <c r="S36" i="2"/>
  <c r="S40" i="2"/>
  <c r="S45" i="2"/>
  <c r="S48" i="2"/>
  <c r="S52" i="2"/>
  <c r="S54" i="2"/>
  <c r="S102" i="2"/>
  <c r="S104" i="2"/>
  <c r="P121" i="2"/>
  <c r="S119" i="2"/>
  <c r="F121" i="2"/>
  <c r="K201" i="2"/>
  <c r="P197" i="2"/>
  <c r="S287" i="2"/>
  <c r="K478" i="2"/>
  <c r="S474" i="2"/>
  <c r="F269" i="2"/>
  <c r="P265" i="2"/>
  <c r="F368" i="2"/>
  <c r="F386" i="2" s="1"/>
  <c r="R368" i="2"/>
  <c r="S58" i="2"/>
  <c r="R28" i="2"/>
  <c r="R95" i="2"/>
  <c r="K368" i="2"/>
  <c r="S369" i="2"/>
  <c r="S371" i="2"/>
  <c r="K396" i="2"/>
  <c r="S431" i="2"/>
  <c r="F452" i="2"/>
  <c r="F127" i="2"/>
  <c r="M158" i="2"/>
  <c r="F174" i="2"/>
  <c r="P174" i="2" s="1"/>
  <c r="M174" i="2"/>
  <c r="F195" i="2"/>
  <c r="K207" i="2"/>
  <c r="N232" i="2"/>
  <c r="N238" i="2"/>
  <c r="Q269" i="2"/>
  <c r="G338" i="2"/>
  <c r="K380" i="2"/>
  <c r="S380" i="2" s="1"/>
  <c r="R380" i="2"/>
  <c r="G403" i="2"/>
  <c r="S424" i="2"/>
  <c r="S432" i="2"/>
  <c r="S433" i="2"/>
  <c r="S435" i="2"/>
  <c r="S440" i="2"/>
  <c r="S449" i="2"/>
  <c r="K459" i="2"/>
  <c r="S459" i="2" s="1"/>
  <c r="P472" i="2"/>
  <c r="S469" i="2"/>
  <c r="S476" i="2"/>
  <c r="F337" i="2"/>
  <c r="S333" i="2"/>
  <c r="F466" i="2"/>
  <c r="S464" i="2"/>
  <c r="N246" i="2"/>
  <c r="M246" i="2"/>
  <c r="F246" i="2"/>
  <c r="S68" i="2"/>
  <c r="N165" i="2"/>
  <c r="R106" i="2"/>
  <c r="S294" i="2"/>
  <c r="S301" i="2"/>
  <c r="S323" i="2"/>
  <c r="S329" i="2"/>
  <c r="S434" i="2"/>
  <c r="K35" i="2"/>
  <c r="F158" i="2"/>
  <c r="P158" i="2" s="1"/>
  <c r="L208" i="2"/>
  <c r="S298" i="2"/>
  <c r="S304" i="2"/>
  <c r="K331" i="2"/>
  <c r="F331" i="2"/>
  <c r="S334" i="2"/>
  <c r="S336" i="2"/>
  <c r="S382" i="2"/>
  <c r="S384" i="2"/>
  <c r="P396" i="2"/>
  <c r="S395" i="2"/>
  <c r="S416" i="2"/>
  <c r="S430" i="2"/>
  <c r="S465" i="2"/>
  <c r="S101" i="2" l="1"/>
  <c r="P165" i="2"/>
  <c r="S43" i="2"/>
  <c r="K56" i="2"/>
  <c r="K73" i="2" s="1"/>
  <c r="S72" i="2"/>
  <c r="S121" i="2"/>
  <c r="K188" i="2"/>
  <c r="K208" i="2" s="1"/>
  <c r="K452" i="2"/>
  <c r="K479" i="2" s="1"/>
  <c r="P246" i="2"/>
  <c r="F259" i="2"/>
  <c r="F276" i="2" s="1"/>
  <c r="P232" i="2"/>
  <c r="P195" i="2"/>
  <c r="S95" i="2"/>
  <c r="S396" i="2"/>
  <c r="P269" i="2"/>
  <c r="S51" i="2"/>
  <c r="S390" i="2"/>
  <c r="P452" i="2"/>
  <c r="P479" i="2" s="1"/>
  <c r="S66" i="2"/>
  <c r="Q276" i="2"/>
  <c r="F321" i="2"/>
  <c r="F338" i="2" s="1"/>
  <c r="S133" i="2"/>
  <c r="P263" i="2"/>
  <c r="K386" i="2"/>
  <c r="K403" i="2" s="1"/>
  <c r="S472" i="2"/>
  <c r="P56" i="2"/>
  <c r="P73" i="2" s="1"/>
  <c r="S127" i="2"/>
  <c r="S466" i="2"/>
  <c r="F403" i="2"/>
  <c r="P321" i="2"/>
  <c r="P338" i="2" s="1"/>
  <c r="F479" i="2"/>
  <c r="S60" i="2"/>
  <c r="P238" i="2"/>
  <c r="P207" i="2"/>
  <c r="P117" i="2"/>
  <c r="P134" i="2" s="1"/>
  <c r="S402" i="2"/>
  <c r="Q208" i="2"/>
  <c r="K321" i="2"/>
  <c r="K338" i="2" s="1"/>
  <c r="P403" i="2"/>
  <c r="K259" i="2"/>
  <c r="K276" i="2" s="1"/>
  <c r="S331" i="2"/>
  <c r="P201" i="2"/>
  <c r="S452" i="2"/>
  <c r="S35" i="2"/>
  <c r="S325" i="2"/>
  <c r="P275" i="2"/>
  <c r="S368" i="2"/>
  <c r="S386" i="2" s="1"/>
  <c r="F188" i="2"/>
  <c r="F56" i="2"/>
  <c r="F73" i="2" s="1"/>
  <c r="S478" i="2"/>
  <c r="K117" i="2"/>
  <c r="K134" i="2" s="1"/>
  <c r="S321" i="2"/>
  <c r="S337" i="2"/>
  <c r="F134" i="2"/>
  <c r="Q151" i="1"/>
  <c r="L151" i="1"/>
  <c r="G151" i="1"/>
  <c r="R150" i="1"/>
  <c r="O150" i="1"/>
  <c r="P150" i="1" s="1"/>
  <c r="J150" i="1"/>
  <c r="K150" i="1" s="1"/>
  <c r="E150" i="1"/>
  <c r="F150" i="1" s="1"/>
  <c r="R149" i="1"/>
  <c r="O149" i="1"/>
  <c r="P149" i="1" s="1"/>
  <c r="J149" i="1"/>
  <c r="K149" i="1" s="1"/>
  <c r="E149" i="1"/>
  <c r="F149" i="1" s="1"/>
  <c r="R148" i="1"/>
  <c r="O148" i="1"/>
  <c r="P148" i="1" s="1"/>
  <c r="J148" i="1"/>
  <c r="K148" i="1" s="1"/>
  <c r="E148" i="1"/>
  <c r="F148" i="1" s="1"/>
  <c r="R147" i="1"/>
  <c r="O147" i="1"/>
  <c r="P147" i="1" s="1"/>
  <c r="J147" i="1"/>
  <c r="K147" i="1" s="1"/>
  <c r="E147" i="1"/>
  <c r="F147" i="1" s="1"/>
  <c r="R146" i="1"/>
  <c r="O146" i="1"/>
  <c r="P146" i="1" s="1"/>
  <c r="J146" i="1"/>
  <c r="K146" i="1" s="1"/>
  <c r="E146" i="1"/>
  <c r="F146" i="1" s="1"/>
  <c r="R145" i="1"/>
  <c r="O145" i="1"/>
  <c r="P145" i="1" s="1"/>
  <c r="J145" i="1"/>
  <c r="K145" i="1" s="1"/>
  <c r="R144" i="1"/>
  <c r="O144" i="1"/>
  <c r="P144" i="1" s="1"/>
  <c r="J144" i="1"/>
  <c r="K144" i="1" s="1"/>
  <c r="E144" i="1"/>
  <c r="F144" i="1" s="1"/>
  <c r="R143" i="1"/>
  <c r="O143" i="1"/>
  <c r="P143" i="1" s="1"/>
  <c r="J143" i="1"/>
  <c r="K143" i="1" s="1"/>
  <c r="E143" i="1"/>
  <c r="F143" i="1" s="1"/>
  <c r="R142" i="1"/>
  <c r="O142" i="1"/>
  <c r="P142" i="1" s="1"/>
  <c r="J142" i="1"/>
  <c r="K142" i="1" s="1"/>
  <c r="E142" i="1"/>
  <c r="F142" i="1" s="1"/>
  <c r="R141" i="1"/>
  <c r="O141" i="1"/>
  <c r="P141" i="1" s="1"/>
  <c r="J141" i="1"/>
  <c r="K141" i="1" s="1"/>
  <c r="E141" i="1"/>
  <c r="F141" i="1" s="1"/>
  <c r="R140" i="1"/>
  <c r="O140" i="1"/>
  <c r="P140" i="1" s="1"/>
  <c r="J140" i="1"/>
  <c r="K140" i="1" s="1"/>
  <c r="R139" i="1"/>
  <c r="O139" i="1"/>
  <c r="P139" i="1" s="1"/>
  <c r="J139" i="1"/>
  <c r="K139" i="1" s="1"/>
  <c r="E139" i="1"/>
  <c r="F139" i="1" s="1"/>
  <c r="R138" i="1"/>
  <c r="O138" i="1"/>
  <c r="P138" i="1" s="1"/>
  <c r="J138" i="1"/>
  <c r="K138" i="1" s="1"/>
  <c r="E138" i="1"/>
  <c r="F138" i="1" s="1"/>
  <c r="Q128" i="1"/>
  <c r="L128" i="1"/>
  <c r="G128" i="1"/>
  <c r="R127" i="1"/>
  <c r="O127" i="1"/>
  <c r="P127" i="1" s="1"/>
  <c r="J127" i="1"/>
  <c r="K127" i="1" s="1"/>
  <c r="E127" i="1"/>
  <c r="F127" i="1" s="1"/>
  <c r="R126" i="1"/>
  <c r="O126" i="1"/>
  <c r="P126" i="1" s="1"/>
  <c r="J126" i="1"/>
  <c r="K126" i="1" s="1"/>
  <c r="E126" i="1"/>
  <c r="F126" i="1" s="1"/>
  <c r="R125" i="1"/>
  <c r="O125" i="1"/>
  <c r="P125" i="1" s="1"/>
  <c r="J125" i="1"/>
  <c r="K125" i="1" s="1"/>
  <c r="E125" i="1"/>
  <c r="F125" i="1" s="1"/>
  <c r="R124" i="1"/>
  <c r="O124" i="1"/>
  <c r="P124" i="1" s="1"/>
  <c r="J124" i="1"/>
  <c r="K124" i="1" s="1"/>
  <c r="E124" i="1"/>
  <c r="F124" i="1" s="1"/>
  <c r="R123" i="1"/>
  <c r="O123" i="1"/>
  <c r="P123" i="1" s="1"/>
  <c r="J123" i="1"/>
  <c r="K123" i="1" s="1"/>
  <c r="E123" i="1"/>
  <c r="F123" i="1" s="1"/>
  <c r="R122" i="1"/>
  <c r="O122" i="1"/>
  <c r="P122" i="1" s="1"/>
  <c r="J122" i="1"/>
  <c r="K122" i="1" s="1"/>
  <c r="E122" i="1"/>
  <c r="F122" i="1" s="1"/>
  <c r="R121" i="1"/>
  <c r="O121" i="1"/>
  <c r="P121" i="1" s="1"/>
  <c r="J121" i="1"/>
  <c r="K121" i="1" s="1"/>
  <c r="E121" i="1"/>
  <c r="F121" i="1" s="1"/>
  <c r="R120" i="1"/>
  <c r="O120" i="1"/>
  <c r="P120" i="1" s="1"/>
  <c r="J120" i="1"/>
  <c r="K120" i="1" s="1"/>
  <c r="E120" i="1"/>
  <c r="F120" i="1" s="1"/>
  <c r="R119" i="1"/>
  <c r="O119" i="1"/>
  <c r="P119" i="1" s="1"/>
  <c r="J119" i="1"/>
  <c r="K119" i="1" s="1"/>
  <c r="E119" i="1"/>
  <c r="F119" i="1" s="1"/>
  <c r="R118" i="1"/>
  <c r="O118" i="1"/>
  <c r="P118" i="1" s="1"/>
  <c r="J118" i="1"/>
  <c r="K118" i="1" s="1"/>
  <c r="E118" i="1"/>
  <c r="F118" i="1" s="1"/>
  <c r="R117" i="1"/>
  <c r="O117" i="1"/>
  <c r="P117" i="1" s="1"/>
  <c r="J117" i="1"/>
  <c r="K117" i="1" s="1"/>
  <c r="E117" i="1"/>
  <c r="F117" i="1" s="1"/>
  <c r="R116" i="1"/>
  <c r="O116" i="1"/>
  <c r="P116" i="1" s="1"/>
  <c r="J116" i="1"/>
  <c r="K116" i="1" s="1"/>
  <c r="E116" i="1"/>
  <c r="F116" i="1" s="1"/>
  <c r="R106" i="1"/>
  <c r="O106" i="1"/>
  <c r="P106" i="1" s="1"/>
  <c r="J106" i="1"/>
  <c r="K106" i="1" s="1"/>
  <c r="E106" i="1"/>
  <c r="F106" i="1" s="1"/>
  <c r="R105" i="1"/>
  <c r="O105" i="1"/>
  <c r="P105" i="1" s="1"/>
  <c r="J105" i="1"/>
  <c r="K105" i="1" s="1"/>
  <c r="E105" i="1"/>
  <c r="F105" i="1" s="1"/>
  <c r="R104" i="1"/>
  <c r="O104" i="1"/>
  <c r="P104" i="1" s="1"/>
  <c r="J104" i="1"/>
  <c r="K104" i="1" s="1"/>
  <c r="E104" i="1"/>
  <c r="F104" i="1" s="1"/>
  <c r="R103" i="1"/>
  <c r="O103" i="1"/>
  <c r="P103" i="1" s="1"/>
  <c r="J103" i="1"/>
  <c r="K103" i="1" s="1"/>
  <c r="E103" i="1"/>
  <c r="F103" i="1" s="1"/>
  <c r="R102" i="1"/>
  <c r="O102" i="1"/>
  <c r="P102" i="1" s="1"/>
  <c r="J102" i="1"/>
  <c r="K102" i="1" s="1"/>
  <c r="E102" i="1"/>
  <c r="F102" i="1" s="1"/>
  <c r="R101" i="1"/>
  <c r="J101" i="1"/>
  <c r="K101" i="1" s="1"/>
  <c r="S101" i="1" s="1"/>
  <c r="R100" i="1"/>
  <c r="O100" i="1"/>
  <c r="P100" i="1" s="1"/>
  <c r="J100" i="1"/>
  <c r="K100" i="1" s="1"/>
  <c r="E100" i="1"/>
  <c r="F100" i="1" s="1"/>
  <c r="R99" i="1"/>
  <c r="O99" i="1"/>
  <c r="P99" i="1" s="1"/>
  <c r="J99" i="1"/>
  <c r="K99" i="1" s="1"/>
  <c r="E99" i="1"/>
  <c r="F99" i="1" s="1"/>
  <c r="R98" i="1"/>
  <c r="O98" i="1"/>
  <c r="P98" i="1" s="1"/>
  <c r="J98" i="1"/>
  <c r="K98" i="1" s="1"/>
  <c r="E98" i="1"/>
  <c r="F98" i="1" s="1"/>
  <c r="R97" i="1"/>
  <c r="O97" i="1"/>
  <c r="P97" i="1" s="1"/>
  <c r="J97" i="1"/>
  <c r="K97" i="1" s="1"/>
  <c r="E97" i="1"/>
  <c r="F97" i="1" s="1"/>
  <c r="R96" i="1"/>
  <c r="O96" i="1"/>
  <c r="P96" i="1" s="1"/>
  <c r="J96" i="1"/>
  <c r="K96" i="1" s="1"/>
  <c r="E96" i="1"/>
  <c r="F96" i="1" s="1"/>
  <c r="R95" i="1"/>
  <c r="J95" i="1"/>
  <c r="K95" i="1" s="1"/>
  <c r="S95" i="1" s="1"/>
  <c r="R94" i="1"/>
  <c r="O94" i="1"/>
  <c r="P94" i="1" s="1"/>
  <c r="J94" i="1"/>
  <c r="K94" i="1" s="1"/>
  <c r="E94" i="1"/>
  <c r="F94" i="1" s="1"/>
  <c r="R93" i="1"/>
  <c r="O93" i="1"/>
  <c r="P93" i="1" s="1"/>
  <c r="J93" i="1"/>
  <c r="K93" i="1" s="1"/>
  <c r="R92" i="1"/>
  <c r="O92" i="1"/>
  <c r="P92" i="1" s="1"/>
  <c r="J92" i="1"/>
  <c r="K92" i="1" s="1"/>
  <c r="E92" i="1"/>
  <c r="F92" i="1" s="1"/>
  <c r="L81" i="1"/>
  <c r="G81" i="1"/>
  <c r="Q80" i="1"/>
  <c r="N80" i="1"/>
  <c r="M80" i="1"/>
  <c r="J80" i="1"/>
  <c r="K80" i="1" s="1"/>
  <c r="E80" i="1"/>
  <c r="F80" i="1" s="1"/>
  <c r="Q79" i="1"/>
  <c r="N79" i="1"/>
  <c r="M79" i="1"/>
  <c r="J79" i="1"/>
  <c r="K79" i="1" s="1"/>
  <c r="E79" i="1"/>
  <c r="F79" i="1" s="1"/>
  <c r="Q78" i="1"/>
  <c r="N78" i="1"/>
  <c r="M78" i="1"/>
  <c r="J78" i="1"/>
  <c r="K78" i="1" s="1"/>
  <c r="E78" i="1"/>
  <c r="F78" i="1" s="1"/>
  <c r="Q77" i="1"/>
  <c r="N77" i="1"/>
  <c r="M77" i="1"/>
  <c r="J77" i="1"/>
  <c r="K77" i="1" s="1"/>
  <c r="E77" i="1"/>
  <c r="F77" i="1" s="1"/>
  <c r="Q76" i="1"/>
  <c r="N76" i="1"/>
  <c r="M76" i="1"/>
  <c r="J76" i="1"/>
  <c r="K76" i="1" s="1"/>
  <c r="E76" i="1"/>
  <c r="F76" i="1" s="1"/>
  <c r="Q75" i="1"/>
  <c r="N75" i="1"/>
  <c r="M75" i="1"/>
  <c r="J75" i="1"/>
  <c r="K75" i="1" s="1"/>
  <c r="E75" i="1"/>
  <c r="F75" i="1" s="1"/>
  <c r="Q74" i="1"/>
  <c r="N74" i="1"/>
  <c r="M74" i="1"/>
  <c r="J74" i="1"/>
  <c r="K74" i="1" s="1"/>
  <c r="E74" i="1"/>
  <c r="F74" i="1" s="1"/>
  <c r="Q73" i="1"/>
  <c r="N73" i="1"/>
  <c r="M73" i="1"/>
  <c r="J73" i="1"/>
  <c r="K73" i="1" s="1"/>
  <c r="E73" i="1"/>
  <c r="F73" i="1" s="1"/>
  <c r="L63" i="1"/>
  <c r="G63" i="1"/>
  <c r="Q62" i="1"/>
  <c r="N62" i="1"/>
  <c r="M62" i="1"/>
  <c r="J62" i="1"/>
  <c r="K62" i="1" s="1"/>
  <c r="E62" i="1"/>
  <c r="F62" i="1" s="1"/>
  <c r="Q61" i="1"/>
  <c r="N61" i="1"/>
  <c r="M61" i="1"/>
  <c r="J61" i="1"/>
  <c r="K61" i="1" s="1"/>
  <c r="E61" i="1"/>
  <c r="F61" i="1" s="1"/>
  <c r="Q60" i="1"/>
  <c r="N60" i="1"/>
  <c r="M60" i="1"/>
  <c r="J60" i="1"/>
  <c r="K60" i="1" s="1"/>
  <c r="E60" i="1"/>
  <c r="F60" i="1" s="1"/>
  <c r="Q59" i="1"/>
  <c r="N59" i="1"/>
  <c r="M59" i="1"/>
  <c r="J59" i="1"/>
  <c r="K59" i="1" s="1"/>
  <c r="E59" i="1"/>
  <c r="F59" i="1" s="1"/>
  <c r="Q58" i="1"/>
  <c r="N58" i="1"/>
  <c r="M58" i="1"/>
  <c r="J58" i="1"/>
  <c r="K58" i="1" s="1"/>
  <c r="E58" i="1"/>
  <c r="F58" i="1" s="1"/>
  <c r="Q57" i="1"/>
  <c r="N57" i="1"/>
  <c r="M57" i="1"/>
  <c r="J57" i="1"/>
  <c r="K57" i="1" s="1"/>
  <c r="E57" i="1"/>
  <c r="F57" i="1" s="1"/>
  <c r="Q47" i="1"/>
  <c r="L47" i="1"/>
  <c r="G47" i="1"/>
  <c r="R46" i="1"/>
  <c r="O46" i="1"/>
  <c r="P46" i="1" s="1"/>
  <c r="J46" i="1"/>
  <c r="K46" i="1" s="1"/>
  <c r="E46" i="1"/>
  <c r="F46" i="1" s="1"/>
  <c r="R45" i="1"/>
  <c r="O45" i="1"/>
  <c r="P45" i="1" s="1"/>
  <c r="J45" i="1"/>
  <c r="K45" i="1" s="1"/>
  <c r="E45" i="1"/>
  <c r="F45" i="1" s="1"/>
  <c r="R44" i="1"/>
  <c r="O44" i="1"/>
  <c r="P44" i="1" s="1"/>
  <c r="J44" i="1"/>
  <c r="K44" i="1" s="1"/>
  <c r="E44" i="1"/>
  <c r="F44" i="1" s="1"/>
  <c r="R43" i="1"/>
  <c r="O43" i="1"/>
  <c r="P43" i="1" s="1"/>
  <c r="J43" i="1"/>
  <c r="K43" i="1" s="1"/>
  <c r="E43" i="1"/>
  <c r="F43" i="1" s="1"/>
  <c r="R42" i="1"/>
  <c r="O42" i="1"/>
  <c r="P42" i="1" s="1"/>
  <c r="J42" i="1"/>
  <c r="K42" i="1" s="1"/>
  <c r="E42" i="1"/>
  <c r="F42" i="1" s="1"/>
  <c r="R41" i="1"/>
  <c r="O41" i="1"/>
  <c r="P41" i="1" s="1"/>
  <c r="J41" i="1"/>
  <c r="K41" i="1" s="1"/>
  <c r="E41" i="1"/>
  <c r="F41" i="1" s="1"/>
  <c r="R40" i="1"/>
  <c r="O40" i="1"/>
  <c r="P40" i="1" s="1"/>
  <c r="J40" i="1"/>
  <c r="K40" i="1" s="1"/>
  <c r="E40" i="1"/>
  <c r="F40" i="1" s="1"/>
  <c r="R39" i="1"/>
  <c r="O39" i="1"/>
  <c r="P39" i="1" s="1"/>
  <c r="J39" i="1"/>
  <c r="K39" i="1" s="1"/>
  <c r="E39" i="1"/>
  <c r="F39" i="1" s="1"/>
  <c r="R38" i="1"/>
  <c r="O38" i="1"/>
  <c r="P38" i="1" s="1"/>
  <c r="J38" i="1"/>
  <c r="K38" i="1" s="1"/>
  <c r="E38" i="1"/>
  <c r="F38" i="1" s="1"/>
  <c r="R37" i="1"/>
  <c r="O37" i="1"/>
  <c r="P37" i="1" s="1"/>
  <c r="J37" i="1"/>
  <c r="K37" i="1" s="1"/>
  <c r="E37" i="1"/>
  <c r="F37" i="1" s="1"/>
  <c r="R36" i="1"/>
  <c r="O36" i="1"/>
  <c r="P36" i="1" s="1"/>
  <c r="J36" i="1"/>
  <c r="K36" i="1" s="1"/>
  <c r="E36" i="1"/>
  <c r="F36" i="1" s="1"/>
  <c r="R35" i="1"/>
  <c r="J35" i="1"/>
  <c r="K35" i="1" s="1"/>
  <c r="E35" i="1"/>
  <c r="F35" i="1" s="1"/>
  <c r="R34" i="1"/>
  <c r="O34" i="1"/>
  <c r="P34" i="1" s="1"/>
  <c r="J34" i="1"/>
  <c r="K34" i="1" s="1"/>
  <c r="E34" i="1"/>
  <c r="F34" i="1" s="1"/>
  <c r="R33" i="1"/>
  <c r="O33" i="1"/>
  <c r="P33" i="1" s="1"/>
  <c r="J33" i="1"/>
  <c r="K33" i="1" s="1"/>
  <c r="E33" i="1"/>
  <c r="F33" i="1" s="1"/>
  <c r="Q23" i="1"/>
  <c r="L23" i="1"/>
  <c r="G23" i="1"/>
  <c r="R22" i="1"/>
  <c r="O22" i="1"/>
  <c r="P22" i="1" s="1"/>
  <c r="J22" i="1"/>
  <c r="K22" i="1" s="1"/>
  <c r="E22" i="1"/>
  <c r="F22" i="1" s="1"/>
  <c r="R21" i="1"/>
  <c r="O21" i="1"/>
  <c r="P21" i="1" s="1"/>
  <c r="J21" i="1"/>
  <c r="K21" i="1" s="1"/>
  <c r="E21" i="1"/>
  <c r="F21" i="1" s="1"/>
  <c r="R20" i="1"/>
  <c r="O20" i="1"/>
  <c r="P20" i="1" s="1"/>
  <c r="J20" i="1"/>
  <c r="K20" i="1" s="1"/>
  <c r="E20" i="1"/>
  <c r="F20" i="1" s="1"/>
  <c r="R19" i="1"/>
  <c r="O19" i="1"/>
  <c r="P19" i="1" s="1"/>
  <c r="J19" i="1"/>
  <c r="K19" i="1" s="1"/>
  <c r="E19" i="1"/>
  <c r="F19" i="1" s="1"/>
  <c r="R18" i="1"/>
  <c r="O18" i="1"/>
  <c r="P18" i="1" s="1"/>
  <c r="J18" i="1"/>
  <c r="K18" i="1" s="1"/>
  <c r="E18" i="1"/>
  <c r="F18" i="1" s="1"/>
  <c r="R17" i="1"/>
  <c r="E17" i="1"/>
  <c r="F17" i="1" s="1"/>
  <c r="R16" i="1"/>
  <c r="O16" i="1"/>
  <c r="P16" i="1" s="1"/>
  <c r="J16" i="1"/>
  <c r="K16" i="1" s="1"/>
  <c r="E16" i="1"/>
  <c r="F16" i="1" s="1"/>
  <c r="R14" i="1"/>
  <c r="O14" i="1"/>
  <c r="P14" i="1" s="1"/>
  <c r="J14" i="1"/>
  <c r="K14" i="1" s="1"/>
  <c r="E14" i="1"/>
  <c r="F14" i="1" s="1"/>
  <c r="S117" i="2" l="1"/>
  <c r="S134" i="2" s="1"/>
  <c r="P259" i="2"/>
  <c r="P276" i="2" s="1"/>
  <c r="S403" i="2"/>
  <c r="S56" i="2"/>
  <c r="S73" i="2" s="1"/>
  <c r="S479" i="2"/>
  <c r="S338" i="2"/>
  <c r="P188" i="2"/>
  <c r="P208" i="2" s="1"/>
  <c r="F208" i="2"/>
  <c r="G107" i="1"/>
  <c r="L107" i="1"/>
  <c r="S19" i="1"/>
  <c r="S20" i="1"/>
  <c r="S116" i="1"/>
  <c r="S143" i="1"/>
  <c r="P57" i="1"/>
  <c r="S94" i="1"/>
  <c r="S99" i="1"/>
  <c r="S103" i="1"/>
  <c r="S105" i="1"/>
  <c r="S142" i="1"/>
  <c r="P62" i="1"/>
  <c r="S41" i="1"/>
  <c r="P61" i="1"/>
  <c r="P74" i="1"/>
  <c r="P75" i="1"/>
  <c r="P76" i="1"/>
  <c r="P79" i="1"/>
  <c r="S102" i="1"/>
  <c r="S138" i="1"/>
  <c r="P58" i="1"/>
  <c r="P59" i="1"/>
  <c r="P60" i="1"/>
  <c r="F128" i="1"/>
  <c r="S124" i="1"/>
  <c r="S140" i="1"/>
  <c r="S18" i="1"/>
  <c r="S97" i="1"/>
  <c r="S119" i="1"/>
  <c r="P78" i="1"/>
  <c r="S96" i="1"/>
  <c r="S100" i="1"/>
  <c r="S122" i="1"/>
  <c r="S126" i="1"/>
  <c r="S139" i="1"/>
  <c r="S148" i="1"/>
  <c r="S150" i="1"/>
  <c r="S16" i="1"/>
  <c r="S17" i="1"/>
  <c r="S21" i="1"/>
  <c r="S22" i="1"/>
  <c r="S36" i="1"/>
  <c r="P73" i="1"/>
  <c r="P80" i="1"/>
  <c r="S35" i="1"/>
  <c r="F47" i="1"/>
  <c r="P77" i="1"/>
  <c r="S92" i="1"/>
  <c r="S98" i="1"/>
  <c r="S121" i="1"/>
  <c r="S123" i="1"/>
  <c r="S145" i="1"/>
  <c r="S146" i="1"/>
  <c r="S147" i="1"/>
  <c r="P151" i="1"/>
  <c r="S14" i="1"/>
  <c r="S38" i="1"/>
  <c r="S39" i="1"/>
  <c r="S40" i="1"/>
  <c r="S33" i="1"/>
  <c r="S34" i="1"/>
  <c r="S42" i="1"/>
  <c r="S43" i="1"/>
  <c r="S45" i="1"/>
  <c r="S44" i="1"/>
  <c r="S46" i="1"/>
  <c r="S120" i="1"/>
  <c r="S37" i="1"/>
  <c r="Q63" i="1"/>
  <c r="Q81" i="1"/>
  <c r="S117" i="1"/>
  <c r="S141" i="1"/>
  <c r="S93" i="1"/>
  <c r="S104" i="1"/>
  <c r="S106" i="1"/>
  <c r="S118" i="1"/>
  <c r="S125" i="1"/>
  <c r="F151" i="1"/>
  <c r="S127" i="1"/>
  <c r="S149" i="1"/>
  <c r="S144" i="1"/>
  <c r="S481" i="2" l="1"/>
  <c r="Q107" i="1"/>
  <c r="K151" i="1"/>
  <c r="P47" i="1"/>
  <c r="P23" i="1"/>
  <c r="K128" i="1"/>
  <c r="S151" i="1"/>
  <c r="K47" i="1"/>
  <c r="K23" i="1"/>
  <c r="S128" i="1"/>
  <c r="F63" i="1"/>
  <c r="K63" i="1"/>
  <c r="P128" i="1"/>
  <c r="S107" i="1"/>
  <c r="F23" i="1"/>
  <c r="K81" i="1"/>
  <c r="F81" i="1"/>
  <c r="F107" i="1" l="1"/>
  <c r="K107" i="1"/>
  <c r="S47" i="1"/>
  <c r="S23" i="1"/>
  <c r="P63" i="1"/>
  <c r="P81" i="1"/>
  <c r="S153" i="1" l="1"/>
  <c r="P107" i="1"/>
</calcChain>
</file>

<file path=xl/sharedStrings.xml><?xml version="1.0" encoding="utf-8"?>
<sst xmlns="http://schemas.openxmlformats.org/spreadsheetml/2006/main" count="1569" uniqueCount="614">
  <si>
    <t xml:space="preserve">Հավելված N 1
ՀՀ կառավարության 2017 թվականի
---------------    -ի N ----  -Ն որոշման
</t>
  </si>
  <si>
    <t>ՑԱՆԿ</t>
  </si>
  <si>
    <t xml:space="preserve">«ՀԱՅԱՍՏԱՆԻ ՀԱՆՐԱՊԵՏՈՒԹՅԱՆ ԱՇԽԱՏԱՆՔԻ ԵՎ ՍՈՑԻԱԼԱԿԱՆ ՀԱՐՑԵՐԻ ՆԱԽԱՐԱՐՈՒԹՅԱՆ ՍՈՑԻԱԼԱԿԱՆ ԱՊԱՀՈՎՈՒԹՅԱՆ ՊԵՏԱԿԱՆ ԾԱՌԱՅՈՒԹՅԱՆ ԱՇԽԱՏԱԿԱԶՄ» ՊԵՏԱԿԱՆ ԿԱՌԱՎԱՐՉԱԿԱՆ ՀԻՄՆԱՐԿԻՆ ԱՄՐԱՑՎՈՂ ԳՐԱՍԵՆՅԱԿԱՅԻՆ ԵՎ ԿԵՆՑԱՂԱՅԻՆ ԳՈՒՅՔԻ </t>
  </si>
  <si>
    <t>Աղյուսակ 1</t>
  </si>
  <si>
    <t xml:space="preserve">Չարենցավանի, Աշոցքի և Նաիրիի համալիր սոցիալական ծառայություններ տրամադրող կենտրոններին (ՀՍԾՏԿ) հանձնված գույք </t>
  </si>
  <si>
    <t>ՀՀ դրամներով</t>
  </si>
  <si>
    <t>Հ/հ</t>
  </si>
  <si>
    <t>Գույքի անվանումը</t>
  </si>
  <si>
    <t>Չարենցավանի ՀՍԾՏԿ</t>
  </si>
  <si>
    <t>Աշոցքի ՀՍԾՏԿ</t>
  </si>
  <si>
    <t>Նաիրի ՀՍԾՏԿ</t>
  </si>
  <si>
    <t>Ընդամենը</t>
  </si>
  <si>
    <t>քանակ</t>
  </si>
  <si>
    <t>միավորի արժեքը</t>
  </si>
  <si>
    <t>գումար</t>
  </si>
  <si>
    <t>Պայմանագիր SPAP AF-G-2.1.3.2/1</t>
  </si>
  <si>
    <t xml:space="preserve">Գրասենյակային աթոռ` մետաղական կմախքով   </t>
  </si>
  <si>
    <t xml:space="preserve">Ֆլիպ չարթ   </t>
  </si>
  <si>
    <t xml:space="preserve">Տպիչների համար տակդիր </t>
  </si>
  <si>
    <t xml:space="preserve">Պրոյեկտորի տակդիր   </t>
  </si>
  <si>
    <t xml:space="preserve">Ցուցատախտակ` պատի </t>
  </si>
  <si>
    <t xml:space="preserve">Առաջին բժշկական օգնության  պարագաներ  </t>
  </si>
  <si>
    <t xml:space="preserve">Պատին ամրացվող պաշտպանիչ տախտակներ` սենյակների և միջանցքների համար  </t>
  </si>
  <si>
    <t xml:space="preserve">Ժամացույց` պատի  </t>
  </si>
  <si>
    <t xml:space="preserve">Հայաստանի Հանրապետության դրոշը` փայտե ձողով   </t>
  </si>
  <si>
    <t xml:space="preserve">Կախիչ` պատին ամրացվող </t>
  </si>
  <si>
    <t>Կախիչ` ոտնակով, մետաղական</t>
  </si>
  <si>
    <t xml:space="preserve">Խոհանոցային աթոռ </t>
  </si>
  <si>
    <t xml:space="preserve">Պատուհանների շերտավարագույր </t>
  </si>
  <si>
    <t xml:space="preserve">Ներսի դռների ցուցանակներ </t>
  </si>
  <si>
    <t xml:space="preserve">Արտաքին մուտքի մոտ ամրացվող ցուցատախտակ  </t>
  </si>
  <si>
    <t>Զուգարանների դռների ցուցանակներ</t>
  </si>
  <si>
    <t>Աղբաման` փոքր</t>
  </si>
  <si>
    <t xml:space="preserve">Աղբաման` մեծ </t>
  </si>
  <si>
    <t xml:space="preserve">Ընդունարանի համարակալված ցուցատախտակներ  </t>
  </si>
  <si>
    <t>Աղյուսակ 2</t>
  </si>
  <si>
    <t xml:space="preserve">Ավանի, Բաղրամյանի և Նորք Մարաշի համալիր սոցիալական ծառայություններ տրամադրող կենտրոններին (ՀՍԾՏԿ) հանձնված գույք </t>
  </si>
  <si>
    <t>Ավանի ՀՍԾՏԿ</t>
  </si>
  <si>
    <t>Բաղրամյանի ՀՍԾՏԿ</t>
  </si>
  <si>
    <t>Նորք Մարաշի ՀՍԾՏԿ</t>
  </si>
  <si>
    <t>Պայմանագիր SPAP AF-G-2.1.3.2/2</t>
  </si>
  <si>
    <t>Աղյուսակ 3</t>
  </si>
  <si>
    <t xml:space="preserve">Աջափնյակի և Արտաշատի համալիր սոցիալական ծառայություններ տրամադրող կենտրոններին (ՀՍԾՏԿ) հանձնված գույք </t>
  </si>
  <si>
    <t>Աջափնյակի ՀՍԾՏԿ</t>
  </si>
  <si>
    <t>Արտաշատի ՀՍԾՏԿ</t>
  </si>
  <si>
    <t>Պայմանագիր SPAP AF-G-2.1.3.2/3</t>
  </si>
  <si>
    <t>Աղյուսակ 4</t>
  </si>
  <si>
    <t xml:space="preserve">Արմավիրի և Դավիթաշենի համալիր սոցիալական ծառայություններ տրամադրող կենտրոններին (ՀՍԾՏԿ) հանձնված գույք </t>
  </si>
  <si>
    <t>Արմավիրի ՀՍԾՏԿ</t>
  </si>
  <si>
    <t>Դավիթաշենի ՀՍԾՏԿ</t>
  </si>
  <si>
    <t>Պայմանագիր SPAP AF-G-2.1.3.2/4</t>
  </si>
  <si>
    <t>Աղյուսակ 5</t>
  </si>
  <si>
    <t xml:space="preserve">Էրեբունու, Նուբարաշենի և Նոյեմբերյանի համալիր սոցիալական ծառայություններ տրամադրող կենտրոններին (ՀՍԾՏԿ) հանձնված գույք </t>
  </si>
  <si>
    <t>Էրեբունու ՀՍԾՏԿ</t>
  </si>
  <si>
    <t>Նոյեմբերյանի ՀՍԾՏԿ</t>
  </si>
  <si>
    <t>Նուբարաշենի ՀՍԾՏԿ</t>
  </si>
  <si>
    <t>Պայմանագիր SPAP AF-G-2.1.3.2/5</t>
  </si>
  <si>
    <t>Աղյուսակ 6</t>
  </si>
  <si>
    <t xml:space="preserve">Ճամբարակի, Մարալիկի և Վարդենիսի համալիր սոցիալական ծառայություններ տրամադրող կենտրոններին (ՀՍԾՏԿ) հանձնված գույք </t>
  </si>
  <si>
    <t>Ճամբարակի ՀՍԾՏԿ</t>
  </si>
  <si>
    <t>Մարալիկի ՀՍԾՏԿ</t>
  </si>
  <si>
    <t>Վարդենիսի ՀՍԾՏԿ</t>
  </si>
  <si>
    <t>միավորի գին</t>
  </si>
  <si>
    <t>Պայմանագիր SPAP AF-G-2.1.3.2/6</t>
  </si>
  <si>
    <t>Աղյուսակ 7</t>
  </si>
  <si>
    <t xml:space="preserve">Արարատի, Մասիսի և Վեդու համալիր սոցիալական ծառայություններ տրամադրող կենտրոններին (ՀՍԾՏԿ) հանձնված գույք </t>
  </si>
  <si>
    <t>Արարատի ՀՍԾՏԿ</t>
  </si>
  <si>
    <t>Մասիսի ՀՍԾՏԿ</t>
  </si>
  <si>
    <t>Վեդու ՀՍԾՏԿ</t>
  </si>
  <si>
    <t>Պայմանագիր SPAP AF-2G-1-3-1</t>
  </si>
  <si>
    <t>Ամբողջը</t>
  </si>
  <si>
    <t xml:space="preserve">Սեղան ղեկավարի` կողադիրով, դիմադիրով, տումբայով </t>
  </si>
  <si>
    <t xml:space="preserve">Սեղան գրասենյակային </t>
  </si>
  <si>
    <t xml:space="preserve">Պտտվող բազկաթոռ` մետաղական ոտքերով </t>
  </si>
  <si>
    <t xml:space="preserve">Սպասասրահի` նստարաններ մետաղական, 3 տեղանոց  </t>
  </si>
  <si>
    <t xml:space="preserve">Ամսագրերի (սպասասրահի) սեղան` ցածր  </t>
  </si>
  <si>
    <t xml:space="preserve">Սեղան` ընդունարանի սպասասրահի համար` բարձր  </t>
  </si>
  <si>
    <t xml:space="preserve">Մետաղական պահարան` չհրկիզվող  </t>
  </si>
  <si>
    <t>Պահարան տնտեսական անձնակազմի սենյակի համար` 3 երկար դռներով</t>
  </si>
  <si>
    <t xml:space="preserve">Պահարան տնտեսական աշխատողների համար </t>
  </si>
  <si>
    <t xml:space="preserve">Գրապահարան   </t>
  </si>
  <si>
    <t>Պրոյեկտորի էկրան</t>
  </si>
  <si>
    <t xml:space="preserve">Մետաղական դարակաշար` արխիվի համար  </t>
  </si>
  <si>
    <t xml:space="preserve">Ցուցափեղկ` տպագիր նյութերի համար </t>
  </si>
  <si>
    <t xml:space="preserve">Բժշկական թախտա   </t>
  </si>
  <si>
    <t xml:space="preserve">Պահարան` բժշկական </t>
  </si>
  <si>
    <t xml:space="preserve">Ամբիոն  </t>
  </si>
  <si>
    <t xml:space="preserve">Քննարկումների (խորհրդակցության սենյակի) համար սեղաններ   </t>
  </si>
  <si>
    <t>Հայաստանի Հանրապետության գերբը` գունավոր 40-45 սմ/բ</t>
  </si>
  <si>
    <t>Մետաղական կմախքով, արծաթագույն արգելաշղթա</t>
  </si>
  <si>
    <t xml:space="preserve">Խոհանոցային կահույք </t>
  </si>
  <si>
    <t xml:space="preserve">Ընդունարանի մեծ՝ կորաձև սեղան </t>
  </si>
  <si>
    <t xml:space="preserve">Ընդունարանի բաժանարարներով սեղան </t>
  </si>
  <si>
    <t>Ընդունարանի գզրոց (դարակաշար) 1./Կորաձև սեղանի հետին հատված/</t>
  </si>
  <si>
    <t xml:space="preserve">Ընդունարանի գզրոց (դարակաշար) 2./Բաժանարար սեղանի հետին հատված/  </t>
  </si>
  <si>
    <t xml:space="preserve">Ընդունարանի մեկ հոգանոց աշխատասեղան     </t>
  </si>
  <si>
    <t>Դահլիճի մեծ П-ձև սեղաններ  և դիմային սեղան</t>
  </si>
  <si>
    <t xml:space="preserve">Դահլիճի գզրոց  (դարակաշար)  </t>
  </si>
  <si>
    <t>Դահլիճի համակարգչային սեղան</t>
  </si>
  <si>
    <t xml:space="preserve">Արխիվի աշխատասեղան </t>
  </si>
  <si>
    <t>Ախիվի հարակից սեղան</t>
  </si>
  <si>
    <t>Պայմանագիր SPAP AF-G-2.1.2.2/1</t>
  </si>
  <si>
    <t>Հեռուստացույց 40" VESTEL 40P300 LED</t>
  </si>
  <si>
    <t>IP տեսախցիկ D-LINK DCS-2103</t>
  </si>
  <si>
    <t>Պայմանագիր SPAP AF-G-2.1.2.2/2</t>
  </si>
  <si>
    <t>Օդորակիչ 60m3/hr 
VESTEL 9 000 ARC PLUS INVERTER</t>
  </si>
  <si>
    <t xml:space="preserve">Օդորակիչ 120m3/hr 
VESTEL 18 000 ARC PLUS INVERTER </t>
  </si>
  <si>
    <t xml:space="preserve">Օդորակիչ 180m3/hr 
VESTEL 24 000 ARC PLUS INVERTER </t>
  </si>
  <si>
    <t xml:space="preserve">Օդորակիչ 240m3/hr
VESTEL 12 000 ARC PLUS INVERTER and VESTEL 18 000 ARC PLUS INVERTER </t>
  </si>
  <si>
    <t>Պայմանագիր SPAP AF-G-2.1.2.2/3</t>
  </si>
  <si>
    <t>Սառնարան LG GR-B260VP</t>
  </si>
  <si>
    <t xml:space="preserve">Էլեկտրական սալօջախ - Indesit PIM 604IX </t>
  </si>
  <si>
    <t>Խոհանոցի օդափոխիչ - ZANUSSI ZHC600X</t>
  </si>
  <si>
    <t xml:space="preserve">Միկրոալիքային վառարան LG MC-7647B </t>
  </si>
  <si>
    <t>Ընդհանուրը</t>
  </si>
  <si>
    <t xml:space="preserve">Ընդունարանի գզրոց (դարակաշար) 2 տեսակ </t>
  </si>
  <si>
    <t xml:space="preserve">Ընդունարանի գլխավոր սեղան </t>
  </si>
  <si>
    <t xml:space="preserve">Ընդունարանի գլխավոր սպասարկման սեղան </t>
  </si>
  <si>
    <t xml:space="preserve">Դահլիճի սեղան </t>
  </si>
  <si>
    <t xml:space="preserve">Դահլիճի մեծ սեղան </t>
  </si>
  <si>
    <t xml:space="preserve">Ընդունարանի գզրոց </t>
  </si>
  <si>
    <t>Հավելված N 2
ՀՀ կառավարության 2017 թվականի
---------------    -ի N ----  -Ն որոշման</t>
  </si>
  <si>
    <t xml:space="preserve">«ՀԱՅԱՍՏԱՆԻ ՀԱՆՐԱՊԵՏՈՒԹՅԱՆ ԱՇԽԱՏԱՆՔԻ ԵՎ ՍՈՑԻԱԼԱԿԱՆ ՀԱՐՑԵՐԻ ՆԱԽԱՐԱՐՈՒԹՅԱՆ ՍՈՑԻԱԼԱԿԱՆ ԱՊԱՀՈՎՈՒԹՅԱՆ ՊԵՏԱԿԱՆ ԾԱՌԱՅՈՒԹՅԱՆ ԱՇԽԱՏԱԿԱԶՄ» ՊԵՏԱԿԱՆ ԿԱՌԱՎԱՐՉԱԿԱՆ ՀԻՄՆԱՐԿԻՆ ԱՄՐԱՑՎՈՂ ՀԱՄԱԿԱՐԳՉԱՅԻՆ ԵՎ ՀԱՐԱԿԻՑ ՏԵԽՆԻԿԱՅԻ  </t>
  </si>
  <si>
    <t xml:space="preserve">                                               Չարենցավանի, Աշոցքի և Նաիրիի համալիր սոցիալական ծառայություններ տրամադրող կենտրոններին հանձնված գույք </t>
  </si>
  <si>
    <t>Գործարանային համար</t>
  </si>
  <si>
    <t>Պայմանագիր SPAP AF-G-2.1.2.3/2, մատակարար «Ֆայն» ՍՊԸ</t>
  </si>
  <si>
    <t>Համակարգիչ Computer 2 Fujitsu ESPRIMO P510 E85+</t>
  </si>
  <si>
    <t>YLKA052134</t>
  </si>
  <si>
    <t>YLKA052216</t>
  </si>
  <si>
    <t>YLKA052427</t>
  </si>
  <si>
    <t>YLKA052392</t>
  </si>
  <si>
    <t>YLKA052450</t>
  </si>
  <si>
    <t>YLKA052129</t>
  </si>
  <si>
    <t>YLKA052438</t>
  </si>
  <si>
    <t>YLKA052229</t>
  </si>
  <si>
    <t>YLKA052365</t>
  </si>
  <si>
    <t>YLKA052433</t>
  </si>
  <si>
    <t>YLKA052472</t>
  </si>
  <si>
    <t>YLKA052431</t>
  </si>
  <si>
    <t>YLKA052361</t>
  </si>
  <si>
    <t>YLKA052285</t>
  </si>
  <si>
    <t>YLKA052363</t>
  </si>
  <si>
    <t>YLKA052383</t>
  </si>
  <si>
    <t>YLKA052218</t>
  </si>
  <si>
    <t>YLKA052364</t>
  </si>
  <si>
    <t>YLKA052133</t>
  </si>
  <si>
    <t>Մոնիտոր Monitor  Fujitsu L22T-4 LED</t>
  </si>
  <si>
    <t>YV6M105859</t>
  </si>
  <si>
    <t>YV6M105970</t>
  </si>
  <si>
    <t>YV6M106032</t>
  </si>
  <si>
    <t>YV6M105787</t>
  </si>
  <si>
    <t>YV6M105849</t>
  </si>
  <si>
    <t>YV6M105803</t>
  </si>
  <si>
    <t>YV6M105853</t>
  </si>
  <si>
    <t>YV6M105641</t>
  </si>
  <si>
    <t>YV6M105798</t>
  </si>
  <si>
    <t>YV6M105867</t>
  </si>
  <si>
    <t>YV6M105766</t>
  </si>
  <si>
    <t>YV6M105801</t>
  </si>
  <si>
    <t>YV6M106036</t>
  </si>
  <si>
    <t>YV6M105640</t>
  </si>
  <si>
    <t>YV6M105964</t>
  </si>
  <si>
    <t>YV6M105858</t>
  </si>
  <si>
    <t>YV6M106040</t>
  </si>
  <si>
    <t>YV6M105837</t>
  </si>
  <si>
    <t>YV6M105851</t>
  </si>
  <si>
    <t>Անխափան սնուցման սարք UPS PowerCom BNT-800AP</t>
  </si>
  <si>
    <t>Նոթբուք Notebook FujitsuLIFEBOOK NH532FHD AG</t>
  </si>
  <si>
    <t>YLLL006878</t>
  </si>
  <si>
    <t>YLLL006871</t>
  </si>
  <si>
    <t>YLLL006868</t>
  </si>
  <si>
    <t>Սկաներ Scanner Canon Document reader 2020U (P/N 3923B003AA)</t>
  </si>
  <si>
    <t>21FA425627</t>
  </si>
  <si>
    <t>21FA425676</t>
  </si>
  <si>
    <t>21FA425517</t>
  </si>
  <si>
    <t>21FA425684</t>
  </si>
  <si>
    <t>21FA425624</t>
  </si>
  <si>
    <t>21FA425704</t>
  </si>
  <si>
    <t>21FA425769</t>
  </si>
  <si>
    <t>Տպիչ Printer Canon i-SENSYS LBP6670dn with cable USB 1.8m</t>
  </si>
  <si>
    <t>MKRA716252</t>
  </si>
  <si>
    <t>MKRA716782</t>
  </si>
  <si>
    <t>MKRA716770</t>
  </si>
  <si>
    <t>15152B00392AB21MKRA712655</t>
  </si>
  <si>
    <t>15152B00392AB21MKRA712012</t>
  </si>
  <si>
    <t>15152B00392AB21MKRA712650</t>
  </si>
  <si>
    <t>MKRA716769</t>
  </si>
  <si>
    <t>MKRA502106</t>
  </si>
  <si>
    <t>Բազմաֆւնկցիոնալ սարք Multifunctional Device 4x1 Lexmark X264DN</t>
  </si>
  <si>
    <t>S350H6ND</t>
  </si>
  <si>
    <t>S350H6NF</t>
  </si>
  <si>
    <t>Բազմաֆւնկցիոնալ սարք Multifunctional Device 3x1 Lexmark X363dn</t>
  </si>
  <si>
    <t>S350G880</t>
  </si>
  <si>
    <t>S350GCRH</t>
  </si>
  <si>
    <t xml:space="preserve">Պրոյեկտոր Projector Benq MS502 DLP </t>
  </si>
  <si>
    <t>PDL9C02045000</t>
  </si>
  <si>
    <t>PDL9C02151000</t>
  </si>
  <si>
    <t xml:space="preserve">Թվային հեռախոս Panasonic     KX-TS2368UAW/B  </t>
  </si>
  <si>
    <t>2CAKF178532</t>
  </si>
  <si>
    <t>2IBKG184391</t>
  </si>
  <si>
    <t>2HAKF182977</t>
  </si>
  <si>
    <t>Տեսախցիկ Camera Panasonic DMC-FZ62</t>
  </si>
  <si>
    <t>J2HD00329</t>
  </si>
  <si>
    <t>J2HD00371</t>
  </si>
  <si>
    <t>J2HD00321</t>
  </si>
  <si>
    <t>Սկաներ Canon Flatbed scanner unit 101</t>
  </si>
  <si>
    <t>21FF404231, 21FF404227</t>
  </si>
  <si>
    <t>21FF404236</t>
  </si>
  <si>
    <t>Պայմանագիր SPAP AF-G-2.1.2.3/1a, մատակարար «Ինո-Թեքնոլոջիս» ՍՊԸ</t>
  </si>
  <si>
    <t>Բազմաֆունկցիոնալ սարք Multifunctional Device 3x1 Lexmark X264DN</t>
  </si>
  <si>
    <t>350H5YX</t>
  </si>
  <si>
    <t>PDL9C02050000</t>
  </si>
  <si>
    <t xml:space="preserve">Թվային հեռախոս Panasonic     KX-TS2365UA  </t>
  </si>
  <si>
    <t>2DAKA003329</t>
  </si>
  <si>
    <t>2BAKA002856</t>
  </si>
  <si>
    <t>2BAKA002871</t>
  </si>
  <si>
    <t xml:space="preserve">                                          Ավանի, Բաղրամյանի և Նորք Մարաշի համալիր սոցիալական ծառայություններ տրամադրող կենտրոններին հանձնված գույք</t>
  </si>
  <si>
    <t>Գործարանային համարը</t>
  </si>
  <si>
    <t>Համակարգիչ Computer 1 Fujitsu ESPRIMO P510 E85+</t>
  </si>
  <si>
    <t>YLKA052231</t>
  </si>
  <si>
    <t>YLKA052374</t>
  </si>
  <si>
    <t>YLKA052131</t>
  </si>
  <si>
    <t>YLKA052132</t>
  </si>
  <si>
    <t>YLKA052373</t>
  </si>
  <si>
    <t>YLKA052476</t>
  </si>
  <si>
    <t>YLKA052405</t>
  </si>
  <si>
    <t>YLKA052394</t>
  </si>
  <si>
    <t>YLKA052127</t>
  </si>
  <si>
    <t>YLKA052428</t>
  </si>
  <si>
    <t>YLKA052219</t>
  </si>
  <si>
    <t>YLKA052466</t>
  </si>
  <si>
    <t>YLKA052451</t>
  </si>
  <si>
    <t>YLKA052366</t>
  </si>
  <si>
    <t>YLKA052286</t>
  </si>
  <si>
    <t>YLKA052437</t>
  </si>
  <si>
    <t>YLKA052397</t>
  </si>
  <si>
    <t>YLKA052284</t>
  </si>
  <si>
    <t>YV6M105785</t>
  </si>
  <si>
    <t>YV6M105601</t>
  </si>
  <si>
    <t>YV6M109416</t>
  </si>
  <si>
    <t>YV6M105855</t>
  </si>
  <si>
    <t>YV6M105761</t>
  </si>
  <si>
    <t>YV6M105832</t>
  </si>
  <si>
    <t>YV6M105857</t>
  </si>
  <si>
    <t>YV6M105599</t>
  </si>
  <si>
    <t>YV6M109433</t>
  </si>
  <si>
    <t>YV6M105864</t>
  </si>
  <si>
    <t>YV6M105626</t>
  </si>
  <si>
    <t>YV6M105639</t>
  </si>
  <si>
    <t>YV6M106014</t>
  </si>
  <si>
    <t>YV6M105817</t>
  </si>
  <si>
    <t>YV6M105961</t>
  </si>
  <si>
    <t>YV6M105775</t>
  </si>
  <si>
    <t>YV6M105624</t>
  </si>
  <si>
    <t>YV6M105836</t>
  </si>
  <si>
    <t>YLLL006867</t>
  </si>
  <si>
    <t>YLLL006864</t>
  </si>
  <si>
    <t>21FA425762</t>
  </si>
  <si>
    <t>21FA425767</t>
  </si>
  <si>
    <t>21FA425771</t>
  </si>
  <si>
    <t>21FA425531</t>
  </si>
  <si>
    <t>21FA425532</t>
  </si>
  <si>
    <t>MKRA717093</t>
  </si>
  <si>
    <t>MKRA712008</t>
  </si>
  <si>
    <t>15152B00392AA21MKRA502085</t>
  </si>
  <si>
    <t>MKRA716787</t>
  </si>
  <si>
    <t>15152B00392AA21MKRA506932</t>
  </si>
  <si>
    <t>15152B00392AA21MKRA506931</t>
  </si>
  <si>
    <t>MKRA716777</t>
  </si>
  <si>
    <t>S350H6NH</t>
  </si>
  <si>
    <t>S350H6N6</t>
  </si>
  <si>
    <t>S350H69Z</t>
  </si>
  <si>
    <t>S350GCWH</t>
  </si>
  <si>
    <t>PDL9C02039000</t>
  </si>
  <si>
    <t>PDL9C02141000</t>
  </si>
  <si>
    <t>2IBKG184319</t>
  </si>
  <si>
    <t>2CAKF178533</t>
  </si>
  <si>
    <t>2IBKG184360</t>
  </si>
  <si>
    <t>J2HD00456</t>
  </si>
  <si>
    <t>J2HD00327</t>
  </si>
  <si>
    <t>J2HD00368</t>
  </si>
  <si>
    <t>21FF404226</t>
  </si>
  <si>
    <t>21FF404360, 21FF404232</t>
  </si>
  <si>
    <t>21FF404220</t>
  </si>
  <si>
    <t>2BAKA002709</t>
  </si>
  <si>
    <t>2BAKA002708</t>
  </si>
  <si>
    <t>2DAKA003272</t>
  </si>
  <si>
    <t xml:space="preserve">                                                                Աջափնյակի և Արտաշատի համալիր սոցիալական ծառայություններ տրամադրող կենտրոններին հանձնված գույք </t>
  </si>
  <si>
    <t xml:space="preserve">Պայմանագիր SPAP AF-G-2.1.2.3/2, մատակարար «Ֆայն» ՍՊԸ </t>
  </si>
  <si>
    <t>YLKA052458</t>
  </si>
  <si>
    <t>YLKA052408</t>
  </si>
  <si>
    <t>YLKA052442</t>
  </si>
  <si>
    <t>YLKA052434</t>
  </si>
  <si>
    <t>YLKA052378</t>
  </si>
  <si>
    <t>YLKA052415</t>
  </si>
  <si>
    <t>YLKA052388</t>
  </si>
  <si>
    <t>YLKA052137</t>
  </si>
  <si>
    <t>YLKA052377</t>
  </si>
  <si>
    <t>YLKA052396</t>
  </si>
  <si>
    <t>YLKA052457</t>
  </si>
  <si>
    <t>YLKA052278</t>
  </si>
  <si>
    <t>YLKA052435</t>
  </si>
  <si>
    <t>YLKA052449</t>
  </si>
  <si>
    <t>YLKA052381</t>
  </si>
  <si>
    <t>YV6M105852</t>
  </si>
  <si>
    <t>YV6M109441</t>
  </si>
  <si>
    <t>YV6M105860</t>
  </si>
  <si>
    <t>YV6M105815</t>
  </si>
  <si>
    <t>YV6M105956</t>
  </si>
  <si>
    <t>YV6M109465</t>
  </si>
  <si>
    <t>YV6M105862</t>
  </si>
  <si>
    <t>YV6M105822</t>
  </si>
  <si>
    <t>YV6M105810</t>
  </si>
  <si>
    <t>YV6M105762</t>
  </si>
  <si>
    <t>YV6M105863</t>
  </si>
  <si>
    <t>YV6M109471</t>
  </si>
  <si>
    <t>YV6M105865</t>
  </si>
  <si>
    <t>YV6M105793</t>
  </si>
  <si>
    <t>YV6M105825</t>
  </si>
  <si>
    <t>YLLL006879</t>
  </si>
  <si>
    <t>YLLL006870</t>
  </si>
  <si>
    <t>21FA425763</t>
  </si>
  <si>
    <t>21FA425622</t>
  </si>
  <si>
    <t>21FA425727</t>
  </si>
  <si>
    <t>21FA425720</t>
  </si>
  <si>
    <t>21FA425590</t>
  </si>
  <si>
    <t>21FA425514</t>
  </si>
  <si>
    <t>21FA425705</t>
  </si>
  <si>
    <t>MKRA716301</t>
  </si>
  <si>
    <t>MKRA712636</t>
  </si>
  <si>
    <t>MKRA716784</t>
  </si>
  <si>
    <t>MKRA712633</t>
  </si>
  <si>
    <t>15152B00392AA21MKRA506927</t>
  </si>
  <si>
    <t>15152B00392AB21MKRA712657</t>
  </si>
  <si>
    <t>S350H6NP</t>
  </si>
  <si>
    <t>S350GCWM</t>
  </si>
  <si>
    <t>S350CX37</t>
  </si>
  <si>
    <t>PDL9C02176000</t>
  </si>
  <si>
    <t>PDL9C02186000</t>
  </si>
  <si>
    <t>2HAKF183076</t>
  </si>
  <si>
    <t>2IBKG184246</t>
  </si>
  <si>
    <t>J2HD00367</t>
  </si>
  <si>
    <t>J2HD00370</t>
  </si>
  <si>
    <t>21FF404230</t>
  </si>
  <si>
    <t>21FF404218</t>
  </si>
  <si>
    <t>350H5ZZ</t>
  </si>
  <si>
    <t>350H6P1</t>
  </si>
  <si>
    <t>2DAKA003249</t>
  </si>
  <si>
    <t>2BAKA002960</t>
  </si>
  <si>
    <t xml:space="preserve">                                                            Արմավիրի և Դավիթաշենի համալիր սոցիալական ծառայություններ տրամադրող կենտրոններին հանձնված գույք </t>
  </si>
  <si>
    <t xml:space="preserve">Պայմանագիր SPAP AF-G-2.1.2.3/2,  մատակարար «Ֆայն» ՍՊԸ </t>
  </si>
  <si>
    <t>YLKA052125</t>
  </si>
  <si>
    <t>YLKA052459</t>
  </si>
  <si>
    <t>YLKA052420</t>
  </si>
  <si>
    <t>YLKA052264</t>
  </si>
  <si>
    <t>YLKA052411</t>
  </si>
  <si>
    <t>YLKA052418</t>
  </si>
  <si>
    <t>YLKA052139</t>
  </si>
  <si>
    <t>YLKA052389</t>
  </si>
  <si>
    <t>YLKA052140</t>
  </si>
  <si>
    <t>YLKA052412</t>
  </si>
  <si>
    <t>YLKA052471</t>
  </si>
  <si>
    <t>YLKA052416</t>
  </si>
  <si>
    <t>YLKA052461</t>
  </si>
  <si>
    <t>YLKA052274</t>
  </si>
  <si>
    <t>YV6M105962</t>
  </si>
  <si>
    <t>YV6M106015</t>
  </si>
  <si>
    <t>YV6M100005</t>
  </si>
  <si>
    <t>YV6M105595</t>
  </si>
  <si>
    <t>YV6M105605</t>
  </si>
  <si>
    <t>YV6M105959</t>
  </si>
  <si>
    <t>YV6M106043</t>
  </si>
  <si>
    <t>YV6M105634</t>
  </si>
  <si>
    <t>YV6M105613</t>
  </si>
  <si>
    <t>YV6M105637</t>
  </si>
  <si>
    <t>YV6M109425</t>
  </si>
  <si>
    <t>YV6M109476</t>
  </si>
  <si>
    <t>YV6M105823</t>
  </si>
  <si>
    <t>YLLL006880</t>
  </si>
  <si>
    <t>YLLL006874</t>
  </si>
  <si>
    <t>21FA425728</t>
  </si>
  <si>
    <t>21FA425687</t>
  </si>
  <si>
    <t>21FA425765</t>
  </si>
  <si>
    <t>21FA425714</t>
  </si>
  <si>
    <t>21FA425591</t>
  </si>
  <si>
    <t>21FA425518</t>
  </si>
  <si>
    <t>MKRA712632</t>
  </si>
  <si>
    <t>MKRA716768</t>
  </si>
  <si>
    <t>MKRA712634</t>
  </si>
  <si>
    <t>MKRA712640</t>
  </si>
  <si>
    <t>15152B00392AB21MKRA712638</t>
  </si>
  <si>
    <t>15152B00392AA21MKRA502087</t>
  </si>
  <si>
    <t>Բազմաֆունկցիոնալ սարք Multifunctional Device 4x1 Lexmark X264DN</t>
  </si>
  <si>
    <t>S350H6NK</t>
  </si>
  <si>
    <t>S350H69T</t>
  </si>
  <si>
    <t>Բազմաֆունկցիոնալ սարք Multifunctional Device 3x1 Lexmark X363dn</t>
  </si>
  <si>
    <t>S350GCVG</t>
  </si>
  <si>
    <t>S350G89Z</t>
  </si>
  <si>
    <t>PD81D02531000</t>
  </si>
  <si>
    <t>PD81D02556000</t>
  </si>
  <si>
    <t>0GAKE159362</t>
  </si>
  <si>
    <t>0JBKE163794</t>
  </si>
  <si>
    <t>J2HD00317</t>
  </si>
  <si>
    <t>J2HD00369</t>
  </si>
  <si>
    <t>21FF404367</t>
  </si>
  <si>
    <t>21FF404235</t>
  </si>
  <si>
    <t>Պայմանագիր SPAP AF-G-2.1.2.3/1a,  մատակարար «Ինո-Թեքնոլոջիս» ՍՊԸ</t>
  </si>
  <si>
    <r>
      <t xml:space="preserve">Բազմաֆունկցիոնալ սարք Multifunctional Device </t>
    </r>
    <r>
      <rPr>
        <b/>
        <sz val="11"/>
        <color rgb="FFFF0000"/>
        <rFont val="GHEA Grapalat"/>
        <family val="3"/>
      </rPr>
      <t>3</t>
    </r>
    <r>
      <rPr>
        <sz val="11"/>
        <rFont val="GHEA Grapalat"/>
        <family val="3"/>
      </rPr>
      <t>x1 Lexmark X264DN</t>
    </r>
  </si>
  <si>
    <t>350H6P6</t>
  </si>
  <si>
    <t xml:space="preserve">Թվային հեռախոս Panasonic KX-TS2365UA  </t>
  </si>
  <si>
    <t>2DAKA003252</t>
  </si>
  <si>
    <t>2DAKA003225</t>
  </si>
  <si>
    <t xml:space="preserve">                                              Էրեբունու, Նուբարաշենի և Նոյեմբերյանի համալիր սոցիալական ծառայություններ տրամադրող կենտրոններին հանձնված գույք</t>
  </si>
  <si>
    <t>YLKA052410</t>
  </si>
  <si>
    <t>YLKA052465</t>
  </si>
  <si>
    <t>YLKA052424</t>
  </si>
  <si>
    <t>YLKA052448</t>
  </si>
  <si>
    <t>YLKA052273</t>
  </si>
  <si>
    <t>YLKA052432</t>
  </si>
  <si>
    <t>YLKA052275</t>
  </si>
  <si>
    <t>YLKA052447</t>
  </si>
  <si>
    <t>YLKA052138</t>
  </si>
  <si>
    <t>YLKA052387</t>
  </si>
  <si>
    <t>YLKA052478</t>
  </si>
  <si>
    <t>YLKA052439</t>
  </si>
  <si>
    <t>YV6M105824</t>
  </si>
  <si>
    <t>YV6M100140</t>
  </si>
  <si>
    <t>YV6M105660</t>
  </si>
  <si>
    <t>YV6M105770</t>
  </si>
  <si>
    <t>YV6M105609</t>
  </si>
  <si>
    <t>YV6M106049</t>
  </si>
  <si>
    <t>YV6M105830</t>
  </si>
  <si>
    <t>YV6M106048</t>
  </si>
  <si>
    <t>YV6M105603</t>
  </si>
  <si>
    <t>YV6M105788</t>
  </si>
  <si>
    <t>YV6M105772</t>
  </si>
  <si>
    <t>YV6M105829</t>
  </si>
  <si>
    <t>YLLL006866</t>
  </si>
  <si>
    <t>21FA425791</t>
  </si>
  <si>
    <t>21FA425721</t>
  </si>
  <si>
    <t>21FA425792</t>
  </si>
  <si>
    <t>15152B00392AA21MKRA506925</t>
  </si>
  <si>
    <t>MKRA716300</t>
  </si>
  <si>
    <t>15152B00392AB21MKRA712630</t>
  </si>
  <si>
    <t>MKRA506935</t>
  </si>
  <si>
    <t>15152B00392AB21MKRA712637</t>
  </si>
  <si>
    <t>MKRA716754</t>
  </si>
  <si>
    <t>SS350H6N1</t>
  </si>
  <si>
    <t>PDL9C02060000</t>
  </si>
  <si>
    <t>0JBKE163811</t>
  </si>
  <si>
    <t>2HAKF182985</t>
  </si>
  <si>
    <t>0GAKE159366</t>
  </si>
  <si>
    <t>J2HD00454</t>
  </si>
  <si>
    <t>J2HD00319</t>
  </si>
  <si>
    <t>J2HD00331</t>
  </si>
  <si>
    <t>21FF404228</t>
  </si>
  <si>
    <t>350HOWL</t>
  </si>
  <si>
    <t>2BAKA002807</t>
  </si>
  <si>
    <t>2BAKA002677</t>
  </si>
  <si>
    <t>2DAKA003229</t>
  </si>
  <si>
    <t xml:space="preserve">                                                             Ճամբարակի, Մարալիկի և Վարդենիսի համալիր սոցիալական ծառայություններ տրամադրող կենտրոններին հանձնված գույք</t>
  </si>
  <si>
    <t>YLKA052404</t>
  </si>
  <si>
    <t>YLKA052376</t>
  </si>
  <si>
    <t>YLKA052395</t>
  </si>
  <si>
    <t>YLKA052409</t>
  </si>
  <si>
    <t>YLKA052413</t>
  </si>
  <si>
    <t>YLKA052263</t>
  </si>
  <si>
    <t>YLKA052440</t>
  </si>
  <si>
    <t>YLKA052393</t>
  </si>
  <si>
    <t>YLKA052135</t>
  </si>
  <si>
    <t>YLKA052417</t>
  </si>
  <si>
    <t>YLKA052360</t>
  </si>
  <si>
    <t>YLKA052386</t>
  </si>
  <si>
    <t>YLKA052423</t>
  </si>
  <si>
    <t>YLKA052267</t>
  </si>
  <si>
    <t>YLKA052474</t>
  </si>
  <si>
    <t>YLKA052406</t>
  </si>
  <si>
    <t>YLKA052375</t>
  </si>
  <si>
    <t>YLKA052460</t>
  </si>
  <si>
    <t>YLKA052266</t>
  </si>
  <si>
    <t>YLKA052475</t>
  </si>
  <si>
    <t>YV6M105838</t>
  </si>
  <si>
    <t>YV6M105802</t>
  </si>
  <si>
    <t>YV6M105840</t>
  </si>
  <si>
    <t>YV6M105848</t>
  </si>
  <si>
    <t>YV6M105821</t>
  </si>
  <si>
    <t>YV6M106045</t>
  </si>
  <si>
    <t>YV6M105643</t>
  </si>
  <si>
    <t>YV6M105806</t>
  </si>
  <si>
    <t>YV6M106044</t>
  </si>
  <si>
    <t>YV6M105620</t>
  </si>
  <si>
    <t>YV6M105786</t>
  </si>
  <si>
    <t>YV6M105835</t>
  </si>
  <si>
    <t>YV6M105662</t>
  </si>
  <si>
    <t>YV6M105856</t>
  </si>
  <si>
    <t>YV6M105807</t>
  </si>
  <si>
    <t>YV6M105632</t>
  </si>
  <si>
    <t>YV6M105861</t>
  </si>
  <si>
    <t>YV6M105796</t>
  </si>
  <si>
    <t>YV6M105966</t>
  </si>
  <si>
    <t>YV6M105795</t>
  </si>
  <si>
    <t>YLLL006869</t>
  </si>
  <si>
    <t>YLLL006875</t>
  </si>
  <si>
    <t>YLLL006862</t>
  </si>
  <si>
    <t>21FA425578</t>
  </si>
  <si>
    <t>21FA425508</t>
  </si>
  <si>
    <t>21FA425730</t>
  </si>
  <si>
    <t>21FA425717</t>
  </si>
  <si>
    <t>21FA425716</t>
  </si>
  <si>
    <t>21FA425725</t>
  </si>
  <si>
    <t>21FA425709</t>
  </si>
  <si>
    <t>MKRA716298</t>
  </si>
  <si>
    <t>MKRA717074</t>
  </si>
  <si>
    <t>MKRA716788</t>
  </si>
  <si>
    <t>MKRA716302</t>
  </si>
  <si>
    <t>MKRA716781</t>
  </si>
  <si>
    <t>MKRA717079</t>
  </si>
  <si>
    <t>15152B00392AB21MKRA712654</t>
  </si>
  <si>
    <t>15152B00392AB21MKRA716325</t>
  </si>
  <si>
    <t>15152B00392AB21MKRA712624</t>
  </si>
  <si>
    <t>S350H6N0</t>
  </si>
  <si>
    <t>S350GCRV</t>
  </si>
  <si>
    <t>PD81D02609000</t>
  </si>
  <si>
    <t>PDL9C02183000</t>
  </si>
  <si>
    <t>PDL9C02064000</t>
  </si>
  <si>
    <t>2HAKF183078</t>
  </si>
  <si>
    <t>2IBKG184318</t>
  </si>
  <si>
    <t>2HAKF182970</t>
  </si>
  <si>
    <t>J2HD00330</t>
  </si>
  <si>
    <t>J2HD00320</t>
  </si>
  <si>
    <t>21FF404219</t>
  </si>
  <si>
    <t>21FF404223</t>
  </si>
  <si>
    <t>21FF404221</t>
  </si>
  <si>
    <t>350H5YL</t>
  </si>
  <si>
    <t>350H15T</t>
  </si>
  <si>
    <t>2DAKA003236</t>
  </si>
  <si>
    <t>2DAKA003285</t>
  </si>
  <si>
    <t>2BAKA002800</t>
  </si>
  <si>
    <t xml:space="preserve">Տեսախցիկ Digital Camera Panasonic Lumix DMC-SZ1   </t>
  </si>
  <si>
    <t>WN2DC002187</t>
  </si>
  <si>
    <t xml:space="preserve">                                                           Արարատի, Մասիսի և Վեդու համալիր սոցիալական ծառայություններ տրամադրող կենտրոններին հանձնված գույք</t>
  </si>
  <si>
    <t>Պայմանագիր SPAP AF-G-2.3.3, մատակարար «Ֆայն» ՍՊԸ</t>
  </si>
  <si>
    <t>Համակարգիչ Computer1 Fujitsu ESPRIMO P510 E85+</t>
  </si>
  <si>
    <t>YLKA029563</t>
  </si>
  <si>
    <t>YLKA029667</t>
  </si>
  <si>
    <t>YLKA029668</t>
  </si>
  <si>
    <t>YLKA029707</t>
  </si>
  <si>
    <t>YLKA029675</t>
  </si>
  <si>
    <t>YLKA029685</t>
  </si>
  <si>
    <t>YLKA029714</t>
  </si>
  <si>
    <t>YLKA029584</t>
  </si>
  <si>
    <t>YLKA029447</t>
  </si>
  <si>
    <t>YLKA029583</t>
  </si>
  <si>
    <t>YLKA029713</t>
  </si>
  <si>
    <t>YLKA029694</t>
  </si>
  <si>
    <t>Մոնիտոր Monitor 1 Fujitsu L20T-3 LED</t>
  </si>
  <si>
    <t>YV4T224786</t>
  </si>
  <si>
    <t>YV4T233994</t>
  </si>
  <si>
    <t>YV4T224864</t>
  </si>
  <si>
    <t>YV4T225969</t>
  </si>
  <si>
    <t>YV4T079545</t>
  </si>
  <si>
    <t>YV4T224780</t>
  </si>
  <si>
    <t>YV4T225168</t>
  </si>
  <si>
    <t>YV4T233999</t>
  </si>
  <si>
    <t>YV4T225316</t>
  </si>
  <si>
    <t>YV4T225336</t>
  </si>
  <si>
    <t>YV4T225313</t>
  </si>
  <si>
    <t>YV4T224932</t>
  </si>
  <si>
    <t>MKRA506240</t>
  </si>
  <si>
    <t>MKRA506382</t>
  </si>
  <si>
    <t>MKRA506385</t>
  </si>
  <si>
    <t>YLLL006872</t>
  </si>
  <si>
    <t>YLLL006883</t>
  </si>
  <si>
    <t>21FA425700</t>
  </si>
  <si>
    <t>21FA425711</t>
  </si>
  <si>
    <t>15152B00392AB21MKRA712631</t>
  </si>
  <si>
    <t>15152B00392AB21MKRA712635</t>
  </si>
  <si>
    <t>MKRA716296</t>
  </si>
  <si>
    <t>MKRA716304</t>
  </si>
  <si>
    <t>15152B00392AB21MKRA712651</t>
  </si>
  <si>
    <t>S350GCRW</t>
  </si>
  <si>
    <t>S350G8BG</t>
  </si>
  <si>
    <t>PD81D02580000</t>
  </si>
  <si>
    <t>PDL9C02173000</t>
  </si>
  <si>
    <t>0GAKE159363</t>
  </si>
  <si>
    <t>0JBKE163907</t>
  </si>
  <si>
    <t>0JBKE163795</t>
  </si>
  <si>
    <t>2HAKF183077</t>
  </si>
  <si>
    <t>J2HD00328</t>
  </si>
  <si>
    <t>J2HD00318</t>
  </si>
  <si>
    <t>21FF404364</t>
  </si>
  <si>
    <t>21FF404217, 21FF404224</t>
  </si>
  <si>
    <t>Պայմանագիր SPAP AF-2G-1.2.3/3, մատակարար «Միկրորինգ» ՍՊԸ</t>
  </si>
  <si>
    <t>Սկաներ Epson Perfection V330</t>
  </si>
  <si>
    <t>MMGW059642</t>
  </si>
  <si>
    <t>MMGW059482</t>
  </si>
  <si>
    <t>MMGW059641</t>
  </si>
  <si>
    <t>MMGW059492</t>
  </si>
  <si>
    <t>Բազմաֆունկցիոնալ սարք 4x1 Lexmark X264dn</t>
  </si>
  <si>
    <t>S350GPGZ</t>
  </si>
  <si>
    <t>S350G6TY</t>
  </si>
  <si>
    <t xml:space="preserve">Համակարգիչ 2
HP Pro 3500 Microtower PC, CPU Intel Core i5-3470   </t>
  </si>
  <si>
    <t>CZC3084YX3</t>
  </si>
  <si>
    <t>CZC3084YXF</t>
  </si>
  <si>
    <t>CZC3084YXL</t>
  </si>
  <si>
    <t>CZC3084YXM</t>
  </si>
  <si>
    <t>CZC3084YX7</t>
  </si>
  <si>
    <t>CZC3084YWZ</t>
  </si>
  <si>
    <t>CZC3084YX8</t>
  </si>
  <si>
    <t>2DAKA003251</t>
  </si>
  <si>
    <t>2BAKA002806</t>
  </si>
  <si>
    <t>WN2DC001891</t>
  </si>
  <si>
    <t xml:space="preserve">«ՀԱՅԱՍՏԱՆԻ ՀԱՆՐԱՊԵՏՈՒԹՅԱՆ ԱՇԽԱՏԱՆՔԻ ԵՎ ՍՈՑԻԱԼԱԿԱՆ ՀԱՐՑԵՐԻ ՆԱԽԱՐԱՐՈՒԹՅԱՆ ՍՈՑԻԱԼԱԿԱՆ ԱՊԱՀՈՎՈՒԹՅԱՆ ՊԵՏԱԿԱՆ ԾԱՌԱՅՈՒԹՅԱՆ ԱՇԽԱՏԱԿԱԶՄ» ՊԵՏԱԿԱՆ ԿԱՌԱՎԱՐՉԱԿԱՆ ՀԻՄՆԱՐԿԻՆ ԱՄՐԱՑՎՈՂ ՓՈՔՐԱՐԺԵՔ ԳՈՒՅՔԻ </t>
  </si>
  <si>
    <t xml:space="preserve">Հավելված N 3
ՀՀ կառավարության 2017 թվականի
---------------    -ի N ----  -Ն որոշման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</si>
</sst>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#,##0.00"/>
    <numFmt numFmtId="165" formatCode="#,##0.0"/>
    <numFmt numFmtId="166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b/>
      <sz val="12"/>
      <color theme="1"/>
      <name val="GHEA Grapalat"/>
      <family val="3"/>
    </font>
    <font>
      <b/>
      <sz val="14"/>
      <color theme="1"/>
      <name val="GHEA Grapalat"/>
      <family val="3"/>
    </font>
    <font>
      <b/>
      <sz val="13"/>
      <color theme="1"/>
      <name val="GHEA Grapalat"/>
      <family val="3"/>
    </font>
    <font>
      <sz val="11"/>
      <name val="GHEA Grapalat"/>
      <family val="3"/>
    </font>
    <font>
      <sz val="12"/>
      <color theme="1"/>
      <name val="GHEA Grapalat"/>
      <family val="3"/>
    </font>
    <font>
      <b/>
      <sz val="11"/>
      <name val="GHEA Grapalat"/>
      <family val="3"/>
    </font>
    <font>
      <sz val="11"/>
      <color indexed="8"/>
      <name val="Calibri"/>
      <family val="2"/>
    </font>
    <font>
      <b/>
      <sz val="11"/>
      <color rgb="FFFF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259">
    <xf numFmtId="0" fontId="0" fillId="0" borderId="0" xfId="0"/>
    <xf numFmtId="3" fontId="1" fillId="0" borderId="0" xfId="0" applyNumberFormat="1" applyFont="1" applyFill="1"/>
    <xf numFmtId="0" fontId="1" fillId="0" borderId="0" xfId="0" applyFont="1" applyFill="1"/>
    <xf numFmtId="4" fontId="1" fillId="0" borderId="0" xfId="0" applyNumberFormat="1" applyFont="1" applyFill="1"/>
    <xf numFmtId="0" fontId="1" fillId="0" borderId="0" xfId="0" applyFont="1" applyFill="1" applyAlignment="1">
      <alignment horizontal="center"/>
    </xf>
    <xf numFmtId="0" fontId="3" fillId="0" borderId="0" xfId="0" applyFont="1" applyFill="1"/>
    <xf numFmtId="4" fontId="3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166" fontId="1" fillId="0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3" fontId="1" fillId="0" borderId="4" xfId="0" applyNumberFormat="1" applyFont="1" applyFill="1" applyBorder="1"/>
    <xf numFmtId="4" fontId="2" fillId="0" borderId="4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Fill="1" applyBorder="1"/>
    <xf numFmtId="4" fontId="2" fillId="0" borderId="8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/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/>
    <xf numFmtId="4" fontId="2" fillId="0" borderId="4" xfId="0" applyNumberFormat="1" applyFont="1" applyFill="1" applyBorder="1"/>
    <xf numFmtId="0" fontId="2" fillId="0" borderId="0" xfId="0" applyFont="1" applyFill="1"/>
    <xf numFmtId="4" fontId="2" fillId="0" borderId="0" xfId="0" applyNumberFormat="1" applyFont="1" applyFill="1"/>
    <xf numFmtId="4" fontId="2" fillId="0" borderId="8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" fontId="1" fillId="0" borderId="2" xfId="0" applyNumberFormat="1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/>
    <xf numFmtId="0" fontId="1" fillId="0" borderId="4" xfId="0" applyFont="1" applyFill="1" applyBorder="1" applyAlignment="1">
      <alignment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center"/>
    </xf>
    <xf numFmtId="0" fontId="2" fillId="0" borderId="4" xfId="0" applyFont="1" applyFill="1" applyBorder="1" applyAlignment="1">
      <alignment vertical="center"/>
    </xf>
    <xf numFmtId="3" fontId="3" fillId="0" borderId="4" xfId="0" applyNumberFormat="1" applyFont="1" applyFill="1" applyBorder="1" applyAlignment="1"/>
    <xf numFmtId="3" fontId="3" fillId="0" borderId="4" xfId="0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/>
    <xf numFmtId="4" fontId="7" fillId="0" borderId="0" xfId="0" applyNumberFormat="1" applyFont="1" applyFill="1"/>
    <xf numFmtId="0" fontId="1" fillId="0" borderId="2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 wrapText="1"/>
    </xf>
    <xf numFmtId="3" fontId="1" fillId="0" borderId="1" xfId="0" applyNumberFormat="1" applyFont="1" applyFill="1" applyBorder="1"/>
    <xf numFmtId="4" fontId="2" fillId="0" borderId="13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/>
    <xf numFmtId="4" fontId="1" fillId="2" borderId="4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0" xfId="0" applyFont="1" applyFill="1"/>
    <xf numFmtId="3" fontId="6" fillId="0" borderId="0" xfId="0" applyNumberFormat="1" applyFont="1" applyFill="1"/>
    <xf numFmtId="0" fontId="6" fillId="0" borderId="0" xfId="0" applyFont="1" applyFill="1" applyAlignment="1">
      <alignment horizontal="center"/>
    </xf>
    <xf numFmtId="3" fontId="6" fillId="0" borderId="0" xfId="1" applyNumberFormat="1" applyFont="1" applyFill="1"/>
    <xf numFmtId="0" fontId="6" fillId="0" borderId="0" xfId="1" applyFont="1" applyFill="1"/>
    <xf numFmtId="3" fontId="8" fillId="0" borderId="0" xfId="1" applyNumberFormat="1" applyFont="1" applyFill="1" applyAlignment="1">
      <alignment horizontal="center"/>
    </xf>
    <xf numFmtId="0" fontId="6" fillId="0" borderId="4" xfId="1" applyFont="1" applyFill="1" applyBorder="1" applyAlignment="1">
      <alignment horizontal="center" wrapText="1"/>
    </xf>
    <xf numFmtId="0" fontId="6" fillId="0" borderId="4" xfId="2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0" fontId="6" fillId="0" borderId="4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center" vertical="center"/>
    </xf>
    <xf numFmtId="4" fontId="6" fillId="0" borderId="4" xfId="1" applyNumberFormat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 wrapText="1"/>
    </xf>
    <xf numFmtId="3" fontId="8" fillId="0" borderId="4" xfId="1" applyNumberFormat="1" applyFont="1" applyFill="1" applyBorder="1" applyAlignment="1">
      <alignment horizontal="center" vertical="center"/>
    </xf>
    <xf numFmtId="4" fontId="8" fillId="0" borderId="4" xfId="1" applyNumberFormat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vertical="center" wrapText="1"/>
    </xf>
    <xf numFmtId="0" fontId="6" fillId="0" borderId="4" xfId="2" applyFont="1" applyFill="1" applyBorder="1" applyAlignment="1">
      <alignment horizontal="center"/>
    </xf>
    <xf numFmtId="3" fontId="6" fillId="0" borderId="4" xfId="1" applyNumberFormat="1" applyFont="1" applyFill="1" applyBorder="1"/>
    <xf numFmtId="4" fontId="8" fillId="0" borderId="4" xfId="1" applyNumberFormat="1" applyFont="1" applyFill="1" applyBorder="1" applyAlignment="1">
      <alignment horizontal="right" vertical="center"/>
    </xf>
    <xf numFmtId="4" fontId="6" fillId="0" borderId="4" xfId="1" applyNumberFormat="1" applyFont="1" applyFill="1" applyBorder="1" applyAlignment="1">
      <alignment horizontal="right" vertical="center"/>
    </xf>
    <xf numFmtId="0" fontId="6" fillId="0" borderId="4" xfId="1" applyFont="1" applyFill="1" applyBorder="1"/>
    <xf numFmtId="0" fontId="6" fillId="0" borderId="10" xfId="1" applyFont="1" applyFill="1" applyBorder="1"/>
    <xf numFmtId="0" fontId="6" fillId="0" borderId="2" xfId="2" applyFont="1" applyFill="1" applyBorder="1" applyAlignment="1">
      <alignment horizontal="center" wrapText="1"/>
    </xf>
    <xf numFmtId="3" fontId="8" fillId="0" borderId="4" xfId="1" applyNumberFormat="1" applyFont="1" applyFill="1" applyBorder="1" applyAlignment="1">
      <alignment horizontal="right"/>
    </xf>
    <xf numFmtId="0" fontId="6" fillId="0" borderId="0" xfId="1" applyFont="1" applyFill="1" applyBorder="1" applyAlignment="1">
      <alignment horizontal="center" vertical="center"/>
    </xf>
    <xf numFmtId="3" fontId="8" fillId="0" borderId="0" xfId="1" applyNumberFormat="1" applyFont="1" applyFill="1" applyBorder="1" applyAlignment="1">
      <alignment horizontal="right"/>
    </xf>
    <xf numFmtId="0" fontId="6" fillId="0" borderId="0" xfId="1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horizontal="center" vertical="center"/>
    </xf>
    <xf numFmtId="4" fontId="6" fillId="0" borderId="0" xfId="1" applyNumberFormat="1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3" fontId="8" fillId="0" borderId="0" xfId="1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6" fillId="0" borderId="4" xfId="2" applyFont="1" applyFill="1" applyBorder="1" applyAlignment="1">
      <alignment wrapText="1"/>
    </xf>
    <xf numFmtId="4" fontId="6" fillId="0" borderId="4" xfId="1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4" fontId="6" fillId="0" borderId="4" xfId="1" applyNumberFormat="1" applyFont="1" applyFill="1" applyBorder="1" applyAlignment="1">
      <alignment vertical="center" wrapText="1"/>
    </xf>
    <xf numFmtId="0" fontId="8" fillId="0" borderId="4" xfId="1" applyFont="1" applyFill="1" applyBorder="1" applyAlignment="1">
      <alignment vertical="center" wrapText="1"/>
    </xf>
    <xf numFmtId="0" fontId="8" fillId="0" borderId="4" xfId="1" applyFont="1" applyFill="1" applyBorder="1"/>
    <xf numFmtId="3" fontId="6" fillId="0" borderId="0" xfId="1" applyNumberFormat="1" applyFont="1" applyFill="1" applyBorder="1"/>
    <xf numFmtId="0" fontId="8" fillId="0" borderId="0" xfId="1" applyFont="1" applyFill="1" applyBorder="1"/>
    <xf numFmtId="0" fontId="8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" fontId="6" fillId="0" borderId="9" xfId="1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8" fillId="0" borderId="4" xfId="1" applyFont="1" applyFill="1" applyBorder="1" applyAlignment="1">
      <alignment horizontal="center" vertical="center" wrapText="1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0" xfId="1" applyNumberFormat="1" applyFont="1" applyFill="1" applyBorder="1" applyAlignment="1">
      <alignment horizontal="right" vertical="center"/>
    </xf>
    <xf numFmtId="0" fontId="6" fillId="0" borderId="6" xfId="2" applyFont="1" applyFill="1" applyBorder="1" applyAlignment="1">
      <alignment horizontal="center" wrapText="1"/>
    </xf>
    <xf numFmtId="0" fontId="8" fillId="0" borderId="4" xfId="1" applyFont="1" applyFill="1" applyBorder="1" applyAlignment="1">
      <alignment horizontal="center" vertical="center"/>
    </xf>
    <xf numFmtId="4" fontId="6" fillId="0" borderId="0" xfId="0" applyNumberFormat="1" applyFont="1" applyFill="1"/>
    <xf numFmtId="0" fontId="8" fillId="0" borderId="4" xfId="1" applyFont="1" applyFill="1" applyBorder="1" applyAlignment="1">
      <alignment horizontal="right" vertical="center"/>
    </xf>
    <xf numFmtId="0" fontId="6" fillId="0" borderId="8" xfId="1" applyFont="1" applyFill="1" applyBorder="1" applyAlignment="1">
      <alignment horizontal="center" vertical="center"/>
    </xf>
    <xf numFmtId="3" fontId="8" fillId="0" borderId="4" xfId="1" applyNumberFormat="1" applyFont="1" applyFill="1" applyBorder="1" applyAlignment="1"/>
    <xf numFmtId="3" fontId="8" fillId="0" borderId="0" xfId="1" applyNumberFormat="1" applyFont="1" applyFill="1" applyBorder="1" applyAlignment="1"/>
    <xf numFmtId="0" fontId="8" fillId="0" borderId="4" xfId="1" applyFont="1" applyFill="1" applyBorder="1" applyAlignment="1">
      <alignment horizontal="right"/>
    </xf>
    <xf numFmtId="4" fontId="8" fillId="0" borderId="4" xfId="1" applyNumberFormat="1" applyFont="1" applyFill="1" applyBorder="1"/>
    <xf numFmtId="0" fontId="8" fillId="0" borderId="0" xfId="0" applyFont="1" applyFill="1"/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4" fontId="5" fillId="0" borderId="9" xfId="0" applyNumberFormat="1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3" fontId="6" fillId="0" borderId="4" xfId="1" applyNumberFormat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 wrapText="1"/>
    </xf>
    <xf numFmtId="4" fontId="6" fillId="0" borderId="2" xfId="1" applyNumberFormat="1" applyFont="1" applyFill="1" applyBorder="1" applyAlignment="1">
      <alignment horizontal="center" vertical="center"/>
    </xf>
    <xf numFmtId="4" fontId="6" fillId="0" borderId="5" xfId="1" applyNumberFormat="1" applyFont="1" applyFill="1" applyBorder="1" applyAlignment="1">
      <alignment horizontal="center" vertical="center"/>
    </xf>
    <xf numFmtId="4" fontId="6" fillId="0" borderId="6" xfId="1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3" fontId="6" fillId="0" borderId="2" xfId="1" applyNumberFormat="1" applyFont="1" applyFill="1" applyBorder="1" applyAlignment="1">
      <alignment horizontal="center" vertical="center"/>
    </xf>
    <xf numFmtId="3" fontId="6" fillId="0" borderId="5" xfId="1" applyNumberFormat="1" applyFont="1" applyFill="1" applyBorder="1" applyAlignment="1">
      <alignment horizontal="center" vertical="center"/>
    </xf>
    <xf numFmtId="3" fontId="6" fillId="0" borderId="6" xfId="1" applyNumberFormat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4" fontId="6" fillId="0" borderId="4" xfId="1" applyNumberFormat="1" applyFont="1" applyFill="1" applyBorder="1" applyAlignment="1">
      <alignment horizontal="center" vertical="center"/>
    </xf>
    <xf numFmtId="3" fontId="8" fillId="0" borderId="4" xfId="1" applyNumberFormat="1" applyFont="1" applyFill="1" applyBorder="1" applyAlignment="1">
      <alignment horizontal="center" vertical="center"/>
    </xf>
    <xf numFmtId="4" fontId="8" fillId="0" borderId="4" xfId="1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top" wrapText="1"/>
    </xf>
    <xf numFmtId="0" fontId="6" fillId="0" borderId="6" xfId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/>
    </xf>
    <xf numFmtId="3" fontId="8" fillId="0" borderId="6" xfId="1" applyNumberFormat="1" applyFont="1" applyFill="1" applyBorder="1" applyAlignment="1">
      <alignment horizontal="center" vertical="center"/>
    </xf>
    <xf numFmtId="4" fontId="8" fillId="0" borderId="2" xfId="1" applyNumberFormat="1" applyFont="1" applyFill="1" applyBorder="1" applyAlignment="1">
      <alignment horizontal="center" vertical="center"/>
    </xf>
    <xf numFmtId="4" fontId="8" fillId="0" borderId="6" xfId="1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left" vertical="center" wrapText="1"/>
    </xf>
    <xf numFmtId="0" fontId="6" fillId="0" borderId="4" xfId="2" applyFont="1" applyFill="1" applyBorder="1" applyAlignment="1">
      <alignment horizontal="center"/>
    </xf>
    <xf numFmtId="0" fontId="6" fillId="0" borderId="2" xfId="2" applyFont="1" applyFill="1" applyBorder="1" applyAlignment="1">
      <alignment horizontal="center" wrapText="1"/>
    </xf>
    <xf numFmtId="0" fontId="6" fillId="0" borderId="6" xfId="2" applyFont="1" applyFill="1" applyBorder="1" applyAlignment="1">
      <alignment horizontal="center" wrapText="1"/>
    </xf>
    <xf numFmtId="0" fontId="6" fillId="0" borderId="4" xfId="2" applyFont="1" applyFill="1" applyBorder="1" applyAlignment="1">
      <alignment horizontal="center" wrapText="1"/>
    </xf>
    <xf numFmtId="0" fontId="6" fillId="0" borderId="9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3" fontId="8" fillId="0" borderId="5" xfId="1" applyNumberFormat="1" applyFont="1" applyFill="1" applyBorder="1" applyAlignment="1">
      <alignment horizontal="center" vertical="center"/>
    </xf>
    <xf numFmtId="4" fontId="8" fillId="0" borderId="5" xfId="1" applyNumberFormat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3" fontId="8" fillId="0" borderId="0" xfId="1" applyNumberFormat="1" applyFont="1" applyFill="1" applyAlignment="1">
      <alignment horizontal="right" vertical="center" wrapText="1"/>
    </xf>
    <xf numFmtId="0" fontId="6" fillId="0" borderId="1" xfId="1" applyFont="1" applyFill="1" applyBorder="1" applyAlignment="1">
      <alignment horizontal="right"/>
    </xf>
    <xf numFmtId="0" fontId="8" fillId="0" borderId="2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right" vertical="center"/>
    </xf>
    <xf numFmtId="3" fontId="6" fillId="0" borderId="2" xfId="1" applyNumberFormat="1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center" vertical="center" wrapText="1"/>
    </xf>
    <xf numFmtId="3" fontId="6" fillId="0" borderId="6" xfId="1" applyNumberFormat="1" applyFont="1" applyFill="1" applyBorder="1" applyAlignment="1">
      <alignment horizontal="center" vertical="center" wrapText="1"/>
    </xf>
    <xf numFmtId="3" fontId="6" fillId="0" borderId="4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wrapText="1"/>
    </xf>
    <xf numFmtId="0" fontId="8" fillId="0" borderId="0" xfId="0" applyFont="1" applyFill="1" applyAlignment="1">
      <alignment horizontal="right" vertical="center"/>
    </xf>
    <xf numFmtId="0" fontId="8" fillId="0" borderId="5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 wrapText="1"/>
    </xf>
    <xf numFmtId="49" fontId="6" fillId="0" borderId="5" xfId="1" applyNumberFormat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 wrapText="1"/>
    </xf>
    <xf numFmtId="4" fontId="6" fillId="0" borderId="14" xfId="1" applyNumberFormat="1" applyFont="1" applyFill="1" applyBorder="1" applyAlignment="1">
      <alignment horizontal="center" vertical="center"/>
    </xf>
    <xf numFmtId="4" fontId="6" fillId="0" borderId="0" xfId="1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4" fontId="6" fillId="0" borderId="2" xfId="1" applyNumberFormat="1" applyFont="1" applyFill="1" applyBorder="1" applyAlignment="1">
      <alignment horizontal="center" vertical="center" wrapText="1"/>
    </xf>
    <xf numFmtId="4" fontId="6" fillId="0" borderId="5" xfId="1" applyNumberFormat="1" applyFont="1" applyFill="1" applyBorder="1" applyAlignment="1">
      <alignment horizontal="center" vertical="center" wrapText="1"/>
    </xf>
    <xf numFmtId="4" fontId="6" fillId="0" borderId="6" xfId="1" applyNumberFormat="1" applyFont="1" applyFill="1" applyBorder="1" applyAlignment="1">
      <alignment horizontal="center" vertical="center" wrapText="1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5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center" wrapText="1"/>
    </xf>
    <xf numFmtId="0" fontId="6" fillId="0" borderId="6" xfId="1" applyFont="1" applyFill="1" applyBorder="1" applyAlignment="1">
      <alignment horizont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wrapText="1"/>
    </xf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</cellXfs>
  <cellStyles count="3">
    <cellStyle name="Normal" xfId="0" builtinId="0"/>
    <cellStyle name="Normal_Sheet1" xfId="2"/>
    <cellStyle name="Normal_Sheet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3"/>
  <sheetViews>
    <sheetView workbookViewId="0">
      <selection activeCell="B164" sqref="B164"/>
    </sheetView>
  </sheetViews>
  <sheetFormatPr defaultRowHeight="15" x14ac:dyDescent="0.25"/>
  <cols>
    <col min="2" max="2" width="23.28515625" customWidth="1"/>
    <col min="3" max="3" width="0" hidden="1" customWidth="1"/>
    <col min="5" max="5" width="14.28515625" hidden="1" customWidth="1"/>
    <col min="6" max="6" width="18.42578125" customWidth="1"/>
    <col min="7" max="7" width="18.140625" hidden="1" customWidth="1"/>
    <col min="8" max="8" width="0" hidden="1" customWidth="1"/>
    <col min="10" max="10" width="15.5703125" hidden="1" customWidth="1"/>
    <col min="11" max="11" width="21.5703125" customWidth="1"/>
    <col min="12" max="12" width="19.7109375" hidden="1" customWidth="1"/>
    <col min="13" max="13" width="0" hidden="1" customWidth="1"/>
    <col min="15" max="15" width="15.5703125" hidden="1" customWidth="1"/>
    <col min="16" max="16" width="20.5703125" customWidth="1"/>
    <col min="17" max="17" width="23.5703125" hidden="1" customWidth="1"/>
    <col min="19" max="19" width="18.140625" bestFit="1" customWidth="1"/>
    <col min="25" max="25" width="5.28515625" customWidth="1"/>
    <col min="26" max="26" width="22" customWidth="1"/>
    <col min="28" max="28" width="14" customWidth="1"/>
    <col min="29" max="29" width="22.140625" bestFit="1" customWidth="1"/>
  </cols>
  <sheetData>
    <row r="1" spans="1:26" s="2" customFormat="1" ht="78" customHeight="1" x14ac:dyDescent="0.3">
      <c r="A1" s="1"/>
      <c r="N1" s="154" t="s">
        <v>613</v>
      </c>
      <c r="O1" s="155"/>
      <c r="P1" s="155"/>
      <c r="Q1" s="155"/>
      <c r="R1" s="155"/>
      <c r="S1" s="155"/>
      <c r="X1" s="3"/>
    </row>
    <row r="2" spans="1:26" s="2" customFormat="1" ht="16.5" x14ac:dyDescent="0.3">
      <c r="A2" s="1"/>
      <c r="X2" s="3"/>
    </row>
    <row r="3" spans="1:26" s="2" customFormat="1" ht="16.5" x14ac:dyDescent="0.3">
      <c r="A3" s="1"/>
      <c r="M3" s="4"/>
      <c r="N3" s="4"/>
      <c r="O3" s="4"/>
      <c r="P3" s="4"/>
      <c r="Q3" s="4"/>
      <c r="R3" s="4"/>
      <c r="S3" s="4"/>
      <c r="X3" s="3"/>
    </row>
    <row r="4" spans="1:26" s="5" customFormat="1" ht="17.25" x14ac:dyDescent="0.3">
      <c r="A4" s="156" t="s">
        <v>1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X4" s="6"/>
    </row>
    <row r="5" spans="1:26" s="5" customFormat="1" ht="63" customHeight="1" x14ac:dyDescent="0.3">
      <c r="A5" s="156" t="s">
        <v>612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X5" s="6"/>
    </row>
    <row r="6" spans="1:26" s="5" customFormat="1" ht="17.25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X6" s="6"/>
    </row>
    <row r="7" spans="1:26" s="2" customFormat="1" ht="20.25" x14ac:dyDescent="0.3">
      <c r="A7" s="1"/>
      <c r="R7" s="157" t="s">
        <v>3</v>
      </c>
      <c r="S7" s="157"/>
      <c r="X7" s="3"/>
    </row>
    <row r="8" spans="1:26" s="2" customFormat="1" ht="35.25" customHeight="1" x14ac:dyDescent="0.3">
      <c r="A8" s="158" t="s">
        <v>4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X8" s="3"/>
    </row>
    <row r="9" spans="1:26" s="2" customFormat="1" ht="16.5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X9" s="3"/>
    </row>
    <row r="10" spans="1:26" s="2" customFormat="1" ht="16.5" x14ac:dyDescent="0.3">
      <c r="A10" s="1"/>
      <c r="R10" s="159" t="s">
        <v>5</v>
      </c>
      <c r="S10" s="159"/>
      <c r="X10" s="3"/>
    </row>
    <row r="11" spans="1:26" s="2" customFormat="1" ht="16.5" x14ac:dyDescent="0.3">
      <c r="A11" s="160" t="s">
        <v>6</v>
      </c>
      <c r="B11" s="163" t="s">
        <v>7</v>
      </c>
      <c r="C11" s="9"/>
      <c r="D11" s="152" t="s">
        <v>8</v>
      </c>
      <c r="E11" s="152"/>
      <c r="F11" s="152"/>
      <c r="G11" s="152"/>
      <c r="H11" s="152" t="s">
        <v>9</v>
      </c>
      <c r="I11" s="152"/>
      <c r="J11" s="152"/>
      <c r="K11" s="152"/>
      <c r="L11" s="152"/>
      <c r="M11" s="152" t="s">
        <v>10</v>
      </c>
      <c r="N11" s="152"/>
      <c r="O11" s="152"/>
      <c r="P11" s="152"/>
      <c r="Q11" s="152"/>
      <c r="R11" s="152" t="s">
        <v>11</v>
      </c>
      <c r="S11" s="152"/>
      <c r="X11" s="3"/>
    </row>
    <row r="12" spans="1:26" s="2" customFormat="1" ht="33" x14ac:dyDescent="0.3">
      <c r="A12" s="161"/>
      <c r="B12" s="164"/>
      <c r="C12" s="10" t="s">
        <v>12</v>
      </c>
      <c r="D12" s="10" t="s">
        <v>12</v>
      </c>
      <c r="E12" s="10" t="s">
        <v>13</v>
      </c>
      <c r="F12" s="10" t="s">
        <v>14</v>
      </c>
      <c r="G12" s="11" t="s">
        <v>14</v>
      </c>
      <c r="H12" s="10" t="s">
        <v>12</v>
      </c>
      <c r="I12" s="10" t="s">
        <v>12</v>
      </c>
      <c r="J12" s="10" t="s">
        <v>13</v>
      </c>
      <c r="K12" s="10" t="s">
        <v>14</v>
      </c>
      <c r="L12" s="11" t="s">
        <v>14</v>
      </c>
      <c r="M12" s="10" t="s">
        <v>12</v>
      </c>
      <c r="N12" s="10" t="s">
        <v>12</v>
      </c>
      <c r="O12" s="10" t="s">
        <v>13</v>
      </c>
      <c r="P12" s="11" t="s">
        <v>14</v>
      </c>
      <c r="Q12" s="11" t="s">
        <v>14</v>
      </c>
      <c r="R12" s="10" t="s">
        <v>12</v>
      </c>
      <c r="S12" s="11" t="s">
        <v>14</v>
      </c>
      <c r="X12" s="3"/>
    </row>
    <row r="13" spans="1:26" s="2" customFormat="1" ht="18.75" x14ac:dyDescent="0.3">
      <c r="A13" s="162"/>
      <c r="B13" s="165"/>
      <c r="C13" s="12"/>
      <c r="D13" s="153" t="s">
        <v>15</v>
      </c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X13" s="3"/>
    </row>
    <row r="14" spans="1:26" s="2" customFormat="1" ht="49.5" x14ac:dyDescent="0.3">
      <c r="A14" s="13">
        <v>3</v>
      </c>
      <c r="B14" s="18" t="s">
        <v>16</v>
      </c>
      <c r="C14" s="13">
        <v>30</v>
      </c>
      <c r="D14" s="13">
        <v>30</v>
      </c>
      <c r="E14" s="14">
        <f t="shared" ref="E14:E22" si="0">G14/C14</f>
        <v>14750</v>
      </c>
      <c r="F14" s="15">
        <f t="shared" ref="F14:F22" si="1">D14*E14</f>
        <v>442500</v>
      </c>
      <c r="G14" s="19">
        <v>442500</v>
      </c>
      <c r="H14" s="13">
        <v>25</v>
      </c>
      <c r="I14" s="13">
        <v>25</v>
      </c>
      <c r="J14" s="14">
        <f t="shared" ref="J14:J22" si="2">L14/H14</f>
        <v>15750</v>
      </c>
      <c r="K14" s="15">
        <f t="shared" ref="K14:K22" si="3">I14*J14</f>
        <v>393750</v>
      </c>
      <c r="L14" s="19">
        <v>393750</v>
      </c>
      <c r="M14" s="13">
        <v>32</v>
      </c>
      <c r="N14" s="13">
        <v>32</v>
      </c>
      <c r="O14" s="14">
        <f t="shared" ref="O14:O22" si="4">Q14/M14</f>
        <v>14750</v>
      </c>
      <c r="P14" s="15">
        <f t="shared" ref="P14:P22" si="5">N14*O14</f>
        <v>472000</v>
      </c>
      <c r="Q14" s="19">
        <v>472000</v>
      </c>
      <c r="R14" s="16">
        <f t="shared" ref="R14:R22" si="6">D14+I14+N14</f>
        <v>87</v>
      </c>
      <c r="S14" s="17">
        <f t="shared" ref="S14:S22" si="7">F14+K14+P14</f>
        <v>1308250</v>
      </c>
      <c r="X14" s="3"/>
    </row>
    <row r="15" spans="1:26" s="2" customFormat="1" ht="33" x14ac:dyDescent="0.3">
      <c r="A15" s="13">
        <v>17</v>
      </c>
      <c r="B15" s="18" t="s">
        <v>20</v>
      </c>
      <c r="C15" s="13">
        <v>4</v>
      </c>
      <c r="D15" s="13"/>
      <c r="E15" s="14"/>
      <c r="F15" s="15"/>
      <c r="G15" s="19">
        <v>141200</v>
      </c>
      <c r="H15" s="13">
        <v>4</v>
      </c>
      <c r="I15" s="13">
        <v>4</v>
      </c>
      <c r="J15" s="14">
        <f t="shared" si="2"/>
        <v>23600</v>
      </c>
      <c r="K15" s="15">
        <f t="shared" si="3"/>
        <v>94400</v>
      </c>
      <c r="L15" s="19">
        <v>94400</v>
      </c>
      <c r="M15" s="13">
        <v>4</v>
      </c>
      <c r="N15" s="13">
        <v>4</v>
      </c>
      <c r="O15" s="14">
        <f t="shared" si="4"/>
        <v>23600</v>
      </c>
      <c r="P15" s="15">
        <f t="shared" si="5"/>
        <v>94400</v>
      </c>
      <c r="Q15" s="19">
        <v>94400</v>
      </c>
      <c r="R15" s="16">
        <f t="shared" si="6"/>
        <v>8</v>
      </c>
      <c r="S15" s="17">
        <f t="shared" si="7"/>
        <v>188800</v>
      </c>
      <c r="X15" s="3"/>
      <c r="Z15" s="58"/>
    </row>
    <row r="16" spans="1:26" s="2" customFormat="1" ht="49.5" x14ac:dyDescent="0.3">
      <c r="A16" s="13">
        <v>21</v>
      </c>
      <c r="B16" s="18" t="s">
        <v>21</v>
      </c>
      <c r="C16" s="13">
        <v>1</v>
      </c>
      <c r="D16" s="13">
        <v>1</v>
      </c>
      <c r="E16" s="14">
        <f t="shared" si="0"/>
        <v>18000</v>
      </c>
      <c r="F16" s="15">
        <f t="shared" si="1"/>
        <v>18000</v>
      </c>
      <c r="G16" s="19">
        <v>18000</v>
      </c>
      <c r="H16" s="13">
        <v>1</v>
      </c>
      <c r="I16" s="13">
        <v>1</v>
      </c>
      <c r="J16" s="14">
        <f t="shared" si="2"/>
        <v>17700</v>
      </c>
      <c r="K16" s="15">
        <f t="shared" si="3"/>
        <v>17700</v>
      </c>
      <c r="L16" s="19">
        <v>17700</v>
      </c>
      <c r="M16" s="13">
        <v>1</v>
      </c>
      <c r="N16" s="13">
        <v>1</v>
      </c>
      <c r="O16" s="14">
        <f t="shared" si="4"/>
        <v>18000</v>
      </c>
      <c r="P16" s="15">
        <f t="shared" si="5"/>
        <v>18000</v>
      </c>
      <c r="Q16" s="19">
        <v>18000</v>
      </c>
      <c r="R16" s="16">
        <f t="shared" si="6"/>
        <v>3</v>
      </c>
      <c r="S16" s="17">
        <f t="shared" si="7"/>
        <v>53700</v>
      </c>
      <c r="X16" s="3"/>
    </row>
    <row r="17" spans="1:24" s="2" customFormat="1" ht="33" x14ac:dyDescent="0.3">
      <c r="A17" s="13">
        <v>29</v>
      </c>
      <c r="B17" s="18" t="s">
        <v>25</v>
      </c>
      <c r="C17" s="13">
        <v>3</v>
      </c>
      <c r="D17" s="13">
        <v>3</v>
      </c>
      <c r="E17" s="14">
        <f t="shared" si="0"/>
        <v>23600</v>
      </c>
      <c r="F17" s="15">
        <f t="shared" si="1"/>
        <v>70800</v>
      </c>
      <c r="G17" s="19">
        <v>70800</v>
      </c>
      <c r="H17" s="13">
        <v>2</v>
      </c>
      <c r="I17" s="13"/>
      <c r="J17" s="14"/>
      <c r="K17" s="15"/>
      <c r="L17" s="19"/>
      <c r="M17" s="13"/>
      <c r="N17" s="13"/>
      <c r="O17" s="14"/>
      <c r="P17" s="15"/>
      <c r="Q17" s="19">
        <v>86250</v>
      </c>
      <c r="R17" s="16">
        <f t="shared" si="6"/>
        <v>3</v>
      </c>
      <c r="S17" s="17">
        <f t="shared" si="7"/>
        <v>70800</v>
      </c>
      <c r="X17" s="3"/>
    </row>
    <row r="18" spans="1:24" s="2" customFormat="1" ht="33" x14ac:dyDescent="0.3">
      <c r="A18" s="13">
        <v>30</v>
      </c>
      <c r="B18" s="18" t="s">
        <v>26</v>
      </c>
      <c r="C18" s="13">
        <v>10</v>
      </c>
      <c r="D18" s="13">
        <v>10</v>
      </c>
      <c r="E18" s="14">
        <f t="shared" si="0"/>
        <v>21250</v>
      </c>
      <c r="F18" s="15">
        <f t="shared" si="1"/>
        <v>212500</v>
      </c>
      <c r="G18" s="19">
        <v>212500</v>
      </c>
      <c r="H18" s="13">
        <v>10</v>
      </c>
      <c r="I18" s="13">
        <v>10</v>
      </c>
      <c r="J18" s="14">
        <f t="shared" si="2"/>
        <v>21200</v>
      </c>
      <c r="K18" s="15">
        <f t="shared" si="3"/>
        <v>212000</v>
      </c>
      <c r="L18" s="19">
        <v>212000</v>
      </c>
      <c r="M18" s="13">
        <v>8</v>
      </c>
      <c r="N18" s="13">
        <v>8</v>
      </c>
      <c r="O18" s="14">
        <f t="shared" si="4"/>
        <v>21200</v>
      </c>
      <c r="P18" s="15">
        <f t="shared" si="5"/>
        <v>169600</v>
      </c>
      <c r="Q18" s="21">
        <v>169600</v>
      </c>
      <c r="R18" s="16">
        <f t="shared" si="6"/>
        <v>28</v>
      </c>
      <c r="S18" s="17">
        <f t="shared" si="7"/>
        <v>594100</v>
      </c>
      <c r="X18" s="3"/>
    </row>
    <row r="19" spans="1:24" s="2" customFormat="1" ht="33" x14ac:dyDescent="0.3">
      <c r="A19" s="13">
        <v>34</v>
      </c>
      <c r="B19" s="18" t="s">
        <v>29</v>
      </c>
      <c r="C19" s="13">
        <v>14</v>
      </c>
      <c r="D19" s="13">
        <v>14</v>
      </c>
      <c r="E19" s="14">
        <f t="shared" si="0"/>
        <v>17700</v>
      </c>
      <c r="F19" s="15">
        <f t="shared" si="1"/>
        <v>247800</v>
      </c>
      <c r="G19" s="19">
        <v>247800</v>
      </c>
      <c r="H19" s="13">
        <v>10</v>
      </c>
      <c r="I19" s="13">
        <v>10</v>
      </c>
      <c r="J19" s="14">
        <f t="shared" si="2"/>
        <v>21200</v>
      </c>
      <c r="K19" s="15">
        <f t="shared" si="3"/>
        <v>212000</v>
      </c>
      <c r="L19" s="19">
        <v>212000</v>
      </c>
      <c r="M19" s="13">
        <v>13</v>
      </c>
      <c r="N19" s="13">
        <v>13</v>
      </c>
      <c r="O19" s="14">
        <f t="shared" si="4"/>
        <v>14400</v>
      </c>
      <c r="P19" s="15">
        <f t="shared" si="5"/>
        <v>187200</v>
      </c>
      <c r="Q19" s="21">
        <v>187200</v>
      </c>
      <c r="R19" s="16">
        <f t="shared" si="6"/>
        <v>37</v>
      </c>
      <c r="S19" s="17">
        <f t="shared" si="7"/>
        <v>647000</v>
      </c>
      <c r="X19" s="3"/>
    </row>
    <row r="20" spans="1:24" s="2" customFormat="1" ht="33" x14ac:dyDescent="0.3">
      <c r="A20" s="13">
        <v>36</v>
      </c>
      <c r="B20" s="18" t="s">
        <v>31</v>
      </c>
      <c r="C20" s="13">
        <v>2</v>
      </c>
      <c r="D20" s="13">
        <v>2</v>
      </c>
      <c r="E20" s="14">
        <f t="shared" si="0"/>
        <v>11800</v>
      </c>
      <c r="F20" s="15">
        <f t="shared" si="1"/>
        <v>23600</v>
      </c>
      <c r="G20" s="19">
        <v>23600</v>
      </c>
      <c r="H20" s="13">
        <v>2</v>
      </c>
      <c r="I20" s="13">
        <v>2</v>
      </c>
      <c r="J20" s="14">
        <f t="shared" si="2"/>
        <v>14100</v>
      </c>
      <c r="K20" s="15">
        <f t="shared" si="3"/>
        <v>28200</v>
      </c>
      <c r="L20" s="19">
        <v>28200</v>
      </c>
      <c r="M20" s="13">
        <v>2</v>
      </c>
      <c r="N20" s="13">
        <v>2</v>
      </c>
      <c r="O20" s="14">
        <f t="shared" si="4"/>
        <v>11800</v>
      </c>
      <c r="P20" s="15">
        <f t="shared" si="5"/>
        <v>23600</v>
      </c>
      <c r="Q20" s="19">
        <v>23600</v>
      </c>
      <c r="R20" s="16">
        <f t="shared" si="6"/>
        <v>6</v>
      </c>
      <c r="S20" s="17">
        <f t="shared" si="7"/>
        <v>75400</v>
      </c>
      <c r="X20" s="3"/>
    </row>
    <row r="21" spans="1:24" s="2" customFormat="1" ht="16.5" x14ac:dyDescent="0.3">
      <c r="A21" s="13">
        <v>37</v>
      </c>
      <c r="B21" s="18" t="s">
        <v>32</v>
      </c>
      <c r="C21" s="13">
        <v>10</v>
      </c>
      <c r="D21" s="13">
        <v>10</v>
      </c>
      <c r="E21" s="14">
        <f t="shared" si="0"/>
        <v>3550</v>
      </c>
      <c r="F21" s="15">
        <f t="shared" si="1"/>
        <v>35500</v>
      </c>
      <c r="G21" s="19">
        <v>35500</v>
      </c>
      <c r="H21" s="13">
        <v>10</v>
      </c>
      <c r="I21" s="13">
        <v>10</v>
      </c>
      <c r="J21" s="14">
        <f t="shared" si="2"/>
        <v>3550</v>
      </c>
      <c r="K21" s="15">
        <f t="shared" si="3"/>
        <v>35500</v>
      </c>
      <c r="L21" s="19">
        <v>35500</v>
      </c>
      <c r="M21" s="13">
        <v>10</v>
      </c>
      <c r="N21" s="13">
        <v>10</v>
      </c>
      <c r="O21" s="14">
        <f t="shared" si="4"/>
        <v>3550</v>
      </c>
      <c r="P21" s="15">
        <f t="shared" si="5"/>
        <v>35500</v>
      </c>
      <c r="Q21" s="19">
        <v>35500</v>
      </c>
      <c r="R21" s="16">
        <f t="shared" si="6"/>
        <v>30</v>
      </c>
      <c r="S21" s="17">
        <f t="shared" si="7"/>
        <v>106500</v>
      </c>
      <c r="X21" s="3"/>
    </row>
    <row r="22" spans="1:24" s="2" customFormat="1" ht="49.5" x14ac:dyDescent="0.3">
      <c r="A22" s="13">
        <v>39</v>
      </c>
      <c r="B22" s="18" t="s">
        <v>34</v>
      </c>
      <c r="C22" s="13">
        <v>7</v>
      </c>
      <c r="D22" s="13">
        <v>7</v>
      </c>
      <c r="E22" s="14">
        <f t="shared" si="0"/>
        <v>7000</v>
      </c>
      <c r="F22" s="15">
        <f t="shared" si="1"/>
        <v>49000</v>
      </c>
      <c r="G22" s="19">
        <v>49000</v>
      </c>
      <c r="H22" s="13">
        <v>6</v>
      </c>
      <c r="I22" s="13">
        <v>6</v>
      </c>
      <c r="J22" s="14">
        <f t="shared" si="2"/>
        <v>8200</v>
      </c>
      <c r="K22" s="15">
        <f t="shared" si="3"/>
        <v>49200</v>
      </c>
      <c r="L22" s="19">
        <v>49200</v>
      </c>
      <c r="M22" s="13">
        <v>6</v>
      </c>
      <c r="N22" s="13">
        <v>6</v>
      </c>
      <c r="O22" s="14">
        <f t="shared" si="4"/>
        <v>7000</v>
      </c>
      <c r="P22" s="15">
        <f t="shared" si="5"/>
        <v>42000</v>
      </c>
      <c r="Q22" s="19">
        <v>42000</v>
      </c>
      <c r="R22" s="16">
        <f t="shared" si="6"/>
        <v>19</v>
      </c>
      <c r="S22" s="17">
        <f t="shared" si="7"/>
        <v>140200</v>
      </c>
      <c r="X22" s="3"/>
    </row>
    <row r="23" spans="1:24" s="2" customFormat="1" ht="16.5" x14ac:dyDescent="0.3">
      <c r="A23" s="24"/>
      <c r="B23" s="25" t="s">
        <v>11</v>
      </c>
      <c r="C23" s="17"/>
      <c r="D23" s="17"/>
      <c r="E23" s="17"/>
      <c r="F23" s="17">
        <f>SUM(F14:F22)</f>
        <v>1099700</v>
      </c>
      <c r="G23" s="17">
        <f>SUM(G14:G22)</f>
        <v>1240900</v>
      </c>
      <c r="H23" s="17"/>
      <c r="I23" s="17"/>
      <c r="J23" s="17"/>
      <c r="K23" s="17">
        <f>SUM(K14:K22)</f>
        <v>1042750</v>
      </c>
      <c r="L23" s="17">
        <f>SUM(L14:L22)</f>
        <v>1042750</v>
      </c>
      <c r="M23" s="17"/>
      <c r="N23" s="17"/>
      <c r="O23" s="17"/>
      <c r="P23" s="17">
        <f>SUM(P14:P22)</f>
        <v>1042300</v>
      </c>
      <c r="Q23" s="17">
        <f>SUM(Q14:Q22)</f>
        <v>1128550</v>
      </c>
      <c r="R23" s="17"/>
      <c r="S23" s="17">
        <f>SUM(S14:S22)</f>
        <v>3184750</v>
      </c>
      <c r="X23" s="3"/>
    </row>
    <row r="24" spans="1:24" s="2" customFormat="1" ht="16.5" x14ac:dyDescent="0.3">
      <c r="A24" s="1"/>
      <c r="S24" s="3"/>
      <c r="X24" s="3"/>
    </row>
    <row r="25" spans="1:24" s="2" customFormat="1" ht="16.5" x14ac:dyDescent="0.3">
      <c r="A25" s="1"/>
      <c r="X25" s="3"/>
    </row>
    <row r="26" spans="1:24" s="2" customFormat="1" ht="20.25" x14ac:dyDescent="0.3">
      <c r="A26" s="1"/>
      <c r="R26" s="157" t="s">
        <v>35</v>
      </c>
      <c r="S26" s="157"/>
      <c r="X26" s="3"/>
    </row>
    <row r="27" spans="1:24" s="2" customFormat="1" ht="16.5" x14ac:dyDescent="0.3">
      <c r="A27" s="158" t="s">
        <v>36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X27" s="3"/>
    </row>
    <row r="28" spans="1:24" s="2" customFormat="1" ht="16.5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X28" s="3"/>
    </row>
    <row r="29" spans="1:24" s="2" customFormat="1" ht="16.5" x14ac:dyDescent="0.3">
      <c r="A29" s="1"/>
      <c r="R29" s="159" t="s">
        <v>5</v>
      </c>
      <c r="S29" s="159"/>
      <c r="X29" s="3"/>
    </row>
    <row r="30" spans="1:24" s="2" customFormat="1" ht="16.5" x14ac:dyDescent="0.3">
      <c r="A30" s="160" t="s">
        <v>6</v>
      </c>
      <c r="B30" s="163" t="s">
        <v>7</v>
      </c>
      <c r="C30" s="9"/>
      <c r="D30" s="152" t="s">
        <v>37</v>
      </c>
      <c r="E30" s="152"/>
      <c r="F30" s="152"/>
      <c r="G30" s="152"/>
      <c r="H30" s="152" t="s">
        <v>38</v>
      </c>
      <c r="I30" s="152"/>
      <c r="J30" s="152"/>
      <c r="K30" s="152"/>
      <c r="L30" s="152"/>
      <c r="M30" s="152" t="s">
        <v>39</v>
      </c>
      <c r="N30" s="152"/>
      <c r="O30" s="152"/>
      <c r="P30" s="152"/>
      <c r="Q30" s="152"/>
      <c r="R30" s="152" t="s">
        <v>11</v>
      </c>
      <c r="S30" s="152"/>
      <c r="X30" s="3"/>
    </row>
    <row r="31" spans="1:24" s="2" customFormat="1" ht="33" x14ac:dyDescent="0.3">
      <c r="A31" s="161"/>
      <c r="B31" s="164"/>
      <c r="C31" s="10" t="s">
        <v>12</v>
      </c>
      <c r="D31" s="10" t="s">
        <v>12</v>
      </c>
      <c r="E31" s="10" t="s">
        <v>13</v>
      </c>
      <c r="F31" s="11" t="s">
        <v>14</v>
      </c>
      <c r="G31" s="11" t="s">
        <v>14</v>
      </c>
      <c r="H31" s="10" t="s">
        <v>12</v>
      </c>
      <c r="I31" s="10" t="s">
        <v>12</v>
      </c>
      <c r="J31" s="10" t="s">
        <v>13</v>
      </c>
      <c r="K31" s="11" t="s">
        <v>14</v>
      </c>
      <c r="L31" s="11" t="s">
        <v>14</v>
      </c>
      <c r="M31" s="10" t="s">
        <v>12</v>
      </c>
      <c r="N31" s="10" t="s">
        <v>12</v>
      </c>
      <c r="O31" s="10" t="s">
        <v>13</v>
      </c>
      <c r="P31" s="11" t="s">
        <v>14</v>
      </c>
      <c r="Q31" s="11" t="s">
        <v>14</v>
      </c>
      <c r="R31" s="10" t="s">
        <v>12</v>
      </c>
      <c r="S31" s="11" t="s">
        <v>14</v>
      </c>
      <c r="X31" s="3"/>
    </row>
    <row r="32" spans="1:24" s="2" customFormat="1" ht="18.75" x14ac:dyDescent="0.3">
      <c r="A32" s="162"/>
      <c r="B32" s="165"/>
      <c r="C32" s="12"/>
      <c r="D32" s="153" t="s">
        <v>40</v>
      </c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X32" s="3"/>
    </row>
    <row r="33" spans="1:24" s="2" customFormat="1" ht="49.5" x14ac:dyDescent="0.3">
      <c r="A33" s="13">
        <v>3</v>
      </c>
      <c r="B33" s="18" t="s">
        <v>16</v>
      </c>
      <c r="C33" s="23">
        <v>40</v>
      </c>
      <c r="D33" s="23">
        <v>40</v>
      </c>
      <c r="E33" s="26">
        <f t="shared" ref="E33:E46" si="8">G33/C33</f>
        <v>15000</v>
      </c>
      <c r="F33" s="15">
        <f t="shared" ref="F33:F46" si="9">D33*E33</f>
        <v>600000</v>
      </c>
      <c r="G33" s="19">
        <v>600000</v>
      </c>
      <c r="H33" s="23">
        <v>30</v>
      </c>
      <c r="I33" s="23">
        <v>30</v>
      </c>
      <c r="J33" s="29">
        <f t="shared" ref="J33:J46" si="10">L33/H33</f>
        <v>15000</v>
      </c>
      <c r="K33" s="15">
        <f t="shared" ref="K33:K46" si="11">I33*J33</f>
        <v>450000</v>
      </c>
      <c r="L33" s="19">
        <v>450000</v>
      </c>
      <c r="M33" s="23">
        <v>12</v>
      </c>
      <c r="N33" s="23">
        <v>12</v>
      </c>
      <c r="O33" s="29">
        <f t="shared" ref="O33:O46" si="12">Q33/M33</f>
        <v>15000</v>
      </c>
      <c r="P33" s="15">
        <f t="shared" ref="P33:P46" si="13">N33*O33</f>
        <v>180000</v>
      </c>
      <c r="Q33" s="19">
        <v>180000</v>
      </c>
      <c r="R33" s="16">
        <f t="shared" ref="R33:R46" si="14">D33+I33+N33</f>
        <v>82</v>
      </c>
      <c r="S33" s="17">
        <f t="shared" ref="S33:S46" si="15">F33+K33+P33</f>
        <v>1230000</v>
      </c>
      <c r="X33" s="3"/>
    </row>
    <row r="34" spans="1:24" s="2" customFormat="1" ht="33" x14ac:dyDescent="0.3">
      <c r="A34" s="13">
        <v>13</v>
      </c>
      <c r="B34" s="18" t="s">
        <v>18</v>
      </c>
      <c r="C34" s="23">
        <v>3</v>
      </c>
      <c r="D34" s="23">
        <v>3</v>
      </c>
      <c r="E34" s="26">
        <f t="shared" si="8"/>
        <v>20000</v>
      </c>
      <c r="F34" s="15">
        <f t="shared" si="9"/>
        <v>60000</v>
      </c>
      <c r="G34" s="19">
        <v>60000</v>
      </c>
      <c r="H34" s="23">
        <v>2</v>
      </c>
      <c r="I34" s="23">
        <v>2</v>
      </c>
      <c r="J34" s="29">
        <f t="shared" si="10"/>
        <v>20000</v>
      </c>
      <c r="K34" s="15">
        <f t="shared" si="11"/>
        <v>40000</v>
      </c>
      <c r="L34" s="19">
        <v>40000</v>
      </c>
      <c r="M34" s="23">
        <v>1</v>
      </c>
      <c r="N34" s="23">
        <v>1</v>
      </c>
      <c r="O34" s="29">
        <f t="shared" si="12"/>
        <v>20000</v>
      </c>
      <c r="P34" s="15">
        <f t="shared" si="13"/>
        <v>20000</v>
      </c>
      <c r="Q34" s="19">
        <v>20000</v>
      </c>
      <c r="R34" s="16">
        <f t="shared" si="14"/>
        <v>6</v>
      </c>
      <c r="S34" s="17">
        <f t="shared" si="15"/>
        <v>120000</v>
      </c>
      <c r="X34" s="3"/>
    </row>
    <row r="35" spans="1:24" s="2" customFormat="1" ht="16.5" x14ac:dyDescent="0.3">
      <c r="A35" s="13">
        <v>14</v>
      </c>
      <c r="B35" s="18" t="s">
        <v>19</v>
      </c>
      <c r="C35" s="23">
        <v>1</v>
      </c>
      <c r="D35" s="23">
        <v>1</v>
      </c>
      <c r="E35" s="26">
        <f t="shared" si="8"/>
        <v>5000</v>
      </c>
      <c r="F35" s="15">
        <f t="shared" si="9"/>
        <v>5000</v>
      </c>
      <c r="G35" s="19">
        <v>5000</v>
      </c>
      <c r="H35" s="23">
        <v>1</v>
      </c>
      <c r="I35" s="23">
        <v>1</v>
      </c>
      <c r="J35" s="29">
        <f t="shared" si="10"/>
        <v>5000</v>
      </c>
      <c r="K35" s="15">
        <f t="shared" si="11"/>
        <v>5000</v>
      </c>
      <c r="L35" s="19">
        <v>5000</v>
      </c>
      <c r="M35" s="13"/>
      <c r="N35" s="13"/>
      <c r="O35" s="29"/>
      <c r="P35" s="15"/>
      <c r="Q35" s="19"/>
      <c r="R35" s="16">
        <f t="shared" si="14"/>
        <v>2</v>
      </c>
      <c r="S35" s="17">
        <f t="shared" si="15"/>
        <v>10000</v>
      </c>
      <c r="X35" s="3"/>
    </row>
    <row r="36" spans="1:24" s="2" customFormat="1" ht="33" x14ac:dyDescent="0.3">
      <c r="A36" s="13">
        <v>17</v>
      </c>
      <c r="B36" s="18" t="s">
        <v>20</v>
      </c>
      <c r="C36" s="23">
        <v>4</v>
      </c>
      <c r="D36" s="23">
        <v>4</v>
      </c>
      <c r="E36" s="26">
        <f t="shared" si="8"/>
        <v>15000</v>
      </c>
      <c r="F36" s="15">
        <f t="shared" si="9"/>
        <v>60000</v>
      </c>
      <c r="G36" s="19">
        <v>60000</v>
      </c>
      <c r="H36" s="23">
        <v>4</v>
      </c>
      <c r="I36" s="23">
        <v>4</v>
      </c>
      <c r="J36" s="29">
        <f t="shared" si="10"/>
        <v>15000</v>
      </c>
      <c r="K36" s="15">
        <f t="shared" si="11"/>
        <v>60000</v>
      </c>
      <c r="L36" s="19">
        <v>60000</v>
      </c>
      <c r="M36" s="23">
        <v>3</v>
      </c>
      <c r="N36" s="23">
        <v>3</v>
      </c>
      <c r="O36" s="29">
        <f t="shared" si="12"/>
        <v>15000</v>
      </c>
      <c r="P36" s="15">
        <f t="shared" si="13"/>
        <v>45000</v>
      </c>
      <c r="Q36" s="19">
        <v>45000</v>
      </c>
      <c r="R36" s="16">
        <f t="shared" si="14"/>
        <v>11</v>
      </c>
      <c r="S36" s="17">
        <f t="shared" si="15"/>
        <v>165000</v>
      </c>
      <c r="X36" s="3"/>
    </row>
    <row r="37" spans="1:24" s="2" customFormat="1" ht="49.5" x14ac:dyDescent="0.3">
      <c r="A37" s="13">
        <v>21</v>
      </c>
      <c r="B37" s="18" t="s">
        <v>21</v>
      </c>
      <c r="C37" s="23">
        <v>1</v>
      </c>
      <c r="D37" s="23">
        <v>1</v>
      </c>
      <c r="E37" s="26">
        <f t="shared" si="8"/>
        <v>20000</v>
      </c>
      <c r="F37" s="15">
        <f t="shared" si="9"/>
        <v>20000</v>
      </c>
      <c r="G37" s="19">
        <v>20000</v>
      </c>
      <c r="H37" s="23">
        <v>1</v>
      </c>
      <c r="I37" s="23">
        <v>1</v>
      </c>
      <c r="J37" s="29">
        <f t="shared" si="10"/>
        <v>20000</v>
      </c>
      <c r="K37" s="15">
        <f t="shared" si="11"/>
        <v>20000</v>
      </c>
      <c r="L37" s="19">
        <v>20000</v>
      </c>
      <c r="M37" s="23">
        <v>1</v>
      </c>
      <c r="N37" s="23">
        <v>1</v>
      </c>
      <c r="O37" s="29">
        <f t="shared" si="12"/>
        <v>20000</v>
      </c>
      <c r="P37" s="15">
        <f t="shared" si="13"/>
        <v>20000</v>
      </c>
      <c r="Q37" s="19">
        <v>20000</v>
      </c>
      <c r="R37" s="16">
        <f t="shared" si="14"/>
        <v>3</v>
      </c>
      <c r="S37" s="17">
        <f t="shared" si="15"/>
        <v>60000</v>
      </c>
      <c r="X37" s="3"/>
    </row>
    <row r="38" spans="1:24" s="2" customFormat="1" ht="16.5" x14ac:dyDescent="0.3">
      <c r="A38" s="13">
        <v>25</v>
      </c>
      <c r="B38" s="18" t="s">
        <v>23</v>
      </c>
      <c r="C38" s="23">
        <v>4</v>
      </c>
      <c r="D38" s="23">
        <v>4</v>
      </c>
      <c r="E38" s="26">
        <f t="shared" si="8"/>
        <v>15000</v>
      </c>
      <c r="F38" s="15">
        <f t="shared" si="9"/>
        <v>60000</v>
      </c>
      <c r="G38" s="19">
        <v>60000</v>
      </c>
      <c r="H38" s="23">
        <v>2</v>
      </c>
      <c r="I38" s="23">
        <v>2</v>
      </c>
      <c r="J38" s="29">
        <f t="shared" si="10"/>
        <v>15000</v>
      </c>
      <c r="K38" s="15">
        <f t="shared" si="11"/>
        <v>30000</v>
      </c>
      <c r="L38" s="19">
        <v>30000</v>
      </c>
      <c r="M38" s="23">
        <v>4</v>
      </c>
      <c r="N38" s="23">
        <v>4</v>
      </c>
      <c r="O38" s="29">
        <f t="shared" si="12"/>
        <v>15000</v>
      </c>
      <c r="P38" s="15">
        <f t="shared" si="13"/>
        <v>60000</v>
      </c>
      <c r="Q38" s="19">
        <v>60000</v>
      </c>
      <c r="R38" s="16">
        <f t="shared" si="14"/>
        <v>10</v>
      </c>
      <c r="S38" s="17">
        <f t="shared" si="15"/>
        <v>150000</v>
      </c>
      <c r="X38" s="3"/>
    </row>
    <row r="39" spans="1:24" s="2" customFormat="1" ht="49.5" x14ac:dyDescent="0.3">
      <c r="A39" s="13">
        <v>27</v>
      </c>
      <c r="B39" s="18" t="s">
        <v>24</v>
      </c>
      <c r="C39" s="23">
        <v>1</v>
      </c>
      <c r="D39" s="23">
        <v>1</v>
      </c>
      <c r="E39" s="26">
        <f t="shared" si="8"/>
        <v>25000</v>
      </c>
      <c r="F39" s="15">
        <f t="shared" si="9"/>
        <v>25000</v>
      </c>
      <c r="G39" s="19">
        <v>25000</v>
      </c>
      <c r="H39" s="23">
        <v>1</v>
      </c>
      <c r="I39" s="23">
        <v>1</v>
      </c>
      <c r="J39" s="29">
        <f t="shared" si="10"/>
        <v>25000</v>
      </c>
      <c r="K39" s="15">
        <f t="shared" si="11"/>
        <v>25000</v>
      </c>
      <c r="L39" s="19">
        <v>25000</v>
      </c>
      <c r="M39" s="23">
        <v>1</v>
      </c>
      <c r="N39" s="23">
        <v>1</v>
      </c>
      <c r="O39" s="29">
        <f t="shared" si="12"/>
        <v>25000</v>
      </c>
      <c r="P39" s="15">
        <f t="shared" si="13"/>
        <v>25000</v>
      </c>
      <c r="Q39" s="19">
        <v>25000</v>
      </c>
      <c r="R39" s="16">
        <f t="shared" si="14"/>
        <v>3</v>
      </c>
      <c r="S39" s="17">
        <f t="shared" si="15"/>
        <v>75000</v>
      </c>
      <c r="X39" s="3"/>
    </row>
    <row r="40" spans="1:24" s="2" customFormat="1" ht="33" x14ac:dyDescent="0.3">
      <c r="A40" s="13">
        <v>29</v>
      </c>
      <c r="B40" s="18" t="s">
        <v>25</v>
      </c>
      <c r="C40" s="23">
        <v>4</v>
      </c>
      <c r="D40" s="23">
        <v>4</v>
      </c>
      <c r="E40" s="26">
        <f t="shared" si="8"/>
        <v>20000</v>
      </c>
      <c r="F40" s="15">
        <f t="shared" si="9"/>
        <v>80000</v>
      </c>
      <c r="G40" s="19">
        <v>80000</v>
      </c>
      <c r="H40" s="23">
        <v>2</v>
      </c>
      <c r="I40" s="23">
        <v>2</v>
      </c>
      <c r="J40" s="29">
        <f t="shared" si="10"/>
        <v>20000</v>
      </c>
      <c r="K40" s="15">
        <f t="shared" si="11"/>
        <v>40000</v>
      </c>
      <c r="L40" s="19">
        <v>40000</v>
      </c>
      <c r="M40" s="23">
        <v>2</v>
      </c>
      <c r="N40" s="23">
        <v>2</v>
      </c>
      <c r="O40" s="29">
        <f t="shared" si="12"/>
        <v>20000</v>
      </c>
      <c r="P40" s="15">
        <f t="shared" si="13"/>
        <v>40000</v>
      </c>
      <c r="Q40" s="19">
        <v>40000</v>
      </c>
      <c r="R40" s="16">
        <f t="shared" si="14"/>
        <v>8</v>
      </c>
      <c r="S40" s="17">
        <f t="shared" si="15"/>
        <v>160000</v>
      </c>
      <c r="X40" s="3"/>
    </row>
    <row r="41" spans="1:24" s="2" customFormat="1" ht="16.5" x14ac:dyDescent="0.3">
      <c r="A41" s="13">
        <v>32</v>
      </c>
      <c r="B41" s="18" t="s">
        <v>27</v>
      </c>
      <c r="C41" s="23">
        <v>8</v>
      </c>
      <c r="D41" s="23">
        <v>8</v>
      </c>
      <c r="E41" s="26">
        <f t="shared" si="8"/>
        <v>25000</v>
      </c>
      <c r="F41" s="15">
        <f t="shared" si="9"/>
        <v>200000</v>
      </c>
      <c r="G41" s="19">
        <v>200000</v>
      </c>
      <c r="H41" s="23">
        <v>8</v>
      </c>
      <c r="I41" s="23">
        <v>8</v>
      </c>
      <c r="J41" s="29">
        <f t="shared" si="10"/>
        <v>25000</v>
      </c>
      <c r="K41" s="15">
        <f t="shared" si="11"/>
        <v>200000</v>
      </c>
      <c r="L41" s="19">
        <v>200000</v>
      </c>
      <c r="M41" s="23">
        <v>6</v>
      </c>
      <c r="N41" s="23">
        <v>6</v>
      </c>
      <c r="O41" s="29">
        <f t="shared" si="12"/>
        <v>25000</v>
      </c>
      <c r="P41" s="15">
        <f t="shared" si="13"/>
        <v>150000</v>
      </c>
      <c r="Q41" s="19">
        <v>150000</v>
      </c>
      <c r="R41" s="16">
        <f t="shared" si="14"/>
        <v>22</v>
      </c>
      <c r="S41" s="17">
        <f t="shared" si="15"/>
        <v>550000</v>
      </c>
      <c r="X41" s="3"/>
    </row>
    <row r="42" spans="1:24" s="2" customFormat="1" ht="33" x14ac:dyDescent="0.3">
      <c r="A42" s="13">
        <v>34</v>
      </c>
      <c r="B42" s="18" t="s">
        <v>29</v>
      </c>
      <c r="C42" s="23">
        <v>10</v>
      </c>
      <c r="D42" s="23">
        <v>10</v>
      </c>
      <c r="E42" s="26">
        <f t="shared" si="8"/>
        <v>7000</v>
      </c>
      <c r="F42" s="15">
        <f t="shared" si="9"/>
        <v>70000</v>
      </c>
      <c r="G42" s="19">
        <v>70000</v>
      </c>
      <c r="H42" s="23">
        <v>21</v>
      </c>
      <c r="I42" s="23">
        <v>21</v>
      </c>
      <c r="J42" s="29">
        <f t="shared" si="10"/>
        <v>7000</v>
      </c>
      <c r="K42" s="15">
        <f t="shared" si="11"/>
        <v>147000</v>
      </c>
      <c r="L42" s="19">
        <v>147000</v>
      </c>
      <c r="M42" s="23">
        <v>5</v>
      </c>
      <c r="N42" s="23">
        <v>5</v>
      </c>
      <c r="O42" s="29">
        <f t="shared" si="12"/>
        <v>7000</v>
      </c>
      <c r="P42" s="15">
        <f t="shared" si="13"/>
        <v>35000</v>
      </c>
      <c r="Q42" s="19">
        <v>35000</v>
      </c>
      <c r="R42" s="16">
        <f t="shared" si="14"/>
        <v>36</v>
      </c>
      <c r="S42" s="17">
        <f t="shared" si="15"/>
        <v>252000</v>
      </c>
      <c r="X42" s="3"/>
    </row>
    <row r="43" spans="1:24" s="2" customFormat="1" ht="33" x14ac:dyDescent="0.3">
      <c r="A43" s="13">
        <v>36</v>
      </c>
      <c r="B43" s="18" t="s">
        <v>31</v>
      </c>
      <c r="C43" s="23">
        <v>2</v>
      </c>
      <c r="D43" s="23">
        <v>2</v>
      </c>
      <c r="E43" s="26">
        <f t="shared" si="8"/>
        <v>5000</v>
      </c>
      <c r="F43" s="15">
        <f t="shared" si="9"/>
        <v>10000</v>
      </c>
      <c r="G43" s="19">
        <v>10000</v>
      </c>
      <c r="H43" s="23">
        <v>2</v>
      </c>
      <c r="I43" s="23">
        <v>2</v>
      </c>
      <c r="J43" s="29">
        <f t="shared" si="10"/>
        <v>5000</v>
      </c>
      <c r="K43" s="15">
        <f t="shared" si="11"/>
        <v>10000</v>
      </c>
      <c r="L43" s="19">
        <v>10000</v>
      </c>
      <c r="M43" s="23">
        <v>2</v>
      </c>
      <c r="N43" s="23">
        <v>2</v>
      </c>
      <c r="O43" s="29">
        <f t="shared" si="12"/>
        <v>5000</v>
      </c>
      <c r="P43" s="15">
        <f t="shared" si="13"/>
        <v>10000</v>
      </c>
      <c r="Q43" s="19">
        <v>10000</v>
      </c>
      <c r="R43" s="16">
        <f t="shared" si="14"/>
        <v>6</v>
      </c>
      <c r="S43" s="17">
        <f t="shared" si="15"/>
        <v>30000</v>
      </c>
      <c r="X43" s="3"/>
    </row>
    <row r="44" spans="1:24" s="2" customFormat="1" ht="16.5" x14ac:dyDescent="0.3">
      <c r="A44" s="13">
        <v>37</v>
      </c>
      <c r="B44" s="18" t="s">
        <v>32</v>
      </c>
      <c r="C44" s="23">
        <v>10</v>
      </c>
      <c r="D44" s="23">
        <v>10</v>
      </c>
      <c r="E44" s="26">
        <f t="shared" si="8"/>
        <v>8000</v>
      </c>
      <c r="F44" s="15">
        <f t="shared" si="9"/>
        <v>80000</v>
      </c>
      <c r="G44" s="19">
        <v>80000</v>
      </c>
      <c r="H44" s="23">
        <v>15</v>
      </c>
      <c r="I44" s="23">
        <v>15</v>
      </c>
      <c r="J44" s="29">
        <f t="shared" si="10"/>
        <v>8000</v>
      </c>
      <c r="K44" s="15">
        <f t="shared" si="11"/>
        <v>120000</v>
      </c>
      <c r="L44" s="19">
        <v>120000</v>
      </c>
      <c r="M44" s="23">
        <v>8</v>
      </c>
      <c r="N44" s="23">
        <v>8</v>
      </c>
      <c r="O44" s="29">
        <f t="shared" si="12"/>
        <v>8000</v>
      </c>
      <c r="P44" s="15">
        <f t="shared" si="13"/>
        <v>64000</v>
      </c>
      <c r="Q44" s="19">
        <v>64000</v>
      </c>
      <c r="R44" s="16">
        <f t="shared" si="14"/>
        <v>33</v>
      </c>
      <c r="S44" s="17">
        <f t="shared" si="15"/>
        <v>264000</v>
      </c>
      <c r="X44" s="3"/>
    </row>
    <row r="45" spans="1:24" s="2" customFormat="1" ht="16.5" x14ac:dyDescent="0.3">
      <c r="A45" s="13">
        <v>38</v>
      </c>
      <c r="B45" s="18" t="s">
        <v>33</v>
      </c>
      <c r="C45" s="23">
        <v>4</v>
      </c>
      <c r="D45" s="23">
        <v>4</v>
      </c>
      <c r="E45" s="26">
        <f t="shared" si="8"/>
        <v>12000</v>
      </c>
      <c r="F45" s="15">
        <f t="shared" si="9"/>
        <v>48000</v>
      </c>
      <c r="G45" s="19">
        <v>48000</v>
      </c>
      <c r="H45" s="23">
        <v>4</v>
      </c>
      <c r="I45" s="23">
        <v>4</v>
      </c>
      <c r="J45" s="29">
        <f t="shared" si="10"/>
        <v>12000</v>
      </c>
      <c r="K45" s="15">
        <f t="shared" si="11"/>
        <v>48000</v>
      </c>
      <c r="L45" s="19">
        <v>48000</v>
      </c>
      <c r="M45" s="23">
        <v>2</v>
      </c>
      <c r="N45" s="23">
        <v>2</v>
      </c>
      <c r="O45" s="29">
        <f t="shared" si="12"/>
        <v>12000</v>
      </c>
      <c r="P45" s="15">
        <f t="shared" si="13"/>
        <v>24000</v>
      </c>
      <c r="Q45" s="19">
        <v>24000</v>
      </c>
      <c r="R45" s="16">
        <f t="shared" si="14"/>
        <v>10</v>
      </c>
      <c r="S45" s="17">
        <f t="shared" si="15"/>
        <v>120000</v>
      </c>
      <c r="X45" s="3"/>
    </row>
    <row r="46" spans="1:24" s="2" customFormat="1" ht="49.5" x14ac:dyDescent="0.3">
      <c r="A46" s="13">
        <v>39</v>
      </c>
      <c r="B46" s="18" t="s">
        <v>34</v>
      </c>
      <c r="C46" s="23">
        <v>7</v>
      </c>
      <c r="D46" s="23">
        <v>7</v>
      </c>
      <c r="E46" s="26">
        <f t="shared" si="8"/>
        <v>10000</v>
      </c>
      <c r="F46" s="15">
        <f t="shared" si="9"/>
        <v>70000</v>
      </c>
      <c r="G46" s="19">
        <v>70000</v>
      </c>
      <c r="H46" s="23">
        <v>6</v>
      </c>
      <c r="I46" s="23">
        <v>6</v>
      </c>
      <c r="J46" s="29">
        <f t="shared" si="10"/>
        <v>10000</v>
      </c>
      <c r="K46" s="15">
        <f t="shared" si="11"/>
        <v>60000</v>
      </c>
      <c r="L46" s="19">
        <v>60000</v>
      </c>
      <c r="M46" s="23">
        <v>5</v>
      </c>
      <c r="N46" s="23">
        <v>5</v>
      </c>
      <c r="O46" s="29">
        <f t="shared" si="12"/>
        <v>10000</v>
      </c>
      <c r="P46" s="15">
        <f t="shared" si="13"/>
        <v>50000</v>
      </c>
      <c r="Q46" s="19">
        <v>50000</v>
      </c>
      <c r="R46" s="16">
        <f t="shared" si="14"/>
        <v>18</v>
      </c>
      <c r="S46" s="17">
        <f t="shared" si="15"/>
        <v>180000</v>
      </c>
      <c r="X46" s="3"/>
    </row>
    <row r="47" spans="1:24" s="2" customFormat="1" ht="16.5" x14ac:dyDescent="0.3">
      <c r="A47" s="24"/>
      <c r="B47" s="25" t="s">
        <v>11</v>
      </c>
      <c r="C47" s="17"/>
      <c r="D47" s="17"/>
      <c r="E47" s="17"/>
      <c r="F47" s="17">
        <f>SUM(F33:F46)</f>
        <v>1388000</v>
      </c>
      <c r="G47" s="17">
        <f>SUM(G33:G46)</f>
        <v>1388000</v>
      </c>
      <c r="H47" s="17"/>
      <c r="I47" s="17"/>
      <c r="J47" s="17"/>
      <c r="K47" s="28">
        <f>SUM(K33:K46)</f>
        <v>1255000</v>
      </c>
      <c r="L47" s="17">
        <f>SUM(L33:L46)</f>
        <v>1255000</v>
      </c>
      <c r="M47" s="17"/>
      <c r="N47" s="17"/>
      <c r="O47" s="17"/>
      <c r="P47" s="17">
        <f>SUM(P33:P46)</f>
        <v>723000</v>
      </c>
      <c r="Q47" s="17">
        <f>SUM(Q33:Q46)</f>
        <v>723000</v>
      </c>
      <c r="R47" s="17"/>
      <c r="S47" s="17">
        <f>SUM(S33:S46)</f>
        <v>3366000</v>
      </c>
      <c r="X47" s="3"/>
    </row>
    <row r="48" spans="1:24" s="2" customFormat="1" ht="16.5" x14ac:dyDescent="0.3">
      <c r="A48" s="1"/>
      <c r="S48" s="3"/>
      <c r="X48" s="3"/>
    </row>
    <row r="49" spans="1:24" s="2" customFormat="1" ht="16.5" x14ac:dyDescent="0.3">
      <c r="A49" s="1"/>
      <c r="X49" s="3"/>
    </row>
    <row r="50" spans="1:24" s="2" customFormat="1" ht="20.25" x14ac:dyDescent="0.3">
      <c r="A50" s="1"/>
      <c r="R50" s="157" t="s">
        <v>41</v>
      </c>
      <c r="S50" s="157"/>
      <c r="X50" s="3"/>
    </row>
    <row r="51" spans="1:24" s="2" customFormat="1" ht="23.25" customHeight="1" x14ac:dyDescent="0.3">
      <c r="A51" s="158" t="s">
        <v>42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X51" s="3"/>
    </row>
    <row r="52" spans="1:24" s="2" customFormat="1" ht="16.5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X52" s="3"/>
    </row>
    <row r="53" spans="1:24" s="2" customFormat="1" ht="16.5" x14ac:dyDescent="0.3">
      <c r="A53" s="1"/>
      <c r="M53" s="159" t="s">
        <v>5</v>
      </c>
      <c r="N53" s="159"/>
      <c r="O53" s="159"/>
      <c r="P53" s="159"/>
      <c r="Q53" s="159"/>
      <c r="X53" s="3"/>
    </row>
    <row r="54" spans="1:24" s="2" customFormat="1" ht="16.5" x14ac:dyDescent="0.3">
      <c r="A54" s="160" t="s">
        <v>6</v>
      </c>
      <c r="B54" s="163" t="s">
        <v>7</v>
      </c>
      <c r="C54" s="9"/>
      <c r="D54" s="152" t="s">
        <v>43</v>
      </c>
      <c r="E54" s="152"/>
      <c r="F54" s="152"/>
      <c r="G54" s="152"/>
      <c r="H54" s="152" t="s">
        <v>44</v>
      </c>
      <c r="I54" s="152"/>
      <c r="J54" s="152"/>
      <c r="K54" s="152"/>
      <c r="L54" s="152"/>
      <c r="M54" s="152" t="s">
        <v>11</v>
      </c>
      <c r="N54" s="152"/>
      <c r="O54" s="152"/>
      <c r="P54" s="152"/>
      <c r="Q54" s="152"/>
      <c r="R54" s="166"/>
      <c r="S54" s="166"/>
      <c r="X54" s="3"/>
    </row>
    <row r="55" spans="1:24" s="2" customFormat="1" ht="16.5" x14ac:dyDescent="0.3">
      <c r="A55" s="161"/>
      <c r="B55" s="164"/>
      <c r="C55" s="10" t="s">
        <v>12</v>
      </c>
      <c r="D55" s="10" t="s">
        <v>12</v>
      </c>
      <c r="E55" s="10"/>
      <c r="F55" s="11" t="s">
        <v>14</v>
      </c>
      <c r="G55" s="11" t="s">
        <v>14</v>
      </c>
      <c r="H55" s="10" t="s">
        <v>12</v>
      </c>
      <c r="I55" s="10" t="s">
        <v>12</v>
      </c>
      <c r="J55" s="10"/>
      <c r="K55" s="11" t="s">
        <v>14</v>
      </c>
      <c r="L55" s="11" t="s">
        <v>14</v>
      </c>
      <c r="M55" s="10" t="s">
        <v>12</v>
      </c>
      <c r="N55" s="10" t="s">
        <v>12</v>
      </c>
      <c r="O55" s="10"/>
      <c r="P55" s="11" t="s">
        <v>14</v>
      </c>
      <c r="Q55" s="11" t="s">
        <v>14</v>
      </c>
      <c r="R55" s="31"/>
      <c r="S55" s="32"/>
      <c r="X55" s="3"/>
    </row>
    <row r="56" spans="1:24" s="2" customFormat="1" ht="18.75" x14ac:dyDescent="0.3">
      <c r="A56" s="162"/>
      <c r="B56" s="165"/>
      <c r="C56" s="33"/>
      <c r="D56" s="153" t="s">
        <v>45</v>
      </c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34"/>
      <c r="S56" s="34"/>
      <c r="X56" s="3"/>
    </row>
    <row r="57" spans="1:24" s="2" customFormat="1" ht="49.5" x14ac:dyDescent="0.3">
      <c r="A57" s="13">
        <v>3</v>
      </c>
      <c r="B57" s="18" t="s">
        <v>16</v>
      </c>
      <c r="C57" s="23">
        <v>45</v>
      </c>
      <c r="D57" s="23">
        <v>45</v>
      </c>
      <c r="E57" s="29">
        <f t="shared" ref="E57:E62" si="16">G57/C57</f>
        <v>18000</v>
      </c>
      <c r="F57" s="15">
        <f t="shared" ref="F57:F62" si="17">D57*E57</f>
        <v>810000</v>
      </c>
      <c r="G57" s="19">
        <v>810000</v>
      </c>
      <c r="H57" s="23">
        <v>45</v>
      </c>
      <c r="I57" s="23">
        <v>45</v>
      </c>
      <c r="J57" s="29">
        <f t="shared" ref="J57:J62" si="18">L57/H57</f>
        <v>18000</v>
      </c>
      <c r="K57" s="15">
        <f t="shared" ref="K57:K62" si="19">I57*J57</f>
        <v>810000</v>
      </c>
      <c r="L57" s="19">
        <v>810000</v>
      </c>
      <c r="M57" s="30">
        <f t="shared" ref="M57:M62" si="20">D57+H57</f>
        <v>90</v>
      </c>
      <c r="N57" s="16">
        <f t="shared" ref="N57:N62" si="21">D57+I57</f>
        <v>90</v>
      </c>
      <c r="O57" s="30"/>
      <c r="P57" s="17">
        <f t="shared" ref="P57:P63" si="22">F57+K57</f>
        <v>1620000</v>
      </c>
      <c r="Q57" s="17">
        <f t="shared" ref="Q57:Q62" si="23">G57+L57</f>
        <v>1620000</v>
      </c>
      <c r="R57" s="35"/>
      <c r="S57" s="36"/>
      <c r="X57" s="3"/>
    </row>
    <row r="58" spans="1:24" s="2" customFormat="1" ht="49.5" x14ac:dyDescent="0.3">
      <c r="A58" s="13">
        <v>21</v>
      </c>
      <c r="B58" s="18" t="s">
        <v>21</v>
      </c>
      <c r="C58" s="23">
        <v>1</v>
      </c>
      <c r="D58" s="23">
        <v>1</v>
      </c>
      <c r="E58" s="29">
        <f t="shared" si="16"/>
        <v>21600</v>
      </c>
      <c r="F58" s="15">
        <f t="shared" si="17"/>
        <v>21600</v>
      </c>
      <c r="G58" s="19">
        <v>21600</v>
      </c>
      <c r="H58" s="23">
        <v>1</v>
      </c>
      <c r="I58" s="23">
        <v>1</v>
      </c>
      <c r="J58" s="29">
        <f t="shared" si="18"/>
        <v>21600</v>
      </c>
      <c r="K58" s="15">
        <f t="shared" si="19"/>
        <v>21600</v>
      </c>
      <c r="L58" s="19">
        <v>21600</v>
      </c>
      <c r="M58" s="30">
        <f t="shared" si="20"/>
        <v>2</v>
      </c>
      <c r="N58" s="16">
        <f t="shared" si="21"/>
        <v>2</v>
      </c>
      <c r="O58" s="30"/>
      <c r="P58" s="17">
        <f t="shared" si="22"/>
        <v>43200</v>
      </c>
      <c r="Q58" s="17">
        <f t="shared" si="23"/>
        <v>43200</v>
      </c>
      <c r="R58" s="35"/>
      <c r="S58" s="36"/>
      <c r="X58" s="3"/>
    </row>
    <row r="59" spans="1:24" s="2" customFormat="1" ht="33" x14ac:dyDescent="0.3">
      <c r="A59" s="13">
        <v>34</v>
      </c>
      <c r="B59" s="18" t="s">
        <v>29</v>
      </c>
      <c r="C59" s="23">
        <v>15</v>
      </c>
      <c r="D59" s="23">
        <v>15</v>
      </c>
      <c r="E59" s="29">
        <f t="shared" si="16"/>
        <v>21600</v>
      </c>
      <c r="F59" s="15">
        <f t="shared" si="17"/>
        <v>324000</v>
      </c>
      <c r="G59" s="19">
        <v>324000</v>
      </c>
      <c r="H59" s="23">
        <v>12</v>
      </c>
      <c r="I59" s="23">
        <v>12</v>
      </c>
      <c r="J59" s="29">
        <f t="shared" si="18"/>
        <v>8400</v>
      </c>
      <c r="K59" s="15">
        <f t="shared" si="19"/>
        <v>100800</v>
      </c>
      <c r="L59" s="19">
        <v>100800</v>
      </c>
      <c r="M59" s="30">
        <f t="shared" si="20"/>
        <v>27</v>
      </c>
      <c r="N59" s="16">
        <f t="shared" si="21"/>
        <v>27</v>
      </c>
      <c r="O59" s="30"/>
      <c r="P59" s="17">
        <f t="shared" si="22"/>
        <v>424800</v>
      </c>
      <c r="Q59" s="17">
        <f t="shared" si="23"/>
        <v>424800</v>
      </c>
      <c r="R59" s="35"/>
      <c r="S59" s="36"/>
      <c r="X59" s="3"/>
    </row>
    <row r="60" spans="1:24" s="2" customFormat="1" ht="33" x14ac:dyDescent="0.3">
      <c r="A60" s="13">
        <v>36</v>
      </c>
      <c r="B60" s="18" t="s">
        <v>31</v>
      </c>
      <c r="C60" s="23">
        <v>2</v>
      </c>
      <c r="D60" s="23">
        <v>2</v>
      </c>
      <c r="E60" s="29">
        <f t="shared" si="16"/>
        <v>14400</v>
      </c>
      <c r="F60" s="15">
        <f t="shared" si="17"/>
        <v>28800</v>
      </c>
      <c r="G60" s="19">
        <v>28800</v>
      </c>
      <c r="H60" s="23">
        <v>2</v>
      </c>
      <c r="I60" s="23">
        <v>2</v>
      </c>
      <c r="J60" s="29">
        <f t="shared" si="18"/>
        <v>14400</v>
      </c>
      <c r="K60" s="15">
        <f t="shared" si="19"/>
        <v>28800</v>
      </c>
      <c r="L60" s="19">
        <v>28800</v>
      </c>
      <c r="M60" s="30">
        <f t="shared" si="20"/>
        <v>4</v>
      </c>
      <c r="N60" s="16">
        <f t="shared" si="21"/>
        <v>4</v>
      </c>
      <c r="O60" s="30"/>
      <c r="P60" s="17">
        <f t="shared" si="22"/>
        <v>57600</v>
      </c>
      <c r="Q60" s="17">
        <f t="shared" si="23"/>
        <v>57600</v>
      </c>
      <c r="R60" s="35"/>
      <c r="S60" s="36"/>
      <c r="X60" s="3"/>
    </row>
    <row r="61" spans="1:24" s="2" customFormat="1" ht="16.5" x14ac:dyDescent="0.3">
      <c r="A61" s="13">
        <v>37</v>
      </c>
      <c r="B61" s="18" t="s">
        <v>32</v>
      </c>
      <c r="C61" s="23">
        <v>10</v>
      </c>
      <c r="D61" s="23">
        <v>10</v>
      </c>
      <c r="E61" s="29">
        <f t="shared" si="16"/>
        <v>4320</v>
      </c>
      <c r="F61" s="15">
        <f t="shared" si="17"/>
        <v>43200</v>
      </c>
      <c r="G61" s="19">
        <v>43200</v>
      </c>
      <c r="H61" s="23">
        <v>10</v>
      </c>
      <c r="I61" s="23">
        <v>10</v>
      </c>
      <c r="J61" s="29">
        <f t="shared" si="18"/>
        <v>4320</v>
      </c>
      <c r="K61" s="15">
        <f t="shared" si="19"/>
        <v>43200</v>
      </c>
      <c r="L61" s="19">
        <v>43200</v>
      </c>
      <c r="M61" s="30">
        <f t="shared" si="20"/>
        <v>20</v>
      </c>
      <c r="N61" s="16">
        <f t="shared" si="21"/>
        <v>20</v>
      </c>
      <c r="O61" s="30"/>
      <c r="P61" s="17">
        <f t="shared" si="22"/>
        <v>86400</v>
      </c>
      <c r="Q61" s="17">
        <f t="shared" si="23"/>
        <v>86400</v>
      </c>
      <c r="R61" s="35"/>
      <c r="S61" s="36"/>
      <c r="X61" s="3"/>
    </row>
    <row r="62" spans="1:24" s="2" customFormat="1" ht="49.5" x14ac:dyDescent="0.3">
      <c r="A62" s="13">
        <v>39</v>
      </c>
      <c r="B62" s="18" t="s">
        <v>34</v>
      </c>
      <c r="C62" s="23">
        <v>7</v>
      </c>
      <c r="D62" s="23">
        <v>7</v>
      </c>
      <c r="E62" s="29">
        <f t="shared" si="16"/>
        <v>8400</v>
      </c>
      <c r="F62" s="15">
        <f t="shared" si="17"/>
        <v>58800</v>
      </c>
      <c r="G62" s="19">
        <v>58800</v>
      </c>
      <c r="H62" s="23">
        <v>8</v>
      </c>
      <c r="I62" s="23">
        <v>8</v>
      </c>
      <c r="J62" s="29">
        <f t="shared" si="18"/>
        <v>8400</v>
      </c>
      <c r="K62" s="15">
        <f t="shared" si="19"/>
        <v>67200</v>
      </c>
      <c r="L62" s="19">
        <v>67200</v>
      </c>
      <c r="M62" s="30">
        <f t="shared" si="20"/>
        <v>15</v>
      </c>
      <c r="N62" s="16">
        <f t="shared" si="21"/>
        <v>15</v>
      </c>
      <c r="O62" s="30"/>
      <c r="P62" s="17">
        <f t="shared" si="22"/>
        <v>126000</v>
      </c>
      <c r="Q62" s="17">
        <f t="shared" si="23"/>
        <v>126000</v>
      </c>
      <c r="R62" s="35"/>
      <c r="S62" s="36"/>
      <c r="X62" s="3"/>
    </row>
    <row r="63" spans="1:24" s="2" customFormat="1" ht="16.5" x14ac:dyDescent="0.3">
      <c r="A63" s="24"/>
      <c r="B63" s="25" t="s">
        <v>11</v>
      </c>
      <c r="C63" s="17"/>
      <c r="D63" s="17"/>
      <c r="E63" s="17"/>
      <c r="F63" s="28">
        <f>SUM(F57:F62)</f>
        <v>1286400</v>
      </c>
      <c r="G63" s="17">
        <f>SUM(G57:G62)</f>
        <v>1286400</v>
      </c>
      <c r="H63" s="17"/>
      <c r="I63" s="17"/>
      <c r="J63" s="17"/>
      <c r="K63" s="28">
        <f>SUM(K57:K62)</f>
        <v>1071600</v>
      </c>
      <c r="L63" s="17">
        <f>SUM(L57:L62)</f>
        <v>1071600</v>
      </c>
      <c r="M63" s="17"/>
      <c r="N63" s="17"/>
      <c r="O63" s="17"/>
      <c r="P63" s="17">
        <f t="shared" si="22"/>
        <v>2358000</v>
      </c>
      <c r="Q63" s="17">
        <f>SUM(Q57:Q62)</f>
        <v>2358000</v>
      </c>
      <c r="R63" s="36"/>
      <c r="S63" s="36"/>
      <c r="X63" s="3"/>
    </row>
    <row r="64" spans="1:24" s="2" customFormat="1" ht="16.5" x14ac:dyDescent="0.3">
      <c r="A64" s="1"/>
      <c r="P64" s="3"/>
      <c r="X64" s="3"/>
    </row>
    <row r="65" spans="1:24" s="2" customFormat="1" ht="16.5" x14ac:dyDescent="0.3">
      <c r="A65" s="1"/>
      <c r="P65" s="3"/>
      <c r="X65" s="3"/>
    </row>
    <row r="66" spans="1:24" s="2" customFormat="1" ht="20.25" x14ac:dyDescent="0.3">
      <c r="A66" s="1"/>
      <c r="R66" s="157" t="s">
        <v>46</v>
      </c>
      <c r="S66" s="157"/>
      <c r="X66" s="3"/>
    </row>
    <row r="67" spans="1:24" s="2" customFormat="1" ht="16.5" x14ac:dyDescent="0.3">
      <c r="A67" s="158" t="s">
        <v>47</v>
      </c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X67" s="3"/>
    </row>
    <row r="68" spans="1:24" s="2" customFormat="1" ht="16.5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X68" s="3"/>
    </row>
    <row r="69" spans="1:24" s="2" customFormat="1" ht="16.5" x14ac:dyDescent="0.3">
      <c r="A69" s="1"/>
      <c r="M69" s="159" t="s">
        <v>5</v>
      </c>
      <c r="N69" s="159"/>
      <c r="O69" s="159"/>
      <c r="P69" s="159"/>
      <c r="Q69" s="159"/>
      <c r="X69" s="3"/>
    </row>
    <row r="70" spans="1:24" s="2" customFormat="1" ht="16.5" x14ac:dyDescent="0.3">
      <c r="A70" s="160" t="s">
        <v>6</v>
      </c>
      <c r="B70" s="163" t="s">
        <v>7</v>
      </c>
      <c r="C70" s="9"/>
      <c r="D70" s="170" t="s">
        <v>48</v>
      </c>
      <c r="E70" s="171"/>
      <c r="F70" s="171"/>
      <c r="G70" s="172"/>
      <c r="H70" s="170" t="s">
        <v>49</v>
      </c>
      <c r="I70" s="171"/>
      <c r="J70" s="171"/>
      <c r="K70" s="171"/>
      <c r="L70" s="172"/>
      <c r="M70" s="170" t="s">
        <v>11</v>
      </c>
      <c r="N70" s="171"/>
      <c r="O70" s="171"/>
      <c r="P70" s="171"/>
      <c r="Q70" s="172"/>
      <c r="R70" s="166"/>
      <c r="S70" s="166"/>
      <c r="X70" s="3"/>
    </row>
    <row r="71" spans="1:24" s="2" customFormat="1" ht="33" x14ac:dyDescent="0.3">
      <c r="A71" s="161"/>
      <c r="B71" s="164"/>
      <c r="C71" s="10" t="s">
        <v>12</v>
      </c>
      <c r="D71" s="10" t="s">
        <v>12</v>
      </c>
      <c r="E71" s="10" t="s">
        <v>13</v>
      </c>
      <c r="F71" s="10" t="s">
        <v>14</v>
      </c>
      <c r="G71" s="11" t="s">
        <v>14</v>
      </c>
      <c r="H71" s="10" t="s">
        <v>12</v>
      </c>
      <c r="I71" s="10" t="s">
        <v>12</v>
      </c>
      <c r="J71" s="10" t="s">
        <v>13</v>
      </c>
      <c r="K71" s="11" t="s">
        <v>14</v>
      </c>
      <c r="L71" s="11" t="s">
        <v>14</v>
      </c>
      <c r="M71" s="10" t="s">
        <v>12</v>
      </c>
      <c r="N71" s="10" t="s">
        <v>12</v>
      </c>
      <c r="O71" s="10"/>
      <c r="P71" s="11" t="s">
        <v>14</v>
      </c>
      <c r="Q71" s="11"/>
      <c r="R71" s="31"/>
      <c r="S71" s="32"/>
      <c r="X71" s="3"/>
    </row>
    <row r="72" spans="1:24" s="2" customFormat="1" ht="18.75" x14ac:dyDescent="0.3">
      <c r="A72" s="162"/>
      <c r="B72" s="165"/>
      <c r="C72" s="33"/>
      <c r="D72" s="167" t="s">
        <v>50</v>
      </c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9"/>
      <c r="R72" s="34"/>
      <c r="S72" s="34"/>
      <c r="X72" s="3"/>
    </row>
    <row r="73" spans="1:24" s="2" customFormat="1" ht="49.5" x14ac:dyDescent="0.3">
      <c r="A73" s="13">
        <v>3</v>
      </c>
      <c r="B73" s="18" t="s">
        <v>16</v>
      </c>
      <c r="C73" s="23">
        <v>40</v>
      </c>
      <c r="D73" s="23">
        <v>40</v>
      </c>
      <c r="E73" s="29">
        <f t="shared" ref="E73:E80" si="24">G73/C73</f>
        <v>15750</v>
      </c>
      <c r="F73" s="15">
        <f t="shared" ref="F73:F80" si="25">D73*E73</f>
        <v>630000</v>
      </c>
      <c r="G73" s="19">
        <v>630000</v>
      </c>
      <c r="H73" s="23">
        <v>30</v>
      </c>
      <c r="I73" s="23">
        <v>30</v>
      </c>
      <c r="J73" s="29">
        <f t="shared" ref="J73:J80" si="26">L73/H73</f>
        <v>14750</v>
      </c>
      <c r="K73" s="15">
        <f t="shared" ref="K73:K80" si="27">I73*J73</f>
        <v>442500</v>
      </c>
      <c r="L73" s="19">
        <v>442500</v>
      </c>
      <c r="M73" s="30">
        <f t="shared" ref="M73:M80" si="28">D73+H73</f>
        <v>70</v>
      </c>
      <c r="N73" s="16">
        <f t="shared" ref="N73:N80" si="29">D73+I73</f>
        <v>70</v>
      </c>
      <c r="O73" s="30"/>
      <c r="P73" s="17">
        <f t="shared" ref="P73:P80" si="30">F73+K73</f>
        <v>1072500</v>
      </c>
      <c r="Q73" s="17">
        <f t="shared" ref="Q73:Q80" si="31">G73+L73</f>
        <v>1072500</v>
      </c>
      <c r="R73" s="35"/>
      <c r="S73" s="36"/>
      <c r="X73" s="3"/>
    </row>
    <row r="74" spans="1:24" s="2" customFormat="1" ht="33" x14ac:dyDescent="0.3">
      <c r="A74" s="13">
        <v>17</v>
      </c>
      <c r="B74" s="18" t="s">
        <v>20</v>
      </c>
      <c r="C74" s="23">
        <v>4</v>
      </c>
      <c r="D74" s="23">
        <v>4</v>
      </c>
      <c r="E74" s="26">
        <f t="shared" si="24"/>
        <v>23600</v>
      </c>
      <c r="F74" s="15">
        <f t="shared" si="25"/>
        <v>94400</v>
      </c>
      <c r="G74" s="19">
        <v>94400</v>
      </c>
      <c r="H74" s="23">
        <v>4</v>
      </c>
      <c r="I74" s="23">
        <v>4</v>
      </c>
      <c r="J74" s="29">
        <f t="shared" si="26"/>
        <v>23600</v>
      </c>
      <c r="K74" s="15">
        <f t="shared" si="27"/>
        <v>94400</v>
      </c>
      <c r="L74" s="19">
        <v>94400</v>
      </c>
      <c r="M74" s="30">
        <f t="shared" si="28"/>
        <v>8</v>
      </c>
      <c r="N74" s="16">
        <f t="shared" si="29"/>
        <v>8</v>
      </c>
      <c r="O74" s="30"/>
      <c r="P74" s="17">
        <f t="shared" si="30"/>
        <v>188800</v>
      </c>
      <c r="Q74" s="17">
        <f t="shared" si="31"/>
        <v>188800</v>
      </c>
      <c r="R74" s="35"/>
      <c r="S74" s="36"/>
      <c r="X74" s="3"/>
    </row>
    <row r="75" spans="1:24" s="2" customFormat="1" ht="49.5" x14ac:dyDescent="0.3">
      <c r="A75" s="13">
        <v>21</v>
      </c>
      <c r="B75" s="18" t="s">
        <v>21</v>
      </c>
      <c r="C75" s="23">
        <v>1</v>
      </c>
      <c r="D75" s="23">
        <v>1</v>
      </c>
      <c r="E75" s="26">
        <f t="shared" si="24"/>
        <v>17700</v>
      </c>
      <c r="F75" s="15">
        <f t="shared" si="25"/>
        <v>17700</v>
      </c>
      <c r="G75" s="19">
        <v>17700</v>
      </c>
      <c r="H75" s="23">
        <v>1</v>
      </c>
      <c r="I75" s="23">
        <v>1</v>
      </c>
      <c r="J75" s="29">
        <f t="shared" si="26"/>
        <v>18000</v>
      </c>
      <c r="K75" s="15">
        <f t="shared" si="27"/>
        <v>18000</v>
      </c>
      <c r="L75" s="19">
        <v>18000</v>
      </c>
      <c r="M75" s="30">
        <f t="shared" si="28"/>
        <v>2</v>
      </c>
      <c r="N75" s="16">
        <f t="shared" si="29"/>
        <v>2</v>
      </c>
      <c r="O75" s="30"/>
      <c r="P75" s="17">
        <f t="shared" si="30"/>
        <v>35700</v>
      </c>
      <c r="Q75" s="17">
        <f t="shared" si="31"/>
        <v>35700</v>
      </c>
      <c r="R75" s="35"/>
      <c r="S75" s="36"/>
      <c r="X75" s="3"/>
    </row>
    <row r="76" spans="1:24" s="2" customFormat="1" ht="33" x14ac:dyDescent="0.3">
      <c r="A76" s="13">
        <v>30</v>
      </c>
      <c r="B76" s="18" t="s">
        <v>26</v>
      </c>
      <c r="C76" s="23">
        <v>10</v>
      </c>
      <c r="D76" s="23">
        <v>10</v>
      </c>
      <c r="E76" s="26">
        <f t="shared" si="24"/>
        <v>21200</v>
      </c>
      <c r="F76" s="15">
        <f t="shared" si="25"/>
        <v>212000</v>
      </c>
      <c r="G76" s="19">
        <v>212000</v>
      </c>
      <c r="H76" s="23">
        <v>8</v>
      </c>
      <c r="I76" s="23">
        <v>8</v>
      </c>
      <c r="J76" s="29">
        <f t="shared" si="26"/>
        <v>21200</v>
      </c>
      <c r="K76" s="15">
        <f t="shared" si="27"/>
        <v>169600</v>
      </c>
      <c r="L76" s="19">
        <v>169600</v>
      </c>
      <c r="M76" s="30">
        <f t="shared" si="28"/>
        <v>18</v>
      </c>
      <c r="N76" s="16">
        <f t="shared" si="29"/>
        <v>18</v>
      </c>
      <c r="O76" s="30"/>
      <c r="P76" s="17">
        <f t="shared" si="30"/>
        <v>381600</v>
      </c>
      <c r="Q76" s="17">
        <f t="shared" si="31"/>
        <v>381600</v>
      </c>
      <c r="R76" s="35"/>
      <c r="S76" s="36"/>
      <c r="X76" s="3"/>
    </row>
    <row r="77" spans="1:24" s="2" customFormat="1" ht="33" x14ac:dyDescent="0.3">
      <c r="A77" s="13">
        <v>34</v>
      </c>
      <c r="B77" s="18" t="s">
        <v>29</v>
      </c>
      <c r="C77" s="23">
        <v>19</v>
      </c>
      <c r="D77" s="23">
        <v>19</v>
      </c>
      <c r="E77" s="26">
        <f t="shared" si="24"/>
        <v>21200</v>
      </c>
      <c r="F77" s="15">
        <f t="shared" si="25"/>
        <v>402800</v>
      </c>
      <c r="G77" s="19">
        <v>402800</v>
      </c>
      <c r="H77" s="23">
        <v>19</v>
      </c>
      <c r="I77" s="23">
        <v>19</v>
      </c>
      <c r="J77" s="29">
        <f t="shared" si="26"/>
        <v>14400</v>
      </c>
      <c r="K77" s="15">
        <f t="shared" si="27"/>
        <v>273600</v>
      </c>
      <c r="L77" s="19">
        <v>273600</v>
      </c>
      <c r="M77" s="30">
        <f t="shared" si="28"/>
        <v>38</v>
      </c>
      <c r="N77" s="16">
        <f t="shared" si="29"/>
        <v>38</v>
      </c>
      <c r="O77" s="30"/>
      <c r="P77" s="17">
        <f t="shared" si="30"/>
        <v>676400</v>
      </c>
      <c r="Q77" s="17">
        <f t="shared" si="31"/>
        <v>676400</v>
      </c>
      <c r="R77" s="35"/>
      <c r="S77" s="36"/>
      <c r="X77" s="3"/>
    </row>
    <row r="78" spans="1:24" s="2" customFormat="1" ht="33" x14ac:dyDescent="0.3">
      <c r="A78" s="13">
        <v>36</v>
      </c>
      <c r="B78" s="18" t="s">
        <v>31</v>
      </c>
      <c r="C78" s="23">
        <v>2</v>
      </c>
      <c r="D78" s="23">
        <v>2</v>
      </c>
      <c r="E78" s="26">
        <f t="shared" si="24"/>
        <v>14100</v>
      </c>
      <c r="F78" s="15">
        <f t="shared" si="25"/>
        <v>28200</v>
      </c>
      <c r="G78" s="19">
        <v>28200</v>
      </c>
      <c r="H78" s="23">
        <v>2</v>
      </c>
      <c r="I78" s="23">
        <v>2</v>
      </c>
      <c r="J78" s="29">
        <f t="shared" si="26"/>
        <v>11800</v>
      </c>
      <c r="K78" s="15">
        <f t="shared" si="27"/>
        <v>23600</v>
      </c>
      <c r="L78" s="19">
        <v>23600</v>
      </c>
      <c r="M78" s="30">
        <f t="shared" si="28"/>
        <v>4</v>
      </c>
      <c r="N78" s="16">
        <f t="shared" si="29"/>
        <v>4</v>
      </c>
      <c r="O78" s="30"/>
      <c r="P78" s="17">
        <f t="shared" si="30"/>
        <v>51800</v>
      </c>
      <c r="Q78" s="17">
        <f t="shared" si="31"/>
        <v>51800</v>
      </c>
      <c r="R78" s="35"/>
      <c r="S78" s="36"/>
      <c r="X78" s="3"/>
    </row>
    <row r="79" spans="1:24" s="2" customFormat="1" ht="16.5" x14ac:dyDescent="0.3">
      <c r="A79" s="13">
        <v>37</v>
      </c>
      <c r="B79" s="18" t="s">
        <v>32</v>
      </c>
      <c r="C79" s="23">
        <v>11</v>
      </c>
      <c r="D79" s="23">
        <v>11</v>
      </c>
      <c r="E79" s="26">
        <f t="shared" si="24"/>
        <v>3550</v>
      </c>
      <c r="F79" s="15">
        <f t="shared" si="25"/>
        <v>39050</v>
      </c>
      <c r="G79" s="19">
        <v>39050</v>
      </c>
      <c r="H79" s="23">
        <v>10</v>
      </c>
      <c r="I79" s="23">
        <v>10</v>
      </c>
      <c r="J79" s="29">
        <f t="shared" si="26"/>
        <v>3550</v>
      </c>
      <c r="K79" s="15">
        <f t="shared" si="27"/>
        <v>35500</v>
      </c>
      <c r="L79" s="19">
        <v>35500</v>
      </c>
      <c r="M79" s="30">
        <f t="shared" si="28"/>
        <v>21</v>
      </c>
      <c r="N79" s="16">
        <f t="shared" si="29"/>
        <v>21</v>
      </c>
      <c r="O79" s="30"/>
      <c r="P79" s="17">
        <f t="shared" si="30"/>
        <v>74550</v>
      </c>
      <c r="Q79" s="17">
        <f t="shared" si="31"/>
        <v>74550</v>
      </c>
      <c r="R79" s="35"/>
      <c r="S79" s="36"/>
      <c r="X79" s="3"/>
    </row>
    <row r="80" spans="1:24" s="2" customFormat="1" ht="49.5" x14ac:dyDescent="0.3">
      <c r="A80" s="13">
        <v>39</v>
      </c>
      <c r="B80" s="18" t="s">
        <v>34</v>
      </c>
      <c r="C80" s="23">
        <v>8</v>
      </c>
      <c r="D80" s="23">
        <v>8</v>
      </c>
      <c r="E80" s="26">
        <f t="shared" si="24"/>
        <v>8200</v>
      </c>
      <c r="F80" s="15">
        <f t="shared" si="25"/>
        <v>65600</v>
      </c>
      <c r="G80" s="19">
        <v>65600</v>
      </c>
      <c r="H80" s="23">
        <v>6</v>
      </c>
      <c r="I80" s="23">
        <v>6</v>
      </c>
      <c r="J80" s="29">
        <f t="shared" si="26"/>
        <v>7000</v>
      </c>
      <c r="K80" s="15">
        <f t="shared" si="27"/>
        <v>42000</v>
      </c>
      <c r="L80" s="19">
        <v>42000</v>
      </c>
      <c r="M80" s="30">
        <f t="shared" si="28"/>
        <v>14</v>
      </c>
      <c r="N80" s="16">
        <f t="shared" si="29"/>
        <v>14</v>
      </c>
      <c r="O80" s="30"/>
      <c r="P80" s="17">
        <f t="shared" si="30"/>
        <v>107600</v>
      </c>
      <c r="Q80" s="17">
        <f t="shared" si="31"/>
        <v>107600</v>
      </c>
      <c r="R80" s="35"/>
      <c r="S80" s="36"/>
      <c r="X80" s="3"/>
    </row>
    <row r="81" spans="1:24" s="2" customFormat="1" ht="16.5" x14ac:dyDescent="0.3">
      <c r="A81" s="24"/>
      <c r="B81" s="25" t="s">
        <v>11</v>
      </c>
      <c r="C81" s="17"/>
      <c r="D81" s="17"/>
      <c r="E81" s="17"/>
      <c r="F81" s="17">
        <f>SUM(F73:F80)</f>
        <v>1489750</v>
      </c>
      <c r="G81" s="17">
        <f>SUM(G73:G80)</f>
        <v>1489750</v>
      </c>
      <c r="H81" s="17"/>
      <c r="I81" s="17"/>
      <c r="J81" s="17"/>
      <c r="K81" s="28">
        <f>SUM(K73:K80)</f>
        <v>1099200</v>
      </c>
      <c r="L81" s="17">
        <f>SUM(L73:L80)</f>
        <v>1099200</v>
      </c>
      <c r="M81" s="17"/>
      <c r="N81" s="17"/>
      <c r="O81" s="17"/>
      <c r="P81" s="17">
        <f>SUM(P73:P80)</f>
        <v>2588950</v>
      </c>
      <c r="Q81" s="17">
        <f>SUM(Q73:Q80)</f>
        <v>2588950</v>
      </c>
      <c r="R81" s="36"/>
      <c r="S81" s="36"/>
      <c r="X81" s="3"/>
    </row>
    <row r="82" spans="1:24" s="2" customFormat="1" ht="16.5" x14ac:dyDescent="0.3">
      <c r="A82" s="1"/>
      <c r="P82" s="3"/>
      <c r="X82" s="3"/>
    </row>
    <row r="83" spans="1:24" s="2" customFormat="1" ht="16.5" x14ac:dyDescent="0.3">
      <c r="A83" s="1"/>
      <c r="P83" s="3"/>
      <c r="X83" s="3"/>
    </row>
    <row r="84" spans="1:24" s="2" customFormat="1" ht="16.5" x14ac:dyDescent="0.3">
      <c r="A84" s="1"/>
      <c r="P84" s="3"/>
      <c r="X84" s="3"/>
    </row>
    <row r="85" spans="1:24" s="2" customFormat="1" ht="20.25" x14ac:dyDescent="0.3">
      <c r="A85" s="1"/>
      <c r="R85" s="157" t="s">
        <v>51</v>
      </c>
      <c r="S85" s="157"/>
      <c r="X85" s="3"/>
    </row>
    <row r="86" spans="1:24" s="2" customFormat="1" ht="16.5" x14ac:dyDescent="0.3">
      <c r="A86" s="158" t="s">
        <v>52</v>
      </c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X86" s="3"/>
    </row>
    <row r="87" spans="1:24" s="2" customFormat="1" ht="16.5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X87" s="3"/>
    </row>
    <row r="88" spans="1:24" s="2" customFormat="1" ht="16.5" x14ac:dyDescent="0.3">
      <c r="A88" s="1"/>
      <c r="R88" s="159" t="s">
        <v>5</v>
      </c>
      <c r="S88" s="159"/>
      <c r="X88" s="3"/>
    </row>
    <row r="89" spans="1:24" s="2" customFormat="1" ht="16.5" x14ac:dyDescent="0.3">
      <c r="A89" s="160" t="s">
        <v>6</v>
      </c>
      <c r="B89" s="163" t="s">
        <v>7</v>
      </c>
      <c r="C89" s="9"/>
      <c r="D89" s="170" t="s">
        <v>53</v>
      </c>
      <c r="E89" s="171"/>
      <c r="F89" s="171"/>
      <c r="G89" s="172"/>
      <c r="H89" s="173" t="s">
        <v>54</v>
      </c>
      <c r="I89" s="173"/>
      <c r="J89" s="173"/>
      <c r="K89" s="173"/>
      <c r="L89" s="173"/>
      <c r="M89" s="170" t="s">
        <v>55</v>
      </c>
      <c r="N89" s="171"/>
      <c r="O89" s="171"/>
      <c r="P89" s="171"/>
      <c r="Q89" s="172"/>
      <c r="R89" s="170" t="s">
        <v>11</v>
      </c>
      <c r="S89" s="172"/>
      <c r="X89" s="3"/>
    </row>
    <row r="90" spans="1:24" s="2" customFormat="1" ht="16.5" x14ac:dyDescent="0.3">
      <c r="A90" s="161"/>
      <c r="B90" s="164"/>
      <c r="C90" s="10" t="s">
        <v>12</v>
      </c>
      <c r="D90" s="10" t="s">
        <v>12</v>
      </c>
      <c r="E90" s="10"/>
      <c r="F90" s="10"/>
      <c r="G90" s="11" t="s">
        <v>14</v>
      </c>
      <c r="H90" s="10" t="s">
        <v>12</v>
      </c>
      <c r="I90" s="10" t="s">
        <v>12</v>
      </c>
      <c r="J90" s="10"/>
      <c r="K90" s="10"/>
      <c r="L90" s="11" t="s">
        <v>14</v>
      </c>
      <c r="M90" s="10" t="s">
        <v>12</v>
      </c>
      <c r="N90" s="10" t="s">
        <v>12</v>
      </c>
      <c r="O90" s="10"/>
      <c r="P90" s="10"/>
      <c r="Q90" s="11" t="s">
        <v>14</v>
      </c>
      <c r="R90" s="10" t="s">
        <v>12</v>
      </c>
      <c r="S90" s="11" t="s">
        <v>14</v>
      </c>
      <c r="X90" s="3"/>
    </row>
    <row r="91" spans="1:24" s="2" customFormat="1" ht="18.75" x14ac:dyDescent="0.3">
      <c r="A91" s="162"/>
      <c r="B91" s="165"/>
      <c r="C91" s="12"/>
      <c r="D91" s="153" t="s">
        <v>56</v>
      </c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X91" s="3"/>
    </row>
    <row r="92" spans="1:24" s="2" customFormat="1" ht="49.5" x14ac:dyDescent="0.3">
      <c r="A92" s="13">
        <v>3</v>
      </c>
      <c r="B92" s="18" t="s">
        <v>16</v>
      </c>
      <c r="C92" s="23">
        <v>15</v>
      </c>
      <c r="D92" s="23">
        <v>15</v>
      </c>
      <c r="E92" s="29">
        <f t="shared" ref="E92:E106" si="32">G92/C92</f>
        <v>10350</v>
      </c>
      <c r="F92" s="15">
        <f t="shared" ref="F92:F106" si="33">D92*E92</f>
        <v>155250</v>
      </c>
      <c r="G92" s="19">
        <v>155250</v>
      </c>
      <c r="H92" s="23">
        <v>30</v>
      </c>
      <c r="I92" s="23">
        <v>30</v>
      </c>
      <c r="J92" s="29">
        <f t="shared" ref="J92:J106" si="34">L92/H92</f>
        <v>10350</v>
      </c>
      <c r="K92" s="15">
        <f t="shared" ref="K92:K106" si="35">I92*J92</f>
        <v>310500</v>
      </c>
      <c r="L92" s="19">
        <v>310500</v>
      </c>
      <c r="M92" s="23">
        <v>8</v>
      </c>
      <c r="N92" s="23">
        <v>8</v>
      </c>
      <c r="O92" s="29">
        <f t="shared" ref="O92:O106" si="36">Q92/M92</f>
        <v>10350</v>
      </c>
      <c r="P92" s="15">
        <f t="shared" ref="P92:P106" si="37">N92*O92</f>
        <v>82800</v>
      </c>
      <c r="Q92" s="19">
        <v>82800</v>
      </c>
      <c r="R92" s="16">
        <f t="shared" ref="R92:R106" si="38">D92+I92+N92</f>
        <v>53</v>
      </c>
      <c r="S92" s="17">
        <f t="shared" ref="S92:S106" si="39">F92+K92+P92</f>
        <v>548550</v>
      </c>
      <c r="X92" s="3"/>
    </row>
    <row r="93" spans="1:24" s="2" customFormat="1" ht="16.5" x14ac:dyDescent="0.3">
      <c r="A93" s="13">
        <v>8</v>
      </c>
      <c r="B93" s="18" t="s">
        <v>17</v>
      </c>
      <c r="C93" s="23"/>
      <c r="D93" s="23"/>
      <c r="E93" s="29"/>
      <c r="F93" s="15"/>
      <c r="G93" s="19"/>
      <c r="H93" s="23">
        <v>1</v>
      </c>
      <c r="I93" s="23">
        <v>1</v>
      </c>
      <c r="J93" s="29">
        <f t="shared" si="34"/>
        <v>20700</v>
      </c>
      <c r="K93" s="15">
        <f t="shared" si="35"/>
        <v>20700</v>
      </c>
      <c r="L93" s="19">
        <v>20700</v>
      </c>
      <c r="M93" s="23">
        <v>1</v>
      </c>
      <c r="N93" s="23">
        <v>1</v>
      </c>
      <c r="O93" s="29">
        <f t="shared" si="36"/>
        <v>20700</v>
      </c>
      <c r="P93" s="15">
        <f t="shared" si="37"/>
        <v>20700</v>
      </c>
      <c r="Q93" s="19">
        <v>20700</v>
      </c>
      <c r="R93" s="16">
        <f t="shared" si="38"/>
        <v>2</v>
      </c>
      <c r="S93" s="17">
        <f t="shared" si="39"/>
        <v>41400</v>
      </c>
      <c r="X93" s="3"/>
    </row>
    <row r="94" spans="1:24" s="2" customFormat="1" ht="33" x14ac:dyDescent="0.3">
      <c r="A94" s="13">
        <v>13</v>
      </c>
      <c r="B94" s="18" t="s">
        <v>18</v>
      </c>
      <c r="C94" s="23">
        <v>3</v>
      </c>
      <c r="D94" s="23">
        <v>3</v>
      </c>
      <c r="E94" s="29">
        <f t="shared" si="32"/>
        <v>20700</v>
      </c>
      <c r="F94" s="15">
        <f t="shared" si="33"/>
        <v>62100</v>
      </c>
      <c r="G94" s="19">
        <v>62100</v>
      </c>
      <c r="H94" s="23">
        <v>3</v>
      </c>
      <c r="I94" s="23">
        <v>3</v>
      </c>
      <c r="J94" s="29">
        <f t="shared" si="34"/>
        <v>20700</v>
      </c>
      <c r="K94" s="15">
        <f t="shared" si="35"/>
        <v>62100</v>
      </c>
      <c r="L94" s="19">
        <v>62100</v>
      </c>
      <c r="M94" s="23">
        <v>2</v>
      </c>
      <c r="N94" s="23">
        <v>2</v>
      </c>
      <c r="O94" s="29">
        <f t="shared" si="36"/>
        <v>20700</v>
      </c>
      <c r="P94" s="15">
        <f t="shared" si="37"/>
        <v>41400</v>
      </c>
      <c r="Q94" s="19">
        <v>41400</v>
      </c>
      <c r="R94" s="16">
        <f t="shared" si="38"/>
        <v>8</v>
      </c>
      <c r="S94" s="17">
        <f t="shared" si="39"/>
        <v>165600</v>
      </c>
      <c r="X94" s="3"/>
    </row>
    <row r="95" spans="1:24" s="2" customFormat="1" ht="16.5" x14ac:dyDescent="0.3">
      <c r="A95" s="13">
        <v>14</v>
      </c>
      <c r="B95" s="18" t="s">
        <v>19</v>
      </c>
      <c r="C95" s="23"/>
      <c r="D95" s="23"/>
      <c r="E95" s="29"/>
      <c r="F95" s="15"/>
      <c r="G95" s="19"/>
      <c r="H95" s="23">
        <v>1</v>
      </c>
      <c r="I95" s="23">
        <v>1</v>
      </c>
      <c r="J95" s="29">
        <f t="shared" si="34"/>
        <v>7250</v>
      </c>
      <c r="K95" s="15">
        <f t="shared" si="35"/>
        <v>7250</v>
      </c>
      <c r="L95" s="19">
        <v>7250</v>
      </c>
      <c r="M95" s="13"/>
      <c r="N95" s="13"/>
      <c r="O95" s="29"/>
      <c r="P95" s="15"/>
      <c r="Q95" s="19"/>
      <c r="R95" s="16">
        <f t="shared" si="38"/>
        <v>1</v>
      </c>
      <c r="S95" s="17">
        <f t="shared" si="39"/>
        <v>7250</v>
      </c>
      <c r="X95" s="3"/>
    </row>
    <row r="96" spans="1:24" s="2" customFormat="1" ht="33" x14ac:dyDescent="0.3">
      <c r="A96" s="13">
        <v>17</v>
      </c>
      <c r="B96" s="18" t="s">
        <v>20</v>
      </c>
      <c r="C96" s="23">
        <v>3</v>
      </c>
      <c r="D96" s="23">
        <v>3</v>
      </c>
      <c r="E96" s="29">
        <f t="shared" si="32"/>
        <v>20700</v>
      </c>
      <c r="F96" s="15">
        <f t="shared" si="33"/>
        <v>62100</v>
      </c>
      <c r="G96" s="19">
        <v>62100</v>
      </c>
      <c r="H96" s="23">
        <v>4</v>
      </c>
      <c r="I96" s="23">
        <v>4</v>
      </c>
      <c r="J96" s="29">
        <f t="shared" si="34"/>
        <v>20700</v>
      </c>
      <c r="K96" s="15">
        <f t="shared" si="35"/>
        <v>82800</v>
      </c>
      <c r="L96" s="19">
        <v>82800</v>
      </c>
      <c r="M96" s="23">
        <v>3</v>
      </c>
      <c r="N96" s="23">
        <v>3</v>
      </c>
      <c r="O96" s="29">
        <f t="shared" si="36"/>
        <v>20700</v>
      </c>
      <c r="P96" s="15">
        <f t="shared" si="37"/>
        <v>62100</v>
      </c>
      <c r="Q96" s="19">
        <v>62100</v>
      </c>
      <c r="R96" s="16">
        <f t="shared" si="38"/>
        <v>10</v>
      </c>
      <c r="S96" s="17">
        <f t="shared" si="39"/>
        <v>207000</v>
      </c>
      <c r="X96" s="3"/>
    </row>
    <row r="97" spans="1:24" s="2" customFormat="1" ht="16.5" x14ac:dyDescent="0.3">
      <c r="A97" s="13">
        <v>25</v>
      </c>
      <c r="B97" s="18" t="s">
        <v>23</v>
      </c>
      <c r="C97" s="23">
        <v>2</v>
      </c>
      <c r="D97" s="23">
        <v>2</v>
      </c>
      <c r="E97" s="29">
        <f t="shared" si="32"/>
        <v>4140</v>
      </c>
      <c r="F97" s="15">
        <f t="shared" si="33"/>
        <v>8280</v>
      </c>
      <c r="G97" s="19">
        <v>8280</v>
      </c>
      <c r="H97" s="23">
        <v>4</v>
      </c>
      <c r="I97" s="23">
        <v>4</v>
      </c>
      <c r="J97" s="29">
        <f t="shared" si="34"/>
        <v>4140</v>
      </c>
      <c r="K97" s="15">
        <f t="shared" si="35"/>
        <v>16560</v>
      </c>
      <c r="L97" s="19">
        <v>16560</v>
      </c>
      <c r="M97" s="23">
        <v>2</v>
      </c>
      <c r="N97" s="23">
        <v>2</v>
      </c>
      <c r="O97" s="29">
        <f t="shared" si="36"/>
        <v>4140</v>
      </c>
      <c r="P97" s="15">
        <f t="shared" si="37"/>
        <v>8280</v>
      </c>
      <c r="Q97" s="19">
        <v>8280</v>
      </c>
      <c r="R97" s="16">
        <f t="shared" si="38"/>
        <v>8</v>
      </c>
      <c r="S97" s="17">
        <f t="shared" si="39"/>
        <v>33120</v>
      </c>
      <c r="X97" s="3"/>
    </row>
    <row r="98" spans="1:24" s="2" customFormat="1" ht="49.5" x14ac:dyDescent="0.3">
      <c r="A98" s="13">
        <v>27</v>
      </c>
      <c r="B98" s="18" t="s">
        <v>24</v>
      </c>
      <c r="C98" s="23">
        <v>1</v>
      </c>
      <c r="D98" s="23">
        <v>1</v>
      </c>
      <c r="E98" s="29">
        <f t="shared" si="32"/>
        <v>20700</v>
      </c>
      <c r="F98" s="15">
        <f t="shared" si="33"/>
        <v>20700</v>
      </c>
      <c r="G98" s="19">
        <v>20700</v>
      </c>
      <c r="H98" s="23">
        <v>1</v>
      </c>
      <c r="I98" s="23">
        <v>1</v>
      </c>
      <c r="J98" s="29">
        <f t="shared" si="34"/>
        <v>20700</v>
      </c>
      <c r="K98" s="15">
        <f t="shared" si="35"/>
        <v>20700</v>
      </c>
      <c r="L98" s="19">
        <v>20700</v>
      </c>
      <c r="M98" s="23">
        <v>1</v>
      </c>
      <c r="N98" s="23">
        <v>1</v>
      </c>
      <c r="O98" s="29">
        <f t="shared" si="36"/>
        <v>20700</v>
      </c>
      <c r="P98" s="15">
        <f t="shared" si="37"/>
        <v>20700</v>
      </c>
      <c r="Q98" s="19">
        <v>20700</v>
      </c>
      <c r="R98" s="16">
        <f t="shared" si="38"/>
        <v>3</v>
      </c>
      <c r="S98" s="17">
        <f t="shared" si="39"/>
        <v>62100</v>
      </c>
      <c r="X98" s="3"/>
    </row>
    <row r="99" spans="1:24" s="2" customFormat="1" ht="33" x14ac:dyDescent="0.3">
      <c r="A99" s="13">
        <v>29</v>
      </c>
      <c r="B99" s="18" t="s">
        <v>25</v>
      </c>
      <c r="C99" s="23">
        <v>4</v>
      </c>
      <c r="D99" s="23">
        <v>4</v>
      </c>
      <c r="E99" s="29">
        <f t="shared" si="32"/>
        <v>15525</v>
      </c>
      <c r="F99" s="15">
        <f t="shared" si="33"/>
        <v>62100</v>
      </c>
      <c r="G99" s="19">
        <v>62100</v>
      </c>
      <c r="H99" s="23">
        <v>4</v>
      </c>
      <c r="I99" s="23">
        <v>4</v>
      </c>
      <c r="J99" s="29">
        <f t="shared" si="34"/>
        <v>15500</v>
      </c>
      <c r="K99" s="15">
        <f t="shared" si="35"/>
        <v>62000</v>
      </c>
      <c r="L99" s="19">
        <v>62000</v>
      </c>
      <c r="M99" s="23">
        <v>4</v>
      </c>
      <c r="N99" s="23">
        <v>4</v>
      </c>
      <c r="O99" s="29">
        <f t="shared" si="36"/>
        <v>15500</v>
      </c>
      <c r="P99" s="15">
        <f t="shared" si="37"/>
        <v>62000</v>
      </c>
      <c r="Q99" s="19">
        <v>62000</v>
      </c>
      <c r="R99" s="16">
        <f t="shared" si="38"/>
        <v>12</v>
      </c>
      <c r="S99" s="17">
        <f t="shared" si="39"/>
        <v>186100</v>
      </c>
      <c r="X99" s="3"/>
    </row>
    <row r="100" spans="1:24" s="2" customFormat="1" ht="33" x14ac:dyDescent="0.3">
      <c r="A100" s="13">
        <v>30</v>
      </c>
      <c r="B100" s="18" t="s">
        <v>26</v>
      </c>
      <c r="C100" s="23">
        <v>8</v>
      </c>
      <c r="D100" s="23">
        <v>8</v>
      </c>
      <c r="E100" s="29">
        <f t="shared" si="32"/>
        <v>19660</v>
      </c>
      <c r="F100" s="15">
        <f t="shared" si="33"/>
        <v>157280</v>
      </c>
      <c r="G100" s="19">
        <v>157280</v>
      </c>
      <c r="H100" s="23">
        <v>8</v>
      </c>
      <c r="I100" s="23">
        <v>8</v>
      </c>
      <c r="J100" s="29">
        <f t="shared" si="34"/>
        <v>19700</v>
      </c>
      <c r="K100" s="15">
        <f t="shared" si="35"/>
        <v>157600</v>
      </c>
      <c r="L100" s="19">
        <v>157600</v>
      </c>
      <c r="M100" s="23">
        <v>4</v>
      </c>
      <c r="N100" s="23">
        <v>4</v>
      </c>
      <c r="O100" s="29">
        <f t="shared" si="36"/>
        <v>19700</v>
      </c>
      <c r="P100" s="15">
        <f t="shared" si="37"/>
        <v>78800</v>
      </c>
      <c r="Q100" s="19">
        <v>78800</v>
      </c>
      <c r="R100" s="16">
        <f t="shared" si="38"/>
        <v>20</v>
      </c>
      <c r="S100" s="17">
        <f t="shared" si="39"/>
        <v>393680</v>
      </c>
      <c r="X100" s="3"/>
    </row>
    <row r="101" spans="1:24" s="2" customFormat="1" ht="16.5" x14ac:dyDescent="0.3">
      <c r="A101" s="13">
        <v>32</v>
      </c>
      <c r="B101" s="18" t="s">
        <v>27</v>
      </c>
      <c r="C101" s="23"/>
      <c r="D101" s="23"/>
      <c r="E101" s="29"/>
      <c r="F101" s="15"/>
      <c r="G101" s="19"/>
      <c r="H101" s="23">
        <v>7</v>
      </c>
      <c r="I101" s="23">
        <v>7</v>
      </c>
      <c r="J101" s="29">
        <f t="shared" si="34"/>
        <v>18670</v>
      </c>
      <c r="K101" s="15">
        <f t="shared" si="35"/>
        <v>130690</v>
      </c>
      <c r="L101" s="19">
        <v>130690</v>
      </c>
      <c r="M101" s="23"/>
      <c r="N101" s="23"/>
      <c r="O101" s="29"/>
      <c r="P101" s="15"/>
      <c r="Q101" s="19"/>
      <c r="R101" s="16">
        <f t="shared" si="38"/>
        <v>7</v>
      </c>
      <c r="S101" s="17">
        <f t="shared" si="39"/>
        <v>130690</v>
      </c>
      <c r="X101" s="3"/>
    </row>
    <row r="102" spans="1:24" s="2" customFormat="1" ht="33" x14ac:dyDescent="0.3">
      <c r="A102" s="13">
        <v>34</v>
      </c>
      <c r="B102" s="18" t="s">
        <v>29</v>
      </c>
      <c r="C102" s="23">
        <v>10</v>
      </c>
      <c r="D102" s="23">
        <v>10</v>
      </c>
      <c r="E102" s="29">
        <f t="shared" si="32"/>
        <v>7245</v>
      </c>
      <c r="F102" s="15">
        <f t="shared" si="33"/>
        <v>72450</v>
      </c>
      <c r="G102" s="19">
        <v>72450</v>
      </c>
      <c r="H102" s="23">
        <v>11</v>
      </c>
      <c r="I102" s="23">
        <v>11</v>
      </c>
      <c r="J102" s="29">
        <f t="shared" si="34"/>
        <v>7250</v>
      </c>
      <c r="K102" s="15">
        <f t="shared" si="35"/>
        <v>79750</v>
      </c>
      <c r="L102" s="19">
        <v>79750</v>
      </c>
      <c r="M102" s="23">
        <v>6</v>
      </c>
      <c r="N102" s="23">
        <v>6</v>
      </c>
      <c r="O102" s="29">
        <f t="shared" si="36"/>
        <v>7250</v>
      </c>
      <c r="P102" s="15">
        <f t="shared" si="37"/>
        <v>43500</v>
      </c>
      <c r="Q102" s="19">
        <v>43500</v>
      </c>
      <c r="R102" s="16">
        <f t="shared" si="38"/>
        <v>27</v>
      </c>
      <c r="S102" s="17">
        <f t="shared" si="39"/>
        <v>195700</v>
      </c>
      <c r="X102" s="3"/>
    </row>
    <row r="103" spans="1:24" s="2" customFormat="1" ht="33" x14ac:dyDescent="0.3">
      <c r="A103" s="13">
        <v>36</v>
      </c>
      <c r="B103" s="18" t="s">
        <v>31</v>
      </c>
      <c r="C103" s="23">
        <v>2</v>
      </c>
      <c r="D103" s="23">
        <v>2</v>
      </c>
      <c r="E103" s="29">
        <f t="shared" si="32"/>
        <v>4140</v>
      </c>
      <c r="F103" s="15">
        <f t="shared" si="33"/>
        <v>8280</v>
      </c>
      <c r="G103" s="19">
        <v>8280</v>
      </c>
      <c r="H103" s="23">
        <v>2</v>
      </c>
      <c r="I103" s="23">
        <v>2</v>
      </c>
      <c r="J103" s="29">
        <f t="shared" si="34"/>
        <v>4140</v>
      </c>
      <c r="K103" s="15">
        <f t="shared" si="35"/>
        <v>8280</v>
      </c>
      <c r="L103" s="19">
        <v>8280</v>
      </c>
      <c r="M103" s="23">
        <v>2</v>
      </c>
      <c r="N103" s="23">
        <v>2</v>
      </c>
      <c r="O103" s="29">
        <f t="shared" si="36"/>
        <v>4140</v>
      </c>
      <c r="P103" s="15">
        <f t="shared" si="37"/>
        <v>8280</v>
      </c>
      <c r="Q103" s="19">
        <v>8280</v>
      </c>
      <c r="R103" s="16">
        <f t="shared" si="38"/>
        <v>6</v>
      </c>
      <c r="S103" s="17">
        <f t="shared" si="39"/>
        <v>24840</v>
      </c>
      <c r="X103" s="3"/>
    </row>
    <row r="104" spans="1:24" s="2" customFormat="1" ht="16.5" x14ac:dyDescent="0.3">
      <c r="A104" s="13">
        <v>37</v>
      </c>
      <c r="B104" s="18" t="s">
        <v>32</v>
      </c>
      <c r="C104" s="23">
        <v>6</v>
      </c>
      <c r="D104" s="23">
        <v>6</v>
      </c>
      <c r="E104" s="29">
        <f t="shared" si="32"/>
        <v>2580</v>
      </c>
      <c r="F104" s="15">
        <f t="shared" si="33"/>
        <v>15480</v>
      </c>
      <c r="G104" s="19">
        <v>15480</v>
      </c>
      <c r="H104" s="23">
        <v>10</v>
      </c>
      <c r="I104" s="23">
        <v>10</v>
      </c>
      <c r="J104" s="29">
        <f t="shared" si="34"/>
        <v>2580</v>
      </c>
      <c r="K104" s="15">
        <f t="shared" si="35"/>
        <v>25800</v>
      </c>
      <c r="L104" s="19">
        <v>25800</v>
      </c>
      <c r="M104" s="23">
        <v>6</v>
      </c>
      <c r="N104" s="23">
        <v>6</v>
      </c>
      <c r="O104" s="29">
        <f t="shared" si="36"/>
        <v>2580</v>
      </c>
      <c r="P104" s="15">
        <f t="shared" si="37"/>
        <v>15480</v>
      </c>
      <c r="Q104" s="19">
        <v>15480</v>
      </c>
      <c r="R104" s="16">
        <f t="shared" si="38"/>
        <v>22</v>
      </c>
      <c r="S104" s="17">
        <f t="shared" si="39"/>
        <v>56760</v>
      </c>
      <c r="X104" s="3"/>
    </row>
    <row r="105" spans="1:24" s="2" customFormat="1" ht="16.5" x14ac:dyDescent="0.3">
      <c r="A105" s="13">
        <v>38</v>
      </c>
      <c r="B105" s="18" t="s">
        <v>33</v>
      </c>
      <c r="C105" s="23">
        <v>4</v>
      </c>
      <c r="D105" s="23">
        <v>4</v>
      </c>
      <c r="E105" s="29">
        <f t="shared" si="32"/>
        <v>4650</v>
      </c>
      <c r="F105" s="15">
        <f t="shared" si="33"/>
        <v>18600</v>
      </c>
      <c r="G105" s="19">
        <v>18600</v>
      </c>
      <c r="H105" s="23">
        <v>4</v>
      </c>
      <c r="I105" s="23">
        <v>4</v>
      </c>
      <c r="J105" s="29">
        <f t="shared" si="34"/>
        <v>4650</v>
      </c>
      <c r="K105" s="15">
        <f t="shared" si="35"/>
        <v>18600</v>
      </c>
      <c r="L105" s="19">
        <v>18600</v>
      </c>
      <c r="M105" s="23">
        <v>2</v>
      </c>
      <c r="N105" s="23">
        <v>2</v>
      </c>
      <c r="O105" s="29">
        <f t="shared" si="36"/>
        <v>4700</v>
      </c>
      <c r="P105" s="15">
        <f t="shared" si="37"/>
        <v>9400</v>
      </c>
      <c r="Q105" s="19">
        <v>9400</v>
      </c>
      <c r="R105" s="16">
        <f t="shared" si="38"/>
        <v>10</v>
      </c>
      <c r="S105" s="17">
        <f t="shared" si="39"/>
        <v>46600</v>
      </c>
      <c r="X105" s="3"/>
    </row>
    <row r="106" spans="1:24" s="2" customFormat="1" ht="49.5" x14ac:dyDescent="0.3">
      <c r="A106" s="13">
        <v>39</v>
      </c>
      <c r="B106" s="18" t="s">
        <v>34</v>
      </c>
      <c r="C106" s="23">
        <v>7</v>
      </c>
      <c r="D106" s="23">
        <v>7</v>
      </c>
      <c r="E106" s="29">
        <f t="shared" si="32"/>
        <v>5200</v>
      </c>
      <c r="F106" s="15">
        <f t="shared" si="33"/>
        <v>36400</v>
      </c>
      <c r="G106" s="19">
        <v>36400</v>
      </c>
      <c r="H106" s="23">
        <v>6</v>
      </c>
      <c r="I106" s="23">
        <v>6</v>
      </c>
      <c r="J106" s="29">
        <f t="shared" si="34"/>
        <v>5200</v>
      </c>
      <c r="K106" s="15">
        <f t="shared" si="35"/>
        <v>31200</v>
      </c>
      <c r="L106" s="19">
        <v>31200</v>
      </c>
      <c r="M106" s="23">
        <v>6</v>
      </c>
      <c r="N106" s="23">
        <v>6</v>
      </c>
      <c r="O106" s="29">
        <f t="shared" si="36"/>
        <v>5200</v>
      </c>
      <c r="P106" s="15">
        <f t="shared" si="37"/>
        <v>31200</v>
      </c>
      <c r="Q106" s="19">
        <v>31200</v>
      </c>
      <c r="R106" s="16">
        <f t="shared" si="38"/>
        <v>19</v>
      </c>
      <c r="S106" s="17">
        <f t="shared" si="39"/>
        <v>98800</v>
      </c>
      <c r="X106" s="3"/>
    </row>
    <row r="107" spans="1:24" s="2" customFormat="1" ht="16.5" x14ac:dyDescent="0.3">
      <c r="A107" s="24"/>
      <c r="B107" s="25" t="s">
        <v>11</v>
      </c>
      <c r="C107" s="17"/>
      <c r="D107" s="17"/>
      <c r="E107" s="17"/>
      <c r="F107" s="52">
        <f>SUM(F62:F106)</f>
        <v>5003720</v>
      </c>
      <c r="G107" s="17">
        <f t="shared" ref="G107" si="40">SUM(G62:G106)</f>
        <v>5003720</v>
      </c>
      <c r="H107" s="17"/>
      <c r="I107" s="17"/>
      <c r="J107" s="17"/>
      <c r="K107" s="52">
        <f>SUM(K62:K106)</f>
        <v>4371730</v>
      </c>
      <c r="L107" s="17">
        <f>SUM(L62:L106)</f>
        <v>4371730</v>
      </c>
      <c r="M107" s="17"/>
      <c r="N107" s="17"/>
      <c r="O107" s="57"/>
      <c r="P107" s="52">
        <f>SUM(P62:P106)</f>
        <v>8146540</v>
      </c>
      <c r="Q107" s="17">
        <f t="shared" ref="Q107" si="41">SUM(Q62:Q106)</f>
        <v>8146540</v>
      </c>
      <c r="R107" s="17"/>
      <c r="S107" s="17">
        <f>SUM(S92:S106)</f>
        <v>2198190</v>
      </c>
      <c r="X107" s="3"/>
    </row>
    <row r="108" spans="1:24" s="2" customFormat="1" ht="16.5" x14ac:dyDescent="0.3">
      <c r="A108" s="1"/>
      <c r="X108" s="3"/>
    </row>
    <row r="109" spans="1:24" s="2" customFormat="1" ht="20.25" x14ac:dyDescent="0.3">
      <c r="A109" s="1"/>
      <c r="R109" s="157" t="s">
        <v>57</v>
      </c>
      <c r="S109" s="157"/>
      <c r="X109" s="3"/>
    </row>
    <row r="110" spans="1:24" s="2" customFormat="1" ht="16.5" x14ac:dyDescent="0.3">
      <c r="A110" s="158" t="s">
        <v>58</v>
      </c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X110" s="3"/>
    </row>
    <row r="111" spans="1:24" s="2" customFormat="1" ht="16.5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X111" s="3"/>
    </row>
    <row r="112" spans="1:24" s="2" customFormat="1" ht="16.5" x14ac:dyDescent="0.3">
      <c r="A112" s="1"/>
      <c r="R112" s="159" t="s">
        <v>5</v>
      </c>
      <c r="S112" s="159"/>
      <c r="X112" s="3"/>
    </row>
    <row r="113" spans="1:24" s="2" customFormat="1" ht="16.5" x14ac:dyDescent="0.3">
      <c r="A113" s="160" t="s">
        <v>6</v>
      </c>
      <c r="B113" s="163" t="s">
        <v>7</v>
      </c>
      <c r="C113" s="9"/>
      <c r="D113" s="170" t="s">
        <v>59</v>
      </c>
      <c r="E113" s="171"/>
      <c r="F113" s="171"/>
      <c r="G113" s="172"/>
      <c r="H113" s="173" t="s">
        <v>60</v>
      </c>
      <c r="I113" s="173"/>
      <c r="J113" s="173"/>
      <c r="K113" s="173"/>
      <c r="L113" s="173"/>
      <c r="M113" s="170" t="s">
        <v>61</v>
      </c>
      <c r="N113" s="171"/>
      <c r="O113" s="171"/>
      <c r="P113" s="171"/>
      <c r="Q113" s="172"/>
      <c r="R113" s="170" t="s">
        <v>11</v>
      </c>
      <c r="S113" s="172"/>
      <c r="X113" s="3"/>
    </row>
    <row r="114" spans="1:24" s="2" customFormat="1" ht="33" x14ac:dyDescent="0.3">
      <c r="A114" s="161"/>
      <c r="B114" s="164"/>
      <c r="C114" s="10" t="s">
        <v>12</v>
      </c>
      <c r="D114" s="10" t="s">
        <v>12</v>
      </c>
      <c r="E114" s="10" t="s">
        <v>62</v>
      </c>
      <c r="F114" s="11" t="s">
        <v>14</v>
      </c>
      <c r="G114" s="11" t="s">
        <v>14</v>
      </c>
      <c r="H114" s="10" t="s">
        <v>12</v>
      </c>
      <c r="I114" s="10" t="s">
        <v>12</v>
      </c>
      <c r="J114" s="10" t="s">
        <v>62</v>
      </c>
      <c r="K114" s="11" t="s">
        <v>14</v>
      </c>
      <c r="L114" s="11" t="s">
        <v>14</v>
      </c>
      <c r="M114" s="10" t="s">
        <v>12</v>
      </c>
      <c r="N114" s="10" t="s">
        <v>12</v>
      </c>
      <c r="O114" s="10" t="s">
        <v>62</v>
      </c>
      <c r="P114" s="11" t="s">
        <v>14</v>
      </c>
      <c r="Q114" s="11" t="s">
        <v>14</v>
      </c>
      <c r="R114" s="10" t="s">
        <v>12</v>
      </c>
      <c r="S114" s="11" t="s">
        <v>14</v>
      </c>
      <c r="X114" s="3"/>
    </row>
    <row r="115" spans="1:24" s="2" customFormat="1" ht="18.75" x14ac:dyDescent="0.3">
      <c r="A115" s="162"/>
      <c r="B115" s="165"/>
      <c r="C115" s="12"/>
      <c r="D115" s="153" t="s">
        <v>63</v>
      </c>
      <c r="E115" s="153"/>
      <c r="F115" s="153"/>
      <c r="G115" s="153"/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X115" s="3"/>
    </row>
    <row r="116" spans="1:24" s="2" customFormat="1" ht="49.5" x14ac:dyDescent="0.3">
      <c r="A116" s="13">
        <v>3</v>
      </c>
      <c r="B116" s="18" t="s">
        <v>16</v>
      </c>
      <c r="C116" s="23">
        <v>25</v>
      </c>
      <c r="D116" s="23">
        <v>25</v>
      </c>
      <c r="E116" s="29">
        <f t="shared" ref="E116:E127" si="42">G116/C116</f>
        <v>12000</v>
      </c>
      <c r="F116" s="15">
        <f t="shared" ref="F116:F127" si="43">D116*E116</f>
        <v>300000</v>
      </c>
      <c r="G116" s="19">
        <v>300000</v>
      </c>
      <c r="H116" s="23">
        <v>25</v>
      </c>
      <c r="I116" s="23">
        <v>25</v>
      </c>
      <c r="J116" s="29">
        <f t="shared" ref="J116:J127" si="44">L116/H116</f>
        <v>12000</v>
      </c>
      <c r="K116" s="15">
        <f t="shared" ref="K116:K127" si="45">I116*J116</f>
        <v>300000</v>
      </c>
      <c r="L116" s="19">
        <v>300000</v>
      </c>
      <c r="M116" s="23">
        <v>28</v>
      </c>
      <c r="N116" s="23">
        <v>28</v>
      </c>
      <c r="O116" s="29">
        <f t="shared" ref="O116:O127" si="46">Q116/M116</f>
        <v>12000</v>
      </c>
      <c r="P116" s="15">
        <f t="shared" ref="P116:P127" si="47">N116*O116</f>
        <v>336000</v>
      </c>
      <c r="Q116" s="19">
        <v>336000</v>
      </c>
      <c r="R116" s="16">
        <f t="shared" ref="R116:R127" si="48">D116+I116+N116</f>
        <v>78</v>
      </c>
      <c r="S116" s="17">
        <f t="shared" ref="S116:S127" si="49">F116+K116+P116</f>
        <v>936000</v>
      </c>
      <c r="X116" s="3"/>
    </row>
    <row r="117" spans="1:24" s="2" customFormat="1" ht="16.5" x14ac:dyDescent="0.3">
      <c r="A117" s="13">
        <v>14</v>
      </c>
      <c r="B117" s="18" t="s">
        <v>19</v>
      </c>
      <c r="C117" s="23">
        <v>1</v>
      </c>
      <c r="D117" s="23">
        <v>1</v>
      </c>
      <c r="E117" s="29">
        <f t="shared" si="42"/>
        <v>18000</v>
      </c>
      <c r="F117" s="15">
        <f t="shared" si="43"/>
        <v>18000</v>
      </c>
      <c r="G117" s="19">
        <v>18000</v>
      </c>
      <c r="H117" s="23">
        <v>1</v>
      </c>
      <c r="I117" s="23">
        <v>1</v>
      </c>
      <c r="J117" s="29">
        <f t="shared" si="44"/>
        <v>18000</v>
      </c>
      <c r="K117" s="15">
        <f t="shared" si="45"/>
        <v>18000</v>
      </c>
      <c r="L117" s="19">
        <v>18000</v>
      </c>
      <c r="M117" s="23">
        <v>1</v>
      </c>
      <c r="N117" s="23">
        <v>1</v>
      </c>
      <c r="O117" s="29">
        <f t="shared" si="46"/>
        <v>18000</v>
      </c>
      <c r="P117" s="15">
        <f t="shared" si="47"/>
        <v>18000</v>
      </c>
      <c r="Q117" s="19">
        <v>18000</v>
      </c>
      <c r="R117" s="16">
        <f t="shared" si="48"/>
        <v>3</v>
      </c>
      <c r="S117" s="17">
        <f t="shared" si="49"/>
        <v>54000</v>
      </c>
      <c r="X117" s="3"/>
    </row>
    <row r="118" spans="1:24" s="2" customFormat="1" ht="49.5" x14ac:dyDescent="0.3">
      <c r="A118" s="13">
        <v>21</v>
      </c>
      <c r="B118" s="18" t="s">
        <v>21</v>
      </c>
      <c r="C118" s="23">
        <v>1</v>
      </c>
      <c r="D118" s="23">
        <v>1</v>
      </c>
      <c r="E118" s="29">
        <f t="shared" si="42"/>
        <v>8400</v>
      </c>
      <c r="F118" s="15">
        <f t="shared" si="43"/>
        <v>8400</v>
      </c>
      <c r="G118" s="19">
        <v>8400</v>
      </c>
      <c r="H118" s="23">
        <v>1</v>
      </c>
      <c r="I118" s="23">
        <v>1</v>
      </c>
      <c r="J118" s="29">
        <f t="shared" si="44"/>
        <v>8400</v>
      </c>
      <c r="K118" s="15">
        <f t="shared" si="45"/>
        <v>8400</v>
      </c>
      <c r="L118" s="19">
        <v>8400</v>
      </c>
      <c r="M118" s="23">
        <v>1</v>
      </c>
      <c r="N118" s="23">
        <v>1</v>
      </c>
      <c r="O118" s="29">
        <f t="shared" si="46"/>
        <v>8400</v>
      </c>
      <c r="P118" s="15">
        <f t="shared" si="47"/>
        <v>8400</v>
      </c>
      <c r="Q118" s="19">
        <v>8400</v>
      </c>
      <c r="R118" s="16">
        <f t="shared" si="48"/>
        <v>3</v>
      </c>
      <c r="S118" s="17">
        <f t="shared" si="49"/>
        <v>25200</v>
      </c>
      <c r="X118" s="3"/>
    </row>
    <row r="119" spans="1:24" s="2" customFormat="1" ht="16.5" x14ac:dyDescent="0.3">
      <c r="A119" s="13">
        <v>25</v>
      </c>
      <c r="B119" s="18" t="s">
        <v>23</v>
      </c>
      <c r="C119" s="23">
        <v>2</v>
      </c>
      <c r="D119" s="23">
        <v>2</v>
      </c>
      <c r="E119" s="29">
        <f t="shared" si="42"/>
        <v>6000</v>
      </c>
      <c r="F119" s="15">
        <f t="shared" si="43"/>
        <v>12000</v>
      </c>
      <c r="G119" s="19">
        <v>12000</v>
      </c>
      <c r="H119" s="23">
        <v>2</v>
      </c>
      <c r="I119" s="23">
        <v>2</v>
      </c>
      <c r="J119" s="29">
        <f t="shared" si="44"/>
        <v>6000</v>
      </c>
      <c r="K119" s="15">
        <f t="shared" si="45"/>
        <v>12000</v>
      </c>
      <c r="L119" s="19">
        <v>12000</v>
      </c>
      <c r="M119" s="23">
        <v>2</v>
      </c>
      <c r="N119" s="23">
        <v>2</v>
      </c>
      <c r="O119" s="29">
        <f t="shared" si="46"/>
        <v>6000</v>
      </c>
      <c r="P119" s="15">
        <f t="shared" si="47"/>
        <v>12000</v>
      </c>
      <c r="Q119" s="19">
        <v>12000</v>
      </c>
      <c r="R119" s="16">
        <f t="shared" si="48"/>
        <v>6</v>
      </c>
      <c r="S119" s="17">
        <f t="shared" si="49"/>
        <v>36000</v>
      </c>
      <c r="X119" s="3"/>
    </row>
    <row r="120" spans="1:24" s="2" customFormat="1" ht="33" x14ac:dyDescent="0.3">
      <c r="A120" s="13">
        <v>30</v>
      </c>
      <c r="B120" s="18" t="s">
        <v>26</v>
      </c>
      <c r="C120" s="23">
        <v>6</v>
      </c>
      <c r="D120" s="23">
        <v>6</v>
      </c>
      <c r="E120" s="29">
        <f t="shared" si="42"/>
        <v>18000</v>
      </c>
      <c r="F120" s="15">
        <f t="shared" si="43"/>
        <v>108000</v>
      </c>
      <c r="G120" s="19">
        <v>108000</v>
      </c>
      <c r="H120" s="23">
        <v>6</v>
      </c>
      <c r="I120" s="23">
        <v>6</v>
      </c>
      <c r="J120" s="29">
        <f t="shared" si="44"/>
        <v>18000</v>
      </c>
      <c r="K120" s="15">
        <f t="shared" si="45"/>
        <v>108000</v>
      </c>
      <c r="L120" s="19">
        <v>108000</v>
      </c>
      <c r="M120" s="23">
        <v>6</v>
      </c>
      <c r="N120" s="23">
        <v>6</v>
      </c>
      <c r="O120" s="29">
        <f t="shared" si="46"/>
        <v>18000</v>
      </c>
      <c r="P120" s="15">
        <f t="shared" si="47"/>
        <v>108000</v>
      </c>
      <c r="Q120" s="19">
        <v>108000</v>
      </c>
      <c r="R120" s="16">
        <f t="shared" si="48"/>
        <v>18</v>
      </c>
      <c r="S120" s="17">
        <f t="shared" si="49"/>
        <v>324000</v>
      </c>
      <c r="X120" s="3"/>
    </row>
    <row r="121" spans="1:24" s="2" customFormat="1" ht="16.5" x14ac:dyDescent="0.3">
      <c r="A121" s="13">
        <v>32</v>
      </c>
      <c r="B121" s="18" t="s">
        <v>27</v>
      </c>
      <c r="C121" s="23">
        <v>8</v>
      </c>
      <c r="D121" s="23">
        <v>8</v>
      </c>
      <c r="E121" s="29">
        <f t="shared" si="42"/>
        <v>8400</v>
      </c>
      <c r="F121" s="15">
        <f t="shared" si="43"/>
        <v>67200</v>
      </c>
      <c r="G121" s="19">
        <v>67200</v>
      </c>
      <c r="H121" s="23">
        <v>8</v>
      </c>
      <c r="I121" s="23">
        <v>8</v>
      </c>
      <c r="J121" s="29">
        <f t="shared" si="44"/>
        <v>8400</v>
      </c>
      <c r="K121" s="15">
        <f t="shared" si="45"/>
        <v>67200</v>
      </c>
      <c r="L121" s="19">
        <v>67200</v>
      </c>
      <c r="M121" s="23">
        <v>8</v>
      </c>
      <c r="N121" s="23">
        <v>8</v>
      </c>
      <c r="O121" s="29">
        <f t="shared" si="46"/>
        <v>8400</v>
      </c>
      <c r="P121" s="15">
        <f t="shared" si="47"/>
        <v>67200</v>
      </c>
      <c r="Q121" s="19">
        <v>67200</v>
      </c>
      <c r="R121" s="16">
        <f t="shared" si="48"/>
        <v>24</v>
      </c>
      <c r="S121" s="17">
        <f t="shared" si="49"/>
        <v>201600</v>
      </c>
      <c r="X121" s="3"/>
    </row>
    <row r="122" spans="1:24" s="2" customFormat="1" ht="33" x14ac:dyDescent="0.3">
      <c r="A122" s="13">
        <v>34</v>
      </c>
      <c r="B122" s="18" t="s">
        <v>29</v>
      </c>
      <c r="C122" s="23">
        <v>16</v>
      </c>
      <c r="D122" s="23">
        <v>16</v>
      </c>
      <c r="E122" s="29">
        <f t="shared" si="42"/>
        <v>3600</v>
      </c>
      <c r="F122" s="15">
        <f t="shared" si="43"/>
        <v>57600</v>
      </c>
      <c r="G122" s="19">
        <v>57600</v>
      </c>
      <c r="H122" s="23">
        <v>15</v>
      </c>
      <c r="I122" s="23">
        <v>15</v>
      </c>
      <c r="J122" s="29">
        <f t="shared" si="44"/>
        <v>3600</v>
      </c>
      <c r="K122" s="15">
        <f t="shared" si="45"/>
        <v>54000</v>
      </c>
      <c r="L122" s="19">
        <v>54000</v>
      </c>
      <c r="M122" s="23">
        <v>12</v>
      </c>
      <c r="N122" s="23">
        <v>12</v>
      </c>
      <c r="O122" s="29">
        <f t="shared" si="46"/>
        <v>3600</v>
      </c>
      <c r="P122" s="15">
        <f t="shared" si="47"/>
        <v>43200</v>
      </c>
      <c r="Q122" s="19">
        <v>43200</v>
      </c>
      <c r="R122" s="16">
        <f t="shared" si="48"/>
        <v>43</v>
      </c>
      <c r="S122" s="17">
        <f t="shared" si="49"/>
        <v>154800</v>
      </c>
      <c r="X122" s="3"/>
    </row>
    <row r="123" spans="1:24" s="2" customFormat="1" ht="49.5" x14ac:dyDescent="0.3">
      <c r="A123" s="13">
        <v>35</v>
      </c>
      <c r="B123" s="18" t="s">
        <v>30</v>
      </c>
      <c r="C123" s="23">
        <v>1</v>
      </c>
      <c r="D123" s="23">
        <v>1</v>
      </c>
      <c r="E123" s="29">
        <f t="shared" si="42"/>
        <v>24000</v>
      </c>
      <c r="F123" s="15">
        <f t="shared" si="43"/>
        <v>24000</v>
      </c>
      <c r="G123" s="19">
        <v>24000</v>
      </c>
      <c r="H123" s="23">
        <v>1</v>
      </c>
      <c r="I123" s="23">
        <v>1</v>
      </c>
      <c r="J123" s="29">
        <f t="shared" si="44"/>
        <v>24000</v>
      </c>
      <c r="K123" s="15">
        <f t="shared" si="45"/>
        <v>24000</v>
      </c>
      <c r="L123" s="19">
        <v>24000</v>
      </c>
      <c r="M123" s="23">
        <v>1</v>
      </c>
      <c r="N123" s="23">
        <v>1</v>
      </c>
      <c r="O123" s="29">
        <f t="shared" si="46"/>
        <v>24000</v>
      </c>
      <c r="P123" s="15">
        <f t="shared" si="47"/>
        <v>24000</v>
      </c>
      <c r="Q123" s="19">
        <v>24000</v>
      </c>
      <c r="R123" s="16">
        <f t="shared" si="48"/>
        <v>3</v>
      </c>
      <c r="S123" s="17">
        <f t="shared" si="49"/>
        <v>72000</v>
      </c>
      <c r="X123" s="3"/>
    </row>
    <row r="124" spans="1:24" s="2" customFormat="1" ht="33" x14ac:dyDescent="0.3">
      <c r="A124" s="13">
        <v>36</v>
      </c>
      <c r="B124" s="18" t="s">
        <v>31</v>
      </c>
      <c r="C124" s="23">
        <v>2</v>
      </c>
      <c r="D124" s="23">
        <v>2</v>
      </c>
      <c r="E124" s="29">
        <f t="shared" si="42"/>
        <v>3600</v>
      </c>
      <c r="F124" s="15">
        <f t="shared" si="43"/>
        <v>7200</v>
      </c>
      <c r="G124" s="19">
        <v>7200</v>
      </c>
      <c r="H124" s="23">
        <v>2</v>
      </c>
      <c r="I124" s="23">
        <v>2</v>
      </c>
      <c r="J124" s="29">
        <f t="shared" si="44"/>
        <v>3600</v>
      </c>
      <c r="K124" s="15">
        <f t="shared" si="45"/>
        <v>7200</v>
      </c>
      <c r="L124" s="19">
        <v>7200</v>
      </c>
      <c r="M124" s="23">
        <v>2</v>
      </c>
      <c r="N124" s="23">
        <v>2</v>
      </c>
      <c r="O124" s="29">
        <f t="shared" si="46"/>
        <v>3600</v>
      </c>
      <c r="P124" s="15">
        <f t="shared" si="47"/>
        <v>7200</v>
      </c>
      <c r="Q124" s="19">
        <v>7200</v>
      </c>
      <c r="R124" s="16">
        <f t="shared" si="48"/>
        <v>6</v>
      </c>
      <c r="S124" s="17">
        <f t="shared" si="49"/>
        <v>21600</v>
      </c>
      <c r="X124" s="3"/>
    </row>
    <row r="125" spans="1:24" s="2" customFormat="1" ht="16.5" x14ac:dyDescent="0.3">
      <c r="A125" s="13">
        <v>37</v>
      </c>
      <c r="B125" s="18" t="s">
        <v>32</v>
      </c>
      <c r="C125" s="23">
        <v>10</v>
      </c>
      <c r="D125" s="23">
        <v>10</v>
      </c>
      <c r="E125" s="29">
        <f t="shared" si="42"/>
        <v>1200</v>
      </c>
      <c r="F125" s="15">
        <f t="shared" si="43"/>
        <v>12000</v>
      </c>
      <c r="G125" s="19">
        <v>12000</v>
      </c>
      <c r="H125" s="23">
        <v>6</v>
      </c>
      <c r="I125" s="23">
        <v>6</v>
      </c>
      <c r="J125" s="29">
        <f t="shared" si="44"/>
        <v>1200</v>
      </c>
      <c r="K125" s="15">
        <f t="shared" si="45"/>
        <v>7200</v>
      </c>
      <c r="L125" s="19">
        <v>7200</v>
      </c>
      <c r="M125" s="23">
        <v>7</v>
      </c>
      <c r="N125" s="23">
        <v>7</v>
      </c>
      <c r="O125" s="29">
        <f t="shared" si="46"/>
        <v>1200</v>
      </c>
      <c r="P125" s="15">
        <f t="shared" si="47"/>
        <v>8400</v>
      </c>
      <c r="Q125" s="19">
        <v>8400</v>
      </c>
      <c r="R125" s="16">
        <f t="shared" si="48"/>
        <v>23</v>
      </c>
      <c r="S125" s="17">
        <f t="shared" si="49"/>
        <v>27600</v>
      </c>
      <c r="X125" s="3"/>
    </row>
    <row r="126" spans="1:24" s="2" customFormat="1" ht="16.5" x14ac:dyDescent="0.3">
      <c r="A126" s="13">
        <v>38</v>
      </c>
      <c r="B126" s="18" t="s">
        <v>33</v>
      </c>
      <c r="C126" s="23">
        <v>4</v>
      </c>
      <c r="D126" s="23">
        <v>4</v>
      </c>
      <c r="E126" s="29">
        <f t="shared" si="42"/>
        <v>1560</v>
      </c>
      <c r="F126" s="15">
        <f t="shared" si="43"/>
        <v>6240</v>
      </c>
      <c r="G126" s="19">
        <v>6240</v>
      </c>
      <c r="H126" s="23">
        <v>4</v>
      </c>
      <c r="I126" s="23">
        <v>4</v>
      </c>
      <c r="J126" s="29">
        <f t="shared" si="44"/>
        <v>1560</v>
      </c>
      <c r="K126" s="15">
        <f t="shared" si="45"/>
        <v>6240</v>
      </c>
      <c r="L126" s="19">
        <v>6240</v>
      </c>
      <c r="M126" s="23">
        <v>4</v>
      </c>
      <c r="N126" s="23">
        <v>4</v>
      </c>
      <c r="O126" s="29">
        <f t="shared" si="46"/>
        <v>1560</v>
      </c>
      <c r="P126" s="15">
        <f t="shared" si="47"/>
        <v>6240</v>
      </c>
      <c r="Q126" s="19">
        <v>6240</v>
      </c>
      <c r="R126" s="16">
        <f t="shared" si="48"/>
        <v>12</v>
      </c>
      <c r="S126" s="17">
        <f t="shared" si="49"/>
        <v>18720</v>
      </c>
      <c r="X126" s="3"/>
    </row>
    <row r="127" spans="1:24" s="2" customFormat="1" ht="49.5" x14ac:dyDescent="0.3">
      <c r="A127" s="13">
        <v>39</v>
      </c>
      <c r="B127" s="18" t="s">
        <v>34</v>
      </c>
      <c r="C127" s="23">
        <v>6</v>
      </c>
      <c r="D127" s="23">
        <v>6</v>
      </c>
      <c r="E127" s="29">
        <f t="shared" si="42"/>
        <v>6000</v>
      </c>
      <c r="F127" s="15">
        <f t="shared" si="43"/>
        <v>36000</v>
      </c>
      <c r="G127" s="19">
        <v>36000</v>
      </c>
      <c r="H127" s="23">
        <v>7</v>
      </c>
      <c r="I127" s="23">
        <v>7</v>
      </c>
      <c r="J127" s="29">
        <f t="shared" si="44"/>
        <v>6000</v>
      </c>
      <c r="K127" s="15">
        <f t="shared" si="45"/>
        <v>42000</v>
      </c>
      <c r="L127" s="19">
        <v>42000</v>
      </c>
      <c r="M127" s="23">
        <v>7</v>
      </c>
      <c r="N127" s="23">
        <v>7</v>
      </c>
      <c r="O127" s="29">
        <f t="shared" si="46"/>
        <v>6000</v>
      </c>
      <c r="P127" s="15">
        <f t="shared" si="47"/>
        <v>42000</v>
      </c>
      <c r="Q127" s="19">
        <v>42000</v>
      </c>
      <c r="R127" s="16">
        <f t="shared" si="48"/>
        <v>20</v>
      </c>
      <c r="S127" s="17">
        <f t="shared" si="49"/>
        <v>120000</v>
      </c>
      <c r="X127" s="3"/>
    </row>
    <row r="128" spans="1:24" s="2" customFormat="1" ht="16.5" x14ac:dyDescent="0.3">
      <c r="A128" s="24"/>
      <c r="B128" s="25" t="s">
        <v>11</v>
      </c>
      <c r="C128" s="17"/>
      <c r="D128" s="17"/>
      <c r="E128" s="17"/>
      <c r="F128" s="17">
        <f>SUM(F116:F127)</f>
        <v>656640</v>
      </c>
      <c r="G128" s="17">
        <f>SUM(G116:G127)</f>
        <v>656640</v>
      </c>
      <c r="H128" s="17"/>
      <c r="I128" s="17"/>
      <c r="J128" s="17"/>
      <c r="K128" s="17">
        <f>SUM(K116:K127)</f>
        <v>654240</v>
      </c>
      <c r="L128" s="17">
        <f>SUM(L116:L127)</f>
        <v>654240</v>
      </c>
      <c r="M128" s="17"/>
      <c r="N128" s="17"/>
      <c r="O128" s="17"/>
      <c r="P128" s="28">
        <f>SUM(P116:P127)</f>
        <v>680640</v>
      </c>
      <c r="Q128" s="17">
        <f>SUM(Q116:Q127)</f>
        <v>680640</v>
      </c>
      <c r="R128" s="17"/>
      <c r="S128" s="17">
        <f>SUM(S116:S127)</f>
        <v>1991520</v>
      </c>
      <c r="X128" s="3"/>
    </row>
    <row r="129" spans="1:25" s="2" customFormat="1" ht="16.5" x14ac:dyDescent="0.3">
      <c r="A129" s="1"/>
      <c r="S129" s="3"/>
      <c r="U129" s="41"/>
      <c r="V129" s="42"/>
      <c r="W129" s="43"/>
      <c r="X129" s="44"/>
      <c r="Y129" s="45"/>
    </row>
    <row r="130" spans="1:25" s="2" customFormat="1" ht="16.5" x14ac:dyDescent="0.3">
      <c r="A130" s="1"/>
      <c r="U130" s="41"/>
      <c r="V130" s="42"/>
      <c r="W130" s="43"/>
      <c r="X130" s="44"/>
      <c r="Y130" s="45"/>
    </row>
    <row r="131" spans="1:25" s="2" customFormat="1" ht="20.25" x14ac:dyDescent="0.3">
      <c r="A131" s="1"/>
      <c r="R131" s="157" t="s">
        <v>64</v>
      </c>
      <c r="S131" s="157"/>
      <c r="U131" s="41"/>
      <c r="V131" s="42"/>
      <c r="W131" s="43"/>
      <c r="X131" s="44"/>
      <c r="Y131" s="45"/>
    </row>
    <row r="132" spans="1:25" s="2" customFormat="1" ht="16.5" x14ac:dyDescent="0.3">
      <c r="A132" s="158" t="s">
        <v>65</v>
      </c>
      <c r="B132" s="158"/>
      <c r="C132" s="158"/>
      <c r="D132" s="158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U132" s="41"/>
      <c r="V132" s="42"/>
      <c r="W132" s="43"/>
      <c r="X132" s="44"/>
      <c r="Y132" s="45"/>
    </row>
    <row r="133" spans="1:25" s="2" customFormat="1" ht="16.5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U133" s="41"/>
      <c r="V133" s="42"/>
      <c r="W133" s="43"/>
      <c r="X133" s="44"/>
      <c r="Y133" s="45"/>
    </row>
    <row r="134" spans="1:25" s="2" customFormat="1" ht="16.5" x14ac:dyDescent="0.3">
      <c r="A134" s="1"/>
      <c r="R134" s="159" t="s">
        <v>5</v>
      </c>
      <c r="S134" s="159"/>
      <c r="U134" s="41"/>
      <c r="V134" s="42"/>
      <c r="W134" s="43"/>
      <c r="X134" s="44"/>
      <c r="Y134" s="45"/>
    </row>
    <row r="135" spans="1:25" s="2" customFormat="1" ht="16.5" x14ac:dyDescent="0.3">
      <c r="A135" s="160" t="s">
        <v>6</v>
      </c>
      <c r="B135" s="163" t="s">
        <v>7</v>
      </c>
      <c r="C135" s="9"/>
      <c r="D135" s="170" t="s">
        <v>66</v>
      </c>
      <c r="E135" s="171"/>
      <c r="F135" s="171"/>
      <c r="G135" s="172"/>
      <c r="H135" s="173" t="s">
        <v>67</v>
      </c>
      <c r="I135" s="173"/>
      <c r="J135" s="173"/>
      <c r="K135" s="173"/>
      <c r="L135" s="173"/>
      <c r="M135" s="170" t="s">
        <v>68</v>
      </c>
      <c r="N135" s="171"/>
      <c r="O135" s="171"/>
      <c r="P135" s="171"/>
      <c r="Q135" s="172"/>
      <c r="R135" s="170" t="s">
        <v>11</v>
      </c>
      <c r="S135" s="172"/>
      <c r="U135" s="41"/>
      <c r="V135" s="42"/>
      <c r="W135" s="43"/>
      <c r="X135" s="44"/>
      <c r="Y135" s="45"/>
    </row>
    <row r="136" spans="1:25" s="2" customFormat="1" ht="16.5" x14ac:dyDescent="0.3">
      <c r="A136" s="161"/>
      <c r="B136" s="164"/>
      <c r="C136" s="10" t="s">
        <v>12</v>
      </c>
      <c r="D136" s="10" t="s">
        <v>12</v>
      </c>
      <c r="E136" s="10"/>
      <c r="F136" s="11" t="s">
        <v>14</v>
      </c>
      <c r="G136" s="11" t="s">
        <v>14</v>
      </c>
      <c r="H136" s="10" t="s">
        <v>12</v>
      </c>
      <c r="I136" s="10" t="s">
        <v>12</v>
      </c>
      <c r="J136" s="10"/>
      <c r="K136" s="11" t="s">
        <v>14</v>
      </c>
      <c r="L136" s="11" t="s">
        <v>14</v>
      </c>
      <c r="M136" s="10" t="s">
        <v>12</v>
      </c>
      <c r="N136" s="10" t="s">
        <v>12</v>
      </c>
      <c r="O136" s="10"/>
      <c r="P136" s="11" t="s">
        <v>14</v>
      </c>
      <c r="Q136" s="11" t="s">
        <v>14</v>
      </c>
      <c r="R136" s="10" t="s">
        <v>12</v>
      </c>
      <c r="S136" s="11" t="s">
        <v>14</v>
      </c>
      <c r="U136" s="41"/>
      <c r="V136" s="42"/>
      <c r="W136" s="43"/>
      <c r="X136" s="44"/>
      <c r="Y136" s="45"/>
    </row>
    <row r="137" spans="1:25" s="2" customFormat="1" ht="18.75" x14ac:dyDescent="0.3">
      <c r="A137" s="162"/>
      <c r="B137" s="165"/>
      <c r="C137" s="12"/>
      <c r="D137" s="153" t="s">
        <v>69</v>
      </c>
      <c r="E137" s="153"/>
      <c r="F137" s="153"/>
      <c r="G137" s="153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U137" s="41"/>
      <c r="V137" s="42"/>
      <c r="W137" s="43"/>
      <c r="X137" s="44"/>
      <c r="Y137" s="45"/>
    </row>
    <row r="138" spans="1:25" s="2" customFormat="1" ht="49.5" x14ac:dyDescent="0.3">
      <c r="A138" s="13">
        <v>3</v>
      </c>
      <c r="B138" s="18" t="s">
        <v>16</v>
      </c>
      <c r="C138" s="23">
        <v>15</v>
      </c>
      <c r="D138" s="23">
        <v>15</v>
      </c>
      <c r="E138" s="29">
        <f t="shared" ref="E138:E150" si="50">G138/C138</f>
        <v>12000</v>
      </c>
      <c r="F138" s="15">
        <f t="shared" ref="F138:F150" si="51">D138*E138</f>
        <v>180000</v>
      </c>
      <c r="G138" s="19">
        <v>180000</v>
      </c>
      <c r="H138" s="23">
        <v>40</v>
      </c>
      <c r="I138" s="23">
        <v>40</v>
      </c>
      <c r="J138" s="29">
        <f t="shared" ref="J138:J150" si="52">L138/H138</f>
        <v>12600</v>
      </c>
      <c r="K138" s="40">
        <f t="shared" ref="K138:K150" si="53">I138*J138</f>
        <v>504000</v>
      </c>
      <c r="L138" s="19">
        <v>504000</v>
      </c>
      <c r="M138" s="23">
        <v>40</v>
      </c>
      <c r="N138" s="23">
        <v>40</v>
      </c>
      <c r="O138" s="29">
        <f t="shared" ref="O138:O150" si="54">Q138/M138</f>
        <v>13200</v>
      </c>
      <c r="P138" s="15">
        <f t="shared" ref="P138:P150" si="55">N138*O138</f>
        <v>528000</v>
      </c>
      <c r="Q138" s="19">
        <v>528000</v>
      </c>
      <c r="R138" s="16">
        <f t="shared" ref="R138:R150" si="56">D138+I138+N138</f>
        <v>95</v>
      </c>
      <c r="S138" s="17">
        <f t="shared" ref="S138:S150" si="57">F138+K138+P138</f>
        <v>1212000</v>
      </c>
      <c r="U138" s="41"/>
      <c r="V138" s="42"/>
      <c r="W138" s="43"/>
      <c r="X138" s="44"/>
      <c r="Y138" s="45"/>
    </row>
    <row r="139" spans="1:25" s="2" customFormat="1" ht="33" x14ac:dyDescent="0.3">
      <c r="A139" s="13">
        <v>13</v>
      </c>
      <c r="B139" s="18" t="s">
        <v>18</v>
      </c>
      <c r="C139" s="23">
        <v>2</v>
      </c>
      <c r="D139" s="23">
        <v>2</v>
      </c>
      <c r="E139" s="29">
        <f t="shared" si="50"/>
        <v>22800</v>
      </c>
      <c r="F139" s="15">
        <f t="shared" si="51"/>
        <v>45600</v>
      </c>
      <c r="G139" s="19">
        <v>45600</v>
      </c>
      <c r="H139" s="23">
        <v>4</v>
      </c>
      <c r="I139" s="23">
        <v>4</v>
      </c>
      <c r="J139" s="29">
        <f t="shared" si="52"/>
        <v>22800</v>
      </c>
      <c r="K139" s="40">
        <f t="shared" si="53"/>
        <v>91200</v>
      </c>
      <c r="L139" s="19">
        <v>91200</v>
      </c>
      <c r="M139" s="23">
        <v>2</v>
      </c>
      <c r="N139" s="23">
        <v>2</v>
      </c>
      <c r="O139" s="29">
        <f t="shared" si="54"/>
        <v>22800</v>
      </c>
      <c r="P139" s="15">
        <f t="shared" si="55"/>
        <v>45600</v>
      </c>
      <c r="Q139" s="19">
        <v>45600</v>
      </c>
      <c r="R139" s="16">
        <f t="shared" si="56"/>
        <v>8</v>
      </c>
      <c r="S139" s="17">
        <f t="shared" si="57"/>
        <v>182400</v>
      </c>
      <c r="U139" s="41"/>
      <c r="V139" s="42"/>
      <c r="W139" s="43"/>
      <c r="X139" s="44"/>
      <c r="Y139" s="45"/>
    </row>
    <row r="140" spans="1:25" s="2" customFormat="1" ht="16.5" x14ac:dyDescent="0.3">
      <c r="A140" s="13">
        <v>14</v>
      </c>
      <c r="B140" s="18" t="s">
        <v>19</v>
      </c>
      <c r="C140" s="23"/>
      <c r="D140" s="23"/>
      <c r="E140" s="29"/>
      <c r="F140" s="15"/>
      <c r="G140" s="19"/>
      <c r="H140" s="23">
        <v>1</v>
      </c>
      <c r="I140" s="23">
        <v>1</v>
      </c>
      <c r="J140" s="29">
        <f t="shared" si="52"/>
        <v>7920</v>
      </c>
      <c r="K140" s="40">
        <f t="shared" si="53"/>
        <v>7920</v>
      </c>
      <c r="L140" s="19">
        <v>7920</v>
      </c>
      <c r="M140" s="23">
        <v>1</v>
      </c>
      <c r="N140" s="23">
        <v>1</v>
      </c>
      <c r="O140" s="29">
        <f t="shared" si="54"/>
        <v>7800</v>
      </c>
      <c r="P140" s="15">
        <f t="shared" si="55"/>
        <v>7800</v>
      </c>
      <c r="Q140" s="19">
        <v>7800</v>
      </c>
      <c r="R140" s="16">
        <f t="shared" si="56"/>
        <v>2</v>
      </c>
      <c r="S140" s="17">
        <f t="shared" si="57"/>
        <v>15720</v>
      </c>
      <c r="U140" s="41"/>
      <c r="V140" s="42"/>
      <c r="W140" s="43"/>
      <c r="X140" s="44"/>
      <c r="Y140" s="45"/>
    </row>
    <row r="141" spans="1:25" s="2" customFormat="1" ht="33" x14ac:dyDescent="0.3">
      <c r="A141" s="13">
        <v>17</v>
      </c>
      <c r="B141" s="18" t="s">
        <v>20</v>
      </c>
      <c r="C141" s="23">
        <v>1</v>
      </c>
      <c r="D141" s="23">
        <v>1</v>
      </c>
      <c r="E141" s="29">
        <f t="shared" si="50"/>
        <v>22800</v>
      </c>
      <c r="F141" s="15">
        <f t="shared" si="51"/>
        <v>22800</v>
      </c>
      <c r="G141" s="19">
        <v>22800</v>
      </c>
      <c r="H141" s="23">
        <v>4</v>
      </c>
      <c r="I141" s="23">
        <v>4</v>
      </c>
      <c r="J141" s="29">
        <f t="shared" si="52"/>
        <v>22800</v>
      </c>
      <c r="K141" s="19">
        <f t="shared" si="53"/>
        <v>91200</v>
      </c>
      <c r="L141" s="19">
        <v>91200</v>
      </c>
      <c r="M141" s="23">
        <v>4</v>
      </c>
      <c r="N141" s="23">
        <v>4</v>
      </c>
      <c r="O141" s="29">
        <f t="shared" si="54"/>
        <v>22800</v>
      </c>
      <c r="P141" s="15">
        <f t="shared" si="55"/>
        <v>91200</v>
      </c>
      <c r="Q141" s="19">
        <v>91200</v>
      </c>
      <c r="R141" s="16">
        <f t="shared" si="56"/>
        <v>9</v>
      </c>
      <c r="S141" s="17">
        <f t="shared" si="57"/>
        <v>205200</v>
      </c>
      <c r="U141" s="41"/>
      <c r="V141" s="42"/>
      <c r="W141" s="43"/>
      <c r="X141" s="44"/>
      <c r="Y141" s="45"/>
    </row>
    <row r="142" spans="1:25" s="2" customFormat="1" ht="16.5" x14ac:dyDescent="0.3">
      <c r="A142" s="13">
        <v>25</v>
      </c>
      <c r="B142" s="18" t="s">
        <v>23</v>
      </c>
      <c r="C142" s="23">
        <v>1</v>
      </c>
      <c r="D142" s="23">
        <v>1</v>
      </c>
      <c r="E142" s="29">
        <f t="shared" si="50"/>
        <v>4560</v>
      </c>
      <c r="F142" s="15">
        <f t="shared" si="51"/>
        <v>4560</v>
      </c>
      <c r="G142" s="19">
        <v>4560</v>
      </c>
      <c r="H142" s="23">
        <v>4</v>
      </c>
      <c r="I142" s="23">
        <v>4</v>
      </c>
      <c r="J142" s="29">
        <f t="shared" si="52"/>
        <v>4680</v>
      </c>
      <c r="K142" s="19">
        <f t="shared" si="53"/>
        <v>18720</v>
      </c>
      <c r="L142" s="19">
        <v>18720</v>
      </c>
      <c r="M142" s="23">
        <v>2</v>
      </c>
      <c r="N142" s="23">
        <v>2</v>
      </c>
      <c r="O142" s="29">
        <f t="shared" si="54"/>
        <v>4560</v>
      </c>
      <c r="P142" s="15">
        <f t="shared" si="55"/>
        <v>9120</v>
      </c>
      <c r="Q142" s="19">
        <v>9120</v>
      </c>
      <c r="R142" s="16">
        <f t="shared" si="56"/>
        <v>7</v>
      </c>
      <c r="S142" s="17">
        <f t="shared" si="57"/>
        <v>32400</v>
      </c>
      <c r="U142" s="41"/>
      <c r="V142" s="42"/>
      <c r="W142" s="43"/>
      <c r="X142" s="44"/>
      <c r="Y142" s="45"/>
    </row>
    <row r="143" spans="1:25" s="2" customFormat="1" ht="33" x14ac:dyDescent="0.3">
      <c r="A143" s="13">
        <v>29</v>
      </c>
      <c r="B143" s="18" t="s">
        <v>25</v>
      </c>
      <c r="C143" s="23">
        <v>2</v>
      </c>
      <c r="D143" s="23">
        <v>2</v>
      </c>
      <c r="E143" s="29">
        <f t="shared" si="50"/>
        <v>24000</v>
      </c>
      <c r="F143" s="15">
        <f t="shared" si="51"/>
        <v>48000</v>
      </c>
      <c r="G143" s="19">
        <v>48000</v>
      </c>
      <c r="H143" s="23">
        <v>4</v>
      </c>
      <c r="I143" s="23">
        <v>4</v>
      </c>
      <c r="J143" s="29">
        <f t="shared" si="52"/>
        <v>22800</v>
      </c>
      <c r="K143" s="19">
        <f t="shared" si="53"/>
        <v>91200</v>
      </c>
      <c r="L143" s="19">
        <v>91200</v>
      </c>
      <c r="M143" s="23">
        <v>3</v>
      </c>
      <c r="N143" s="23">
        <v>3</v>
      </c>
      <c r="O143" s="29">
        <f t="shared" si="54"/>
        <v>24000</v>
      </c>
      <c r="P143" s="15">
        <f t="shared" si="55"/>
        <v>72000</v>
      </c>
      <c r="Q143" s="19">
        <v>72000</v>
      </c>
      <c r="R143" s="16">
        <f t="shared" si="56"/>
        <v>9</v>
      </c>
      <c r="S143" s="17">
        <f t="shared" si="57"/>
        <v>211200</v>
      </c>
      <c r="X143" s="3"/>
    </row>
    <row r="144" spans="1:25" s="2" customFormat="1" ht="33" x14ac:dyDescent="0.3">
      <c r="A144" s="13">
        <v>30</v>
      </c>
      <c r="B144" s="18" t="s">
        <v>26</v>
      </c>
      <c r="C144" s="23">
        <v>6</v>
      </c>
      <c r="D144" s="23">
        <v>6</v>
      </c>
      <c r="E144" s="29">
        <f t="shared" si="50"/>
        <v>24000</v>
      </c>
      <c r="F144" s="15">
        <f t="shared" si="51"/>
        <v>144000</v>
      </c>
      <c r="G144" s="19">
        <v>144000</v>
      </c>
      <c r="H144" s="23">
        <v>15</v>
      </c>
      <c r="I144" s="23">
        <v>15</v>
      </c>
      <c r="J144" s="29">
        <f t="shared" si="52"/>
        <v>22800</v>
      </c>
      <c r="K144" s="19">
        <f t="shared" si="53"/>
        <v>342000</v>
      </c>
      <c r="L144" s="19">
        <v>342000</v>
      </c>
      <c r="M144" s="23">
        <v>12</v>
      </c>
      <c r="N144" s="23">
        <v>12</v>
      </c>
      <c r="O144" s="29">
        <f t="shared" si="54"/>
        <v>22800</v>
      </c>
      <c r="P144" s="15">
        <f t="shared" si="55"/>
        <v>273600</v>
      </c>
      <c r="Q144" s="19">
        <v>273600</v>
      </c>
      <c r="R144" s="16">
        <f t="shared" si="56"/>
        <v>33</v>
      </c>
      <c r="S144" s="17">
        <f t="shared" si="57"/>
        <v>759600</v>
      </c>
      <c r="X144" s="3"/>
    </row>
    <row r="145" spans="1:24" s="2" customFormat="1" ht="16.5" x14ac:dyDescent="0.3">
      <c r="A145" s="13">
        <v>32</v>
      </c>
      <c r="B145" s="18" t="s">
        <v>27</v>
      </c>
      <c r="C145" s="23"/>
      <c r="D145" s="23"/>
      <c r="E145" s="29"/>
      <c r="F145" s="15"/>
      <c r="G145" s="19"/>
      <c r="H145" s="23">
        <v>10</v>
      </c>
      <c r="I145" s="23">
        <v>10</v>
      </c>
      <c r="J145" s="29">
        <f t="shared" si="52"/>
        <v>18000</v>
      </c>
      <c r="K145" s="19">
        <f t="shared" si="53"/>
        <v>180000</v>
      </c>
      <c r="L145" s="19">
        <v>180000</v>
      </c>
      <c r="M145" s="23">
        <v>10</v>
      </c>
      <c r="N145" s="23">
        <v>10</v>
      </c>
      <c r="O145" s="29">
        <f t="shared" si="54"/>
        <v>18000</v>
      </c>
      <c r="P145" s="15">
        <f t="shared" si="55"/>
        <v>180000</v>
      </c>
      <c r="Q145" s="19">
        <v>180000</v>
      </c>
      <c r="R145" s="16">
        <f t="shared" si="56"/>
        <v>20</v>
      </c>
      <c r="S145" s="17">
        <f t="shared" si="57"/>
        <v>360000</v>
      </c>
      <c r="X145" s="3"/>
    </row>
    <row r="146" spans="1:24" s="2" customFormat="1" ht="33" x14ac:dyDescent="0.3">
      <c r="A146" s="13">
        <v>34</v>
      </c>
      <c r="B146" s="18" t="s">
        <v>29</v>
      </c>
      <c r="C146" s="23">
        <v>9</v>
      </c>
      <c r="D146" s="23">
        <v>9</v>
      </c>
      <c r="E146" s="29">
        <f t="shared" si="50"/>
        <v>6840</v>
      </c>
      <c r="F146" s="15">
        <f t="shared" si="51"/>
        <v>61560</v>
      </c>
      <c r="G146" s="19">
        <v>61560</v>
      </c>
      <c r="H146" s="23">
        <v>25</v>
      </c>
      <c r="I146" s="23">
        <v>25</v>
      </c>
      <c r="J146" s="29">
        <f t="shared" si="52"/>
        <v>6960</v>
      </c>
      <c r="K146" s="19">
        <f t="shared" si="53"/>
        <v>174000</v>
      </c>
      <c r="L146" s="19">
        <v>174000</v>
      </c>
      <c r="M146" s="23">
        <v>18</v>
      </c>
      <c r="N146" s="23">
        <v>18</v>
      </c>
      <c r="O146" s="29">
        <f t="shared" si="54"/>
        <v>6600</v>
      </c>
      <c r="P146" s="15">
        <f t="shared" si="55"/>
        <v>118800</v>
      </c>
      <c r="Q146" s="19">
        <v>118800</v>
      </c>
      <c r="R146" s="16">
        <f t="shared" si="56"/>
        <v>52</v>
      </c>
      <c r="S146" s="17">
        <f t="shared" si="57"/>
        <v>354360</v>
      </c>
      <c r="X146" s="3"/>
    </row>
    <row r="147" spans="1:24" s="2" customFormat="1" ht="33" x14ac:dyDescent="0.3">
      <c r="A147" s="13">
        <v>36</v>
      </c>
      <c r="B147" s="18" t="s">
        <v>31</v>
      </c>
      <c r="C147" s="23">
        <v>2</v>
      </c>
      <c r="D147" s="23">
        <v>2</v>
      </c>
      <c r="E147" s="29">
        <f t="shared" si="50"/>
        <v>924</v>
      </c>
      <c r="F147" s="15">
        <f t="shared" si="51"/>
        <v>1848</v>
      </c>
      <c r="G147" s="19">
        <v>1848</v>
      </c>
      <c r="H147" s="23">
        <v>2</v>
      </c>
      <c r="I147" s="23">
        <v>2</v>
      </c>
      <c r="J147" s="29">
        <f t="shared" si="52"/>
        <v>960</v>
      </c>
      <c r="K147" s="19">
        <f t="shared" si="53"/>
        <v>1920</v>
      </c>
      <c r="L147" s="19">
        <v>1920</v>
      </c>
      <c r="M147" s="23">
        <v>2</v>
      </c>
      <c r="N147" s="23">
        <v>2</v>
      </c>
      <c r="O147" s="29">
        <f t="shared" si="54"/>
        <v>960</v>
      </c>
      <c r="P147" s="15">
        <f t="shared" si="55"/>
        <v>1920</v>
      </c>
      <c r="Q147" s="19">
        <v>1920</v>
      </c>
      <c r="R147" s="16">
        <f t="shared" si="56"/>
        <v>6</v>
      </c>
      <c r="S147" s="17">
        <f t="shared" si="57"/>
        <v>5688</v>
      </c>
      <c r="X147" s="3"/>
    </row>
    <row r="148" spans="1:24" s="2" customFormat="1" ht="16.5" x14ac:dyDescent="0.3">
      <c r="A148" s="13">
        <v>37</v>
      </c>
      <c r="B148" s="18" t="s">
        <v>32</v>
      </c>
      <c r="C148" s="23">
        <v>8</v>
      </c>
      <c r="D148" s="23">
        <v>8</v>
      </c>
      <c r="E148" s="29">
        <f t="shared" si="50"/>
        <v>2400</v>
      </c>
      <c r="F148" s="15">
        <f t="shared" si="51"/>
        <v>19200</v>
      </c>
      <c r="G148" s="19">
        <v>19200</v>
      </c>
      <c r="H148" s="23">
        <v>15</v>
      </c>
      <c r="I148" s="23">
        <v>15</v>
      </c>
      <c r="J148" s="29">
        <f t="shared" si="52"/>
        <v>2280</v>
      </c>
      <c r="K148" s="19">
        <f t="shared" si="53"/>
        <v>34200</v>
      </c>
      <c r="L148" s="19">
        <v>34200</v>
      </c>
      <c r="M148" s="23">
        <v>12</v>
      </c>
      <c r="N148" s="23">
        <v>12</v>
      </c>
      <c r="O148" s="29">
        <f t="shared" si="54"/>
        <v>2280</v>
      </c>
      <c r="P148" s="15">
        <f t="shared" si="55"/>
        <v>27360</v>
      </c>
      <c r="Q148" s="19">
        <v>27360</v>
      </c>
      <c r="R148" s="16">
        <f t="shared" si="56"/>
        <v>35</v>
      </c>
      <c r="S148" s="17">
        <f t="shared" si="57"/>
        <v>80760</v>
      </c>
      <c r="X148" s="3"/>
    </row>
    <row r="149" spans="1:24" s="2" customFormat="1" ht="16.5" x14ac:dyDescent="0.3">
      <c r="A149" s="13">
        <v>38</v>
      </c>
      <c r="B149" s="18" t="s">
        <v>33</v>
      </c>
      <c r="C149" s="23">
        <v>2</v>
      </c>
      <c r="D149" s="23">
        <v>2</v>
      </c>
      <c r="E149" s="29">
        <f t="shared" si="50"/>
        <v>4560</v>
      </c>
      <c r="F149" s="15">
        <f t="shared" si="51"/>
        <v>9120</v>
      </c>
      <c r="G149" s="19">
        <v>9120</v>
      </c>
      <c r="H149" s="23">
        <v>4</v>
      </c>
      <c r="I149" s="23">
        <v>4</v>
      </c>
      <c r="J149" s="29">
        <f t="shared" si="52"/>
        <v>4680</v>
      </c>
      <c r="K149" s="19">
        <f t="shared" si="53"/>
        <v>18720</v>
      </c>
      <c r="L149" s="19">
        <v>18720</v>
      </c>
      <c r="M149" s="23">
        <v>4</v>
      </c>
      <c r="N149" s="23">
        <v>4</v>
      </c>
      <c r="O149" s="29">
        <f t="shared" si="54"/>
        <v>4560</v>
      </c>
      <c r="P149" s="15">
        <f t="shared" si="55"/>
        <v>18240</v>
      </c>
      <c r="Q149" s="19">
        <v>18240</v>
      </c>
      <c r="R149" s="16">
        <f t="shared" si="56"/>
        <v>10</v>
      </c>
      <c r="S149" s="17">
        <f t="shared" si="57"/>
        <v>46080</v>
      </c>
      <c r="X149" s="3"/>
    </row>
    <row r="150" spans="1:24" s="2" customFormat="1" ht="49.5" x14ac:dyDescent="0.3">
      <c r="A150" s="13">
        <v>39</v>
      </c>
      <c r="B150" s="18" t="s">
        <v>34</v>
      </c>
      <c r="C150" s="23">
        <v>4</v>
      </c>
      <c r="D150" s="23">
        <v>4</v>
      </c>
      <c r="E150" s="29">
        <f t="shared" si="50"/>
        <v>4560</v>
      </c>
      <c r="F150" s="15">
        <f t="shared" si="51"/>
        <v>18240</v>
      </c>
      <c r="G150" s="19">
        <v>18240</v>
      </c>
      <c r="H150" s="23">
        <v>8</v>
      </c>
      <c r="I150" s="23">
        <v>8</v>
      </c>
      <c r="J150" s="29">
        <f t="shared" si="52"/>
        <v>4680</v>
      </c>
      <c r="K150" s="19">
        <f t="shared" si="53"/>
        <v>37440</v>
      </c>
      <c r="L150" s="19">
        <v>37440</v>
      </c>
      <c r="M150" s="23">
        <v>7</v>
      </c>
      <c r="N150" s="23">
        <v>7</v>
      </c>
      <c r="O150" s="29">
        <f t="shared" si="54"/>
        <v>4560</v>
      </c>
      <c r="P150" s="15">
        <f t="shared" si="55"/>
        <v>31920</v>
      </c>
      <c r="Q150" s="19">
        <v>31920</v>
      </c>
      <c r="R150" s="16">
        <f t="shared" si="56"/>
        <v>19</v>
      </c>
      <c r="S150" s="17">
        <f t="shared" si="57"/>
        <v>87600</v>
      </c>
      <c r="X150" s="3"/>
    </row>
    <row r="151" spans="1:24" s="2" customFormat="1" ht="16.5" x14ac:dyDescent="0.3">
      <c r="A151" s="24"/>
      <c r="B151" s="25" t="s">
        <v>11</v>
      </c>
      <c r="C151" s="17"/>
      <c r="D151" s="17"/>
      <c r="E151" s="17"/>
      <c r="F151" s="28">
        <f>SUM(F138:F150)</f>
        <v>554928</v>
      </c>
      <c r="G151" s="17">
        <f>SUM(G138:G150)</f>
        <v>554928</v>
      </c>
      <c r="H151" s="17"/>
      <c r="I151" s="17"/>
      <c r="J151" s="17"/>
      <c r="K151" s="17">
        <f>SUM(K138:K150)</f>
        <v>1592520</v>
      </c>
      <c r="L151" s="17">
        <f>SUM(L138:L150)</f>
        <v>1592520</v>
      </c>
      <c r="M151" s="17"/>
      <c r="N151" s="17"/>
      <c r="O151" s="17"/>
      <c r="P151" s="28">
        <f>SUM(P138:P150)</f>
        <v>1405560</v>
      </c>
      <c r="Q151" s="17">
        <f>SUM(Q138:Q150)</f>
        <v>1405560</v>
      </c>
      <c r="R151" s="17"/>
      <c r="S151" s="17">
        <f>SUM(S138:S150)</f>
        <v>3553008</v>
      </c>
      <c r="X151" s="3"/>
    </row>
    <row r="152" spans="1:24" s="2" customFormat="1" ht="16.5" x14ac:dyDescent="0.3">
      <c r="A152" s="1"/>
      <c r="S152" s="3"/>
      <c r="X152" s="3"/>
    </row>
    <row r="153" spans="1:24" s="50" customFormat="1" ht="16.5" x14ac:dyDescent="0.3">
      <c r="A153" s="46"/>
      <c r="B153" s="47" t="s">
        <v>70</v>
      </c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9">
        <f>S23+S47+P63+P81+S107+S128+S151</f>
        <v>19240418</v>
      </c>
      <c r="X153" s="51"/>
    </row>
  </sheetData>
  <mergeCells count="73">
    <mergeCell ref="A132:S132"/>
    <mergeCell ref="R134:S134"/>
    <mergeCell ref="A135:A137"/>
    <mergeCell ref="B135:B137"/>
    <mergeCell ref="D135:G135"/>
    <mergeCell ref="H135:L135"/>
    <mergeCell ref="M135:Q135"/>
    <mergeCell ref="R135:S135"/>
    <mergeCell ref="D137:S137"/>
    <mergeCell ref="R131:S131"/>
    <mergeCell ref="A110:S110"/>
    <mergeCell ref="R112:S112"/>
    <mergeCell ref="A113:A115"/>
    <mergeCell ref="B113:B115"/>
    <mergeCell ref="D113:G113"/>
    <mergeCell ref="H113:L113"/>
    <mergeCell ref="M113:Q113"/>
    <mergeCell ref="R113:S113"/>
    <mergeCell ref="D115:S115"/>
    <mergeCell ref="R109:S109"/>
    <mergeCell ref="R85:S85"/>
    <mergeCell ref="A86:S86"/>
    <mergeCell ref="R88:S88"/>
    <mergeCell ref="A89:A91"/>
    <mergeCell ref="B89:B91"/>
    <mergeCell ref="D89:G89"/>
    <mergeCell ref="H89:L89"/>
    <mergeCell ref="M89:Q89"/>
    <mergeCell ref="R89:S89"/>
    <mergeCell ref="D91:S91"/>
    <mergeCell ref="R70:S70"/>
    <mergeCell ref="D72:Q72"/>
    <mergeCell ref="R66:S66"/>
    <mergeCell ref="A67:S67"/>
    <mergeCell ref="M69:Q69"/>
    <mergeCell ref="A70:A72"/>
    <mergeCell ref="B70:B72"/>
    <mergeCell ref="D70:G70"/>
    <mergeCell ref="H70:L70"/>
    <mergeCell ref="M70:Q70"/>
    <mergeCell ref="A51:S51"/>
    <mergeCell ref="M53:Q53"/>
    <mergeCell ref="A54:A56"/>
    <mergeCell ref="B54:B56"/>
    <mergeCell ref="D54:G54"/>
    <mergeCell ref="H54:L54"/>
    <mergeCell ref="M54:Q54"/>
    <mergeCell ref="R54:S54"/>
    <mergeCell ref="D56:Q56"/>
    <mergeCell ref="R50:S50"/>
    <mergeCell ref="R26:S26"/>
    <mergeCell ref="A27:S27"/>
    <mergeCell ref="R29:S29"/>
    <mergeCell ref="A30:A32"/>
    <mergeCell ref="B30:B32"/>
    <mergeCell ref="D30:G30"/>
    <mergeCell ref="H30:L30"/>
    <mergeCell ref="M30:Q30"/>
    <mergeCell ref="R30:S30"/>
    <mergeCell ref="D32:S32"/>
    <mergeCell ref="R11:S11"/>
    <mergeCell ref="D13:S13"/>
    <mergeCell ref="N1:S1"/>
    <mergeCell ref="A4:S4"/>
    <mergeCell ref="A5:S5"/>
    <mergeCell ref="R7:S7"/>
    <mergeCell ref="A8:S8"/>
    <mergeCell ref="R10:S10"/>
    <mergeCell ref="A11:A13"/>
    <mergeCell ref="B11:B13"/>
    <mergeCell ref="D11:G11"/>
    <mergeCell ref="H11:L11"/>
    <mergeCell ref="M11:Q11"/>
  </mergeCells>
  <pageMargins left="0" right="0" top="0" bottom="0" header="0" footer="0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1"/>
  <sheetViews>
    <sheetView tabSelected="1" workbookViewId="0">
      <selection activeCell="V10" sqref="V10"/>
    </sheetView>
  </sheetViews>
  <sheetFormatPr defaultRowHeight="15" x14ac:dyDescent="0.25"/>
  <cols>
    <col min="2" max="2" width="30.85546875" bestFit="1" customWidth="1"/>
    <col min="3" max="3" width="0" hidden="1" customWidth="1"/>
    <col min="5" max="5" width="14.28515625" hidden="1" customWidth="1"/>
    <col min="6" max="6" width="17.5703125" bestFit="1" customWidth="1"/>
    <col min="7" max="7" width="18.140625" hidden="1" customWidth="1"/>
    <col min="8" max="8" width="0" hidden="1" customWidth="1"/>
    <col min="10" max="10" width="15.5703125" hidden="1" customWidth="1"/>
    <col min="11" max="11" width="17.28515625" bestFit="1" customWidth="1"/>
    <col min="12" max="12" width="17.85546875" hidden="1" customWidth="1"/>
    <col min="13" max="13" width="0" hidden="1" customWidth="1"/>
    <col min="15" max="15" width="15.5703125" hidden="1" customWidth="1"/>
    <col min="16" max="16" width="17.7109375" bestFit="1" customWidth="1"/>
    <col min="17" max="17" width="17.7109375" hidden="1" customWidth="1"/>
    <col min="18" max="18" width="8.85546875" bestFit="1" customWidth="1"/>
    <col min="19" max="19" width="18.140625" bestFit="1" customWidth="1"/>
    <col min="23" max="23" width="20.140625" customWidth="1"/>
    <col min="25" max="25" width="14.85546875" bestFit="1" customWidth="1"/>
    <col min="26" max="26" width="24" bestFit="1" customWidth="1"/>
  </cols>
  <sheetData>
    <row r="1" spans="1:26" s="2" customFormat="1" ht="78" customHeight="1" x14ac:dyDescent="0.3">
      <c r="A1" s="1"/>
      <c r="N1" s="154" t="s">
        <v>0</v>
      </c>
      <c r="O1" s="155"/>
      <c r="P1" s="155"/>
      <c r="Q1" s="155"/>
      <c r="R1" s="155"/>
      <c r="S1" s="155"/>
      <c r="X1" s="3"/>
    </row>
    <row r="2" spans="1:26" s="2" customFormat="1" ht="16.5" x14ac:dyDescent="0.3">
      <c r="A2" s="1"/>
      <c r="X2" s="3"/>
    </row>
    <row r="3" spans="1:26" s="2" customFormat="1" ht="16.5" x14ac:dyDescent="0.3">
      <c r="A3" s="1"/>
      <c r="M3" s="4"/>
      <c r="N3" s="4"/>
      <c r="O3" s="4"/>
      <c r="P3" s="4"/>
      <c r="Q3" s="4"/>
      <c r="R3" s="4"/>
      <c r="S3" s="4"/>
      <c r="X3" s="3"/>
    </row>
    <row r="4" spans="1:26" s="5" customFormat="1" ht="17.25" x14ac:dyDescent="0.3">
      <c r="A4" s="156" t="s">
        <v>1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X4" s="6"/>
    </row>
    <row r="5" spans="1:26" s="5" customFormat="1" ht="63" customHeight="1" x14ac:dyDescent="0.3">
      <c r="A5" s="156" t="s">
        <v>2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X5" s="6"/>
    </row>
    <row r="6" spans="1:26" s="5" customFormat="1" ht="17.25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X6" s="6"/>
    </row>
    <row r="7" spans="1:26" s="2" customFormat="1" ht="20.25" x14ac:dyDescent="0.3">
      <c r="A7" s="1"/>
      <c r="R7" s="157" t="s">
        <v>3</v>
      </c>
      <c r="S7" s="157"/>
      <c r="X7" s="3"/>
    </row>
    <row r="8" spans="1:26" s="2" customFormat="1" ht="35.25" customHeight="1" x14ac:dyDescent="0.3">
      <c r="A8" s="158" t="s">
        <v>4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X8" s="3"/>
    </row>
    <row r="9" spans="1:26" s="2" customFormat="1" ht="16.5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X9" s="3"/>
    </row>
    <row r="10" spans="1:26" s="2" customFormat="1" ht="16.5" x14ac:dyDescent="0.3">
      <c r="A10" s="1"/>
      <c r="R10" s="159" t="s">
        <v>5</v>
      </c>
      <c r="S10" s="159"/>
      <c r="X10" s="3"/>
    </row>
    <row r="11" spans="1:26" s="2" customFormat="1" ht="16.5" x14ac:dyDescent="0.3">
      <c r="A11" s="160" t="s">
        <v>6</v>
      </c>
      <c r="B11" s="163" t="s">
        <v>7</v>
      </c>
      <c r="C11" s="9"/>
      <c r="D11" s="152" t="s">
        <v>8</v>
      </c>
      <c r="E11" s="152"/>
      <c r="F11" s="152"/>
      <c r="G11" s="152"/>
      <c r="H11" s="152" t="s">
        <v>9</v>
      </c>
      <c r="I11" s="152"/>
      <c r="J11" s="152"/>
      <c r="K11" s="152"/>
      <c r="L11" s="152"/>
      <c r="M11" s="152" t="s">
        <v>10</v>
      </c>
      <c r="N11" s="152"/>
      <c r="O11" s="152"/>
      <c r="P11" s="152"/>
      <c r="Q11" s="152"/>
      <c r="R11" s="152" t="s">
        <v>11</v>
      </c>
      <c r="S11" s="152"/>
      <c r="X11" s="3"/>
    </row>
    <row r="12" spans="1:26" s="2" customFormat="1" ht="33" x14ac:dyDescent="0.3">
      <c r="A12" s="161"/>
      <c r="B12" s="164"/>
      <c r="C12" s="10" t="s">
        <v>12</v>
      </c>
      <c r="D12" s="10" t="s">
        <v>12</v>
      </c>
      <c r="E12" s="10" t="s">
        <v>13</v>
      </c>
      <c r="F12" s="10" t="s">
        <v>14</v>
      </c>
      <c r="G12" s="55" t="s">
        <v>14</v>
      </c>
      <c r="H12" s="10" t="s">
        <v>12</v>
      </c>
      <c r="I12" s="10" t="s">
        <v>12</v>
      </c>
      <c r="J12" s="10" t="s">
        <v>13</v>
      </c>
      <c r="K12" s="10" t="s">
        <v>14</v>
      </c>
      <c r="L12" s="55" t="s">
        <v>14</v>
      </c>
      <c r="M12" s="10" t="s">
        <v>12</v>
      </c>
      <c r="N12" s="10" t="s">
        <v>12</v>
      </c>
      <c r="O12" s="10" t="s">
        <v>13</v>
      </c>
      <c r="P12" s="55" t="s">
        <v>14</v>
      </c>
      <c r="Q12" s="55" t="s">
        <v>14</v>
      </c>
      <c r="R12" s="10" t="s">
        <v>12</v>
      </c>
      <c r="S12" s="55" t="s">
        <v>14</v>
      </c>
      <c r="X12" s="3"/>
    </row>
    <row r="13" spans="1:26" s="2" customFormat="1" ht="18.75" x14ac:dyDescent="0.3">
      <c r="A13" s="162"/>
      <c r="B13" s="165"/>
      <c r="C13" s="54"/>
      <c r="D13" s="153" t="s">
        <v>15</v>
      </c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X13" s="3"/>
    </row>
    <row r="14" spans="1:26" s="2" customFormat="1" ht="49.5" x14ac:dyDescent="0.3">
      <c r="A14" s="13">
        <v>1</v>
      </c>
      <c r="B14" s="59" t="s">
        <v>71</v>
      </c>
      <c r="C14" s="60">
        <v>1</v>
      </c>
      <c r="D14" s="60">
        <v>1</v>
      </c>
      <c r="E14" s="14">
        <f>G14/C14</f>
        <v>118000</v>
      </c>
      <c r="F14" s="15">
        <f>D14*E14</f>
        <v>118000</v>
      </c>
      <c r="G14" s="15">
        <v>118000</v>
      </c>
      <c r="H14" s="60">
        <v>1</v>
      </c>
      <c r="I14" s="60">
        <v>1</v>
      </c>
      <c r="J14" s="14">
        <f>L14/H14</f>
        <v>122000</v>
      </c>
      <c r="K14" s="15">
        <f>I14*J14</f>
        <v>122000</v>
      </c>
      <c r="L14" s="15">
        <v>122000</v>
      </c>
      <c r="M14" s="60">
        <v>1</v>
      </c>
      <c r="N14" s="60">
        <v>1</v>
      </c>
      <c r="O14" s="14">
        <f>Q14/M14</f>
        <v>118000</v>
      </c>
      <c r="P14" s="15">
        <f>N14*O14</f>
        <v>118000</v>
      </c>
      <c r="Q14" s="15">
        <v>118000</v>
      </c>
      <c r="R14" s="16">
        <f>D14+I14+N14</f>
        <v>3</v>
      </c>
      <c r="S14" s="17">
        <f>F14+K14+P14</f>
        <v>358000</v>
      </c>
      <c r="X14" s="3"/>
    </row>
    <row r="15" spans="1:26" s="2" customFormat="1" ht="16.5" x14ac:dyDescent="0.3">
      <c r="A15" s="13">
        <v>2</v>
      </c>
      <c r="B15" s="18" t="s">
        <v>72</v>
      </c>
      <c r="C15" s="13">
        <v>6</v>
      </c>
      <c r="D15" s="13">
        <v>6</v>
      </c>
      <c r="E15" s="14">
        <f t="shared" ref="E15:E54" si="0">G15/C15</f>
        <v>56600</v>
      </c>
      <c r="F15" s="15">
        <f t="shared" ref="F15:F54" si="1">D15*E15</f>
        <v>339600</v>
      </c>
      <c r="G15" s="19">
        <v>339600</v>
      </c>
      <c r="H15" s="13">
        <v>6</v>
      </c>
      <c r="I15" s="13">
        <v>6</v>
      </c>
      <c r="J15" s="14">
        <f t="shared" ref="J15:J54" si="2">L15/H15</f>
        <v>58600</v>
      </c>
      <c r="K15" s="15">
        <f t="shared" ref="K15:K54" si="3">I15*J15</f>
        <v>351600</v>
      </c>
      <c r="L15" s="19">
        <v>351600</v>
      </c>
      <c r="M15" s="13">
        <v>6</v>
      </c>
      <c r="N15" s="13">
        <v>6</v>
      </c>
      <c r="O15" s="14">
        <f t="shared" ref="O15:O55" si="4">Q15/M15</f>
        <v>56600</v>
      </c>
      <c r="P15" s="15">
        <f t="shared" ref="P15:P55" si="5">N15*O15</f>
        <v>339600</v>
      </c>
      <c r="Q15" s="19">
        <v>339600</v>
      </c>
      <c r="R15" s="16">
        <f t="shared" ref="R15:R55" si="6">D15+I15+N15</f>
        <v>18</v>
      </c>
      <c r="S15" s="17">
        <f t="shared" ref="S15:S55" si="7">F15+K15+P15</f>
        <v>1030800</v>
      </c>
      <c r="X15" s="3"/>
    </row>
    <row r="16" spans="1:26" s="2" customFormat="1" ht="33" x14ac:dyDescent="0.3">
      <c r="A16" s="13">
        <v>4</v>
      </c>
      <c r="B16" s="18" t="s">
        <v>73</v>
      </c>
      <c r="C16" s="13">
        <v>10</v>
      </c>
      <c r="D16" s="13">
        <v>10</v>
      </c>
      <c r="E16" s="14">
        <f t="shared" si="0"/>
        <v>64900</v>
      </c>
      <c r="F16" s="15">
        <f t="shared" si="1"/>
        <v>649000</v>
      </c>
      <c r="G16" s="19">
        <v>649000</v>
      </c>
      <c r="H16" s="13">
        <v>10</v>
      </c>
      <c r="I16" s="13">
        <v>10</v>
      </c>
      <c r="J16" s="14">
        <f t="shared" si="2"/>
        <v>66900</v>
      </c>
      <c r="K16" s="15">
        <f t="shared" si="3"/>
        <v>669000</v>
      </c>
      <c r="L16" s="19">
        <v>669000</v>
      </c>
      <c r="M16" s="13">
        <v>10</v>
      </c>
      <c r="N16" s="13">
        <v>10</v>
      </c>
      <c r="O16" s="14">
        <f t="shared" si="4"/>
        <v>64900</v>
      </c>
      <c r="P16" s="15">
        <f t="shared" si="5"/>
        <v>649000</v>
      </c>
      <c r="Q16" s="19">
        <v>649000</v>
      </c>
      <c r="R16" s="16">
        <f t="shared" si="6"/>
        <v>30</v>
      </c>
      <c r="S16" s="17">
        <f t="shared" si="7"/>
        <v>1967000</v>
      </c>
      <c r="X16" s="3"/>
      <c r="Z16" s="89"/>
    </row>
    <row r="17" spans="1:26" s="2" customFormat="1" ht="33" x14ac:dyDescent="0.3">
      <c r="A17" s="13">
        <v>5</v>
      </c>
      <c r="B17" s="18" t="s">
        <v>74</v>
      </c>
      <c r="C17" s="13">
        <v>4</v>
      </c>
      <c r="D17" s="13">
        <v>4</v>
      </c>
      <c r="E17" s="14">
        <f t="shared" si="0"/>
        <v>147500</v>
      </c>
      <c r="F17" s="15">
        <f t="shared" si="1"/>
        <v>590000</v>
      </c>
      <c r="G17" s="19">
        <v>590000</v>
      </c>
      <c r="H17" s="13">
        <v>6</v>
      </c>
      <c r="I17" s="13">
        <v>6</v>
      </c>
      <c r="J17" s="14">
        <f t="shared" si="2"/>
        <v>147500</v>
      </c>
      <c r="K17" s="15">
        <f t="shared" si="3"/>
        <v>885000</v>
      </c>
      <c r="L17" s="19">
        <v>885000</v>
      </c>
      <c r="M17" s="13">
        <v>4</v>
      </c>
      <c r="N17" s="13">
        <v>4</v>
      </c>
      <c r="O17" s="14">
        <f t="shared" si="4"/>
        <v>147500</v>
      </c>
      <c r="P17" s="15">
        <f t="shared" si="5"/>
        <v>590000</v>
      </c>
      <c r="Q17" s="19">
        <v>590000</v>
      </c>
      <c r="R17" s="16">
        <f t="shared" si="6"/>
        <v>14</v>
      </c>
      <c r="S17" s="17">
        <f t="shared" si="7"/>
        <v>2065000</v>
      </c>
      <c r="X17" s="3"/>
      <c r="Z17" s="58"/>
    </row>
    <row r="18" spans="1:26" s="2" customFormat="1" ht="33" x14ac:dyDescent="0.3">
      <c r="A18" s="13">
        <v>6</v>
      </c>
      <c r="B18" s="18" t="s">
        <v>75</v>
      </c>
      <c r="C18" s="13">
        <v>1</v>
      </c>
      <c r="D18" s="13">
        <v>1</v>
      </c>
      <c r="E18" s="14">
        <f t="shared" si="0"/>
        <v>35400</v>
      </c>
      <c r="F18" s="15">
        <f t="shared" si="1"/>
        <v>35400</v>
      </c>
      <c r="G18" s="19">
        <v>35400</v>
      </c>
      <c r="H18" s="13">
        <v>1</v>
      </c>
      <c r="I18" s="13">
        <v>1</v>
      </c>
      <c r="J18" s="14">
        <f t="shared" si="2"/>
        <v>35400</v>
      </c>
      <c r="K18" s="15">
        <f t="shared" si="3"/>
        <v>35400</v>
      </c>
      <c r="L18" s="19">
        <v>35400</v>
      </c>
      <c r="M18" s="13">
        <v>1</v>
      </c>
      <c r="N18" s="13">
        <v>1</v>
      </c>
      <c r="O18" s="14">
        <f t="shared" si="4"/>
        <v>35400</v>
      </c>
      <c r="P18" s="15">
        <f t="shared" si="5"/>
        <v>35400</v>
      </c>
      <c r="Q18" s="19">
        <v>35400</v>
      </c>
      <c r="R18" s="16">
        <f t="shared" si="6"/>
        <v>3</v>
      </c>
      <c r="S18" s="17">
        <f t="shared" si="7"/>
        <v>106200</v>
      </c>
      <c r="T18" s="1"/>
      <c r="X18" s="3"/>
      <c r="Z18" s="58"/>
    </row>
    <row r="19" spans="1:26" s="2" customFormat="1" ht="33" x14ac:dyDescent="0.3">
      <c r="A19" s="13">
        <v>7</v>
      </c>
      <c r="B19" s="18" t="s">
        <v>76</v>
      </c>
      <c r="C19" s="13">
        <v>1</v>
      </c>
      <c r="D19" s="13">
        <v>1</v>
      </c>
      <c r="E19" s="14">
        <f t="shared" si="0"/>
        <v>35400</v>
      </c>
      <c r="F19" s="15">
        <f t="shared" si="1"/>
        <v>35400</v>
      </c>
      <c r="G19" s="19">
        <v>35400</v>
      </c>
      <c r="H19" s="13">
        <v>1</v>
      </c>
      <c r="I19" s="13">
        <v>1</v>
      </c>
      <c r="J19" s="14">
        <f t="shared" si="2"/>
        <v>35400</v>
      </c>
      <c r="K19" s="15">
        <f t="shared" si="3"/>
        <v>35400</v>
      </c>
      <c r="L19" s="19">
        <v>35400</v>
      </c>
      <c r="M19" s="13">
        <v>1</v>
      </c>
      <c r="N19" s="13">
        <v>1</v>
      </c>
      <c r="O19" s="14">
        <f t="shared" si="4"/>
        <v>35400</v>
      </c>
      <c r="P19" s="15">
        <f t="shared" si="5"/>
        <v>35400</v>
      </c>
      <c r="Q19" s="19">
        <v>35400</v>
      </c>
      <c r="R19" s="16">
        <f t="shared" si="6"/>
        <v>3</v>
      </c>
      <c r="S19" s="17">
        <f t="shared" si="7"/>
        <v>106200</v>
      </c>
      <c r="X19" s="3"/>
      <c r="Z19" s="58"/>
    </row>
    <row r="20" spans="1:26" s="2" customFormat="1" ht="16.5" x14ac:dyDescent="0.3">
      <c r="A20" s="13">
        <v>8</v>
      </c>
      <c r="B20" s="18" t="s">
        <v>17</v>
      </c>
      <c r="C20" s="13">
        <v>1</v>
      </c>
      <c r="D20" s="13">
        <v>1</v>
      </c>
      <c r="E20" s="14">
        <f t="shared" si="0"/>
        <v>47200</v>
      </c>
      <c r="F20" s="15">
        <f t="shared" si="1"/>
        <v>47200</v>
      </c>
      <c r="G20" s="19">
        <v>47200</v>
      </c>
      <c r="H20" s="13">
        <v>1</v>
      </c>
      <c r="I20" s="13">
        <v>1</v>
      </c>
      <c r="J20" s="14">
        <f t="shared" si="2"/>
        <v>47200</v>
      </c>
      <c r="K20" s="15">
        <f t="shared" si="3"/>
        <v>47200</v>
      </c>
      <c r="L20" s="19">
        <v>47200</v>
      </c>
      <c r="M20" s="13">
        <v>1</v>
      </c>
      <c r="N20" s="13">
        <v>1</v>
      </c>
      <c r="O20" s="14">
        <f t="shared" si="4"/>
        <v>47200</v>
      </c>
      <c r="P20" s="15">
        <f t="shared" si="5"/>
        <v>47200</v>
      </c>
      <c r="Q20" s="19">
        <v>47200</v>
      </c>
      <c r="R20" s="16">
        <f t="shared" si="6"/>
        <v>3</v>
      </c>
      <c r="S20" s="17">
        <f t="shared" si="7"/>
        <v>141600</v>
      </c>
      <c r="X20" s="3"/>
      <c r="Z20" s="58"/>
    </row>
    <row r="21" spans="1:26" s="2" customFormat="1" ht="33" x14ac:dyDescent="0.3">
      <c r="A21" s="13">
        <v>9</v>
      </c>
      <c r="B21" s="18" t="s">
        <v>77</v>
      </c>
      <c r="C21" s="13">
        <v>1</v>
      </c>
      <c r="D21" s="13">
        <v>1</v>
      </c>
      <c r="E21" s="14">
        <f t="shared" si="0"/>
        <v>285000</v>
      </c>
      <c r="F21" s="15">
        <f t="shared" si="1"/>
        <v>285000</v>
      </c>
      <c r="G21" s="19">
        <v>285000</v>
      </c>
      <c r="H21" s="13">
        <v>1</v>
      </c>
      <c r="I21" s="13">
        <v>1</v>
      </c>
      <c r="J21" s="14">
        <f t="shared" si="2"/>
        <v>283200</v>
      </c>
      <c r="K21" s="15">
        <f t="shared" si="3"/>
        <v>283200</v>
      </c>
      <c r="L21" s="19">
        <v>283200</v>
      </c>
      <c r="M21" s="13">
        <v>1</v>
      </c>
      <c r="N21" s="13">
        <v>1</v>
      </c>
      <c r="O21" s="14">
        <f t="shared" si="4"/>
        <v>285000</v>
      </c>
      <c r="P21" s="15">
        <f t="shared" si="5"/>
        <v>285000</v>
      </c>
      <c r="Q21" s="19">
        <v>285000</v>
      </c>
      <c r="R21" s="16">
        <f t="shared" si="6"/>
        <v>3</v>
      </c>
      <c r="S21" s="17">
        <f t="shared" si="7"/>
        <v>853200</v>
      </c>
      <c r="X21" s="3"/>
      <c r="Z21" s="58"/>
    </row>
    <row r="22" spans="1:26" s="2" customFormat="1" ht="49.5" x14ac:dyDescent="0.3">
      <c r="A22" s="13">
        <v>10</v>
      </c>
      <c r="B22" s="18" t="s">
        <v>78</v>
      </c>
      <c r="C22" s="13">
        <v>1</v>
      </c>
      <c r="D22" s="13">
        <v>1</v>
      </c>
      <c r="E22" s="14">
        <f t="shared" si="0"/>
        <v>117500</v>
      </c>
      <c r="F22" s="15">
        <f t="shared" si="1"/>
        <v>117500</v>
      </c>
      <c r="G22" s="19">
        <v>117500</v>
      </c>
      <c r="H22" s="13">
        <v>1</v>
      </c>
      <c r="I22" s="13">
        <v>1</v>
      </c>
      <c r="J22" s="14">
        <f t="shared" si="2"/>
        <v>118000</v>
      </c>
      <c r="K22" s="15">
        <f t="shared" si="3"/>
        <v>118000</v>
      </c>
      <c r="L22" s="19">
        <v>118000</v>
      </c>
      <c r="M22" s="13">
        <v>1</v>
      </c>
      <c r="N22" s="13">
        <v>1</v>
      </c>
      <c r="O22" s="14">
        <f t="shared" si="4"/>
        <v>117500</v>
      </c>
      <c r="P22" s="15">
        <f t="shared" si="5"/>
        <v>117500</v>
      </c>
      <c r="Q22" s="19">
        <v>117500</v>
      </c>
      <c r="R22" s="16">
        <f t="shared" si="6"/>
        <v>3</v>
      </c>
      <c r="S22" s="17">
        <f t="shared" si="7"/>
        <v>353000</v>
      </c>
      <c r="X22" s="3"/>
      <c r="Z22" s="58"/>
    </row>
    <row r="23" spans="1:26" s="2" customFormat="1" ht="33" x14ac:dyDescent="0.3">
      <c r="A23" s="13">
        <v>11</v>
      </c>
      <c r="B23" s="18" t="s">
        <v>79</v>
      </c>
      <c r="C23" s="13">
        <v>1</v>
      </c>
      <c r="D23" s="13">
        <v>1</v>
      </c>
      <c r="E23" s="14">
        <f t="shared" si="0"/>
        <v>100300</v>
      </c>
      <c r="F23" s="15">
        <f t="shared" si="1"/>
        <v>100300</v>
      </c>
      <c r="G23" s="19">
        <v>100300</v>
      </c>
      <c r="H23" s="13">
        <v>1</v>
      </c>
      <c r="I23" s="13">
        <v>1</v>
      </c>
      <c r="J23" s="14">
        <f t="shared" si="2"/>
        <v>108500</v>
      </c>
      <c r="K23" s="15">
        <f t="shared" si="3"/>
        <v>108500</v>
      </c>
      <c r="L23" s="19">
        <v>108500</v>
      </c>
      <c r="M23" s="13">
        <v>1</v>
      </c>
      <c r="N23" s="13">
        <v>1</v>
      </c>
      <c r="O23" s="14">
        <f t="shared" si="4"/>
        <v>100300</v>
      </c>
      <c r="P23" s="15">
        <f t="shared" si="5"/>
        <v>100300</v>
      </c>
      <c r="Q23" s="19">
        <v>100300</v>
      </c>
      <c r="R23" s="16">
        <f t="shared" si="6"/>
        <v>3</v>
      </c>
      <c r="S23" s="17">
        <f t="shared" si="7"/>
        <v>309100</v>
      </c>
      <c r="X23" s="3"/>
      <c r="Z23" s="58"/>
    </row>
    <row r="24" spans="1:26" s="2" customFormat="1" ht="16.5" x14ac:dyDescent="0.3">
      <c r="A24" s="13">
        <v>12</v>
      </c>
      <c r="B24" s="18" t="s">
        <v>80</v>
      </c>
      <c r="C24" s="13">
        <v>6</v>
      </c>
      <c r="D24" s="13">
        <v>6</v>
      </c>
      <c r="E24" s="14">
        <f t="shared" si="0"/>
        <v>80600</v>
      </c>
      <c r="F24" s="15">
        <f t="shared" si="1"/>
        <v>483600</v>
      </c>
      <c r="G24" s="19">
        <v>483600</v>
      </c>
      <c r="H24" s="13">
        <v>6</v>
      </c>
      <c r="I24" s="13">
        <v>6</v>
      </c>
      <c r="J24" s="14">
        <f t="shared" si="2"/>
        <v>89600</v>
      </c>
      <c r="K24" s="15">
        <f t="shared" si="3"/>
        <v>537600</v>
      </c>
      <c r="L24" s="19">
        <v>537600</v>
      </c>
      <c r="M24" s="13">
        <v>6</v>
      </c>
      <c r="N24" s="13">
        <v>6</v>
      </c>
      <c r="O24" s="14">
        <f t="shared" si="4"/>
        <v>80600</v>
      </c>
      <c r="P24" s="15">
        <f t="shared" si="5"/>
        <v>483600</v>
      </c>
      <c r="Q24" s="19">
        <v>483600</v>
      </c>
      <c r="R24" s="16">
        <f t="shared" si="6"/>
        <v>18</v>
      </c>
      <c r="S24" s="17">
        <f t="shared" si="7"/>
        <v>1504800</v>
      </c>
      <c r="X24" s="3"/>
      <c r="Z24" s="58"/>
    </row>
    <row r="25" spans="1:26" s="2" customFormat="1" ht="16.5" x14ac:dyDescent="0.3">
      <c r="A25" s="13">
        <v>13</v>
      </c>
      <c r="B25" s="18" t="s">
        <v>18</v>
      </c>
      <c r="C25" s="13">
        <v>3</v>
      </c>
      <c r="D25" s="13">
        <v>3</v>
      </c>
      <c r="E25" s="14">
        <f t="shared" si="0"/>
        <v>35400</v>
      </c>
      <c r="F25" s="15">
        <f t="shared" si="1"/>
        <v>106200</v>
      </c>
      <c r="G25" s="19">
        <v>106200</v>
      </c>
      <c r="H25" s="13">
        <v>2</v>
      </c>
      <c r="I25" s="13">
        <v>2</v>
      </c>
      <c r="J25" s="14">
        <f t="shared" si="2"/>
        <v>35400</v>
      </c>
      <c r="K25" s="15">
        <f t="shared" si="3"/>
        <v>70800</v>
      </c>
      <c r="L25" s="19">
        <v>70800</v>
      </c>
      <c r="M25" s="13">
        <v>2</v>
      </c>
      <c r="N25" s="13">
        <v>2</v>
      </c>
      <c r="O25" s="14">
        <f t="shared" si="4"/>
        <v>35400</v>
      </c>
      <c r="P25" s="15">
        <f t="shared" si="5"/>
        <v>70800</v>
      </c>
      <c r="Q25" s="19">
        <v>70800</v>
      </c>
      <c r="R25" s="16">
        <f t="shared" si="6"/>
        <v>7</v>
      </c>
      <c r="S25" s="17">
        <f t="shared" si="7"/>
        <v>247800</v>
      </c>
      <c r="X25" s="3"/>
      <c r="Z25" s="58"/>
    </row>
    <row r="26" spans="1:26" s="2" customFormat="1" ht="16.5" x14ac:dyDescent="0.3">
      <c r="A26" s="13">
        <v>14</v>
      </c>
      <c r="B26" s="18" t="s">
        <v>19</v>
      </c>
      <c r="C26" s="13">
        <v>1</v>
      </c>
      <c r="D26" s="13">
        <v>1</v>
      </c>
      <c r="E26" s="14">
        <f t="shared" si="0"/>
        <v>35400</v>
      </c>
      <c r="F26" s="15">
        <f t="shared" si="1"/>
        <v>35400</v>
      </c>
      <c r="G26" s="19">
        <v>35400</v>
      </c>
      <c r="H26" s="13">
        <v>1</v>
      </c>
      <c r="I26" s="13">
        <v>1</v>
      </c>
      <c r="J26" s="14">
        <f t="shared" si="2"/>
        <v>41300</v>
      </c>
      <c r="K26" s="15">
        <f t="shared" si="3"/>
        <v>41300</v>
      </c>
      <c r="L26" s="19">
        <v>41300</v>
      </c>
      <c r="M26" s="13">
        <v>1</v>
      </c>
      <c r="N26" s="13">
        <v>1</v>
      </c>
      <c r="O26" s="14">
        <f t="shared" si="4"/>
        <v>35400</v>
      </c>
      <c r="P26" s="15">
        <f t="shared" si="5"/>
        <v>35400</v>
      </c>
      <c r="Q26" s="19">
        <v>35400</v>
      </c>
      <c r="R26" s="16">
        <f t="shared" si="6"/>
        <v>3</v>
      </c>
      <c r="S26" s="17">
        <f t="shared" si="7"/>
        <v>112100</v>
      </c>
      <c r="X26" s="3"/>
      <c r="Z26" s="58"/>
    </row>
    <row r="27" spans="1:26" s="2" customFormat="1" ht="16.5" x14ac:dyDescent="0.3">
      <c r="A27" s="13">
        <v>15</v>
      </c>
      <c r="B27" s="18" t="s">
        <v>81</v>
      </c>
      <c r="C27" s="13">
        <v>1</v>
      </c>
      <c r="D27" s="13">
        <v>1</v>
      </c>
      <c r="E27" s="14">
        <f t="shared" si="0"/>
        <v>106200</v>
      </c>
      <c r="F27" s="15">
        <f t="shared" si="1"/>
        <v>106200</v>
      </c>
      <c r="G27" s="19">
        <v>106200</v>
      </c>
      <c r="H27" s="13">
        <v>1</v>
      </c>
      <c r="I27" s="13">
        <v>1</v>
      </c>
      <c r="J27" s="14">
        <f t="shared" si="2"/>
        <v>106200</v>
      </c>
      <c r="K27" s="15">
        <f t="shared" si="3"/>
        <v>106200</v>
      </c>
      <c r="L27" s="19">
        <v>106200</v>
      </c>
      <c r="M27" s="13">
        <v>1</v>
      </c>
      <c r="N27" s="13">
        <v>1</v>
      </c>
      <c r="O27" s="14">
        <f t="shared" si="4"/>
        <v>94400</v>
      </c>
      <c r="P27" s="15">
        <f t="shared" si="5"/>
        <v>94400</v>
      </c>
      <c r="Q27" s="19">
        <v>94400</v>
      </c>
      <c r="R27" s="16">
        <f t="shared" si="6"/>
        <v>3</v>
      </c>
      <c r="S27" s="17">
        <f t="shared" si="7"/>
        <v>306800</v>
      </c>
      <c r="X27" s="3"/>
      <c r="Z27" s="58"/>
    </row>
    <row r="28" spans="1:26" s="2" customFormat="1" ht="33" x14ac:dyDescent="0.3">
      <c r="A28" s="13">
        <v>16</v>
      </c>
      <c r="B28" s="18" t="s">
        <v>82</v>
      </c>
      <c r="C28" s="20">
        <v>13.6</v>
      </c>
      <c r="D28" s="20">
        <f>C28-0.6</f>
        <v>13</v>
      </c>
      <c r="E28" s="14">
        <f t="shared" si="0"/>
        <v>64900</v>
      </c>
      <c r="F28" s="15">
        <f t="shared" si="1"/>
        <v>843700</v>
      </c>
      <c r="G28" s="19">
        <v>882640</v>
      </c>
      <c r="H28" s="20">
        <v>13.8</v>
      </c>
      <c r="I28" s="20">
        <v>13.8</v>
      </c>
      <c r="J28" s="14">
        <f t="shared" si="2"/>
        <v>53100</v>
      </c>
      <c r="K28" s="15">
        <f t="shared" si="3"/>
        <v>732780</v>
      </c>
      <c r="L28" s="19">
        <v>732780</v>
      </c>
      <c r="M28" s="20">
        <v>21.2</v>
      </c>
      <c r="N28" s="20">
        <v>21.2</v>
      </c>
      <c r="O28" s="14">
        <f t="shared" si="4"/>
        <v>52800</v>
      </c>
      <c r="P28" s="15">
        <f t="shared" si="5"/>
        <v>1119360</v>
      </c>
      <c r="Q28" s="19">
        <v>1119360</v>
      </c>
      <c r="R28" s="16">
        <f t="shared" si="6"/>
        <v>48</v>
      </c>
      <c r="S28" s="17">
        <f t="shared" si="7"/>
        <v>2695840</v>
      </c>
      <c r="X28" s="3"/>
      <c r="Z28" s="58"/>
    </row>
    <row r="29" spans="1:26" s="2" customFormat="1" ht="16.5" x14ac:dyDescent="0.3">
      <c r="A29" s="13">
        <v>17</v>
      </c>
      <c r="B29" s="18" t="s">
        <v>20</v>
      </c>
      <c r="C29" s="13">
        <v>4</v>
      </c>
      <c r="D29" s="13">
        <v>4</v>
      </c>
      <c r="E29" s="14">
        <f t="shared" si="0"/>
        <v>35300</v>
      </c>
      <c r="F29" s="15">
        <f t="shared" si="1"/>
        <v>141200</v>
      </c>
      <c r="G29" s="19">
        <v>141200</v>
      </c>
      <c r="H29" s="13">
        <v>4</v>
      </c>
      <c r="I29" s="13"/>
      <c r="J29" s="14"/>
      <c r="K29" s="15"/>
      <c r="L29" s="19"/>
      <c r="M29" s="13"/>
      <c r="N29" s="13"/>
      <c r="O29" s="14"/>
      <c r="P29" s="15"/>
      <c r="Q29" s="19">
        <v>94400</v>
      </c>
      <c r="R29" s="16">
        <f t="shared" si="6"/>
        <v>4</v>
      </c>
      <c r="S29" s="17">
        <f t="shared" si="7"/>
        <v>141200</v>
      </c>
      <c r="X29" s="3"/>
      <c r="Z29" s="58"/>
    </row>
    <row r="30" spans="1:26" s="2" customFormat="1" ht="33" x14ac:dyDescent="0.3">
      <c r="A30" s="13">
        <v>18</v>
      </c>
      <c r="B30" s="18" t="s">
        <v>83</v>
      </c>
      <c r="C30" s="13">
        <v>1</v>
      </c>
      <c r="D30" s="13">
        <v>1</v>
      </c>
      <c r="E30" s="14">
        <f t="shared" si="0"/>
        <v>35500</v>
      </c>
      <c r="F30" s="15">
        <f t="shared" si="1"/>
        <v>35500</v>
      </c>
      <c r="G30" s="19">
        <v>35500</v>
      </c>
      <c r="H30" s="13">
        <v>1</v>
      </c>
      <c r="I30" s="13">
        <v>1</v>
      </c>
      <c r="J30" s="14">
        <f t="shared" si="2"/>
        <v>82600</v>
      </c>
      <c r="K30" s="15">
        <f t="shared" si="3"/>
        <v>82600</v>
      </c>
      <c r="L30" s="19">
        <v>82600</v>
      </c>
      <c r="M30" s="13">
        <v>1</v>
      </c>
      <c r="N30" s="13">
        <v>1</v>
      </c>
      <c r="O30" s="14">
        <f t="shared" si="4"/>
        <v>82600</v>
      </c>
      <c r="P30" s="15">
        <f t="shared" si="5"/>
        <v>82600</v>
      </c>
      <c r="Q30" s="19">
        <v>82600</v>
      </c>
      <c r="R30" s="16">
        <f t="shared" si="6"/>
        <v>3</v>
      </c>
      <c r="S30" s="17">
        <f t="shared" si="7"/>
        <v>200700</v>
      </c>
      <c r="X30" s="3"/>
      <c r="Z30" s="58"/>
    </row>
    <row r="31" spans="1:26" s="2" customFormat="1" ht="16.5" x14ac:dyDescent="0.3">
      <c r="A31" s="13">
        <v>19</v>
      </c>
      <c r="B31" s="18" t="s">
        <v>84</v>
      </c>
      <c r="C31" s="61">
        <v>1</v>
      </c>
      <c r="D31" s="61">
        <v>1</v>
      </c>
      <c r="E31" s="14">
        <f t="shared" si="0"/>
        <v>82500</v>
      </c>
      <c r="F31" s="15">
        <f t="shared" si="1"/>
        <v>82500</v>
      </c>
      <c r="G31" s="62">
        <v>82500</v>
      </c>
      <c r="H31" s="13">
        <v>1</v>
      </c>
      <c r="I31" s="13">
        <v>1</v>
      </c>
      <c r="J31" s="14">
        <f t="shared" si="2"/>
        <v>70800</v>
      </c>
      <c r="K31" s="15">
        <f t="shared" si="3"/>
        <v>70800</v>
      </c>
      <c r="L31" s="19">
        <v>70800</v>
      </c>
      <c r="M31" s="61">
        <v>1</v>
      </c>
      <c r="N31" s="61">
        <v>1</v>
      </c>
      <c r="O31" s="14">
        <f t="shared" si="4"/>
        <v>82500</v>
      </c>
      <c r="P31" s="15">
        <f t="shared" si="5"/>
        <v>82500</v>
      </c>
      <c r="Q31" s="62">
        <v>82500</v>
      </c>
      <c r="R31" s="16">
        <f t="shared" si="6"/>
        <v>3</v>
      </c>
      <c r="S31" s="17">
        <f t="shared" si="7"/>
        <v>235800</v>
      </c>
      <c r="X31" s="3"/>
      <c r="Z31" s="58"/>
    </row>
    <row r="32" spans="1:26" s="2" customFormat="1" ht="16.5" x14ac:dyDescent="0.3">
      <c r="A32" s="13">
        <v>20</v>
      </c>
      <c r="B32" s="18" t="s">
        <v>85</v>
      </c>
      <c r="C32" s="13">
        <v>1</v>
      </c>
      <c r="D32" s="13">
        <v>1</v>
      </c>
      <c r="E32" s="14">
        <f t="shared" si="0"/>
        <v>94000</v>
      </c>
      <c r="F32" s="15">
        <f t="shared" si="1"/>
        <v>94000</v>
      </c>
      <c r="G32" s="19">
        <v>94000</v>
      </c>
      <c r="H32" s="13">
        <v>1</v>
      </c>
      <c r="I32" s="13">
        <v>1</v>
      </c>
      <c r="J32" s="14">
        <f t="shared" si="2"/>
        <v>84900</v>
      </c>
      <c r="K32" s="15">
        <f t="shared" si="3"/>
        <v>84900</v>
      </c>
      <c r="L32" s="19">
        <v>84900</v>
      </c>
      <c r="M32" s="13">
        <v>1</v>
      </c>
      <c r="N32" s="13">
        <v>1</v>
      </c>
      <c r="O32" s="14">
        <f t="shared" si="4"/>
        <v>94000</v>
      </c>
      <c r="P32" s="15">
        <f t="shared" si="5"/>
        <v>94000</v>
      </c>
      <c r="Q32" s="19">
        <v>94000</v>
      </c>
      <c r="R32" s="16">
        <f t="shared" si="6"/>
        <v>3</v>
      </c>
      <c r="S32" s="17">
        <f t="shared" si="7"/>
        <v>272900</v>
      </c>
      <c r="X32" s="3"/>
      <c r="Z32" s="58"/>
    </row>
    <row r="33" spans="1:26" s="2" customFormat="1" ht="16.5" x14ac:dyDescent="0.3">
      <c r="A33" s="13">
        <v>22</v>
      </c>
      <c r="B33" s="18" t="s">
        <v>86</v>
      </c>
      <c r="C33" s="13">
        <v>1</v>
      </c>
      <c r="D33" s="13">
        <v>1</v>
      </c>
      <c r="E33" s="14">
        <f t="shared" si="0"/>
        <v>70800</v>
      </c>
      <c r="F33" s="15">
        <f t="shared" si="1"/>
        <v>70800</v>
      </c>
      <c r="G33" s="19">
        <v>70800</v>
      </c>
      <c r="H33" s="13">
        <v>1</v>
      </c>
      <c r="I33" s="13">
        <v>1</v>
      </c>
      <c r="J33" s="14">
        <f t="shared" si="2"/>
        <v>70800</v>
      </c>
      <c r="K33" s="15">
        <f t="shared" si="3"/>
        <v>70800</v>
      </c>
      <c r="L33" s="19">
        <v>70800</v>
      </c>
      <c r="M33" s="13">
        <v>1</v>
      </c>
      <c r="N33" s="13">
        <v>1</v>
      </c>
      <c r="O33" s="14">
        <f t="shared" si="4"/>
        <v>70500</v>
      </c>
      <c r="P33" s="15">
        <f t="shared" si="5"/>
        <v>70500</v>
      </c>
      <c r="Q33" s="19">
        <v>70500</v>
      </c>
      <c r="R33" s="16">
        <f t="shared" si="6"/>
        <v>3</v>
      </c>
      <c r="S33" s="17">
        <f t="shared" si="7"/>
        <v>212100</v>
      </c>
      <c r="X33" s="3"/>
      <c r="Z33" s="58"/>
    </row>
    <row r="34" spans="1:26" s="2" customFormat="1" ht="49.5" x14ac:dyDescent="0.3">
      <c r="A34" s="13">
        <v>23</v>
      </c>
      <c r="B34" s="18" t="s">
        <v>87</v>
      </c>
      <c r="C34" s="13">
        <v>1</v>
      </c>
      <c r="D34" s="13">
        <v>1</v>
      </c>
      <c r="E34" s="14">
        <f t="shared" si="0"/>
        <v>117900</v>
      </c>
      <c r="F34" s="15">
        <f t="shared" si="1"/>
        <v>117900</v>
      </c>
      <c r="G34" s="19">
        <v>117900</v>
      </c>
      <c r="H34" s="13">
        <v>1</v>
      </c>
      <c r="I34" s="13">
        <v>1</v>
      </c>
      <c r="J34" s="14">
        <f t="shared" si="2"/>
        <v>118000</v>
      </c>
      <c r="K34" s="15">
        <f t="shared" si="3"/>
        <v>118000</v>
      </c>
      <c r="L34" s="19">
        <v>118000</v>
      </c>
      <c r="M34" s="13">
        <v>1</v>
      </c>
      <c r="N34" s="13">
        <v>1</v>
      </c>
      <c r="O34" s="14">
        <f t="shared" si="4"/>
        <v>117900</v>
      </c>
      <c r="P34" s="15">
        <f t="shared" si="5"/>
        <v>117900</v>
      </c>
      <c r="Q34" s="19">
        <v>117900</v>
      </c>
      <c r="R34" s="16">
        <f t="shared" si="6"/>
        <v>3</v>
      </c>
      <c r="S34" s="17">
        <f t="shared" si="7"/>
        <v>353800</v>
      </c>
      <c r="X34" s="3"/>
      <c r="Z34" s="58"/>
    </row>
    <row r="35" spans="1:26" s="2" customFormat="1" ht="66" x14ac:dyDescent="0.3">
      <c r="A35" s="13">
        <v>24</v>
      </c>
      <c r="B35" s="18" t="s">
        <v>22</v>
      </c>
      <c r="C35" s="13">
        <v>315</v>
      </c>
      <c r="D35" s="13">
        <f>C35-141</f>
        <v>174</v>
      </c>
      <c r="E35" s="14">
        <f t="shared" si="0"/>
        <v>1475</v>
      </c>
      <c r="F35" s="15">
        <f t="shared" si="1"/>
        <v>256650</v>
      </c>
      <c r="G35" s="19">
        <v>464625</v>
      </c>
      <c r="H35" s="13">
        <v>205</v>
      </c>
      <c r="I35" s="13">
        <f>H35-101</f>
        <v>104</v>
      </c>
      <c r="J35" s="14">
        <f t="shared" si="2"/>
        <v>1475</v>
      </c>
      <c r="K35" s="15">
        <f t="shared" si="3"/>
        <v>153400</v>
      </c>
      <c r="L35" s="19">
        <v>302375</v>
      </c>
      <c r="M35" s="13">
        <v>265</v>
      </c>
      <c r="N35" s="20">
        <f>M35-122.5</f>
        <v>142.5</v>
      </c>
      <c r="O35" s="14">
        <f t="shared" si="4"/>
        <v>1475</v>
      </c>
      <c r="P35" s="15">
        <f t="shared" si="5"/>
        <v>210187.5</v>
      </c>
      <c r="Q35" s="19">
        <v>390875</v>
      </c>
      <c r="R35" s="16">
        <f t="shared" si="6"/>
        <v>420.5</v>
      </c>
      <c r="S35" s="17">
        <f t="shared" si="7"/>
        <v>620237.5</v>
      </c>
      <c r="X35" s="3"/>
      <c r="Z35" s="58"/>
    </row>
    <row r="36" spans="1:26" s="2" customFormat="1" ht="16.5" x14ac:dyDescent="0.3">
      <c r="A36" s="13">
        <v>25</v>
      </c>
      <c r="B36" s="18" t="s">
        <v>23</v>
      </c>
      <c r="C36" s="13">
        <v>4</v>
      </c>
      <c r="D36" s="13">
        <v>4</v>
      </c>
      <c r="E36" s="14">
        <f t="shared" si="0"/>
        <v>70800</v>
      </c>
      <c r="F36" s="15">
        <f t="shared" si="1"/>
        <v>283200</v>
      </c>
      <c r="G36" s="19">
        <v>283200</v>
      </c>
      <c r="H36" s="13">
        <v>4</v>
      </c>
      <c r="I36" s="13">
        <v>4</v>
      </c>
      <c r="J36" s="14">
        <f t="shared" si="2"/>
        <v>70800</v>
      </c>
      <c r="K36" s="15">
        <f t="shared" si="3"/>
        <v>283200</v>
      </c>
      <c r="L36" s="19">
        <v>283200</v>
      </c>
      <c r="M36" s="13">
        <v>4</v>
      </c>
      <c r="N36" s="13">
        <v>4</v>
      </c>
      <c r="O36" s="14">
        <f t="shared" si="4"/>
        <v>70800</v>
      </c>
      <c r="P36" s="15">
        <f t="shared" si="5"/>
        <v>283200</v>
      </c>
      <c r="Q36" s="19">
        <v>283200</v>
      </c>
      <c r="R36" s="16">
        <f t="shared" si="6"/>
        <v>12</v>
      </c>
      <c r="S36" s="17">
        <f t="shared" si="7"/>
        <v>849600</v>
      </c>
      <c r="X36" s="3"/>
      <c r="Z36" s="58"/>
    </row>
    <row r="37" spans="1:26" s="2" customFormat="1" ht="49.5" x14ac:dyDescent="0.3">
      <c r="A37" s="13">
        <v>26</v>
      </c>
      <c r="B37" s="18" t="s">
        <v>88</v>
      </c>
      <c r="C37" s="13">
        <v>1</v>
      </c>
      <c r="D37" s="13">
        <v>1</v>
      </c>
      <c r="E37" s="14">
        <f t="shared" si="0"/>
        <v>35400</v>
      </c>
      <c r="F37" s="15">
        <f t="shared" si="1"/>
        <v>35400</v>
      </c>
      <c r="G37" s="19">
        <v>35400</v>
      </c>
      <c r="H37" s="13">
        <v>1</v>
      </c>
      <c r="I37" s="13">
        <v>1</v>
      </c>
      <c r="J37" s="14">
        <f t="shared" si="2"/>
        <v>35400</v>
      </c>
      <c r="K37" s="15">
        <f t="shared" si="3"/>
        <v>35400</v>
      </c>
      <c r="L37" s="19">
        <v>35400</v>
      </c>
      <c r="M37" s="13">
        <v>1</v>
      </c>
      <c r="N37" s="13">
        <v>1</v>
      </c>
      <c r="O37" s="14">
        <f t="shared" si="4"/>
        <v>35400</v>
      </c>
      <c r="P37" s="15">
        <f t="shared" si="5"/>
        <v>35400</v>
      </c>
      <c r="Q37" s="19">
        <v>35400</v>
      </c>
      <c r="R37" s="16">
        <f t="shared" si="6"/>
        <v>3</v>
      </c>
      <c r="S37" s="17">
        <f t="shared" si="7"/>
        <v>106200</v>
      </c>
      <c r="X37" s="3"/>
      <c r="Z37" s="58"/>
    </row>
    <row r="38" spans="1:26" s="2" customFormat="1" ht="49.5" x14ac:dyDescent="0.3">
      <c r="A38" s="13">
        <v>27</v>
      </c>
      <c r="B38" s="18" t="s">
        <v>24</v>
      </c>
      <c r="C38" s="13">
        <v>1</v>
      </c>
      <c r="D38" s="13">
        <v>1</v>
      </c>
      <c r="E38" s="14">
        <f t="shared" si="0"/>
        <v>35400</v>
      </c>
      <c r="F38" s="15">
        <f t="shared" si="1"/>
        <v>35400</v>
      </c>
      <c r="G38" s="19">
        <v>35400</v>
      </c>
      <c r="H38" s="13">
        <v>1</v>
      </c>
      <c r="I38" s="13">
        <v>1</v>
      </c>
      <c r="J38" s="14">
        <f t="shared" si="2"/>
        <v>35400</v>
      </c>
      <c r="K38" s="15">
        <f t="shared" si="3"/>
        <v>35400</v>
      </c>
      <c r="L38" s="19">
        <v>35400</v>
      </c>
      <c r="M38" s="13">
        <v>1</v>
      </c>
      <c r="N38" s="13">
        <v>1</v>
      </c>
      <c r="O38" s="14">
        <f t="shared" si="4"/>
        <v>35400</v>
      </c>
      <c r="P38" s="15">
        <f t="shared" si="5"/>
        <v>35400</v>
      </c>
      <c r="Q38" s="19">
        <v>35400</v>
      </c>
      <c r="R38" s="16">
        <f t="shared" si="6"/>
        <v>3</v>
      </c>
      <c r="S38" s="17">
        <f t="shared" si="7"/>
        <v>106200</v>
      </c>
      <c r="X38" s="3"/>
      <c r="Z38" s="58"/>
    </row>
    <row r="39" spans="1:26" s="2" customFormat="1" ht="33" x14ac:dyDescent="0.3">
      <c r="A39" s="13">
        <v>28</v>
      </c>
      <c r="B39" s="18" t="s">
        <v>89</v>
      </c>
      <c r="C39" s="13">
        <v>4</v>
      </c>
      <c r="D39" s="13">
        <v>4</v>
      </c>
      <c r="E39" s="14">
        <f t="shared" si="0"/>
        <v>59000</v>
      </c>
      <c r="F39" s="15">
        <f t="shared" si="1"/>
        <v>236000</v>
      </c>
      <c r="G39" s="19">
        <v>236000</v>
      </c>
      <c r="H39" s="13">
        <v>4</v>
      </c>
      <c r="I39" s="13">
        <v>4</v>
      </c>
      <c r="J39" s="14">
        <f t="shared" si="2"/>
        <v>70800</v>
      </c>
      <c r="K39" s="15">
        <f t="shared" si="3"/>
        <v>283200</v>
      </c>
      <c r="L39" s="19">
        <v>283200</v>
      </c>
      <c r="M39" s="13">
        <v>4</v>
      </c>
      <c r="N39" s="13">
        <v>4</v>
      </c>
      <c r="O39" s="14">
        <f t="shared" si="4"/>
        <v>59000</v>
      </c>
      <c r="P39" s="15">
        <f t="shared" si="5"/>
        <v>236000</v>
      </c>
      <c r="Q39" s="19">
        <v>236000</v>
      </c>
      <c r="R39" s="16">
        <f t="shared" si="6"/>
        <v>12</v>
      </c>
      <c r="S39" s="17">
        <f t="shared" si="7"/>
        <v>755200</v>
      </c>
      <c r="X39" s="3"/>
      <c r="Z39" s="58"/>
    </row>
    <row r="40" spans="1:26" s="2" customFormat="1" ht="16.5" x14ac:dyDescent="0.3">
      <c r="A40" s="13">
        <v>29</v>
      </c>
      <c r="B40" s="18" t="s">
        <v>25</v>
      </c>
      <c r="C40" s="13">
        <v>3</v>
      </c>
      <c r="D40" s="13"/>
      <c r="E40" s="14"/>
      <c r="F40" s="15"/>
      <c r="G40" s="19">
        <v>70800</v>
      </c>
      <c r="H40" s="13">
        <v>2</v>
      </c>
      <c r="I40" s="13">
        <v>2</v>
      </c>
      <c r="J40" s="14">
        <f t="shared" si="2"/>
        <v>29500</v>
      </c>
      <c r="K40" s="15">
        <f t="shared" si="3"/>
        <v>59000</v>
      </c>
      <c r="L40" s="19">
        <v>59000</v>
      </c>
      <c r="M40" s="13">
        <v>3</v>
      </c>
      <c r="N40" s="13">
        <v>3</v>
      </c>
      <c r="O40" s="14">
        <f t="shared" si="4"/>
        <v>28750</v>
      </c>
      <c r="P40" s="15">
        <f t="shared" si="5"/>
        <v>86250</v>
      </c>
      <c r="Q40" s="19">
        <v>86250</v>
      </c>
      <c r="R40" s="16">
        <f t="shared" si="6"/>
        <v>5</v>
      </c>
      <c r="S40" s="17">
        <f t="shared" si="7"/>
        <v>145250</v>
      </c>
      <c r="X40" s="3"/>
      <c r="Z40" s="58"/>
    </row>
    <row r="41" spans="1:26" s="2" customFormat="1" ht="16.5" x14ac:dyDescent="0.3">
      <c r="A41" s="13">
        <v>31</v>
      </c>
      <c r="B41" s="18" t="s">
        <v>90</v>
      </c>
      <c r="C41" s="20">
        <v>5.3</v>
      </c>
      <c r="D41" s="20">
        <v>5.3</v>
      </c>
      <c r="E41" s="14">
        <f t="shared" si="0"/>
        <v>117200</v>
      </c>
      <c r="F41" s="15">
        <f t="shared" si="1"/>
        <v>621160</v>
      </c>
      <c r="G41" s="19">
        <v>621160</v>
      </c>
      <c r="H41" s="20">
        <v>6.6</v>
      </c>
      <c r="I41" s="20">
        <v>6.6</v>
      </c>
      <c r="J41" s="14">
        <f t="shared" si="2"/>
        <v>122000</v>
      </c>
      <c r="K41" s="15">
        <f t="shared" si="3"/>
        <v>805200</v>
      </c>
      <c r="L41" s="19">
        <v>805200</v>
      </c>
      <c r="M41" s="19">
        <v>4.1500000000000004</v>
      </c>
      <c r="N41" s="19">
        <v>4.1500000000000004</v>
      </c>
      <c r="O41" s="14">
        <f t="shared" si="4"/>
        <v>117199.99999999999</v>
      </c>
      <c r="P41" s="15">
        <f t="shared" si="5"/>
        <v>486380</v>
      </c>
      <c r="Q41" s="21">
        <v>486380</v>
      </c>
      <c r="R41" s="22">
        <f t="shared" si="6"/>
        <v>16.049999999999997</v>
      </c>
      <c r="S41" s="17">
        <f t="shared" si="7"/>
        <v>1912740</v>
      </c>
      <c r="T41" s="1"/>
      <c r="X41" s="3"/>
      <c r="Z41" s="58"/>
    </row>
    <row r="42" spans="1:26" s="2" customFormat="1" ht="16.5" x14ac:dyDescent="0.3">
      <c r="A42" s="13">
        <v>32</v>
      </c>
      <c r="B42" s="18" t="s">
        <v>27</v>
      </c>
      <c r="C42" s="13">
        <v>7</v>
      </c>
      <c r="D42" s="13">
        <v>7</v>
      </c>
      <c r="E42" s="14">
        <f t="shared" si="0"/>
        <v>41300</v>
      </c>
      <c r="F42" s="15">
        <f t="shared" si="1"/>
        <v>289100</v>
      </c>
      <c r="G42" s="19">
        <v>289100</v>
      </c>
      <c r="H42" s="13">
        <v>8</v>
      </c>
      <c r="I42" s="13">
        <v>8</v>
      </c>
      <c r="J42" s="14">
        <f t="shared" si="2"/>
        <v>41300</v>
      </c>
      <c r="K42" s="15">
        <f t="shared" si="3"/>
        <v>330400</v>
      </c>
      <c r="L42" s="19">
        <v>330400</v>
      </c>
      <c r="M42" s="13">
        <v>8</v>
      </c>
      <c r="N42" s="13">
        <v>8</v>
      </c>
      <c r="O42" s="14">
        <f t="shared" si="4"/>
        <v>31200</v>
      </c>
      <c r="P42" s="15">
        <f t="shared" si="5"/>
        <v>249600</v>
      </c>
      <c r="Q42" s="21">
        <v>249600</v>
      </c>
      <c r="R42" s="16">
        <f t="shared" si="6"/>
        <v>23</v>
      </c>
      <c r="S42" s="17">
        <f t="shared" si="7"/>
        <v>869100</v>
      </c>
      <c r="T42" s="63"/>
      <c r="X42" s="3"/>
      <c r="Z42" s="58"/>
    </row>
    <row r="43" spans="1:26" s="2" customFormat="1" ht="33" x14ac:dyDescent="0.3">
      <c r="A43" s="13">
        <v>33</v>
      </c>
      <c r="B43" s="18" t="s">
        <v>28</v>
      </c>
      <c r="C43" s="13">
        <v>120</v>
      </c>
      <c r="D43" s="20">
        <f>C43-22.6</f>
        <v>97.4</v>
      </c>
      <c r="E43" s="14">
        <f t="shared" si="0"/>
        <v>7700</v>
      </c>
      <c r="F43" s="15">
        <f t="shared" si="1"/>
        <v>749980</v>
      </c>
      <c r="G43" s="19">
        <v>924000</v>
      </c>
      <c r="H43" s="19"/>
      <c r="I43" s="19"/>
      <c r="J43" s="14"/>
      <c r="K43" s="15"/>
      <c r="L43" s="19"/>
      <c r="M43" s="20">
        <v>97.5</v>
      </c>
      <c r="N43" s="20">
        <f>M43-2.3</f>
        <v>95.2</v>
      </c>
      <c r="O43" s="14">
        <f t="shared" si="4"/>
        <v>7600</v>
      </c>
      <c r="P43" s="15">
        <f t="shared" si="5"/>
        <v>723520</v>
      </c>
      <c r="Q43" s="21">
        <v>741000</v>
      </c>
      <c r="R43" s="16">
        <f t="shared" si="6"/>
        <v>192.60000000000002</v>
      </c>
      <c r="S43" s="17">
        <f t="shared" si="7"/>
        <v>1473500</v>
      </c>
      <c r="X43" s="3"/>
      <c r="Z43" s="58"/>
    </row>
    <row r="44" spans="1:26" s="2" customFormat="1" ht="33" x14ac:dyDescent="0.3">
      <c r="A44" s="13">
        <v>35</v>
      </c>
      <c r="B44" s="18" t="s">
        <v>30</v>
      </c>
      <c r="C44" s="13">
        <v>1</v>
      </c>
      <c r="D44" s="13">
        <v>1</v>
      </c>
      <c r="E44" s="14">
        <f t="shared" si="0"/>
        <v>30650</v>
      </c>
      <c r="F44" s="15">
        <f t="shared" si="1"/>
        <v>30650</v>
      </c>
      <c r="G44" s="19">
        <v>30650</v>
      </c>
      <c r="H44" s="13">
        <v>1</v>
      </c>
      <c r="I44" s="13">
        <v>1</v>
      </c>
      <c r="J44" s="14">
        <f t="shared" si="2"/>
        <v>30600</v>
      </c>
      <c r="K44" s="15">
        <f t="shared" si="3"/>
        <v>30600</v>
      </c>
      <c r="L44" s="19">
        <v>30600</v>
      </c>
      <c r="M44" s="13">
        <v>1</v>
      </c>
      <c r="N44" s="13">
        <v>1</v>
      </c>
      <c r="O44" s="14">
        <f t="shared" si="4"/>
        <v>32000</v>
      </c>
      <c r="P44" s="15">
        <f t="shared" si="5"/>
        <v>32000</v>
      </c>
      <c r="Q44" s="19">
        <v>32000</v>
      </c>
      <c r="R44" s="16">
        <f t="shared" si="6"/>
        <v>3</v>
      </c>
      <c r="S44" s="17">
        <f t="shared" si="7"/>
        <v>93250</v>
      </c>
      <c r="X44" s="3"/>
      <c r="Z44" s="58"/>
    </row>
    <row r="45" spans="1:26" s="2" customFormat="1" ht="16.5" x14ac:dyDescent="0.3">
      <c r="A45" s="13">
        <v>38</v>
      </c>
      <c r="B45" s="18" t="s">
        <v>33</v>
      </c>
      <c r="C45" s="13">
        <v>4</v>
      </c>
      <c r="D45" s="13">
        <v>4</v>
      </c>
      <c r="E45" s="14">
        <f t="shared" si="0"/>
        <v>29200</v>
      </c>
      <c r="F45" s="15">
        <f t="shared" si="1"/>
        <v>116800</v>
      </c>
      <c r="G45" s="19">
        <v>116800</v>
      </c>
      <c r="H45" s="13">
        <v>4</v>
      </c>
      <c r="I45" s="13">
        <v>4</v>
      </c>
      <c r="J45" s="14">
        <f t="shared" si="2"/>
        <v>29500</v>
      </c>
      <c r="K45" s="15">
        <f t="shared" si="3"/>
        <v>118000</v>
      </c>
      <c r="L45" s="19">
        <v>118000</v>
      </c>
      <c r="M45" s="13">
        <v>4</v>
      </c>
      <c r="N45" s="13">
        <v>4</v>
      </c>
      <c r="O45" s="14">
        <f t="shared" si="4"/>
        <v>29200</v>
      </c>
      <c r="P45" s="15">
        <f t="shared" si="5"/>
        <v>116800</v>
      </c>
      <c r="Q45" s="19">
        <v>116800</v>
      </c>
      <c r="R45" s="16">
        <f t="shared" si="6"/>
        <v>12</v>
      </c>
      <c r="S45" s="17">
        <f t="shared" si="7"/>
        <v>351600</v>
      </c>
      <c r="X45" s="3"/>
      <c r="Z45" s="58"/>
    </row>
    <row r="46" spans="1:26" s="2" customFormat="1" ht="33" x14ac:dyDescent="0.3">
      <c r="A46" s="13">
        <v>40</v>
      </c>
      <c r="B46" s="18" t="s">
        <v>91</v>
      </c>
      <c r="C46" s="13">
        <v>1</v>
      </c>
      <c r="D46" s="13">
        <v>1</v>
      </c>
      <c r="E46" s="14">
        <f t="shared" si="0"/>
        <v>649000</v>
      </c>
      <c r="F46" s="15">
        <f t="shared" si="1"/>
        <v>649000</v>
      </c>
      <c r="G46" s="19">
        <v>649000</v>
      </c>
      <c r="H46" s="13">
        <v>1</v>
      </c>
      <c r="I46" s="13">
        <v>1</v>
      </c>
      <c r="J46" s="14">
        <f t="shared" si="2"/>
        <v>679600</v>
      </c>
      <c r="K46" s="15">
        <f t="shared" si="3"/>
        <v>679600</v>
      </c>
      <c r="L46" s="19">
        <v>679600</v>
      </c>
      <c r="M46" s="13">
        <v>1</v>
      </c>
      <c r="N46" s="13">
        <v>1</v>
      </c>
      <c r="O46" s="14">
        <f t="shared" si="4"/>
        <v>606200</v>
      </c>
      <c r="P46" s="15">
        <f t="shared" si="5"/>
        <v>606200</v>
      </c>
      <c r="Q46" s="19">
        <v>606200</v>
      </c>
      <c r="R46" s="16">
        <f t="shared" si="6"/>
        <v>3</v>
      </c>
      <c r="S46" s="17">
        <f t="shared" si="7"/>
        <v>1934800</v>
      </c>
      <c r="T46" s="63"/>
      <c r="X46" s="3"/>
      <c r="Z46" s="58"/>
    </row>
    <row r="47" spans="1:26" s="2" customFormat="1" ht="33" x14ac:dyDescent="0.3">
      <c r="A47" s="13">
        <v>41</v>
      </c>
      <c r="B47" s="18" t="s">
        <v>92</v>
      </c>
      <c r="C47" s="13">
        <v>1</v>
      </c>
      <c r="D47" s="13">
        <v>1</v>
      </c>
      <c r="E47" s="14">
        <f t="shared" si="0"/>
        <v>664350</v>
      </c>
      <c r="F47" s="15">
        <f t="shared" si="1"/>
        <v>664350</v>
      </c>
      <c r="G47" s="19">
        <v>664350</v>
      </c>
      <c r="H47" s="13">
        <v>1</v>
      </c>
      <c r="I47" s="13">
        <v>1</v>
      </c>
      <c r="J47" s="14">
        <f t="shared" si="2"/>
        <v>718000</v>
      </c>
      <c r="K47" s="15">
        <f t="shared" si="3"/>
        <v>718000</v>
      </c>
      <c r="L47" s="19">
        <v>718000</v>
      </c>
      <c r="M47" s="13">
        <v>1</v>
      </c>
      <c r="N47" s="13">
        <v>1</v>
      </c>
      <c r="O47" s="14">
        <f t="shared" si="4"/>
        <v>472000</v>
      </c>
      <c r="P47" s="15">
        <f t="shared" si="5"/>
        <v>472000</v>
      </c>
      <c r="Q47" s="19">
        <v>472000</v>
      </c>
      <c r="R47" s="16">
        <f t="shared" si="6"/>
        <v>3</v>
      </c>
      <c r="S47" s="17">
        <f t="shared" si="7"/>
        <v>1854350</v>
      </c>
      <c r="T47" s="1"/>
      <c r="X47" s="3"/>
      <c r="Z47" s="58"/>
    </row>
    <row r="48" spans="1:26" s="2" customFormat="1" ht="49.5" x14ac:dyDescent="0.3">
      <c r="A48" s="13">
        <v>42</v>
      </c>
      <c r="B48" s="18" t="s">
        <v>93</v>
      </c>
      <c r="C48" s="20">
        <v>2.4</v>
      </c>
      <c r="D48" s="20">
        <v>2.4</v>
      </c>
      <c r="E48" s="14">
        <f t="shared" si="0"/>
        <v>64900</v>
      </c>
      <c r="F48" s="15">
        <f t="shared" si="1"/>
        <v>155760</v>
      </c>
      <c r="G48" s="19">
        <v>155760</v>
      </c>
      <c r="H48" s="20">
        <v>1.6</v>
      </c>
      <c r="I48" s="20">
        <v>1.6</v>
      </c>
      <c r="J48" s="14">
        <f t="shared" si="2"/>
        <v>64900</v>
      </c>
      <c r="K48" s="15">
        <f t="shared" si="3"/>
        <v>103840</v>
      </c>
      <c r="L48" s="19">
        <v>103840</v>
      </c>
      <c r="M48" s="20">
        <v>2.6</v>
      </c>
      <c r="N48" s="20">
        <v>2.6</v>
      </c>
      <c r="O48" s="14">
        <f t="shared" si="4"/>
        <v>64900</v>
      </c>
      <c r="P48" s="15">
        <f t="shared" si="5"/>
        <v>168740</v>
      </c>
      <c r="Q48" s="19">
        <v>168740</v>
      </c>
      <c r="R48" s="16">
        <f t="shared" si="6"/>
        <v>6.6</v>
      </c>
      <c r="S48" s="17">
        <f t="shared" si="7"/>
        <v>428340</v>
      </c>
      <c r="X48" s="3"/>
      <c r="Z48" s="58"/>
    </row>
    <row r="49" spans="1:26" s="2" customFormat="1" ht="66" x14ac:dyDescent="0.3">
      <c r="A49" s="13">
        <v>43</v>
      </c>
      <c r="B49" s="18" t="s">
        <v>94</v>
      </c>
      <c r="C49" s="20">
        <v>5.6</v>
      </c>
      <c r="D49" s="20">
        <v>5.6</v>
      </c>
      <c r="E49" s="14">
        <f t="shared" si="0"/>
        <v>64900.000000000007</v>
      </c>
      <c r="F49" s="15">
        <f t="shared" si="1"/>
        <v>363440</v>
      </c>
      <c r="G49" s="19">
        <v>363440</v>
      </c>
      <c r="H49" s="20">
        <v>5.6</v>
      </c>
      <c r="I49" s="20">
        <v>5.6</v>
      </c>
      <c r="J49" s="14">
        <f t="shared" si="2"/>
        <v>64900.000000000007</v>
      </c>
      <c r="K49" s="15">
        <f t="shared" si="3"/>
        <v>363440</v>
      </c>
      <c r="L49" s="19">
        <v>363440</v>
      </c>
      <c r="M49" s="20">
        <v>5.7</v>
      </c>
      <c r="N49" s="20">
        <v>5.7</v>
      </c>
      <c r="O49" s="14">
        <f t="shared" si="4"/>
        <v>64900</v>
      </c>
      <c r="P49" s="15">
        <f t="shared" si="5"/>
        <v>369930</v>
      </c>
      <c r="Q49" s="19">
        <v>369930</v>
      </c>
      <c r="R49" s="16">
        <f t="shared" si="6"/>
        <v>16.899999999999999</v>
      </c>
      <c r="S49" s="17">
        <f t="shared" si="7"/>
        <v>1096810</v>
      </c>
      <c r="T49" s="63"/>
      <c r="X49" s="3"/>
      <c r="Z49" s="58"/>
    </row>
    <row r="50" spans="1:26" s="2" customFormat="1" ht="33" x14ac:dyDescent="0.3">
      <c r="A50" s="13">
        <v>44</v>
      </c>
      <c r="B50" s="18" t="s">
        <v>95</v>
      </c>
      <c r="C50" s="13">
        <v>1</v>
      </c>
      <c r="D50" s="13">
        <v>1</v>
      </c>
      <c r="E50" s="14">
        <f t="shared" si="0"/>
        <v>70800</v>
      </c>
      <c r="F50" s="15">
        <f t="shared" si="1"/>
        <v>70800</v>
      </c>
      <c r="G50" s="19">
        <v>70800</v>
      </c>
      <c r="H50" s="13">
        <v>1</v>
      </c>
      <c r="I50" s="13">
        <v>1</v>
      </c>
      <c r="J50" s="14">
        <f t="shared" si="2"/>
        <v>77850</v>
      </c>
      <c r="K50" s="15">
        <f t="shared" si="3"/>
        <v>77850</v>
      </c>
      <c r="L50" s="19">
        <v>77850</v>
      </c>
      <c r="M50" s="13">
        <v>1</v>
      </c>
      <c r="N50" s="13">
        <v>1</v>
      </c>
      <c r="O50" s="14">
        <f t="shared" si="4"/>
        <v>70800</v>
      </c>
      <c r="P50" s="15">
        <f t="shared" si="5"/>
        <v>70800</v>
      </c>
      <c r="Q50" s="19">
        <v>70800</v>
      </c>
      <c r="R50" s="16">
        <f t="shared" si="6"/>
        <v>3</v>
      </c>
      <c r="S50" s="17">
        <f t="shared" si="7"/>
        <v>219450</v>
      </c>
      <c r="X50" s="3"/>
      <c r="Z50" s="58"/>
    </row>
    <row r="51" spans="1:26" s="2" customFormat="1" ht="33" x14ac:dyDescent="0.3">
      <c r="A51" s="13">
        <v>45</v>
      </c>
      <c r="B51" s="18" t="s">
        <v>96</v>
      </c>
      <c r="C51" s="20">
        <v>12</v>
      </c>
      <c r="D51" s="20">
        <v>12</v>
      </c>
      <c r="E51" s="14">
        <f t="shared" si="0"/>
        <v>42400</v>
      </c>
      <c r="F51" s="15">
        <f t="shared" si="1"/>
        <v>508800</v>
      </c>
      <c r="G51" s="19">
        <v>508800</v>
      </c>
      <c r="H51" s="20">
        <v>15.8</v>
      </c>
      <c r="I51" s="20">
        <f>H51-8.4</f>
        <v>7.4</v>
      </c>
      <c r="J51" s="14">
        <f t="shared" si="2"/>
        <v>35400</v>
      </c>
      <c r="K51" s="15">
        <f t="shared" si="3"/>
        <v>261960</v>
      </c>
      <c r="L51" s="19">
        <v>559320</v>
      </c>
      <c r="M51" s="20">
        <v>17.600000000000001</v>
      </c>
      <c r="N51" s="20">
        <f>M51-7.4</f>
        <v>10.200000000000001</v>
      </c>
      <c r="O51" s="14">
        <f t="shared" si="4"/>
        <v>41300</v>
      </c>
      <c r="P51" s="15">
        <f t="shared" si="5"/>
        <v>421260.00000000006</v>
      </c>
      <c r="Q51" s="19">
        <v>726880</v>
      </c>
      <c r="R51" s="16">
        <f t="shared" si="6"/>
        <v>29.6</v>
      </c>
      <c r="S51" s="17">
        <f t="shared" si="7"/>
        <v>1192020</v>
      </c>
      <c r="X51" s="3"/>
      <c r="Z51" s="58"/>
    </row>
    <row r="52" spans="1:26" s="2" customFormat="1" ht="33" x14ac:dyDescent="0.3">
      <c r="A52" s="13">
        <v>46</v>
      </c>
      <c r="B52" s="18" t="s">
        <v>97</v>
      </c>
      <c r="C52" s="20">
        <v>3.3</v>
      </c>
      <c r="D52" s="20">
        <v>3.3</v>
      </c>
      <c r="E52" s="14">
        <f t="shared" si="0"/>
        <v>64800</v>
      </c>
      <c r="F52" s="15">
        <f t="shared" si="1"/>
        <v>213840</v>
      </c>
      <c r="G52" s="19">
        <v>213840</v>
      </c>
      <c r="H52" s="20">
        <v>3.1</v>
      </c>
      <c r="I52" s="20">
        <v>3.1</v>
      </c>
      <c r="J52" s="14">
        <f t="shared" si="2"/>
        <v>59000</v>
      </c>
      <c r="K52" s="15">
        <f t="shared" si="3"/>
        <v>182900</v>
      </c>
      <c r="L52" s="19">
        <v>182900</v>
      </c>
      <c r="M52" s="20">
        <v>3.2</v>
      </c>
      <c r="N52" s="20">
        <v>3.2</v>
      </c>
      <c r="O52" s="14">
        <f t="shared" si="4"/>
        <v>63800</v>
      </c>
      <c r="P52" s="15">
        <f t="shared" si="5"/>
        <v>204160</v>
      </c>
      <c r="Q52" s="19">
        <v>204160</v>
      </c>
      <c r="R52" s="16">
        <f t="shared" si="6"/>
        <v>9.6000000000000014</v>
      </c>
      <c r="S52" s="17">
        <f t="shared" si="7"/>
        <v>600900</v>
      </c>
      <c r="X52" s="3"/>
      <c r="Z52" s="58"/>
    </row>
    <row r="53" spans="1:26" s="2" customFormat="1" ht="33" x14ac:dyDescent="0.3">
      <c r="A53" s="13">
        <v>47</v>
      </c>
      <c r="B53" s="18" t="s">
        <v>98</v>
      </c>
      <c r="C53" s="13">
        <v>2</v>
      </c>
      <c r="D53" s="13">
        <v>2</v>
      </c>
      <c r="E53" s="14">
        <f t="shared" si="0"/>
        <v>59000</v>
      </c>
      <c r="F53" s="15">
        <f t="shared" si="1"/>
        <v>118000</v>
      </c>
      <c r="G53" s="19">
        <v>118000</v>
      </c>
      <c r="H53" s="13">
        <v>2</v>
      </c>
      <c r="I53" s="13">
        <v>2</v>
      </c>
      <c r="J53" s="14">
        <f t="shared" si="2"/>
        <v>61300</v>
      </c>
      <c r="K53" s="15">
        <f t="shared" si="3"/>
        <v>122600</v>
      </c>
      <c r="L53" s="19">
        <v>122600</v>
      </c>
      <c r="M53" s="13">
        <v>3</v>
      </c>
      <c r="N53" s="13">
        <v>3</v>
      </c>
      <c r="O53" s="14">
        <f t="shared" si="4"/>
        <v>59000</v>
      </c>
      <c r="P53" s="15">
        <f t="shared" si="5"/>
        <v>177000</v>
      </c>
      <c r="Q53" s="19">
        <v>177000</v>
      </c>
      <c r="R53" s="16">
        <f t="shared" si="6"/>
        <v>7</v>
      </c>
      <c r="S53" s="17">
        <f t="shared" si="7"/>
        <v>417600</v>
      </c>
      <c r="X53" s="3"/>
      <c r="Z53" s="58"/>
    </row>
    <row r="54" spans="1:26" s="2" customFormat="1" ht="16.5" x14ac:dyDescent="0.3">
      <c r="A54" s="13">
        <v>48</v>
      </c>
      <c r="B54" s="18" t="s">
        <v>99</v>
      </c>
      <c r="C54" s="13">
        <v>1</v>
      </c>
      <c r="D54" s="13">
        <v>1</v>
      </c>
      <c r="E54" s="14">
        <f t="shared" si="0"/>
        <v>70750</v>
      </c>
      <c r="F54" s="15">
        <f t="shared" si="1"/>
        <v>70750</v>
      </c>
      <c r="G54" s="19">
        <v>70750</v>
      </c>
      <c r="H54" s="13">
        <v>1</v>
      </c>
      <c r="I54" s="13">
        <v>1</v>
      </c>
      <c r="J54" s="14">
        <f t="shared" si="2"/>
        <v>70800</v>
      </c>
      <c r="K54" s="15">
        <f t="shared" si="3"/>
        <v>70800</v>
      </c>
      <c r="L54" s="19">
        <v>70800</v>
      </c>
      <c r="M54" s="13">
        <v>1</v>
      </c>
      <c r="N54" s="13">
        <v>1</v>
      </c>
      <c r="O54" s="14">
        <f t="shared" si="4"/>
        <v>70800</v>
      </c>
      <c r="P54" s="15">
        <f t="shared" si="5"/>
        <v>70800</v>
      </c>
      <c r="Q54" s="19">
        <v>70800</v>
      </c>
      <c r="R54" s="16">
        <f t="shared" si="6"/>
        <v>3</v>
      </c>
      <c r="S54" s="17">
        <f t="shared" si="7"/>
        <v>212350</v>
      </c>
      <c r="X54" s="3"/>
      <c r="Z54" s="58"/>
    </row>
    <row r="55" spans="1:26" s="2" customFormat="1" ht="16.5" x14ac:dyDescent="0.3">
      <c r="A55" s="13">
        <v>49</v>
      </c>
      <c r="B55" s="64" t="s">
        <v>100</v>
      </c>
      <c r="C55" s="64"/>
      <c r="D55" s="64"/>
      <c r="E55" s="14"/>
      <c r="F55" s="15"/>
      <c r="G55" s="19"/>
      <c r="H55" s="19"/>
      <c r="I55" s="19"/>
      <c r="J55" s="14"/>
      <c r="K55" s="65"/>
      <c r="L55" s="19"/>
      <c r="M55" s="23">
        <v>1</v>
      </c>
      <c r="N55" s="23">
        <v>1</v>
      </c>
      <c r="O55" s="14">
        <f t="shared" si="4"/>
        <v>70800</v>
      </c>
      <c r="P55" s="15">
        <f t="shared" si="5"/>
        <v>70800</v>
      </c>
      <c r="Q55" s="19">
        <v>70800</v>
      </c>
      <c r="R55" s="16">
        <f t="shared" si="6"/>
        <v>1</v>
      </c>
      <c r="S55" s="17">
        <f t="shared" si="7"/>
        <v>70800</v>
      </c>
      <c r="X55" s="3"/>
      <c r="Z55" s="58"/>
    </row>
    <row r="56" spans="1:26" s="2" customFormat="1" ht="16.5" x14ac:dyDescent="0.3">
      <c r="A56" s="24"/>
      <c r="B56" s="25" t="s">
        <v>11</v>
      </c>
      <c r="C56" s="17"/>
      <c r="D56" s="17"/>
      <c r="E56" s="17"/>
      <c r="F56" s="17">
        <f>SUM(F14:F55)</f>
        <v>9903480</v>
      </c>
      <c r="G56" s="17">
        <f t="shared" ref="G56:L56" si="8">SUM(G14:G55)</f>
        <v>10395215</v>
      </c>
      <c r="H56" s="17"/>
      <c r="I56" s="17"/>
      <c r="J56" s="17"/>
      <c r="K56" s="17">
        <f>SUM(K14:K55)</f>
        <v>9285870</v>
      </c>
      <c r="L56" s="17">
        <f t="shared" si="8"/>
        <v>9732205</v>
      </c>
      <c r="M56" s="17"/>
      <c r="N56" s="17"/>
      <c r="O56" s="17"/>
      <c r="P56" s="17">
        <f>SUM(P14:P55)</f>
        <v>9694887.5</v>
      </c>
      <c r="Q56" s="17">
        <f>SUM(Q14:Q55)</f>
        <v>10293075</v>
      </c>
      <c r="R56" s="17"/>
      <c r="S56" s="17">
        <f t="shared" ref="S56" si="9">SUM(S14:S55)</f>
        <v>28884237.5</v>
      </c>
      <c r="X56" s="3"/>
      <c r="Z56" s="58"/>
    </row>
    <row r="57" spans="1:26" s="2" customFormat="1" ht="18.75" x14ac:dyDescent="0.3">
      <c r="A57" s="179"/>
      <c r="B57" s="180"/>
      <c r="C57" s="66"/>
      <c r="D57" s="176" t="s">
        <v>101</v>
      </c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8"/>
      <c r="X57" s="3"/>
      <c r="Z57" s="58"/>
    </row>
    <row r="58" spans="1:26" s="2" customFormat="1" ht="33" x14ac:dyDescent="0.3">
      <c r="A58" s="13">
        <v>1</v>
      </c>
      <c r="B58" s="18" t="s">
        <v>102</v>
      </c>
      <c r="C58" s="13">
        <v>2</v>
      </c>
      <c r="D58" s="13">
        <v>2</v>
      </c>
      <c r="E58" s="67">
        <f>G58/C58</f>
        <v>324999.995</v>
      </c>
      <c r="F58" s="15">
        <f>D58*E58</f>
        <v>649999.99</v>
      </c>
      <c r="G58" s="19">
        <v>649999.99</v>
      </c>
      <c r="H58" s="13">
        <v>3</v>
      </c>
      <c r="I58" s="13">
        <v>3</v>
      </c>
      <c r="J58" s="67">
        <f>L58/H58</f>
        <v>324999.99666666664</v>
      </c>
      <c r="K58" s="15">
        <f>I58*J58</f>
        <v>974999.99</v>
      </c>
      <c r="L58" s="19">
        <v>974999.99</v>
      </c>
      <c r="M58" s="23">
        <v>3</v>
      </c>
      <c r="N58" s="23">
        <v>3</v>
      </c>
      <c r="O58" s="26">
        <f>Q58/M58</f>
        <v>324999.99666666664</v>
      </c>
      <c r="P58" s="15">
        <f>N58*O58</f>
        <v>974999.99</v>
      </c>
      <c r="Q58" s="19">
        <v>974999.99</v>
      </c>
      <c r="R58" s="16">
        <f>D58+I58+N58</f>
        <v>8</v>
      </c>
      <c r="S58" s="17">
        <f>F58+K58+P58</f>
        <v>2599999.9699999997</v>
      </c>
      <c r="X58" s="3"/>
      <c r="Z58" s="58"/>
    </row>
    <row r="59" spans="1:26" s="2" customFormat="1" ht="33" x14ac:dyDescent="0.3">
      <c r="A59" s="13">
        <v>2</v>
      </c>
      <c r="B59" s="18" t="s">
        <v>103</v>
      </c>
      <c r="C59" s="13">
        <v>3</v>
      </c>
      <c r="D59" s="13">
        <v>3</v>
      </c>
      <c r="E59" s="67">
        <f>G59/C59</f>
        <v>204999.99666666667</v>
      </c>
      <c r="F59" s="15">
        <f>D59*E59</f>
        <v>614999.99</v>
      </c>
      <c r="G59" s="19">
        <v>614999.99</v>
      </c>
      <c r="H59" s="13">
        <v>2</v>
      </c>
      <c r="I59" s="13">
        <v>2</v>
      </c>
      <c r="J59" s="67">
        <f>L59/H59</f>
        <v>204999.995</v>
      </c>
      <c r="K59" s="15">
        <f>I59*J59</f>
        <v>409999.99</v>
      </c>
      <c r="L59" s="19">
        <v>409999.99</v>
      </c>
      <c r="M59" s="23">
        <v>2</v>
      </c>
      <c r="N59" s="23">
        <v>2</v>
      </c>
      <c r="O59" s="26">
        <f>Q59/M59</f>
        <v>204999.995</v>
      </c>
      <c r="P59" s="15">
        <f>N59*O59</f>
        <v>409999.99</v>
      </c>
      <c r="Q59" s="19">
        <v>409999.99</v>
      </c>
      <c r="R59" s="16">
        <f>D59+I59+N59</f>
        <v>7</v>
      </c>
      <c r="S59" s="17">
        <f>F59+K59+P59</f>
        <v>1434999.97</v>
      </c>
      <c r="X59" s="3"/>
    </row>
    <row r="60" spans="1:26" s="2" customFormat="1" ht="16.5" x14ac:dyDescent="0.3">
      <c r="A60" s="27"/>
      <c r="B60" s="68" t="s">
        <v>11</v>
      </c>
      <c r="C60" s="55"/>
      <c r="D60" s="55"/>
      <c r="E60" s="55"/>
      <c r="F60" s="52">
        <f>SUM(F58:F59)</f>
        <v>1264999.98</v>
      </c>
      <c r="G60" s="17">
        <f>SUM(G58:G59)</f>
        <v>1264999.98</v>
      </c>
      <c r="H60" s="17"/>
      <c r="I60" s="17"/>
      <c r="J60" s="17"/>
      <c r="K60" s="17">
        <f>SUM(K58:K59)</f>
        <v>1384999.98</v>
      </c>
      <c r="L60" s="17">
        <f t="shared" ref="L60:Q60" si="10">SUM(L58:L59)</f>
        <v>1384999.98</v>
      </c>
      <c r="M60" s="17"/>
      <c r="N60" s="17"/>
      <c r="O60" s="17"/>
      <c r="P60" s="17">
        <f>SUM(P58:P59)</f>
        <v>1384999.98</v>
      </c>
      <c r="Q60" s="17">
        <f t="shared" si="10"/>
        <v>1384999.98</v>
      </c>
      <c r="R60" s="17"/>
      <c r="S60" s="17">
        <f>SUM(S58:S59)</f>
        <v>4034999.9399999995</v>
      </c>
      <c r="X60" s="3"/>
    </row>
    <row r="61" spans="1:26" s="2" customFormat="1" ht="18.75" x14ac:dyDescent="0.3">
      <c r="B61" s="69"/>
      <c r="C61" s="69"/>
      <c r="D61" s="167" t="s">
        <v>104</v>
      </c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9"/>
      <c r="X61" s="3"/>
    </row>
    <row r="62" spans="1:26" s="2" customFormat="1" ht="49.5" x14ac:dyDescent="0.3">
      <c r="A62" s="13">
        <v>1</v>
      </c>
      <c r="B62" s="64" t="s">
        <v>105</v>
      </c>
      <c r="C62" s="23">
        <v>1</v>
      </c>
      <c r="D62" s="23">
        <v>1</v>
      </c>
      <c r="E62" s="26">
        <f>G62/C62</f>
        <v>300000</v>
      </c>
      <c r="F62" s="15">
        <f>D62*E62</f>
        <v>300000</v>
      </c>
      <c r="G62" s="19">
        <v>300000</v>
      </c>
      <c r="H62" s="23">
        <v>1</v>
      </c>
      <c r="I62" s="23">
        <v>1</v>
      </c>
      <c r="J62" s="26">
        <f>L62/H62</f>
        <v>300000</v>
      </c>
      <c r="K62" s="15">
        <f>I62*J62</f>
        <v>300000</v>
      </c>
      <c r="L62" s="19">
        <v>300000</v>
      </c>
      <c r="M62" s="23">
        <v>1</v>
      </c>
      <c r="N62" s="23">
        <v>1</v>
      </c>
      <c r="O62" s="26">
        <f>Q62/M62</f>
        <v>300000</v>
      </c>
      <c r="P62" s="15">
        <f>N62*O62</f>
        <v>300000</v>
      </c>
      <c r="Q62" s="19">
        <v>300000</v>
      </c>
      <c r="R62" s="16">
        <f>D62+I62+N62</f>
        <v>3</v>
      </c>
      <c r="S62" s="17">
        <f>F62+K62+P62</f>
        <v>900000</v>
      </c>
      <c r="X62" s="3"/>
    </row>
    <row r="63" spans="1:26" s="2" customFormat="1" ht="49.5" x14ac:dyDescent="0.3">
      <c r="A63" s="13">
        <v>2</v>
      </c>
      <c r="B63" s="64" t="s">
        <v>106</v>
      </c>
      <c r="C63" s="23">
        <v>1</v>
      </c>
      <c r="D63" s="23">
        <v>1</v>
      </c>
      <c r="E63" s="26">
        <f t="shared" ref="E63:E64" si="11">G63/C63</f>
        <v>390000</v>
      </c>
      <c r="F63" s="15">
        <f t="shared" ref="F63:F64" si="12">D63*E63</f>
        <v>390000</v>
      </c>
      <c r="G63" s="19">
        <v>390000</v>
      </c>
      <c r="H63" s="23">
        <v>1</v>
      </c>
      <c r="I63" s="23">
        <v>1</v>
      </c>
      <c r="J63" s="26">
        <f t="shared" ref="J63:J65" si="13">L63/H63</f>
        <v>390000</v>
      </c>
      <c r="K63" s="15">
        <f t="shared" ref="K63:K65" si="14">I63*J63</f>
        <v>390000</v>
      </c>
      <c r="L63" s="19">
        <v>390000</v>
      </c>
      <c r="M63" s="23">
        <v>1</v>
      </c>
      <c r="N63" s="23">
        <v>1</v>
      </c>
      <c r="O63" s="26">
        <f t="shared" ref="O63:O65" si="15">Q63/M63</f>
        <v>390000</v>
      </c>
      <c r="P63" s="15">
        <f t="shared" ref="P63:P65" si="16">N63*O63</f>
        <v>390000</v>
      </c>
      <c r="Q63" s="19">
        <v>390000</v>
      </c>
      <c r="R63" s="16">
        <f t="shared" ref="R63:R65" si="17">D63+I63+N63</f>
        <v>3</v>
      </c>
      <c r="S63" s="17">
        <f t="shared" ref="S63:S65" si="18">F63+K63+P63</f>
        <v>1170000</v>
      </c>
      <c r="X63" s="3"/>
    </row>
    <row r="64" spans="1:26" s="2" customFormat="1" ht="49.5" x14ac:dyDescent="0.3">
      <c r="A64" s="13">
        <v>3</v>
      </c>
      <c r="B64" s="64" t="s">
        <v>107</v>
      </c>
      <c r="C64" s="23">
        <v>2</v>
      </c>
      <c r="D64" s="23">
        <v>2</v>
      </c>
      <c r="E64" s="26">
        <f t="shared" si="11"/>
        <v>440000.005</v>
      </c>
      <c r="F64" s="15">
        <f t="shared" si="12"/>
        <v>880000.01</v>
      </c>
      <c r="G64" s="19">
        <v>880000.01</v>
      </c>
      <c r="H64" s="27"/>
      <c r="I64" s="27"/>
      <c r="J64" s="26"/>
      <c r="K64" s="15"/>
      <c r="L64" s="27"/>
      <c r="M64" s="27"/>
      <c r="N64" s="27"/>
      <c r="O64" s="26"/>
      <c r="P64" s="15"/>
      <c r="Q64" s="27"/>
      <c r="R64" s="16">
        <f t="shared" si="17"/>
        <v>2</v>
      </c>
      <c r="S64" s="17">
        <f t="shared" si="18"/>
        <v>880000.01</v>
      </c>
      <c r="X64" s="3"/>
    </row>
    <row r="65" spans="1:24" s="2" customFormat="1" ht="66" x14ac:dyDescent="0.3">
      <c r="A65" s="13">
        <v>4</v>
      </c>
      <c r="B65" s="64" t="s">
        <v>108</v>
      </c>
      <c r="C65" s="64"/>
      <c r="D65" s="64"/>
      <c r="E65" s="26"/>
      <c r="F65" s="15"/>
      <c r="G65" s="27"/>
      <c r="H65" s="23">
        <v>1</v>
      </c>
      <c r="I65" s="23">
        <v>1</v>
      </c>
      <c r="J65" s="26">
        <f t="shared" si="13"/>
        <v>710000</v>
      </c>
      <c r="K65" s="15">
        <f t="shared" si="14"/>
        <v>710000</v>
      </c>
      <c r="L65" s="19">
        <v>710000</v>
      </c>
      <c r="M65" s="23">
        <v>1</v>
      </c>
      <c r="N65" s="23">
        <v>1</v>
      </c>
      <c r="O65" s="26">
        <f t="shared" si="15"/>
        <v>710000</v>
      </c>
      <c r="P65" s="15">
        <f t="shared" si="16"/>
        <v>710000</v>
      </c>
      <c r="Q65" s="19">
        <v>710000</v>
      </c>
      <c r="R65" s="16">
        <f t="shared" si="17"/>
        <v>2</v>
      </c>
      <c r="S65" s="17">
        <f t="shared" si="18"/>
        <v>1420000</v>
      </c>
      <c r="X65" s="3"/>
    </row>
    <row r="66" spans="1:24" s="2" customFormat="1" ht="16.5" x14ac:dyDescent="0.3">
      <c r="B66" s="70" t="s">
        <v>11</v>
      </c>
      <c r="C66" s="55"/>
      <c r="D66" s="55"/>
      <c r="E66" s="55"/>
      <c r="F66" s="52">
        <f>SUM(F62:F65)</f>
        <v>1570000.01</v>
      </c>
      <c r="G66" s="17">
        <f>SUM(G62:G65)</f>
        <v>1570000.01</v>
      </c>
      <c r="H66" s="17"/>
      <c r="I66" s="17"/>
      <c r="J66" s="17"/>
      <c r="K66" s="17">
        <f>SUM(K62:K65)</f>
        <v>1400000</v>
      </c>
      <c r="L66" s="17">
        <f t="shared" ref="L66:Q66" si="19">SUM(L62:L65)</f>
        <v>1400000</v>
      </c>
      <c r="M66" s="17"/>
      <c r="N66" s="17"/>
      <c r="O66" s="17"/>
      <c r="P66" s="17">
        <f>SUM(P62:P65)</f>
        <v>1400000</v>
      </c>
      <c r="Q66" s="17">
        <f t="shared" si="19"/>
        <v>1400000</v>
      </c>
      <c r="R66" s="17"/>
      <c r="S66" s="17">
        <f>SUM(S62:S65)</f>
        <v>4370000.01</v>
      </c>
      <c r="X66" s="3"/>
    </row>
    <row r="67" spans="1:24" s="2" customFormat="1" ht="18.75" x14ac:dyDescent="0.3">
      <c r="A67" s="174"/>
      <c r="B67" s="175"/>
      <c r="C67" s="71"/>
      <c r="D67" s="167" t="s">
        <v>109</v>
      </c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9"/>
      <c r="X67" s="3"/>
    </row>
    <row r="68" spans="1:24" s="2" customFormat="1" ht="16.5" x14ac:dyDescent="0.3">
      <c r="A68" s="13">
        <v>1</v>
      </c>
      <c r="B68" s="64" t="s">
        <v>110</v>
      </c>
      <c r="C68" s="23">
        <v>1</v>
      </c>
      <c r="D68" s="23">
        <v>1</v>
      </c>
      <c r="E68" s="26">
        <f>G68/C68</f>
        <v>178000</v>
      </c>
      <c r="F68" s="15">
        <f>D68*E68</f>
        <v>178000</v>
      </c>
      <c r="G68" s="19">
        <v>178000</v>
      </c>
      <c r="H68" s="23">
        <v>1</v>
      </c>
      <c r="I68" s="23">
        <v>1</v>
      </c>
      <c r="J68" s="26">
        <f>L68/H68</f>
        <v>178000</v>
      </c>
      <c r="K68" s="15">
        <f>I68*J68</f>
        <v>178000</v>
      </c>
      <c r="L68" s="19">
        <v>178000</v>
      </c>
      <c r="M68" s="23">
        <v>1</v>
      </c>
      <c r="N68" s="23">
        <v>1</v>
      </c>
      <c r="O68" s="26">
        <f>Q68/M68</f>
        <v>178000</v>
      </c>
      <c r="P68" s="15">
        <f>N68*O68</f>
        <v>178000</v>
      </c>
      <c r="Q68" s="19">
        <v>178000</v>
      </c>
      <c r="R68" s="16">
        <f>D68+I68+N68</f>
        <v>3</v>
      </c>
      <c r="S68" s="17">
        <f>F68+K68+P68</f>
        <v>534000</v>
      </c>
      <c r="X68" s="3"/>
    </row>
    <row r="69" spans="1:24" s="2" customFormat="1" ht="33" x14ac:dyDescent="0.3">
      <c r="A69" s="13">
        <v>2</v>
      </c>
      <c r="B69" s="64" t="s">
        <v>111</v>
      </c>
      <c r="C69" s="23">
        <v>1</v>
      </c>
      <c r="D69" s="23">
        <v>1</v>
      </c>
      <c r="E69" s="26">
        <f t="shared" ref="E69:E71" si="20">G69/C69</f>
        <v>165000</v>
      </c>
      <c r="F69" s="15">
        <f t="shared" ref="F69:F71" si="21">D69*E69</f>
        <v>165000</v>
      </c>
      <c r="G69" s="19">
        <v>165000</v>
      </c>
      <c r="H69" s="23">
        <v>1</v>
      </c>
      <c r="I69" s="23">
        <v>1</v>
      </c>
      <c r="J69" s="26">
        <f t="shared" ref="J69:J71" si="22">L69/H69</f>
        <v>165000</v>
      </c>
      <c r="K69" s="15">
        <f t="shared" ref="K69:K71" si="23">I69*J69</f>
        <v>165000</v>
      </c>
      <c r="L69" s="19">
        <v>165000</v>
      </c>
      <c r="M69" s="23">
        <v>1</v>
      </c>
      <c r="N69" s="23">
        <v>1</v>
      </c>
      <c r="O69" s="26">
        <f t="shared" ref="O69:O71" si="24">Q69/M69</f>
        <v>165000</v>
      </c>
      <c r="P69" s="15">
        <f t="shared" ref="P69:P71" si="25">N69*O69</f>
        <v>165000</v>
      </c>
      <c r="Q69" s="19">
        <v>165000</v>
      </c>
      <c r="R69" s="16">
        <f t="shared" ref="R69:R71" si="26">D69+I69+N69</f>
        <v>3</v>
      </c>
      <c r="S69" s="17">
        <f t="shared" ref="S69:S71" si="27">F69+K69+P69</f>
        <v>495000</v>
      </c>
      <c r="X69" s="3"/>
    </row>
    <row r="70" spans="1:24" s="2" customFormat="1" ht="33" x14ac:dyDescent="0.3">
      <c r="A70" s="13">
        <v>3</v>
      </c>
      <c r="B70" s="64" t="s">
        <v>112</v>
      </c>
      <c r="C70" s="23">
        <v>1</v>
      </c>
      <c r="D70" s="23">
        <v>1</v>
      </c>
      <c r="E70" s="26">
        <f t="shared" si="20"/>
        <v>90000</v>
      </c>
      <c r="F70" s="15">
        <f t="shared" si="21"/>
        <v>90000</v>
      </c>
      <c r="G70" s="19">
        <v>90000</v>
      </c>
      <c r="H70" s="23">
        <v>1</v>
      </c>
      <c r="I70" s="23">
        <v>1</v>
      </c>
      <c r="J70" s="26">
        <f t="shared" si="22"/>
        <v>90000</v>
      </c>
      <c r="K70" s="15">
        <f t="shared" si="23"/>
        <v>90000</v>
      </c>
      <c r="L70" s="19">
        <v>90000</v>
      </c>
      <c r="M70" s="23">
        <v>1</v>
      </c>
      <c r="N70" s="23">
        <v>1</v>
      </c>
      <c r="O70" s="26">
        <f t="shared" si="24"/>
        <v>90000</v>
      </c>
      <c r="P70" s="15">
        <f t="shared" si="25"/>
        <v>90000</v>
      </c>
      <c r="Q70" s="19">
        <v>90000</v>
      </c>
      <c r="R70" s="16">
        <f t="shared" si="26"/>
        <v>3</v>
      </c>
      <c r="S70" s="17">
        <f t="shared" si="27"/>
        <v>270000</v>
      </c>
      <c r="X70" s="3"/>
    </row>
    <row r="71" spans="1:24" s="2" customFormat="1" ht="33" x14ac:dyDescent="0.3">
      <c r="A71" s="13">
        <v>4</v>
      </c>
      <c r="B71" s="64" t="s">
        <v>113</v>
      </c>
      <c r="C71" s="23">
        <v>1</v>
      </c>
      <c r="D71" s="23">
        <v>1</v>
      </c>
      <c r="E71" s="26">
        <f t="shared" si="20"/>
        <v>95000</v>
      </c>
      <c r="F71" s="15">
        <f t="shared" si="21"/>
        <v>95000</v>
      </c>
      <c r="G71" s="19">
        <v>95000</v>
      </c>
      <c r="H71" s="23">
        <v>1</v>
      </c>
      <c r="I71" s="23">
        <v>1</v>
      </c>
      <c r="J71" s="26">
        <f t="shared" si="22"/>
        <v>95000</v>
      </c>
      <c r="K71" s="15">
        <f t="shared" si="23"/>
        <v>95000</v>
      </c>
      <c r="L71" s="19">
        <v>95000</v>
      </c>
      <c r="M71" s="23">
        <v>1</v>
      </c>
      <c r="N71" s="23">
        <v>1</v>
      </c>
      <c r="O71" s="26">
        <f t="shared" si="24"/>
        <v>95000</v>
      </c>
      <c r="P71" s="15">
        <f t="shared" si="25"/>
        <v>95000</v>
      </c>
      <c r="Q71" s="19">
        <v>95000</v>
      </c>
      <c r="R71" s="16">
        <f t="shared" si="26"/>
        <v>3</v>
      </c>
      <c r="S71" s="17">
        <f t="shared" si="27"/>
        <v>285000</v>
      </c>
      <c r="X71" s="3"/>
    </row>
    <row r="72" spans="1:24" s="2" customFormat="1" ht="16.5" x14ac:dyDescent="0.3">
      <c r="A72" s="72"/>
      <c r="B72" s="68" t="s">
        <v>11</v>
      </c>
      <c r="C72" s="55"/>
      <c r="D72" s="55"/>
      <c r="E72" s="55"/>
      <c r="F72" s="52">
        <f>SUM(F68:F71)</f>
        <v>528000</v>
      </c>
      <c r="G72" s="17">
        <f>SUM(G68:G71)</f>
        <v>528000</v>
      </c>
      <c r="H72" s="17"/>
      <c r="I72" s="17"/>
      <c r="J72" s="17"/>
      <c r="K72" s="17">
        <f>SUM(K68:K71)</f>
        <v>528000</v>
      </c>
      <c r="L72" s="17">
        <f t="shared" ref="L72" si="28">SUM(L68:L71)</f>
        <v>528000</v>
      </c>
      <c r="M72" s="17"/>
      <c r="N72" s="17"/>
      <c r="O72" s="17"/>
      <c r="P72" s="17">
        <f>SUM(P68:P71)</f>
        <v>528000</v>
      </c>
      <c r="Q72" s="17">
        <f t="shared" ref="Q72" si="29">SUM(Q68:Q71)</f>
        <v>528000</v>
      </c>
      <c r="R72" s="17"/>
      <c r="S72" s="17">
        <f>SUM(S68:S71)</f>
        <v>1584000</v>
      </c>
      <c r="X72" s="3"/>
    </row>
    <row r="73" spans="1:24" s="77" customFormat="1" ht="17.25" x14ac:dyDescent="0.3">
      <c r="A73" s="73"/>
      <c r="B73" s="74" t="s">
        <v>114</v>
      </c>
      <c r="C73" s="75"/>
      <c r="D73" s="75"/>
      <c r="E73" s="75"/>
      <c r="F73" s="76">
        <f>F56+F60+F66+F72</f>
        <v>13266479.99</v>
      </c>
      <c r="G73" s="76">
        <f>G56+G60+G66+G72</f>
        <v>13758214.99</v>
      </c>
      <c r="H73" s="76"/>
      <c r="I73" s="76"/>
      <c r="J73" s="76"/>
      <c r="K73" s="76">
        <f>K56+K60+K66+K72</f>
        <v>12598869.98</v>
      </c>
      <c r="L73" s="76">
        <f>L56+L60+L66+L72</f>
        <v>13045204.98</v>
      </c>
      <c r="M73" s="76"/>
      <c r="N73" s="76"/>
      <c r="O73" s="76"/>
      <c r="P73" s="76">
        <f>P56+P60+P66+P72</f>
        <v>13007887.48</v>
      </c>
      <c r="Q73" s="76">
        <f>Q56+Q60+Q66+Q72</f>
        <v>13606074.98</v>
      </c>
      <c r="R73" s="76"/>
      <c r="S73" s="76">
        <f t="shared" ref="S73" si="30">S56+S60+S66+S72</f>
        <v>38873237.449999996</v>
      </c>
      <c r="X73" s="78"/>
    </row>
    <row r="74" spans="1:24" s="2" customFormat="1" ht="16.5" x14ac:dyDescent="0.3">
      <c r="A74" s="1"/>
      <c r="S74" s="3"/>
      <c r="X74" s="3"/>
    </row>
    <row r="75" spans="1:24" s="2" customFormat="1" ht="16.5" x14ac:dyDescent="0.3">
      <c r="A75" s="1"/>
      <c r="X75" s="3"/>
    </row>
    <row r="76" spans="1:24" s="2" customFormat="1" ht="20.25" x14ac:dyDescent="0.3">
      <c r="A76" s="1"/>
      <c r="R76" s="157" t="s">
        <v>35</v>
      </c>
      <c r="S76" s="157"/>
      <c r="X76" s="3"/>
    </row>
    <row r="77" spans="1:24" s="2" customFormat="1" ht="16.5" x14ac:dyDescent="0.3">
      <c r="A77" s="158" t="s">
        <v>36</v>
      </c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X77" s="3"/>
    </row>
    <row r="78" spans="1:24" s="2" customFormat="1" ht="16.5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X78" s="3"/>
    </row>
    <row r="79" spans="1:24" s="2" customFormat="1" ht="16.5" x14ac:dyDescent="0.3">
      <c r="A79" s="1"/>
      <c r="R79" s="159" t="s">
        <v>5</v>
      </c>
      <c r="S79" s="159"/>
      <c r="X79" s="3"/>
    </row>
    <row r="80" spans="1:24" s="2" customFormat="1" ht="16.5" x14ac:dyDescent="0.3">
      <c r="A80" s="160" t="s">
        <v>6</v>
      </c>
      <c r="B80" s="163" t="s">
        <v>7</v>
      </c>
      <c r="C80" s="9"/>
      <c r="D80" s="152" t="s">
        <v>37</v>
      </c>
      <c r="E80" s="152"/>
      <c r="F80" s="152"/>
      <c r="G80" s="152"/>
      <c r="H80" s="152" t="s">
        <v>38</v>
      </c>
      <c r="I80" s="152"/>
      <c r="J80" s="152"/>
      <c r="K80" s="152"/>
      <c r="L80" s="152"/>
      <c r="M80" s="152" t="s">
        <v>39</v>
      </c>
      <c r="N80" s="152"/>
      <c r="O80" s="152"/>
      <c r="P80" s="152"/>
      <c r="Q80" s="152"/>
      <c r="R80" s="152" t="s">
        <v>11</v>
      </c>
      <c r="S80" s="152"/>
      <c r="X80" s="3"/>
    </row>
    <row r="81" spans="1:24" s="2" customFormat="1" ht="33" x14ac:dyDescent="0.3">
      <c r="A81" s="161"/>
      <c r="B81" s="164"/>
      <c r="C81" s="10" t="s">
        <v>12</v>
      </c>
      <c r="D81" s="10" t="s">
        <v>12</v>
      </c>
      <c r="E81" s="10" t="s">
        <v>13</v>
      </c>
      <c r="F81" s="55" t="s">
        <v>14</v>
      </c>
      <c r="G81" s="55" t="s">
        <v>14</v>
      </c>
      <c r="H81" s="10" t="s">
        <v>12</v>
      </c>
      <c r="I81" s="10" t="s">
        <v>12</v>
      </c>
      <c r="J81" s="10" t="s">
        <v>13</v>
      </c>
      <c r="K81" s="55" t="s">
        <v>14</v>
      </c>
      <c r="L81" s="55" t="s">
        <v>14</v>
      </c>
      <c r="M81" s="10" t="s">
        <v>12</v>
      </c>
      <c r="N81" s="10" t="s">
        <v>12</v>
      </c>
      <c r="O81" s="10" t="s">
        <v>13</v>
      </c>
      <c r="P81" s="55" t="s">
        <v>14</v>
      </c>
      <c r="Q81" s="55" t="s">
        <v>14</v>
      </c>
      <c r="R81" s="10" t="s">
        <v>12</v>
      </c>
      <c r="S81" s="55" t="s">
        <v>14</v>
      </c>
      <c r="X81" s="3"/>
    </row>
    <row r="82" spans="1:24" s="2" customFormat="1" ht="18.75" x14ac:dyDescent="0.3">
      <c r="A82" s="162"/>
      <c r="B82" s="165"/>
      <c r="C82" s="54"/>
      <c r="D82" s="153" t="s">
        <v>40</v>
      </c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X82" s="3"/>
    </row>
    <row r="83" spans="1:24" s="2" customFormat="1" ht="49.5" x14ac:dyDescent="0.3">
      <c r="A83" s="13">
        <v>1</v>
      </c>
      <c r="B83" s="59" t="s">
        <v>71</v>
      </c>
      <c r="C83" s="79">
        <v>1</v>
      </c>
      <c r="D83" s="79">
        <v>1</v>
      </c>
      <c r="E83" s="26">
        <f>G83/C83</f>
        <v>120000</v>
      </c>
      <c r="F83" s="15">
        <f>D83*E83</f>
        <v>120000</v>
      </c>
      <c r="G83" s="15">
        <v>120000</v>
      </c>
      <c r="H83" s="79">
        <v>1</v>
      </c>
      <c r="I83" s="79">
        <v>1</v>
      </c>
      <c r="J83" s="29">
        <f>L83/H83</f>
        <v>120000</v>
      </c>
      <c r="K83" s="15">
        <f>I83*J83</f>
        <v>120000</v>
      </c>
      <c r="L83" s="15">
        <v>120000</v>
      </c>
      <c r="M83" s="79">
        <v>1</v>
      </c>
      <c r="N83" s="79">
        <v>1</v>
      </c>
      <c r="O83" s="29">
        <f>Q83/M83</f>
        <v>120000</v>
      </c>
      <c r="P83" s="15">
        <f>N83*O83</f>
        <v>120000</v>
      </c>
      <c r="Q83" s="15">
        <v>120000</v>
      </c>
      <c r="R83" s="16">
        <f>D83+I83+N83</f>
        <v>3</v>
      </c>
      <c r="S83" s="17">
        <f>F83+K83+P83</f>
        <v>360000</v>
      </c>
      <c r="X83" s="3"/>
    </row>
    <row r="84" spans="1:24" s="2" customFormat="1" ht="16.5" x14ac:dyDescent="0.3">
      <c r="A84" s="13">
        <v>2</v>
      </c>
      <c r="B84" s="18" t="s">
        <v>72</v>
      </c>
      <c r="C84" s="23">
        <v>8</v>
      </c>
      <c r="D84" s="23">
        <v>8</v>
      </c>
      <c r="E84" s="26">
        <f>G84/C84</f>
        <v>100000</v>
      </c>
      <c r="F84" s="15">
        <f t="shared" ref="F84:F116" si="31">D84*E84</f>
        <v>800000</v>
      </c>
      <c r="G84" s="19">
        <v>800000</v>
      </c>
      <c r="H84" s="23">
        <v>8</v>
      </c>
      <c r="I84" s="23">
        <v>8</v>
      </c>
      <c r="J84" s="29">
        <f t="shared" ref="J84:J116" si="32">L84/H84</f>
        <v>100000</v>
      </c>
      <c r="K84" s="15">
        <f t="shared" ref="K84:K116" si="33">I84*J84</f>
        <v>800000</v>
      </c>
      <c r="L84" s="19">
        <v>800000</v>
      </c>
      <c r="M84" s="23">
        <v>4</v>
      </c>
      <c r="N84" s="23">
        <v>4</v>
      </c>
      <c r="O84" s="29">
        <f t="shared" ref="O84:O116" si="34">Q84/M84</f>
        <v>100000</v>
      </c>
      <c r="P84" s="15">
        <f t="shared" ref="P84:P116" si="35">N84*O84</f>
        <v>400000</v>
      </c>
      <c r="Q84" s="19">
        <v>400000</v>
      </c>
      <c r="R84" s="16">
        <f t="shared" ref="R84:R116" si="36">D84+I84+N84</f>
        <v>20</v>
      </c>
      <c r="S84" s="17">
        <f t="shared" ref="S84:S116" si="37">F84+K84+P84</f>
        <v>2000000</v>
      </c>
      <c r="X84" s="3"/>
    </row>
    <row r="85" spans="1:24" s="2" customFormat="1" ht="33" x14ac:dyDescent="0.3">
      <c r="A85" s="13">
        <v>4</v>
      </c>
      <c r="B85" s="18" t="s">
        <v>73</v>
      </c>
      <c r="C85" s="23">
        <v>10</v>
      </c>
      <c r="D85" s="23">
        <v>10</v>
      </c>
      <c r="E85" s="26">
        <f t="shared" ref="E85:E116" si="38">G85/C85</f>
        <v>60000</v>
      </c>
      <c r="F85" s="15">
        <f t="shared" si="31"/>
        <v>600000</v>
      </c>
      <c r="G85" s="19">
        <v>600000</v>
      </c>
      <c r="H85" s="23">
        <v>10</v>
      </c>
      <c r="I85" s="23">
        <v>10</v>
      </c>
      <c r="J85" s="29">
        <f t="shared" si="32"/>
        <v>60000</v>
      </c>
      <c r="K85" s="15">
        <f t="shared" si="33"/>
        <v>600000</v>
      </c>
      <c r="L85" s="19">
        <v>600000</v>
      </c>
      <c r="M85" s="23">
        <v>8</v>
      </c>
      <c r="N85" s="23">
        <v>8</v>
      </c>
      <c r="O85" s="29">
        <f t="shared" si="34"/>
        <v>60000</v>
      </c>
      <c r="P85" s="15">
        <f t="shared" si="35"/>
        <v>480000</v>
      </c>
      <c r="Q85" s="19">
        <v>480000</v>
      </c>
      <c r="R85" s="16">
        <f t="shared" si="36"/>
        <v>28</v>
      </c>
      <c r="S85" s="17">
        <f t="shared" si="37"/>
        <v>1680000</v>
      </c>
      <c r="X85" s="3"/>
    </row>
    <row r="86" spans="1:24" s="2" customFormat="1" ht="33" x14ac:dyDescent="0.3">
      <c r="A86" s="13">
        <v>5</v>
      </c>
      <c r="B86" s="18" t="s">
        <v>74</v>
      </c>
      <c r="C86" s="23">
        <v>4</v>
      </c>
      <c r="D86" s="23">
        <v>4</v>
      </c>
      <c r="E86" s="26">
        <f t="shared" si="38"/>
        <v>180000</v>
      </c>
      <c r="F86" s="15">
        <f t="shared" si="31"/>
        <v>720000</v>
      </c>
      <c r="G86" s="19">
        <v>720000</v>
      </c>
      <c r="H86" s="23">
        <v>4</v>
      </c>
      <c r="I86" s="23">
        <v>4</v>
      </c>
      <c r="J86" s="29">
        <f t="shared" si="32"/>
        <v>180000</v>
      </c>
      <c r="K86" s="15">
        <f t="shared" si="33"/>
        <v>720000</v>
      </c>
      <c r="L86" s="19">
        <v>720000</v>
      </c>
      <c r="M86" s="23">
        <v>3</v>
      </c>
      <c r="N86" s="23">
        <v>3</v>
      </c>
      <c r="O86" s="29">
        <f t="shared" si="34"/>
        <v>180000</v>
      </c>
      <c r="P86" s="15">
        <f t="shared" si="35"/>
        <v>540000</v>
      </c>
      <c r="Q86" s="19">
        <v>540000</v>
      </c>
      <c r="R86" s="16">
        <f t="shared" si="36"/>
        <v>11</v>
      </c>
      <c r="S86" s="17">
        <f t="shared" si="37"/>
        <v>1980000</v>
      </c>
      <c r="X86" s="3"/>
    </row>
    <row r="87" spans="1:24" s="2" customFormat="1" ht="33" x14ac:dyDescent="0.3">
      <c r="A87" s="13">
        <v>6</v>
      </c>
      <c r="B87" s="18" t="s">
        <v>75</v>
      </c>
      <c r="C87" s="23">
        <v>1</v>
      </c>
      <c r="D87" s="23">
        <v>1</v>
      </c>
      <c r="E87" s="26">
        <f t="shared" si="38"/>
        <v>55000</v>
      </c>
      <c r="F87" s="15">
        <f t="shared" si="31"/>
        <v>55000</v>
      </c>
      <c r="G87" s="19">
        <v>55000</v>
      </c>
      <c r="H87" s="23">
        <v>2</v>
      </c>
      <c r="I87" s="23">
        <v>2</v>
      </c>
      <c r="J87" s="29">
        <f t="shared" si="32"/>
        <v>55000</v>
      </c>
      <c r="K87" s="15">
        <f t="shared" si="33"/>
        <v>110000</v>
      </c>
      <c r="L87" s="19">
        <v>110000</v>
      </c>
      <c r="M87" s="23">
        <v>1</v>
      </c>
      <c r="N87" s="23">
        <v>1</v>
      </c>
      <c r="O87" s="29">
        <f t="shared" si="34"/>
        <v>55000</v>
      </c>
      <c r="P87" s="15">
        <f t="shared" si="35"/>
        <v>55000</v>
      </c>
      <c r="Q87" s="19">
        <v>55000</v>
      </c>
      <c r="R87" s="16">
        <f t="shared" si="36"/>
        <v>4</v>
      </c>
      <c r="S87" s="17">
        <f t="shared" si="37"/>
        <v>220000</v>
      </c>
      <c r="X87" s="3"/>
    </row>
    <row r="88" spans="1:24" s="2" customFormat="1" ht="33" x14ac:dyDescent="0.3">
      <c r="A88" s="13">
        <v>7</v>
      </c>
      <c r="B88" s="18" t="s">
        <v>76</v>
      </c>
      <c r="C88" s="23">
        <v>1</v>
      </c>
      <c r="D88" s="23">
        <v>1</v>
      </c>
      <c r="E88" s="26">
        <f t="shared" si="38"/>
        <v>50000</v>
      </c>
      <c r="F88" s="15">
        <f t="shared" si="31"/>
        <v>50000</v>
      </c>
      <c r="G88" s="19">
        <v>50000</v>
      </c>
      <c r="H88" s="23">
        <v>1</v>
      </c>
      <c r="I88" s="23">
        <v>1</v>
      </c>
      <c r="J88" s="29">
        <f t="shared" si="32"/>
        <v>50000</v>
      </c>
      <c r="K88" s="15">
        <f t="shared" si="33"/>
        <v>50000</v>
      </c>
      <c r="L88" s="19">
        <v>50000</v>
      </c>
      <c r="M88" s="23">
        <v>1</v>
      </c>
      <c r="N88" s="23">
        <v>1</v>
      </c>
      <c r="O88" s="29">
        <f t="shared" si="34"/>
        <v>50000</v>
      </c>
      <c r="P88" s="15">
        <f t="shared" si="35"/>
        <v>50000</v>
      </c>
      <c r="Q88" s="19">
        <v>50000</v>
      </c>
      <c r="R88" s="16">
        <f t="shared" si="36"/>
        <v>3</v>
      </c>
      <c r="S88" s="17">
        <f t="shared" si="37"/>
        <v>150000</v>
      </c>
      <c r="X88" s="3"/>
    </row>
    <row r="89" spans="1:24" s="2" customFormat="1" ht="16.5" x14ac:dyDescent="0.3">
      <c r="A89" s="13">
        <v>8</v>
      </c>
      <c r="B89" s="18" t="s">
        <v>17</v>
      </c>
      <c r="C89" s="23">
        <v>1</v>
      </c>
      <c r="D89" s="23">
        <v>1</v>
      </c>
      <c r="E89" s="26">
        <f t="shared" si="38"/>
        <v>40000</v>
      </c>
      <c r="F89" s="15">
        <f t="shared" si="31"/>
        <v>40000</v>
      </c>
      <c r="G89" s="19">
        <v>40000</v>
      </c>
      <c r="H89" s="23">
        <v>1</v>
      </c>
      <c r="I89" s="23">
        <v>1</v>
      </c>
      <c r="J89" s="29">
        <f t="shared" si="32"/>
        <v>40000</v>
      </c>
      <c r="K89" s="15">
        <f t="shared" si="33"/>
        <v>40000</v>
      </c>
      <c r="L89" s="19">
        <v>40000</v>
      </c>
      <c r="M89" s="13"/>
      <c r="N89" s="13"/>
      <c r="O89" s="29"/>
      <c r="P89" s="15"/>
      <c r="Q89" s="19"/>
      <c r="R89" s="16">
        <f t="shared" si="36"/>
        <v>2</v>
      </c>
      <c r="S89" s="17">
        <f t="shared" si="37"/>
        <v>80000</v>
      </c>
      <c r="X89" s="3"/>
    </row>
    <row r="90" spans="1:24" s="2" customFormat="1" ht="33" x14ac:dyDescent="0.3">
      <c r="A90" s="13">
        <v>9</v>
      </c>
      <c r="B90" s="18" t="s">
        <v>77</v>
      </c>
      <c r="C90" s="23">
        <v>1</v>
      </c>
      <c r="D90" s="23">
        <v>1</v>
      </c>
      <c r="E90" s="26">
        <f t="shared" si="38"/>
        <v>250000</v>
      </c>
      <c r="F90" s="15">
        <f t="shared" si="31"/>
        <v>250000</v>
      </c>
      <c r="G90" s="19">
        <v>250000</v>
      </c>
      <c r="H90" s="23">
        <v>1</v>
      </c>
      <c r="I90" s="23">
        <v>1</v>
      </c>
      <c r="J90" s="29">
        <f t="shared" si="32"/>
        <v>250000</v>
      </c>
      <c r="K90" s="15">
        <f t="shared" si="33"/>
        <v>250000</v>
      </c>
      <c r="L90" s="19">
        <v>250000</v>
      </c>
      <c r="M90" s="23">
        <v>1</v>
      </c>
      <c r="N90" s="23">
        <v>1</v>
      </c>
      <c r="O90" s="29">
        <f t="shared" si="34"/>
        <v>250000</v>
      </c>
      <c r="P90" s="15">
        <f t="shared" si="35"/>
        <v>250000</v>
      </c>
      <c r="Q90" s="19">
        <v>250000</v>
      </c>
      <c r="R90" s="16">
        <f t="shared" si="36"/>
        <v>3</v>
      </c>
      <c r="S90" s="17">
        <f t="shared" si="37"/>
        <v>750000</v>
      </c>
      <c r="X90" s="3"/>
    </row>
    <row r="91" spans="1:24" s="2" customFormat="1" ht="49.5" x14ac:dyDescent="0.3">
      <c r="A91" s="13">
        <v>10</v>
      </c>
      <c r="B91" s="18" t="s">
        <v>78</v>
      </c>
      <c r="C91" s="23">
        <v>1</v>
      </c>
      <c r="D91" s="23">
        <v>1</v>
      </c>
      <c r="E91" s="26">
        <f t="shared" si="38"/>
        <v>150000</v>
      </c>
      <c r="F91" s="15">
        <f t="shared" si="31"/>
        <v>150000</v>
      </c>
      <c r="G91" s="19">
        <v>150000</v>
      </c>
      <c r="H91" s="23">
        <v>1</v>
      </c>
      <c r="I91" s="23">
        <v>1</v>
      </c>
      <c r="J91" s="29">
        <f t="shared" si="32"/>
        <v>150000</v>
      </c>
      <c r="K91" s="15">
        <f t="shared" si="33"/>
        <v>150000</v>
      </c>
      <c r="L91" s="19">
        <v>150000</v>
      </c>
      <c r="M91" s="13"/>
      <c r="N91" s="13"/>
      <c r="O91" s="29"/>
      <c r="P91" s="15"/>
      <c r="Q91" s="19"/>
      <c r="R91" s="16">
        <f t="shared" si="36"/>
        <v>2</v>
      </c>
      <c r="S91" s="17">
        <f t="shared" si="37"/>
        <v>300000</v>
      </c>
      <c r="X91" s="3"/>
    </row>
    <row r="92" spans="1:24" s="2" customFormat="1" ht="33" x14ac:dyDescent="0.3">
      <c r="A92" s="13">
        <v>11</v>
      </c>
      <c r="B92" s="18" t="s">
        <v>79</v>
      </c>
      <c r="C92" s="23">
        <v>1</v>
      </c>
      <c r="D92" s="23">
        <v>1</v>
      </c>
      <c r="E92" s="26">
        <f t="shared" si="38"/>
        <v>120000</v>
      </c>
      <c r="F92" s="15">
        <f t="shared" si="31"/>
        <v>120000</v>
      </c>
      <c r="G92" s="19">
        <v>120000</v>
      </c>
      <c r="H92" s="23">
        <v>1</v>
      </c>
      <c r="I92" s="23">
        <v>1</v>
      </c>
      <c r="J92" s="29">
        <f t="shared" si="32"/>
        <v>120000</v>
      </c>
      <c r="K92" s="15">
        <f t="shared" si="33"/>
        <v>120000</v>
      </c>
      <c r="L92" s="19">
        <v>120000</v>
      </c>
      <c r="M92" s="23">
        <v>1</v>
      </c>
      <c r="N92" s="23">
        <v>1</v>
      </c>
      <c r="O92" s="29">
        <f t="shared" si="34"/>
        <v>120000</v>
      </c>
      <c r="P92" s="15">
        <f t="shared" si="35"/>
        <v>120000</v>
      </c>
      <c r="Q92" s="19">
        <v>120000</v>
      </c>
      <c r="R92" s="16">
        <f t="shared" si="36"/>
        <v>3</v>
      </c>
      <c r="S92" s="17">
        <f t="shared" si="37"/>
        <v>360000</v>
      </c>
      <c r="X92" s="3"/>
    </row>
    <row r="93" spans="1:24" s="2" customFormat="1" ht="16.5" x14ac:dyDescent="0.3">
      <c r="A93" s="13">
        <v>12</v>
      </c>
      <c r="B93" s="18" t="s">
        <v>80</v>
      </c>
      <c r="C93" s="23">
        <v>8</v>
      </c>
      <c r="D93" s="23">
        <v>8</v>
      </c>
      <c r="E93" s="26">
        <f t="shared" si="38"/>
        <v>85000</v>
      </c>
      <c r="F93" s="15">
        <f t="shared" si="31"/>
        <v>680000</v>
      </c>
      <c r="G93" s="19">
        <v>680000</v>
      </c>
      <c r="H93" s="23">
        <v>8</v>
      </c>
      <c r="I93" s="23">
        <v>8</v>
      </c>
      <c r="J93" s="29">
        <f t="shared" si="32"/>
        <v>85000</v>
      </c>
      <c r="K93" s="15">
        <f t="shared" si="33"/>
        <v>680000</v>
      </c>
      <c r="L93" s="19">
        <v>680000</v>
      </c>
      <c r="M93" s="23">
        <v>3</v>
      </c>
      <c r="N93" s="23">
        <v>3</v>
      </c>
      <c r="O93" s="29">
        <f t="shared" si="34"/>
        <v>85000</v>
      </c>
      <c r="P93" s="15">
        <f t="shared" si="35"/>
        <v>255000</v>
      </c>
      <c r="Q93" s="19">
        <v>255000</v>
      </c>
      <c r="R93" s="16">
        <f t="shared" si="36"/>
        <v>19</v>
      </c>
      <c r="S93" s="17">
        <f t="shared" si="37"/>
        <v>1615000</v>
      </c>
      <c r="X93" s="3"/>
    </row>
    <row r="94" spans="1:24" s="2" customFormat="1" ht="16.5" x14ac:dyDescent="0.3">
      <c r="A94" s="13">
        <v>15</v>
      </c>
      <c r="B94" s="18" t="s">
        <v>81</v>
      </c>
      <c r="C94" s="23">
        <v>1</v>
      </c>
      <c r="D94" s="23">
        <v>1</v>
      </c>
      <c r="E94" s="26">
        <f t="shared" si="38"/>
        <v>150000</v>
      </c>
      <c r="F94" s="15">
        <f t="shared" si="31"/>
        <v>150000</v>
      </c>
      <c r="G94" s="19">
        <v>150000</v>
      </c>
      <c r="H94" s="23">
        <v>1</v>
      </c>
      <c r="I94" s="23">
        <v>1</v>
      </c>
      <c r="J94" s="29">
        <f t="shared" si="32"/>
        <v>150000</v>
      </c>
      <c r="K94" s="15">
        <f t="shared" si="33"/>
        <v>150000</v>
      </c>
      <c r="L94" s="19">
        <v>150000</v>
      </c>
      <c r="M94" s="13"/>
      <c r="N94" s="13"/>
      <c r="O94" s="29"/>
      <c r="P94" s="15"/>
      <c r="Q94" s="19"/>
      <c r="R94" s="16">
        <f t="shared" si="36"/>
        <v>2</v>
      </c>
      <c r="S94" s="17">
        <f t="shared" si="37"/>
        <v>300000</v>
      </c>
      <c r="X94" s="3"/>
    </row>
    <row r="95" spans="1:24" s="2" customFormat="1" ht="33" x14ac:dyDescent="0.3">
      <c r="A95" s="13">
        <v>16</v>
      </c>
      <c r="B95" s="18" t="s">
        <v>82</v>
      </c>
      <c r="C95" s="23">
        <v>17.600000000000001</v>
      </c>
      <c r="D95" s="23">
        <v>17.600000000000001</v>
      </c>
      <c r="E95" s="26">
        <f t="shared" si="38"/>
        <v>99999.999999999985</v>
      </c>
      <c r="F95" s="15">
        <f t="shared" si="31"/>
        <v>1760000</v>
      </c>
      <c r="G95" s="19">
        <v>1760000</v>
      </c>
      <c r="H95" s="23">
        <v>29.4</v>
      </c>
      <c r="I95" s="23">
        <f>29.4-0.5</f>
        <v>28.9</v>
      </c>
      <c r="J95" s="29">
        <f t="shared" si="32"/>
        <v>100000</v>
      </c>
      <c r="K95" s="15">
        <f t="shared" si="33"/>
        <v>2890000</v>
      </c>
      <c r="L95" s="19">
        <v>2940000</v>
      </c>
      <c r="M95" s="23">
        <v>3.4</v>
      </c>
      <c r="N95" s="23">
        <f>M95+0.5</f>
        <v>3.9</v>
      </c>
      <c r="O95" s="29">
        <f t="shared" si="34"/>
        <v>100000</v>
      </c>
      <c r="P95" s="15">
        <f t="shared" si="35"/>
        <v>390000</v>
      </c>
      <c r="Q95" s="19">
        <v>340000</v>
      </c>
      <c r="R95" s="16">
        <f t="shared" si="36"/>
        <v>50.4</v>
      </c>
      <c r="S95" s="17">
        <f t="shared" si="37"/>
        <v>5040000</v>
      </c>
      <c r="X95" s="3"/>
    </row>
    <row r="96" spans="1:24" s="2" customFormat="1" ht="33" x14ac:dyDescent="0.3">
      <c r="A96" s="13">
        <v>18</v>
      </c>
      <c r="B96" s="18" t="s">
        <v>83</v>
      </c>
      <c r="C96" s="23">
        <v>1</v>
      </c>
      <c r="D96" s="23">
        <v>1</v>
      </c>
      <c r="E96" s="26">
        <f t="shared" si="38"/>
        <v>150000</v>
      </c>
      <c r="F96" s="15">
        <f t="shared" si="31"/>
        <v>150000</v>
      </c>
      <c r="G96" s="19">
        <v>150000</v>
      </c>
      <c r="H96" s="23">
        <v>1</v>
      </c>
      <c r="I96" s="23">
        <v>1</v>
      </c>
      <c r="J96" s="29">
        <f t="shared" si="32"/>
        <v>150000</v>
      </c>
      <c r="K96" s="15">
        <f t="shared" si="33"/>
        <v>150000</v>
      </c>
      <c r="L96" s="19">
        <v>150000</v>
      </c>
      <c r="M96" s="23">
        <v>1</v>
      </c>
      <c r="N96" s="23">
        <v>1</v>
      </c>
      <c r="O96" s="29">
        <f t="shared" si="34"/>
        <v>150000</v>
      </c>
      <c r="P96" s="15">
        <f t="shared" si="35"/>
        <v>150000</v>
      </c>
      <c r="Q96" s="19">
        <v>150000</v>
      </c>
      <c r="R96" s="16">
        <f t="shared" si="36"/>
        <v>3</v>
      </c>
      <c r="S96" s="17">
        <f t="shared" si="37"/>
        <v>450000</v>
      </c>
      <c r="X96" s="3"/>
    </row>
    <row r="97" spans="1:24" s="2" customFormat="1" ht="16.5" x14ac:dyDescent="0.3">
      <c r="A97" s="13">
        <v>19</v>
      </c>
      <c r="B97" s="18" t="s">
        <v>84</v>
      </c>
      <c r="C97" s="23">
        <v>1</v>
      </c>
      <c r="D97" s="23">
        <v>1</v>
      </c>
      <c r="E97" s="26">
        <f t="shared" si="38"/>
        <v>100000</v>
      </c>
      <c r="F97" s="15">
        <f t="shared" si="31"/>
        <v>100000</v>
      </c>
      <c r="G97" s="19">
        <v>100000</v>
      </c>
      <c r="H97" s="23">
        <v>1</v>
      </c>
      <c r="I97" s="23">
        <v>1</v>
      </c>
      <c r="J97" s="29">
        <f t="shared" si="32"/>
        <v>100000</v>
      </c>
      <c r="K97" s="15">
        <f t="shared" si="33"/>
        <v>100000</v>
      </c>
      <c r="L97" s="19">
        <v>100000</v>
      </c>
      <c r="M97" s="61"/>
      <c r="N97" s="61"/>
      <c r="O97" s="29"/>
      <c r="P97" s="15"/>
      <c r="Q97" s="62"/>
      <c r="R97" s="16">
        <f t="shared" si="36"/>
        <v>2</v>
      </c>
      <c r="S97" s="17">
        <f t="shared" si="37"/>
        <v>200000</v>
      </c>
      <c r="X97" s="3"/>
    </row>
    <row r="98" spans="1:24" s="2" customFormat="1" ht="16.5" x14ac:dyDescent="0.3">
      <c r="A98" s="13">
        <v>20</v>
      </c>
      <c r="B98" s="18" t="s">
        <v>85</v>
      </c>
      <c r="C98" s="23">
        <v>1</v>
      </c>
      <c r="D98" s="23">
        <v>1</v>
      </c>
      <c r="E98" s="26">
        <f t="shared" si="38"/>
        <v>150000</v>
      </c>
      <c r="F98" s="15">
        <f t="shared" si="31"/>
        <v>150000</v>
      </c>
      <c r="G98" s="19">
        <v>150000</v>
      </c>
      <c r="H98" s="23">
        <v>1</v>
      </c>
      <c r="I98" s="23">
        <v>1</v>
      </c>
      <c r="J98" s="29">
        <f t="shared" si="32"/>
        <v>150000</v>
      </c>
      <c r="K98" s="15">
        <f t="shared" si="33"/>
        <v>150000</v>
      </c>
      <c r="L98" s="19">
        <v>150000</v>
      </c>
      <c r="M98" s="13"/>
      <c r="N98" s="13"/>
      <c r="O98" s="29"/>
      <c r="P98" s="15"/>
      <c r="Q98" s="19"/>
      <c r="R98" s="16">
        <f t="shared" si="36"/>
        <v>2</v>
      </c>
      <c r="S98" s="17">
        <f t="shared" si="37"/>
        <v>300000</v>
      </c>
      <c r="X98" s="3"/>
    </row>
    <row r="99" spans="1:24" s="2" customFormat="1" ht="16.5" x14ac:dyDescent="0.3">
      <c r="A99" s="13">
        <v>22</v>
      </c>
      <c r="B99" s="18" t="s">
        <v>86</v>
      </c>
      <c r="C99" s="23">
        <v>1</v>
      </c>
      <c r="D99" s="23">
        <v>1</v>
      </c>
      <c r="E99" s="26">
        <f t="shared" si="38"/>
        <v>30000</v>
      </c>
      <c r="F99" s="15">
        <f t="shared" si="31"/>
        <v>30000</v>
      </c>
      <c r="G99" s="19">
        <v>30000</v>
      </c>
      <c r="H99" s="23">
        <v>1</v>
      </c>
      <c r="I99" s="23">
        <v>1</v>
      </c>
      <c r="J99" s="29">
        <f t="shared" si="32"/>
        <v>30000</v>
      </c>
      <c r="K99" s="15">
        <f t="shared" si="33"/>
        <v>30000</v>
      </c>
      <c r="L99" s="19">
        <v>30000</v>
      </c>
      <c r="M99" s="13"/>
      <c r="N99" s="13"/>
      <c r="O99" s="29"/>
      <c r="P99" s="15"/>
      <c r="Q99" s="19"/>
      <c r="R99" s="16">
        <f t="shared" si="36"/>
        <v>2</v>
      </c>
      <c r="S99" s="17">
        <f t="shared" si="37"/>
        <v>60000</v>
      </c>
      <c r="X99" s="3"/>
    </row>
    <row r="100" spans="1:24" s="2" customFormat="1" ht="49.5" x14ac:dyDescent="0.3">
      <c r="A100" s="13">
        <v>23</v>
      </c>
      <c r="B100" s="18" t="s">
        <v>87</v>
      </c>
      <c r="C100" s="23">
        <v>1</v>
      </c>
      <c r="D100" s="23">
        <v>1</v>
      </c>
      <c r="E100" s="26">
        <f t="shared" si="38"/>
        <v>150000</v>
      </c>
      <c r="F100" s="15">
        <f t="shared" si="31"/>
        <v>150000</v>
      </c>
      <c r="G100" s="19">
        <v>150000</v>
      </c>
      <c r="H100" s="23">
        <v>1</v>
      </c>
      <c r="I100" s="23">
        <v>1</v>
      </c>
      <c r="J100" s="29">
        <f t="shared" si="32"/>
        <v>150000</v>
      </c>
      <c r="K100" s="15">
        <f t="shared" si="33"/>
        <v>150000</v>
      </c>
      <c r="L100" s="19">
        <v>150000</v>
      </c>
      <c r="M100" s="13"/>
      <c r="N100" s="13"/>
      <c r="O100" s="29"/>
      <c r="P100" s="15"/>
      <c r="Q100" s="19"/>
      <c r="R100" s="16">
        <f t="shared" si="36"/>
        <v>2</v>
      </c>
      <c r="S100" s="17">
        <f t="shared" si="37"/>
        <v>300000</v>
      </c>
      <c r="X100" s="3"/>
    </row>
    <row r="101" spans="1:24" s="2" customFormat="1" ht="66" x14ac:dyDescent="0.3">
      <c r="A101" s="13">
        <v>24</v>
      </c>
      <c r="B101" s="18" t="s">
        <v>22</v>
      </c>
      <c r="C101" s="23">
        <v>250</v>
      </c>
      <c r="D101" s="23">
        <f>250-104</f>
        <v>146</v>
      </c>
      <c r="E101" s="26">
        <f t="shared" si="38"/>
        <v>2000</v>
      </c>
      <c r="F101" s="15">
        <f t="shared" si="31"/>
        <v>292000</v>
      </c>
      <c r="G101" s="19">
        <v>500000</v>
      </c>
      <c r="H101" s="23">
        <v>470</v>
      </c>
      <c r="I101" s="23">
        <f>470-173</f>
        <v>297</v>
      </c>
      <c r="J101" s="29">
        <f t="shared" si="32"/>
        <v>2000</v>
      </c>
      <c r="K101" s="15">
        <f t="shared" si="33"/>
        <v>594000</v>
      </c>
      <c r="L101" s="19">
        <v>940000</v>
      </c>
      <c r="M101" s="23">
        <v>77</v>
      </c>
      <c r="N101" s="23">
        <f>77-27</f>
        <v>50</v>
      </c>
      <c r="O101" s="29">
        <f t="shared" si="34"/>
        <v>2000</v>
      </c>
      <c r="P101" s="15">
        <f t="shared" si="35"/>
        <v>100000</v>
      </c>
      <c r="Q101" s="19">
        <v>154000</v>
      </c>
      <c r="R101" s="16">
        <f t="shared" si="36"/>
        <v>493</v>
      </c>
      <c r="S101" s="17">
        <f t="shared" si="37"/>
        <v>986000</v>
      </c>
      <c r="X101" s="3"/>
    </row>
    <row r="102" spans="1:24" s="2" customFormat="1" ht="49.5" x14ac:dyDescent="0.3">
      <c r="A102" s="13">
        <v>26</v>
      </c>
      <c r="B102" s="18" t="s">
        <v>88</v>
      </c>
      <c r="C102" s="23">
        <v>1</v>
      </c>
      <c r="D102" s="23">
        <v>1</v>
      </c>
      <c r="E102" s="26">
        <f t="shared" si="38"/>
        <v>40000</v>
      </c>
      <c r="F102" s="15">
        <f t="shared" si="31"/>
        <v>40000</v>
      </c>
      <c r="G102" s="19">
        <v>40000</v>
      </c>
      <c r="H102" s="23">
        <v>1</v>
      </c>
      <c r="I102" s="23">
        <v>1</v>
      </c>
      <c r="J102" s="29">
        <f t="shared" si="32"/>
        <v>40000</v>
      </c>
      <c r="K102" s="15">
        <f t="shared" si="33"/>
        <v>40000</v>
      </c>
      <c r="L102" s="19">
        <v>40000</v>
      </c>
      <c r="M102" s="23">
        <v>1</v>
      </c>
      <c r="N102" s="23">
        <v>1</v>
      </c>
      <c r="O102" s="29">
        <f t="shared" si="34"/>
        <v>40000</v>
      </c>
      <c r="P102" s="15">
        <f t="shared" si="35"/>
        <v>40000</v>
      </c>
      <c r="Q102" s="19">
        <v>40000</v>
      </c>
      <c r="R102" s="16">
        <f t="shared" si="36"/>
        <v>3</v>
      </c>
      <c r="S102" s="17">
        <f t="shared" si="37"/>
        <v>120000</v>
      </c>
      <c r="X102" s="3"/>
    </row>
    <row r="103" spans="1:24" s="2" customFormat="1" ht="33" x14ac:dyDescent="0.3">
      <c r="A103" s="13">
        <v>28</v>
      </c>
      <c r="B103" s="18" t="s">
        <v>89</v>
      </c>
      <c r="C103" s="23">
        <v>4</v>
      </c>
      <c r="D103" s="23">
        <v>4</v>
      </c>
      <c r="E103" s="26">
        <f t="shared" si="38"/>
        <v>100000</v>
      </c>
      <c r="F103" s="15">
        <f t="shared" si="31"/>
        <v>400000</v>
      </c>
      <c r="G103" s="19">
        <v>400000</v>
      </c>
      <c r="H103" s="23">
        <v>4</v>
      </c>
      <c r="I103" s="23">
        <v>4</v>
      </c>
      <c r="J103" s="29">
        <f t="shared" si="32"/>
        <v>100000</v>
      </c>
      <c r="K103" s="15">
        <f t="shared" si="33"/>
        <v>400000</v>
      </c>
      <c r="L103" s="19">
        <v>400000</v>
      </c>
      <c r="M103" s="23">
        <v>4</v>
      </c>
      <c r="N103" s="23">
        <v>4</v>
      </c>
      <c r="O103" s="29">
        <f t="shared" si="34"/>
        <v>100000</v>
      </c>
      <c r="P103" s="15">
        <f t="shared" si="35"/>
        <v>400000</v>
      </c>
      <c r="Q103" s="19">
        <v>400000</v>
      </c>
      <c r="R103" s="16">
        <f t="shared" si="36"/>
        <v>12</v>
      </c>
      <c r="S103" s="17">
        <f t="shared" si="37"/>
        <v>1200000</v>
      </c>
      <c r="X103" s="3"/>
    </row>
    <row r="104" spans="1:24" s="2" customFormat="1" ht="33" x14ac:dyDescent="0.3">
      <c r="A104" s="13">
        <v>30</v>
      </c>
      <c r="B104" s="18" t="s">
        <v>26</v>
      </c>
      <c r="C104" s="23">
        <v>10</v>
      </c>
      <c r="D104" s="23">
        <v>10</v>
      </c>
      <c r="E104" s="26">
        <f t="shared" si="38"/>
        <v>30000</v>
      </c>
      <c r="F104" s="15">
        <f t="shared" si="31"/>
        <v>300000</v>
      </c>
      <c r="G104" s="19">
        <v>300000</v>
      </c>
      <c r="H104" s="23">
        <v>10</v>
      </c>
      <c r="I104" s="23">
        <v>10</v>
      </c>
      <c r="J104" s="29">
        <f t="shared" si="32"/>
        <v>30000</v>
      </c>
      <c r="K104" s="15">
        <f t="shared" si="33"/>
        <v>300000</v>
      </c>
      <c r="L104" s="19">
        <v>300000</v>
      </c>
      <c r="M104" s="23">
        <v>3</v>
      </c>
      <c r="N104" s="23">
        <v>3</v>
      </c>
      <c r="O104" s="29">
        <f t="shared" si="34"/>
        <v>30000</v>
      </c>
      <c r="P104" s="15">
        <f t="shared" si="35"/>
        <v>90000</v>
      </c>
      <c r="Q104" s="19">
        <v>90000</v>
      </c>
      <c r="R104" s="16">
        <f t="shared" si="36"/>
        <v>23</v>
      </c>
      <c r="S104" s="17">
        <f t="shared" si="37"/>
        <v>690000</v>
      </c>
      <c r="X104" s="3"/>
    </row>
    <row r="105" spans="1:24" s="2" customFormat="1" ht="16.5" x14ac:dyDescent="0.3">
      <c r="A105" s="13">
        <v>31</v>
      </c>
      <c r="B105" s="18" t="s">
        <v>90</v>
      </c>
      <c r="C105" s="23">
        <v>5</v>
      </c>
      <c r="D105" s="23">
        <v>5</v>
      </c>
      <c r="E105" s="26">
        <f t="shared" si="38"/>
        <v>70000</v>
      </c>
      <c r="F105" s="15">
        <f t="shared" si="31"/>
        <v>350000</v>
      </c>
      <c r="G105" s="19">
        <v>350000</v>
      </c>
      <c r="H105" s="23">
        <v>5.8</v>
      </c>
      <c r="I105" s="23">
        <v>5.8</v>
      </c>
      <c r="J105" s="29">
        <f t="shared" si="32"/>
        <v>70000</v>
      </c>
      <c r="K105" s="15">
        <f t="shared" si="33"/>
        <v>406000</v>
      </c>
      <c r="L105" s="19">
        <v>406000</v>
      </c>
      <c r="M105" s="23">
        <v>4.5999999999999996</v>
      </c>
      <c r="N105" s="23">
        <v>4.5999999999999996</v>
      </c>
      <c r="O105" s="29">
        <f t="shared" si="34"/>
        <v>70000</v>
      </c>
      <c r="P105" s="15">
        <f t="shared" si="35"/>
        <v>322000</v>
      </c>
      <c r="Q105" s="19">
        <v>322000</v>
      </c>
      <c r="R105" s="16">
        <f t="shared" si="36"/>
        <v>15.4</v>
      </c>
      <c r="S105" s="17">
        <f t="shared" si="37"/>
        <v>1078000</v>
      </c>
      <c r="X105" s="3"/>
    </row>
    <row r="106" spans="1:24" s="2" customFormat="1" ht="33" x14ac:dyDescent="0.3">
      <c r="A106" s="13">
        <v>33</v>
      </c>
      <c r="B106" s="18" t="s">
        <v>28</v>
      </c>
      <c r="C106" s="23">
        <v>73.75</v>
      </c>
      <c r="D106" s="23">
        <v>73.75</v>
      </c>
      <c r="E106" s="26">
        <f t="shared" si="38"/>
        <v>10000</v>
      </c>
      <c r="F106" s="15">
        <f t="shared" si="31"/>
        <v>737500</v>
      </c>
      <c r="G106" s="19">
        <v>737500</v>
      </c>
      <c r="H106" s="23">
        <v>76.25</v>
      </c>
      <c r="I106" s="23">
        <v>76.25</v>
      </c>
      <c r="J106" s="29">
        <f t="shared" si="32"/>
        <v>10000</v>
      </c>
      <c r="K106" s="15">
        <f t="shared" si="33"/>
        <v>762500</v>
      </c>
      <c r="L106" s="19">
        <v>762500</v>
      </c>
      <c r="M106" s="23">
        <v>30.3</v>
      </c>
      <c r="N106" s="23">
        <f>30.3-4.1</f>
        <v>26.200000000000003</v>
      </c>
      <c r="O106" s="29">
        <f t="shared" si="34"/>
        <v>10000</v>
      </c>
      <c r="P106" s="15">
        <f t="shared" si="35"/>
        <v>262000.00000000003</v>
      </c>
      <c r="Q106" s="19">
        <v>303000</v>
      </c>
      <c r="R106" s="16">
        <f t="shared" si="36"/>
        <v>176.2</v>
      </c>
      <c r="S106" s="17">
        <f t="shared" si="37"/>
        <v>1762000</v>
      </c>
      <c r="X106" s="3"/>
    </row>
    <row r="107" spans="1:24" s="2" customFormat="1" ht="33" x14ac:dyDescent="0.3">
      <c r="A107" s="13">
        <v>35</v>
      </c>
      <c r="B107" s="18" t="s">
        <v>30</v>
      </c>
      <c r="C107" s="23">
        <v>1</v>
      </c>
      <c r="D107" s="23">
        <v>1</v>
      </c>
      <c r="E107" s="26">
        <f t="shared" si="38"/>
        <v>100000</v>
      </c>
      <c r="F107" s="15">
        <f t="shared" si="31"/>
        <v>100000</v>
      </c>
      <c r="G107" s="19">
        <v>100000</v>
      </c>
      <c r="H107" s="23">
        <v>1</v>
      </c>
      <c r="I107" s="23">
        <v>1</v>
      </c>
      <c r="J107" s="29">
        <f t="shared" si="32"/>
        <v>100000</v>
      </c>
      <c r="K107" s="15">
        <f t="shared" si="33"/>
        <v>100000</v>
      </c>
      <c r="L107" s="19">
        <v>100000</v>
      </c>
      <c r="M107" s="23">
        <v>1</v>
      </c>
      <c r="N107" s="23">
        <v>1</v>
      </c>
      <c r="O107" s="29">
        <f t="shared" si="34"/>
        <v>100000</v>
      </c>
      <c r="P107" s="15">
        <f t="shared" si="35"/>
        <v>100000</v>
      </c>
      <c r="Q107" s="19">
        <v>100000</v>
      </c>
      <c r="R107" s="16">
        <f t="shared" si="36"/>
        <v>3</v>
      </c>
      <c r="S107" s="17">
        <f t="shared" si="37"/>
        <v>300000</v>
      </c>
      <c r="X107" s="3"/>
    </row>
    <row r="108" spans="1:24" s="2" customFormat="1" ht="33" x14ac:dyDescent="0.3">
      <c r="A108" s="13">
        <v>40</v>
      </c>
      <c r="B108" s="18" t="s">
        <v>91</v>
      </c>
      <c r="C108" s="23">
        <v>1</v>
      </c>
      <c r="D108" s="23">
        <v>1</v>
      </c>
      <c r="E108" s="26">
        <f t="shared" si="38"/>
        <v>300000</v>
      </c>
      <c r="F108" s="15">
        <f t="shared" si="31"/>
        <v>300000</v>
      </c>
      <c r="G108" s="19">
        <v>300000</v>
      </c>
      <c r="H108" s="23">
        <v>1</v>
      </c>
      <c r="I108" s="23">
        <v>1</v>
      </c>
      <c r="J108" s="29">
        <f t="shared" si="32"/>
        <v>250000</v>
      </c>
      <c r="K108" s="15">
        <f t="shared" si="33"/>
        <v>250000</v>
      </c>
      <c r="L108" s="19">
        <v>250000</v>
      </c>
      <c r="M108" s="13"/>
      <c r="N108" s="13"/>
      <c r="O108" s="29"/>
      <c r="P108" s="15"/>
      <c r="Q108" s="19"/>
      <c r="R108" s="16">
        <f t="shared" si="36"/>
        <v>2</v>
      </c>
      <c r="S108" s="17">
        <f t="shared" si="37"/>
        <v>550000</v>
      </c>
      <c r="X108" s="3"/>
    </row>
    <row r="109" spans="1:24" s="2" customFormat="1" ht="33" x14ac:dyDescent="0.3">
      <c r="A109" s="13">
        <v>41</v>
      </c>
      <c r="B109" s="18" t="s">
        <v>92</v>
      </c>
      <c r="C109" s="23">
        <v>1</v>
      </c>
      <c r="D109" s="23">
        <v>1</v>
      </c>
      <c r="E109" s="26">
        <f t="shared" si="38"/>
        <v>700000</v>
      </c>
      <c r="F109" s="15">
        <f t="shared" si="31"/>
        <v>700000</v>
      </c>
      <c r="G109" s="19">
        <v>700000</v>
      </c>
      <c r="H109" s="23">
        <v>1</v>
      </c>
      <c r="I109" s="23">
        <v>1</v>
      </c>
      <c r="J109" s="29">
        <f t="shared" si="32"/>
        <v>700000</v>
      </c>
      <c r="K109" s="15">
        <f t="shared" si="33"/>
        <v>700000</v>
      </c>
      <c r="L109" s="19">
        <v>700000</v>
      </c>
      <c r="M109" s="23">
        <v>1</v>
      </c>
      <c r="N109" s="23">
        <v>1</v>
      </c>
      <c r="O109" s="29">
        <f t="shared" si="34"/>
        <v>550000</v>
      </c>
      <c r="P109" s="15">
        <f t="shared" si="35"/>
        <v>550000</v>
      </c>
      <c r="Q109" s="19">
        <v>550000</v>
      </c>
      <c r="R109" s="16">
        <f t="shared" si="36"/>
        <v>3</v>
      </c>
      <c r="S109" s="17">
        <f t="shared" si="37"/>
        <v>1950000</v>
      </c>
      <c r="X109" s="3"/>
    </row>
    <row r="110" spans="1:24" s="2" customFormat="1" ht="33" x14ac:dyDescent="0.3">
      <c r="A110" s="13">
        <v>42</v>
      </c>
      <c r="B110" s="64" t="s">
        <v>115</v>
      </c>
      <c r="C110" s="23">
        <v>10.8</v>
      </c>
      <c r="D110" s="23">
        <v>10.8</v>
      </c>
      <c r="E110" s="26">
        <f t="shared" si="38"/>
        <v>40000</v>
      </c>
      <c r="F110" s="15">
        <f t="shared" si="31"/>
        <v>432000</v>
      </c>
      <c r="G110" s="19">
        <v>432000</v>
      </c>
      <c r="H110" s="23">
        <v>7.2</v>
      </c>
      <c r="I110" s="23">
        <v>7.2</v>
      </c>
      <c r="J110" s="29">
        <f t="shared" si="32"/>
        <v>40000</v>
      </c>
      <c r="K110" s="15">
        <f t="shared" si="33"/>
        <v>288000</v>
      </c>
      <c r="L110" s="19">
        <v>288000</v>
      </c>
      <c r="M110" s="23">
        <v>6</v>
      </c>
      <c r="N110" s="23">
        <v>6</v>
      </c>
      <c r="O110" s="29">
        <f t="shared" si="34"/>
        <v>40000</v>
      </c>
      <c r="P110" s="15">
        <f t="shared" si="35"/>
        <v>240000</v>
      </c>
      <c r="Q110" s="19">
        <v>240000</v>
      </c>
      <c r="R110" s="16">
        <f t="shared" si="36"/>
        <v>24</v>
      </c>
      <c r="S110" s="17">
        <f t="shared" si="37"/>
        <v>960000</v>
      </c>
      <c r="X110" s="3"/>
    </row>
    <row r="111" spans="1:24" s="2" customFormat="1" ht="33" x14ac:dyDescent="0.3">
      <c r="A111" s="13">
        <v>43</v>
      </c>
      <c r="B111" s="18" t="s">
        <v>95</v>
      </c>
      <c r="C111" s="23">
        <v>1</v>
      </c>
      <c r="D111" s="23">
        <v>1</v>
      </c>
      <c r="E111" s="26">
        <f t="shared" si="38"/>
        <v>60000</v>
      </c>
      <c r="F111" s="15">
        <f t="shared" si="31"/>
        <v>60000</v>
      </c>
      <c r="G111" s="19">
        <v>60000</v>
      </c>
      <c r="H111" s="23">
        <v>1</v>
      </c>
      <c r="I111" s="23">
        <v>1</v>
      </c>
      <c r="J111" s="29">
        <f t="shared" si="32"/>
        <v>60000</v>
      </c>
      <c r="K111" s="15">
        <f t="shared" si="33"/>
        <v>60000</v>
      </c>
      <c r="L111" s="19">
        <v>60000</v>
      </c>
      <c r="M111" s="13"/>
      <c r="N111" s="13"/>
      <c r="O111" s="29"/>
      <c r="P111" s="15"/>
      <c r="Q111" s="19"/>
      <c r="R111" s="16">
        <f t="shared" si="36"/>
        <v>2</v>
      </c>
      <c r="S111" s="17">
        <f t="shared" si="37"/>
        <v>120000</v>
      </c>
      <c r="X111" s="3"/>
    </row>
    <row r="112" spans="1:24" s="2" customFormat="1" ht="33" x14ac:dyDescent="0.3">
      <c r="A112" s="13">
        <v>44</v>
      </c>
      <c r="B112" s="64" t="s">
        <v>116</v>
      </c>
      <c r="C112" s="64"/>
      <c r="D112" s="64"/>
      <c r="E112" s="26"/>
      <c r="F112" s="15">
        <f t="shared" si="31"/>
        <v>0</v>
      </c>
      <c r="G112" s="19"/>
      <c r="H112" s="23"/>
      <c r="I112" s="23"/>
      <c r="J112" s="29"/>
      <c r="K112" s="15">
        <f t="shared" si="33"/>
        <v>0</v>
      </c>
      <c r="L112" s="19"/>
      <c r="M112" s="23">
        <v>1</v>
      </c>
      <c r="N112" s="23">
        <v>1</v>
      </c>
      <c r="O112" s="29">
        <f t="shared" si="34"/>
        <v>150000</v>
      </c>
      <c r="P112" s="15">
        <f t="shared" si="35"/>
        <v>150000</v>
      </c>
      <c r="Q112" s="19">
        <v>150000</v>
      </c>
      <c r="R112" s="16">
        <f t="shared" si="36"/>
        <v>1</v>
      </c>
      <c r="S112" s="17">
        <f t="shared" si="37"/>
        <v>150000</v>
      </c>
      <c r="X112" s="3"/>
    </row>
    <row r="113" spans="1:24" s="2" customFormat="1" ht="33" x14ac:dyDescent="0.3">
      <c r="A113" s="13">
        <v>45</v>
      </c>
      <c r="B113" s="18" t="s">
        <v>96</v>
      </c>
      <c r="C113" s="23">
        <v>26.7</v>
      </c>
      <c r="D113" s="23">
        <v>26.7</v>
      </c>
      <c r="E113" s="26">
        <f t="shared" si="38"/>
        <v>40000</v>
      </c>
      <c r="F113" s="15">
        <f t="shared" si="31"/>
        <v>1068000</v>
      </c>
      <c r="G113" s="19">
        <v>1068000</v>
      </c>
      <c r="H113" s="23">
        <v>17.100000000000001</v>
      </c>
      <c r="I113" s="23">
        <v>17.100000000000001</v>
      </c>
      <c r="J113" s="29">
        <f t="shared" si="32"/>
        <v>40000</v>
      </c>
      <c r="K113" s="15">
        <f t="shared" si="33"/>
        <v>684000</v>
      </c>
      <c r="L113" s="19">
        <v>684000</v>
      </c>
      <c r="M113" s="20"/>
      <c r="N113" s="20"/>
      <c r="O113" s="29"/>
      <c r="P113" s="15"/>
      <c r="Q113" s="19"/>
      <c r="R113" s="16">
        <f t="shared" si="36"/>
        <v>43.8</v>
      </c>
      <c r="S113" s="17">
        <f t="shared" si="37"/>
        <v>1752000</v>
      </c>
      <c r="X113" s="3"/>
    </row>
    <row r="114" spans="1:24" s="2" customFormat="1" ht="33" x14ac:dyDescent="0.3">
      <c r="A114" s="13">
        <v>46</v>
      </c>
      <c r="B114" s="18" t="s">
        <v>97</v>
      </c>
      <c r="C114" s="23">
        <v>4.0199999999999996</v>
      </c>
      <c r="D114" s="23">
        <v>4.0199999999999996</v>
      </c>
      <c r="E114" s="26">
        <f t="shared" si="38"/>
        <v>40000.000000000007</v>
      </c>
      <c r="F114" s="15">
        <f t="shared" si="31"/>
        <v>160800</v>
      </c>
      <c r="G114" s="19">
        <v>160800</v>
      </c>
      <c r="H114" s="23">
        <v>2</v>
      </c>
      <c r="I114" s="23">
        <v>2</v>
      </c>
      <c r="J114" s="29">
        <f t="shared" si="32"/>
        <v>40000</v>
      </c>
      <c r="K114" s="15">
        <f t="shared" si="33"/>
        <v>80000</v>
      </c>
      <c r="L114" s="19">
        <v>80000</v>
      </c>
      <c r="M114" s="20"/>
      <c r="N114" s="20"/>
      <c r="O114" s="29"/>
      <c r="P114" s="15"/>
      <c r="Q114" s="19"/>
      <c r="R114" s="16">
        <f t="shared" si="36"/>
        <v>6.02</v>
      </c>
      <c r="S114" s="17">
        <f t="shared" si="37"/>
        <v>240800</v>
      </c>
      <c r="X114" s="3"/>
    </row>
    <row r="115" spans="1:24" s="2" customFormat="1" ht="33" x14ac:dyDescent="0.3">
      <c r="A115" s="13">
        <v>47</v>
      </c>
      <c r="B115" s="18" t="s">
        <v>98</v>
      </c>
      <c r="C115" s="23">
        <v>3</v>
      </c>
      <c r="D115" s="23">
        <v>3</v>
      </c>
      <c r="E115" s="26">
        <f t="shared" si="38"/>
        <v>40000</v>
      </c>
      <c r="F115" s="15">
        <f t="shared" si="31"/>
        <v>120000</v>
      </c>
      <c r="G115" s="19">
        <v>120000</v>
      </c>
      <c r="H115" s="23">
        <v>3</v>
      </c>
      <c r="I115" s="23">
        <v>3</v>
      </c>
      <c r="J115" s="29">
        <f t="shared" si="32"/>
        <v>40000</v>
      </c>
      <c r="K115" s="15">
        <f t="shared" si="33"/>
        <v>120000</v>
      </c>
      <c r="L115" s="19">
        <v>120000</v>
      </c>
      <c r="M115" s="13"/>
      <c r="N115" s="13"/>
      <c r="O115" s="29"/>
      <c r="P115" s="15"/>
      <c r="Q115" s="19"/>
      <c r="R115" s="16">
        <f t="shared" si="36"/>
        <v>6</v>
      </c>
      <c r="S115" s="17">
        <f t="shared" si="37"/>
        <v>240000</v>
      </c>
      <c r="X115" s="3"/>
    </row>
    <row r="116" spans="1:24" s="2" customFormat="1" ht="16.5" x14ac:dyDescent="0.3">
      <c r="A116" s="13">
        <v>48</v>
      </c>
      <c r="B116" s="18" t="s">
        <v>99</v>
      </c>
      <c r="C116" s="23">
        <v>1</v>
      </c>
      <c r="D116" s="23">
        <v>1</v>
      </c>
      <c r="E116" s="26">
        <f t="shared" si="38"/>
        <v>80000</v>
      </c>
      <c r="F116" s="15">
        <f t="shared" si="31"/>
        <v>80000</v>
      </c>
      <c r="G116" s="19">
        <v>80000</v>
      </c>
      <c r="H116" s="23">
        <v>1</v>
      </c>
      <c r="I116" s="23">
        <v>1</v>
      </c>
      <c r="J116" s="29">
        <f t="shared" si="32"/>
        <v>80000</v>
      </c>
      <c r="K116" s="15">
        <f t="shared" si="33"/>
        <v>80000</v>
      </c>
      <c r="L116" s="19">
        <v>80000</v>
      </c>
      <c r="M116" s="23">
        <v>1</v>
      </c>
      <c r="N116" s="23">
        <v>1</v>
      </c>
      <c r="O116" s="29">
        <f t="shared" si="34"/>
        <v>80000</v>
      </c>
      <c r="P116" s="15">
        <f t="shared" si="35"/>
        <v>80000</v>
      </c>
      <c r="Q116" s="19">
        <v>80000</v>
      </c>
      <c r="R116" s="16">
        <f t="shared" si="36"/>
        <v>3</v>
      </c>
      <c r="S116" s="17">
        <f t="shared" si="37"/>
        <v>240000</v>
      </c>
      <c r="X116" s="3"/>
    </row>
    <row r="117" spans="1:24" s="2" customFormat="1" ht="16.5" x14ac:dyDescent="0.3">
      <c r="A117" s="24"/>
      <c r="B117" s="25" t="s">
        <v>11</v>
      </c>
      <c r="C117" s="17"/>
      <c r="D117" s="17"/>
      <c r="E117" s="17"/>
      <c r="F117" s="17">
        <f>SUM(F83:F116)</f>
        <v>11215300</v>
      </c>
      <c r="G117" s="17">
        <f>SUM(G83:G116)</f>
        <v>11423300</v>
      </c>
      <c r="H117" s="17"/>
      <c r="I117" s="17"/>
      <c r="J117" s="17"/>
      <c r="K117" s="52">
        <f>SUM(K83:K116)</f>
        <v>12124500</v>
      </c>
      <c r="L117" s="17">
        <f>SUM(L83:L116)</f>
        <v>12520500</v>
      </c>
      <c r="M117" s="17"/>
      <c r="N117" s="17"/>
      <c r="O117" s="17"/>
      <c r="P117" s="17">
        <f>SUM(P83:P116)</f>
        <v>5144000</v>
      </c>
      <c r="Q117" s="17">
        <f>SUM(Q83:Q116)</f>
        <v>5189000</v>
      </c>
      <c r="R117" s="17"/>
      <c r="S117" s="17">
        <f>SUM(S83:S116)</f>
        <v>28483800</v>
      </c>
      <c r="X117" s="3"/>
    </row>
    <row r="118" spans="1:24" s="2" customFormat="1" ht="18.75" x14ac:dyDescent="0.3">
      <c r="A118" s="179"/>
      <c r="B118" s="180"/>
      <c r="C118" s="66"/>
      <c r="D118" s="176" t="s">
        <v>101</v>
      </c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8"/>
      <c r="X118" s="3"/>
    </row>
    <row r="119" spans="1:24" s="2" customFormat="1" ht="33" x14ac:dyDescent="0.3">
      <c r="A119" s="13">
        <v>1</v>
      </c>
      <c r="B119" s="18" t="s">
        <v>102</v>
      </c>
      <c r="C119" s="13">
        <v>3</v>
      </c>
      <c r="D119" s="13">
        <v>3</v>
      </c>
      <c r="E119" s="67">
        <f>G119/C119</f>
        <v>324999.99666666664</v>
      </c>
      <c r="F119" s="19">
        <f>D119*E119</f>
        <v>974999.99</v>
      </c>
      <c r="G119" s="19">
        <v>974999.99</v>
      </c>
      <c r="H119" s="23">
        <v>2</v>
      </c>
      <c r="I119" s="23">
        <v>2</v>
      </c>
      <c r="J119" s="26">
        <f>L119/H119</f>
        <v>324999.995</v>
      </c>
      <c r="K119" s="15">
        <f>I119*J119</f>
        <v>649999.99</v>
      </c>
      <c r="L119" s="19">
        <v>649999.99</v>
      </c>
      <c r="M119" s="23">
        <v>2</v>
      </c>
      <c r="N119" s="23">
        <v>2</v>
      </c>
      <c r="O119" s="26">
        <f>Q119/M119</f>
        <v>324999.995</v>
      </c>
      <c r="P119" s="19">
        <f>N119*O119</f>
        <v>649999.99</v>
      </c>
      <c r="Q119" s="19">
        <v>649999.99</v>
      </c>
      <c r="R119" s="16">
        <f>D119+I119+N119</f>
        <v>7</v>
      </c>
      <c r="S119" s="17">
        <f>F119+K119+P119</f>
        <v>2274999.9699999997</v>
      </c>
      <c r="X119" s="3"/>
    </row>
    <row r="120" spans="1:24" s="2" customFormat="1" ht="33" x14ac:dyDescent="0.3">
      <c r="A120" s="13">
        <v>2</v>
      </c>
      <c r="B120" s="18" t="s">
        <v>103</v>
      </c>
      <c r="C120" s="23">
        <v>3</v>
      </c>
      <c r="D120" s="23">
        <v>3</v>
      </c>
      <c r="E120" s="67">
        <f>G120/C120</f>
        <v>204999.99666666667</v>
      </c>
      <c r="F120" s="19">
        <f>D120*E120</f>
        <v>614999.99</v>
      </c>
      <c r="G120" s="19">
        <v>614999.99</v>
      </c>
      <c r="H120" s="23">
        <v>3</v>
      </c>
      <c r="I120" s="23">
        <v>3</v>
      </c>
      <c r="J120" s="26">
        <f>L120/H120</f>
        <v>204999.99666666667</v>
      </c>
      <c r="K120" s="15">
        <f>I120*J120</f>
        <v>614999.99</v>
      </c>
      <c r="L120" s="19">
        <v>614999.99</v>
      </c>
      <c r="M120" s="23">
        <v>1</v>
      </c>
      <c r="N120" s="23">
        <v>1</v>
      </c>
      <c r="O120" s="26">
        <f>Q120/M120</f>
        <v>205000</v>
      </c>
      <c r="P120" s="19">
        <f>N120*O120</f>
        <v>205000</v>
      </c>
      <c r="Q120" s="19">
        <v>205000</v>
      </c>
      <c r="R120" s="16">
        <f>D120+I120+N120</f>
        <v>7</v>
      </c>
      <c r="S120" s="17">
        <f>F120+K120+P120</f>
        <v>1434999.98</v>
      </c>
      <c r="X120" s="3"/>
    </row>
    <row r="121" spans="1:24" s="2" customFormat="1" ht="16.5" x14ac:dyDescent="0.3">
      <c r="A121" s="27"/>
      <c r="B121" s="68" t="s">
        <v>11</v>
      </c>
      <c r="C121" s="55"/>
      <c r="D121" s="55"/>
      <c r="E121" s="55"/>
      <c r="F121" s="17">
        <f>SUM(F119:F120)</f>
        <v>1589999.98</v>
      </c>
      <c r="G121" s="17">
        <f>SUM(G119:G120)</f>
        <v>1589999.98</v>
      </c>
      <c r="H121" s="17"/>
      <c r="I121" s="17"/>
      <c r="J121" s="17"/>
      <c r="K121" s="17">
        <f>SUM(K119:K120)</f>
        <v>1264999.98</v>
      </c>
      <c r="L121" s="17">
        <f t="shared" ref="L121" si="39">SUM(L119:L120)</f>
        <v>1264999.98</v>
      </c>
      <c r="M121" s="17"/>
      <c r="N121" s="17"/>
      <c r="O121" s="17"/>
      <c r="P121" s="17">
        <f>SUM(P119:P120)</f>
        <v>854999.99</v>
      </c>
      <c r="Q121" s="17">
        <f t="shared" ref="Q121" si="40">SUM(Q119:Q120)</f>
        <v>854999.99</v>
      </c>
      <c r="R121" s="17"/>
      <c r="S121" s="17">
        <f>SUM(S119:S120)</f>
        <v>3709999.9499999997</v>
      </c>
      <c r="X121" s="3"/>
    </row>
    <row r="122" spans="1:24" s="2" customFormat="1" ht="18.75" x14ac:dyDescent="0.3">
      <c r="B122" s="69"/>
      <c r="C122" s="69"/>
      <c r="D122" s="167" t="s">
        <v>104</v>
      </c>
      <c r="E122" s="168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  <c r="R122" s="168"/>
      <c r="S122" s="169"/>
      <c r="X122" s="3"/>
    </row>
    <row r="123" spans="1:24" s="2" customFormat="1" ht="49.5" x14ac:dyDescent="0.3">
      <c r="A123" s="13">
        <v>1</v>
      </c>
      <c r="B123" s="64" t="s">
        <v>105</v>
      </c>
      <c r="C123" s="23">
        <v>1</v>
      </c>
      <c r="D123" s="23">
        <v>1</v>
      </c>
      <c r="E123" s="26">
        <f>G123/C123</f>
        <v>300000</v>
      </c>
      <c r="F123" s="19">
        <f>D123*E123</f>
        <v>300000</v>
      </c>
      <c r="G123" s="19">
        <v>300000</v>
      </c>
      <c r="H123" s="23">
        <v>1</v>
      </c>
      <c r="I123" s="23">
        <v>1</v>
      </c>
      <c r="J123" s="26">
        <f>L123/H123</f>
        <v>300000</v>
      </c>
      <c r="K123" s="19">
        <f>I123*J123</f>
        <v>300000</v>
      </c>
      <c r="L123" s="19">
        <v>300000</v>
      </c>
      <c r="M123" s="23">
        <v>1</v>
      </c>
      <c r="N123" s="23">
        <v>1</v>
      </c>
      <c r="O123" s="26">
        <f>Q123/M123</f>
        <v>300000</v>
      </c>
      <c r="P123" s="19">
        <f>N123*O123</f>
        <v>300000</v>
      </c>
      <c r="Q123" s="19">
        <v>300000</v>
      </c>
      <c r="R123" s="16">
        <f>D123+I123+N123</f>
        <v>3</v>
      </c>
      <c r="S123" s="17">
        <f>F123+K123+P123</f>
        <v>900000</v>
      </c>
      <c r="X123" s="3"/>
    </row>
    <row r="124" spans="1:24" s="2" customFormat="1" ht="49.5" x14ac:dyDescent="0.3">
      <c r="A124" s="13">
        <v>2</v>
      </c>
      <c r="B124" s="64" t="s">
        <v>106</v>
      </c>
      <c r="C124" s="23">
        <v>1</v>
      </c>
      <c r="D124" s="23">
        <v>1</v>
      </c>
      <c r="E124" s="26">
        <f t="shared" ref="E124:E126" si="41">G124/C124</f>
        <v>390000</v>
      </c>
      <c r="F124" s="19">
        <f t="shared" ref="F124:F126" si="42">D124*E124</f>
        <v>390000</v>
      </c>
      <c r="G124" s="19">
        <v>390000</v>
      </c>
      <c r="H124" s="23">
        <v>1</v>
      </c>
      <c r="I124" s="23">
        <v>1</v>
      </c>
      <c r="J124" s="26">
        <f t="shared" ref="J124:J126" si="43">L124/H124</f>
        <v>390000</v>
      </c>
      <c r="K124" s="19">
        <f t="shared" ref="K124:K126" si="44">I124*J124</f>
        <v>390000</v>
      </c>
      <c r="L124" s="19">
        <v>390000</v>
      </c>
      <c r="M124" s="23"/>
      <c r="N124" s="23"/>
      <c r="O124" s="26"/>
      <c r="P124" s="19"/>
      <c r="Q124" s="19"/>
      <c r="R124" s="16">
        <f>D124+H124+M124</f>
        <v>2</v>
      </c>
      <c r="S124" s="17">
        <f t="shared" ref="S124:S126" si="45">F124+K124+P124</f>
        <v>780000</v>
      </c>
      <c r="X124" s="3"/>
    </row>
    <row r="125" spans="1:24" s="2" customFormat="1" ht="49.5" x14ac:dyDescent="0.3">
      <c r="A125" s="13">
        <v>3</v>
      </c>
      <c r="B125" s="64" t="s">
        <v>107</v>
      </c>
      <c r="C125" s="23">
        <v>2</v>
      </c>
      <c r="D125" s="23">
        <v>2</v>
      </c>
      <c r="E125" s="26">
        <f t="shared" si="41"/>
        <v>440000.005</v>
      </c>
      <c r="F125" s="19">
        <f t="shared" si="42"/>
        <v>880000.01</v>
      </c>
      <c r="G125" s="19">
        <v>880000.01</v>
      </c>
      <c r="H125" s="27"/>
      <c r="I125" s="27"/>
      <c r="J125" s="26"/>
      <c r="K125" s="19"/>
      <c r="L125" s="27"/>
      <c r="M125" s="23">
        <v>2</v>
      </c>
      <c r="N125" s="23">
        <v>2</v>
      </c>
      <c r="O125" s="26">
        <f t="shared" ref="O125" si="46">Q125/M125</f>
        <v>440000.005</v>
      </c>
      <c r="P125" s="19">
        <f t="shared" ref="P125" si="47">N125*O125</f>
        <v>880000.01</v>
      </c>
      <c r="Q125" s="19">
        <v>880000.01</v>
      </c>
      <c r="R125" s="16">
        <f>D125+H125+M125</f>
        <v>4</v>
      </c>
      <c r="S125" s="17">
        <f t="shared" si="45"/>
        <v>1760000.02</v>
      </c>
      <c r="X125" s="3"/>
    </row>
    <row r="126" spans="1:24" s="2" customFormat="1" ht="66" x14ac:dyDescent="0.3">
      <c r="A126" s="13">
        <v>4</v>
      </c>
      <c r="B126" s="64" t="s">
        <v>108</v>
      </c>
      <c r="C126" s="23">
        <v>1</v>
      </c>
      <c r="D126" s="23">
        <v>1</v>
      </c>
      <c r="E126" s="26">
        <f t="shared" si="41"/>
        <v>710000</v>
      </c>
      <c r="F126" s="19">
        <f t="shared" si="42"/>
        <v>710000</v>
      </c>
      <c r="G126" s="19">
        <v>710000</v>
      </c>
      <c r="H126" s="23">
        <v>1</v>
      </c>
      <c r="I126" s="23">
        <v>1</v>
      </c>
      <c r="J126" s="26">
        <f t="shared" si="43"/>
        <v>710000</v>
      </c>
      <c r="K126" s="19">
        <f t="shared" si="44"/>
        <v>710000</v>
      </c>
      <c r="L126" s="19">
        <v>710000</v>
      </c>
      <c r="M126" s="23"/>
      <c r="N126" s="23"/>
      <c r="O126" s="26"/>
      <c r="P126" s="19"/>
      <c r="Q126" s="19"/>
      <c r="R126" s="16">
        <f>D126+H126+M126</f>
        <v>2</v>
      </c>
      <c r="S126" s="17">
        <f t="shared" si="45"/>
        <v>1420000</v>
      </c>
      <c r="X126" s="3"/>
    </row>
    <row r="127" spans="1:24" s="2" customFormat="1" ht="16.5" x14ac:dyDescent="0.3">
      <c r="B127" s="70" t="s">
        <v>11</v>
      </c>
      <c r="C127" s="55"/>
      <c r="D127" s="55"/>
      <c r="E127" s="55"/>
      <c r="F127" s="17">
        <f>SUM(F123:F126)</f>
        <v>2280000.0099999998</v>
      </c>
      <c r="G127" s="17">
        <f>SUM(G123:G126)</f>
        <v>2280000.0099999998</v>
      </c>
      <c r="H127" s="17"/>
      <c r="I127" s="17"/>
      <c r="J127" s="17"/>
      <c r="K127" s="17">
        <f>SUM(K123:K126)</f>
        <v>1400000</v>
      </c>
      <c r="L127" s="17">
        <f t="shared" ref="L127" si="48">SUM(L123:L126)</f>
        <v>1400000</v>
      </c>
      <c r="M127" s="17"/>
      <c r="N127" s="17"/>
      <c r="O127" s="17"/>
      <c r="P127" s="17">
        <f>SUM(P123:P126)</f>
        <v>1180000.01</v>
      </c>
      <c r="Q127" s="17">
        <f t="shared" ref="Q127" si="49">SUM(Q123:Q126)</f>
        <v>1180000.01</v>
      </c>
      <c r="R127" s="17"/>
      <c r="S127" s="17">
        <f t="shared" ref="S127" si="50">SUM(S123:S126)</f>
        <v>4860000.0199999996</v>
      </c>
      <c r="X127" s="3"/>
    </row>
    <row r="128" spans="1:24" s="2" customFormat="1" ht="18.75" x14ac:dyDescent="0.3">
      <c r="A128" s="174"/>
      <c r="B128" s="175"/>
      <c r="C128" s="71"/>
      <c r="D128" s="167" t="s">
        <v>109</v>
      </c>
      <c r="E128" s="168"/>
      <c r="F128" s="168"/>
      <c r="G128" s="168"/>
      <c r="H128" s="168"/>
      <c r="I128" s="168"/>
      <c r="J128" s="168"/>
      <c r="K128" s="168"/>
      <c r="L128" s="168"/>
      <c r="M128" s="168"/>
      <c r="N128" s="168"/>
      <c r="O128" s="168"/>
      <c r="P128" s="168"/>
      <c r="Q128" s="168"/>
      <c r="R128" s="168"/>
      <c r="S128" s="169"/>
      <c r="X128" s="3"/>
    </row>
    <row r="129" spans="1:24" s="2" customFormat="1" ht="16.5" x14ac:dyDescent="0.3">
      <c r="A129" s="13">
        <v>1</v>
      </c>
      <c r="B129" s="64" t="s">
        <v>110</v>
      </c>
      <c r="C129" s="23">
        <v>1</v>
      </c>
      <c r="D129" s="23">
        <v>1</v>
      </c>
      <c r="E129" s="26">
        <f>G129/C129</f>
        <v>178000</v>
      </c>
      <c r="F129" s="19">
        <f>D129*E129</f>
        <v>178000</v>
      </c>
      <c r="G129" s="19">
        <v>178000</v>
      </c>
      <c r="H129" s="23">
        <v>1</v>
      </c>
      <c r="I129" s="23">
        <v>1</v>
      </c>
      <c r="J129" s="26">
        <f>L129/H129</f>
        <v>178000</v>
      </c>
      <c r="K129" s="19">
        <f>I129*J129</f>
        <v>178000</v>
      </c>
      <c r="L129" s="19">
        <v>178000</v>
      </c>
      <c r="M129" s="23">
        <v>1</v>
      </c>
      <c r="N129" s="23">
        <v>1</v>
      </c>
      <c r="O129" s="26">
        <f>Q129/M129</f>
        <v>178000</v>
      </c>
      <c r="P129" s="19">
        <f>N129*O129</f>
        <v>178000</v>
      </c>
      <c r="Q129" s="19">
        <v>178000</v>
      </c>
      <c r="R129" s="30">
        <f>D129+I129+N129</f>
        <v>3</v>
      </c>
      <c r="S129" s="17">
        <f>F129+K129+P129</f>
        <v>534000</v>
      </c>
      <c r="X129" s="3"/>
    </row>
    <row r="130" spans="1:24" s="2" customFormat="1" ht="33" x14ac:dyDescent="0.3">
      <c r="A130" s="13">
        <v>2</v>
      </c>
      <c r="B130" s="64" t="s">
        <v>111</v>
      </c>
      <c r="C130" s="23">
        <v>1</v>
      </c>
      <c r="D130" s="23">
        <v>1</v>
      </c>
      <c r="E130" s="26">
        <f t="shared" ref="E130:E132" si="51">G130/C130</f>
        <v>165000</v>
      </c>
      <c r="F130" s="19">
        <f t="shared" ref="F130:F132" si="52">D130*E130</f>
        <v>165000</v>
      </c>
      <c r="G130" s="19">
        <v>165000</v>
      </c>
      <c r="H130" s="23">
        <v>1</v>
      </c>
      <c r="I130" s="23">
        <v>1</v>
      </c>
      <c r="J130" s="26">
        <f t="shared" ref="J130:J132" si="53">L130/H130</f>
        <v>165000</v>
      </c>
      <c r="K130" s="19">
        <f t="shared" ref="K130:K132" si="54">I130*J130</f>
        <v>165000</v>
      </c>
      <c r="L130" s="19">
        <v>165000</v>
      </c>
      <c r="M130" s="23">
        <v>1</v>
      </c>
      <c r="N130" s="23">
        <v>1</v>
      </c>
      <c r="O130" s="26">
        <f t="shared" ref="O130:O132" si="55">Q130/M130</f>
        <v>165000</v>
      </c>
      <c r="P130" s="19">
        <f t="shared" ref="P130:P132" si="56">N130*O130</f>
        <v>165000</v>
      </c>
      <c r="Q130" s="19">
        <v>165000</v>
      </c>
      <c r="R130" s="30">
        <f t="shared" ref="R130:R132" si="57">D130+I130+N130</f>
        <v>3</v>
      </c>
      <c r="S130" s="17">
        <f t="shared" ref="S130:S132" si="58">F130+K130+P130</f>
        <v>495000</v>
      </c>
      <c r="X130" s="3"/>
    </row>
    <row r="131" spans="1:24" s="2" customFormat="1" ht="33" x14ac:dyDescent="0.3">
      <c r="A131" s="13">
        <v>3</v>
      </c>
      <c r="B131" s="64" t="s">
        <v>112</v>
      </c>
      <c r="C131" s="23">
        <v>1</v>
      </c>
      <c r="D131" s="23">
        <v>1</v>
      </c>
      <c r="E131" s="26">
        <f t="shared" si="51"/>
        <v>90000</v>
      </c>
      <c r="F131" s="19">
        <f t="shared" si="52"/>
        <v>90000</v>
      </c>
      <c r="G131" s="19">
        <v>90000</v>
      </c>
      <c r="H131" s="23">
        <v>1</v>
      </c>
      <c r="I131" s="23">
        <v>1</v>
      </c>
      <c r="J131" s="26">
        <f t="shared" si="53"/>
        <v>90000</v>
      </c>
      <c r="K131" s="19">
        <f t="shared" si="54"/>
        <v>90000</v>
      </c>
      <c r="L131" s="19">
        <v>90000</v>
      </c>
      <c r="M131" s="23">
        <v>1</v>
      </c>
      <c r="N131" s="23">
        <v>1</v>
      </c>
      <c r="O131" s="26">
        <f t="shared" si="55"/>
        <v>90000</v>
      </c>
      <c r="P131" s="19">
        <f t="shared" si="56"/>
        <v>90000</v>
      </c>
      <c r="Q131" s="19">
        <v>90000</v>
      </c>
      <c r="R131" s="30">
        <f t="shared" si="57"/>
        <v>3</v>
      </c>
      <c r="S131" s="17">
        <f t="shared" si="58"/>
        <v>270000</v>
      </c>
      <c r="X131" s="3"/>
    </row>
    <row r="132" spans="1:24" s="2" customFormat="1" ht="33" x14ac:dyDescent="0.3">
      <c r="A132" s="13">
        <v>4</v>
      </c>
      <c r="B132" s="64" t="s">
        <v>113</v>
      </c>
      <c r="C132" s="23">
        <v>1</v>
      </c>
      <c r="D132" s="23">
        <v>1</v>
      </c>
      <c r="E132" s="26">
        <f t="shared" si="51"/>
        <v>95000</v>
      </c>
      <c r="F132" s="19">
        <f t="shared" si="52"/>
        <v>95000</v>
      </c>
      <c r="G132" s="19">
        <v>95000</v>
      </c>
      <c r="H132" s="23">
        <v>1</v>
      </c>
      <c r="I132" s="23">
        <v>1</v>
      </c>
      <c r="J132" s="26">
        <f t="shared" si="53"/>
        <v>95000</v>
      </c>
      <c r="K132" s="19">
        <f t="shared" si="54"/>
        <v>95000</v>
      </c>
      <c r="L132" s="19">
        <v>95000</v>
      </c>
      <c r="M132" s="23">
        <v>1</v>
      </c>
      <c r="N132" s="23">
        <v>1</v>
      </c>
      <c r="O132" s="26">
        <f t="shared" si="55"/>
        <v>95000</v>
      </c>
      <c r="P132" s="19">
        <f t="shared" si="56"/>
        <v>95000</v>
      </c>
      <c r="Q132" s="19">
        <v>95000</v>
      </c>
      <c r="R132" s="30">
        <f t="shared" si="57"/>
        <v>3</v>
      </c>
      <c r="S132" s="17">
        <f t="shared" si="58"/>
        <v>285000</v>
      </c>
      <c r="X132" s="3"/>
    </row>
    <row r="133" spans="1:24" s="2" customFormat="1" ht="16.5" x14ac:dyDescent="0.3">
      <c r="A133" s="72"/>
      <c r="B133" s="68" t="s">
        <v>11</v>
      </c>
      <c r="C133" s="55"/>
      <c r="D133" s="55"/>
      <c r="E133" s="55"/>
      <c r="F133" s="17">
        <f>SUM(F129:F132)</f>
        <v>528000</v>
      </c>
      <c r="G133" s="17">
        <f>SUM(G129:G132)</f>
        <v>528000</v>
      </c>
      <c r="H133" s="17"/>
      <c r="I133" s="17"/>
      <c r="J133" s="17"/>
      <c r="K133" s="17">
        <f>SUM(K129:K132)</f>
        <v>528000</v>
      </c>
      <c r="L133" s="17">
        <f t="shared" ref="L133" si="59">SUM(L129:L132)</f>
        <v>528000</v>
      </c>
      <c r="M133" s="17"/>
      <c r="N133" s="17"/>
      <c r="O133" s="17"/>
      <c r="P133" s="17">
        <f>SUM(P129:P132)</f>
        <v>528000</v>
      </c>
      <c r="Q133" s="17">
        <f t="shared" ref="Q133" si="60">SUM(Q129:Q132)</f>
        <v>528000</v>
      </c>
      <c r="R133" s="17"/>
      <c r="S133" s="17">
        <f t="shared" ref="S133" si="61">SUM(S129:S132)</f>
        <v>1584000</v>
      </c>
      <c r="X133" s="3"/>
    </row>
    <row r="134" spans="1:24" s="2" customFormat="1" ht="17.25" x14ac:dyDescent="0.3">
      <c r="A134" s="73"/>
      <c r="B134" s="74" t="s">
        <v>114</v>
      </c>
      <c r="C134" s="75"/>
      <c r="D134" s="75"/>
      <c r="E134" s="75"/>
      <c r="F134" s="76">
        <f>F117+F121+F127+F133</f>
        <v>15613299.99</v>
      </c>
      <c r="G134" s="76">
        <f>G117+G121+G127+G133</f>
        <v>15821299.99</v>
      </c>
      <c r="H134" s="76"/>
      <c r="I134" s="76"/>
      <c r="J134" s="76"/>
      <c r="K134" s="76">
        <f t="shared" ref="K134:L134" si="62">K117+K121+K127+K133</f>
        <v>15317499.98</v>
      </c>
      <c r="L134" s="76">
        <f t="shared" si="62"/>
        <v>15713499.98</v>
      </c>
      <c r="M134" s="76"/>
      <c r="N134" s="76"/>
      <c r="O134" s="76"/>
      <c r="P134" s="76">
        <f t="shared" ref="P134:S134" si="63">P117+P121+P127+P133</f>
        <v>7707000</v>
      </c>
      <c r="Q134" s="76">
        <f t="shared" si="63"/>
        <v>7752000</v>
      </c>
      <c r="R134" s="76"/>
      <c r="S134" s="76">
        <f t="shared" si="63"/>
        <v>38637799.969999999</v>
      </c>
      <c r="X134" s="3"/>
    </row>
    <row r="135" spans="1:24" s="2" customFormat="1" ht="16.5" x14ac:dyDescent="0.3">
      <c r="A135" s="1"/>
      <c r="S135" s="3"/>
      <c r="X135" s="3"/>
    </row>
    <row r="136" spans="1:24" s="2" customFormat="1" ht="16.5" x14ac:dyDescent="0.3">
      <c r="A136" s="1"/>
      <c r="X136" s="3"/>
    </row>
    <row r="137" spans="1:24" s="2" customFormat="1" ht="20.25" x14ac:dyDescent="0.3">
      <c r="A137" s="1"/>
      <c r="R137" s="157" t="s">
        <v>41</v>
      </c>
      <c r="S137" s="157"/>
      <c r="X137" s="3"/>
    </row>
    <row r="138" spans="1:24" s="2" customFormat="1" ht="23.25" customHeight="1" x14ac:dyDescent="0.3">
      <c r="A138" s="158" t="s">
        <v>42</v>
      </c>
      <c r="B138" s="158"/>
      <c r="C138" s="158"/>
      <c r="D138" s="158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  <c r="S138" s="158"/>
      <c r="X138" s="3"/>
    </row>
    <row r="139" spans="1:24" s="2" customFormat="1" ht="16.5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X139" s="3"/>
    </row>
    <row r="140" spans="1:24" s="2" customFormat="1" ht="16.5" x14ac:dyDescent="0.3">
      <c r="A140" s="1"/>
      <c r="M140" s="159" t="s">
        <v>5</v>
      </c>
      <c r="N140" s="159"/>
      <c r="O140" s="159"/>
      <c r="P140" s="159"/>
      <c r="Q140" s="159"/>
      <c r="X140" s="3"/>
    </row>
    <row r="141" spans="1:24" s="2" customFormat="1" ht="16.5" x14ac:dyDescent="0.3">
      <c r="A141" s="160" t="s">
        <v>6</v>
      </c>
      <c r="B141" s="163" t="s">
        <v>7</v>
      </c>
      <c r="C141" s="9"/>
      <c r="D141" s="152" t="s">
        <v>43</v>
      </c>
      <c r="E141" s="152"/>
      <c r="F141" s="152"/>
      <c r="G141" s="152"/>
      <c r="H141" s="152" t="s">
        <v>44</v>
      </c>
      <c r="I141" s="152"/>
      <c r="J141" s="152"/>
      <c r="K141" s="152"/>
      <c r="L141" s="152"/>
      <c r="M141" s="152" t="s">
        <v>11</v>
      </c>
      <c r="N141" s="152"/>
      <c r="O141" s="152"/>
      <c r="P141" s="152"/>
      <c r="Q141" s="152"/>
      <c r="R141" s="166"/>
      <c r="S141" s="166"/>
      <c r="X141" s="3"/>
    </row>
    <row r="142" spans="1:24" s="2" customFormat="1" ht="16.5" x14ac:dyDescent="0.3">
      <c r="A142" s="161"/>
      <c r="B142" s="164"/>
      <c r="C142" s="10" t="s">
        <v>12</v>
      </c>
      <c r="D142" s="10" t="s">
        <v>12</v>
      </c>
      <c r="E142" s="10"/>
      <c r="F142" s="55" t="s">
        <v>14</v>
      </c>
      <c r="G142" s="55" t="s">
        <v>14</v>
      </c>
      <c r="H142" s="10" t="s">
        <v>12</v>
      </c>
      <c r="I142" s="10" t="s">
        <v>12</v>
      </c>
      <c r="J142" s="10"/>
      <c r="K142" s="55" t="s">
        <v>14</v>
      </c>
      <c r="L142" s="55" t="s">
        <v>14</v>
      </c>
      <c r="M142" s="10" t="s">
        <v>12</v>
      </c>
      <c r="N142" s="10" t="s">
        <v>12</v>
      </c>
      <c r="O142" s="10"/>
      <c r="P142" s="55" t="s">
        <v>14</v>
      </c>
      <c r="Q142" s="55" t="s">
        <v>14</v>
      </c>
      <c r="R142" s="31"/>
      <c r="S142" s="56"/>
      <c r="X142" s="3"/>
    </row>
    <row r="143" spans="1:24" s="2" customFormat="1" ht="18.75" x14ac:dyDescent="0.3">
      <c r="A143" s="162"/>
      <c r="B143" s="165"/>
      <c r="C143" s="33"/>
      <c r="D143" s="153" t="s">
        <v>45</v>
      </c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34"/>
      <c r="S143" s="34"/>
      <c r="X143" s="3"/>
    </row>
    <row r="144" spans="1:24" s="2" customFormat="1" ht="49.5" x14ac:dyDescent="0.3">
      <c r="A144" s="13">
        <v>1</v>
      </c>
      <c r="B144" s="59" t="s">
        <v>71</v>
      </c>
      <c r="C144" s="79">
        <v>1</v>
      </c>
      <c r="D144" s="79">
        <v>1</v>
      </c>
      <c r="E144" s="29">
        <f>G144/C144</f>
        <v>144000</v>
      </c>
      <c r="F144" s="15">
        <f>D144*E144</f>
        <v>144000</v>
      </c>
      <c r="G144" s="15">
        <v>144000</v>
      </c>
      <c r="H144" s="79">
        <v>1</v>
      </c>
      <c r="I144" s="79">
        <v>1</v>
      </c>
      <c r="J144" s="29">
        <f>L144/H144</f>
        <v>144000</v>
      </c>
      <c r="K144" s="15">
        <f>I144*J144</f>
        <v>144000</v>
      </c>
      <c r="L144" s="15">
        <v>144000</v>
      </c>
      <c r="M144" s="30">
        <f t="shared" ref="M144:M187" si="64">D144+H144</f>
        <v>2</v>
      </c>
      <c r="N144" s="16">
        <f>D144+I144</f>
        <v>2</v>
      </c>
      <c r="O144" s="30"/>
      <c r="P144" s="17">
        <f>F144+K144</f>
        <v>288000</v>
      </c>
      <c r="Q144" s="17">
        <f t="shared" ref="Q144:Q187" si="65">G144+L144</f>
        <v>288000</v>
      </c>
      <c r="R144" s="35"/>
      <c r="S144" s="36"/>
      <c r="X144" s="3"/>
    </row>
    <row r="145" spans="1:24" s="2" customFormat="1" ht="16.5" x14ac:dyDescent="0.3">
      <c r="A145" s="13">
        <v>2</v>
      </c>
      <c r="B145" s="18" t="s">
        <v>72</v>
      </c>
      <c r="C145" s="23">
        <v>10</v>
      </c>
      <c r="D145" s="23">
        <v>10</v>
      </c>
      <c r="E145" s="29">
        <f t="shared" ref="E145:E187" si="66">G145/C145</f>
        <v>43200</v>
      </c>
      <c r="F145" s="15">
        <f t="shared" ref="F145:F187" si="67">D145*E145</f>
        <v>432000</v>
      </c>
      <c r="G145" s="19">
        <v>432000</v>
      </c>
      <c r="H145" s="23">
        <v>15</v>
      </c>
      <c r="I145" s="23">
        <v>15</v>
      </c>
      <c r="J145" s="29">
        <f t="shared" ref="J145:J187" si="68">L145/H145</f>
        <v>43200</v>
      </c>
      <c r="K145" s="15">
        <f t="shared" ref="K145:K187" si="69">I145*J145</f>
        <v>648000</v>
      </c>
      <c r="L145" s="19">
        <v>648000</v>
      </c>
      <c r="M145" s="30">
        <f t="shared" si="64"/>
        <v>25</v>
      </c>
      <c r="N145" s="16">
        <f t="shared" ref="N145:N187" si="70">D145+I145</f>
        <v>25</v>
      </c>
      <c r="O145" s="30"/>
      <c r="P145" s="17">
        <f t="shared" ref="P145:P188" si="71">F145+K145</f>
        <v>1080000</v>
      </c>
      <c r="Q145" s="17">
        <f t="shared" si="65"/>
        <v>1080000</v>
      </c>
      <c r="R145" s="35"/>
      <c r="S145" s="36"/>
      <c r="X145" s="3"/>
    </row>
    <row r="146" spans="1:24" s="2" customFormat="1" ht="33" x14ac:dyDescent="0.3">
      <c r="A146" s="13">
        <v>4</v>
      </c>
      <c r="B146" s="18" t="s">
        <v>73</v>
      </c>
      <c r="C146" s="23">
        <v>12</v>
      </c>
      <c r="D146" s="23">
        <v>12</v>
      </c>
      <c r="E146" s="29">
        <f t="shared" si="66"/>
        <v>102000</v>
      </c>
      <c r="F146" s="15">
        <f t="shared" si="67"/>
        <v>1224000</v>
      </c>
      <c r="G146" s="19">
        <v>1224000</v>
      </c>
      <c r="H146" s="23">
        <v>15</v>
      </c>
      <c r="I146" s="23">
        <v>15</v>
      </c>
      <c r="J146" s="29">
        <f t="shared" si="68"/>
        <v>102000</v>
      </c>
      <c r="K146" s="15">
        <f t="shared" si="69"/>
        <v>1530000</v>
      </c>
      <c r="L146" s="19">
        <v>1530000</v>
      </c>
      <c r="M146" s="30">
        <f t="shared" si="64"/>
        <v>27</v>
      </c>
      <c r="N146" s="16">
        <f t="shared" si="70"/>
        <v>27</v>
      </c>
      <c r="O146" s="30"/>
      <c r="P146" s="17">
        <f t="shared" si="71"/>
        <v>2754000</v>
      </c>
      <c r="Q146" s="17">
        <f t="shared" si="65"/>
        <v>2754000</v>
      </c>
      <c r="R146" s="35"/>
      <c r="S146" s="36"/>
      <c r="X146" s="3"/>
    </row>
    <row r="147" spans="1:24" s="2" customFormat="1" ht="33" x14ac:dyDescent="0.3">
      <c r="A147" s="13">
        <v>5</v>
      </c>
      <c r="B147" s="18" t="s">
        <v>74</v>
      </c>
      <c r="C147" s="23">
        <v>6</v>
      </c>
      <c r="D147" s="23">
        <v>6</v>
      </c>
      <c r="E147" s="29">
        <f t="shared" si="66"/>
        <v>180000</v>
      </c>
      <c r="F147" s="15">
        <f t="shared" si="67"/>
        <v>1080000</v>
      </c>
      <c r="G147" s="19">
        <v>1080000</v>
      </c>
      <c r="H147" s="23">
        <v>6</v>
      </c>
      <c r="I147" s="23">
        <v>6</v>
      </c>
      <c r="J147" s="29">
        <f t="shared" si="68"/>
        <v>180000</v>
      </c>
      <c r="K147" s="15">
        <f t="shared" si="69"/>
        <v>1080000</v>
      </c>
      <c r="L147" s="19">
        <v>1080000</v>
      </c>
      <c r="M147" s="30">
        <f t="shared" si="64"/>
        <v>12</v>
      </c>
      <c r="N147" s="16">
        <f t="shared" si="70"/>
        <v>12</v>
      </c>
      <c r="O147" s="30"/>
      <c r="P147" s="17">
        <f t="shared" si="71"/>
        <v>2160000</v>
      </c>
      <c r="Q147" s="17">
        <f t="shared" si="65"/>
        <v>2160000</v>
      </c>
      <c r="R147" s="35"/>
      <c r="S147" s="36"/>
      <c r="X147" s="3"/>
    </row>
    <row r="148" spans="1:24" s="2" customFormat="1" ht="33" x14ac:dyDescent="0.3">
      <c r="A148" s="13">
        <v>6</v>
      </c>
      <c r="B148" s="18" t="s">
        <v>75</v>
      </c>
      <c r="C148" s="23">
        <v>1</v>
      </c>
      <c r="D148" s="23">
        <v>1</v>
      </c>
      <c r="E148" s="29">
        <f t="shared" si="66"/>
        <v>79200</v>
      </c>
      <c r="F148" s="15">
        <f t="shared" si="67"/>
        <v>79200</v>
      </c>
      <c r="G148" s="19">
        <v>79200</v>
      </c>
      <c r="H148" s="23">
        <v>2</v>
      </c>
      <c r="I148" s="23">
        <v>2</v>
      </c>
      <c r="J148" s="29">
        <f t="shared" si="68"/>
        <v>79200</v>
      </c>
      <c r="K148" s="15">
        <f t="shared" si="69"/>
        <v>158400</v>
      </c>
      <c r="L148" s="19">
        <v>158400</v>
      </c>
      <c r="M148" s="30">
        <f t="shared" si="64"/>
        <v>3</v>
      </c>
      <c r="N148" s="16">
        <f t="shared" si="70"/>
        <v>3</v>
      </c>
      <c r="O148" s="30"/>
      <c r="P148" s="17">
        <f t="shared" si="71"/>
        <v>237600</v>
      </c>
      <c r="Q148" s="17">
        <f t="shared" si="65"/>
        <v>237600</v>
      </c>
      <c r="R148" s="35"/>
      <c r="S148" s="36"/>
      <c r="X148" s="3"/>
    </row>
    <row r="149" spans="1:24" s="2" customFormat="1" ht="33" x14ac:dyDescent="0.3">
      <c r="A149" s="13">
        <v>7</v>
      </c>
      <c r="B149" s="18" t="s">
        <v>76</v>
      </c>
      <c r="C149" s="23">
        <v>1</v>
      </c>
      <c r="D149" s="23">
        <v>1</v>
      </c>
      <c r="E149" s="29">
        <f t="shared" si="66"/>
        <v>98400</v>
      </c>
      <c r="F149" s="15">
        <f t="shared" si="67"/>
        <v>98400</v>
      </c>
      <c r="G149" s="19">
        <v>98400</v>
      </c>
      <c r="H149" s="23">
        <v>1</v>
      </c>
      <c r="I149" s="23">
        <v>1</v>
      </c>
      <c r="J149" s="29">
        <f t="shared" si="68"/>
        <v>98400</v>
      </c>
      <c r="K149" s="15">
        <f t="shared" si="69"/>
        <v>98400</v>
      </c>
      <c r="L149" s="19">
        <v>98400</v>
      </c>
      <c r="M149" s="30">
        <f t="shared" si="64"/>
        <v>2</v>
      </c>
      <c r="N149" s="16">
        <f t="shared" si="70"/>
        <v>2</v>
      </c>
      <c r="O149" s="30"/>
      <c r="P149" s="17">
        <f t="shared" si="71"/>
        <v>196800</v>
      </c>
      <c r="Q149" s="17">
        <f t="shared" si="65"/>
        <v>196800</v>
      </c>
      <c r="R149" s="35"/>
      <c r="S149" s="36"/>
      <c r="X149" s="3"/>
    </row>
    <row r="150" spans="1:24" s="2" customFormat="1" ht="16.5" x14ac:dyDescent="0.3">
      <c r="A150" s="13">
        <v>8</v>
      </c>
      <c r="B150" s="18" t="s">
        <v>17</v>
      </c>
      <c r="C150" s="23"/>
      <c r="D150" s="23"/>
      <c r="E150" s="29"/>
      <c r="F150" s="15"/>
      <c r="G150" s="19"/>
      <c r="H150" s="23">
        <v>1</v>
      </c>
      <c r="I150" s="23">
        <v>1</v>
      </c>
      <c r="J150" s="29">
        <f t="shared" si="68"/>
        <v>57600</v>
      </c>
      <c r="K150" s="15">
        <f t="shared" si="69"/>
        <v>57600</v>
      </c>
      <c r="L150" s="19">
        <v>57600</v>
      </c>
      <c r="M150" s="30">
        <f t="shared" si="64"/>
        <v>1</v>
      </c>
      <c r="N150" s="16">
        <f t="shared" si="70"/>
        <v>1</v>
      </c>
      <c r="O150" s="30"/>
      <c r="P150" s="17">
        <f t="shared" si="71"/>
        <v>57600</v>
      </c>
      <c r="Q150" s="17">
        <f t="shared" si="65"/>
        <v>57600</v>
      </c>
      <c r="R150" s="35"/>
      <c r="S150" s="36"/>
      <c r="X150" s="3"/>
    </row>
    <row r="151" spans="1:24" s="2" customFormat="1" ht="33" x14ac:dyDescent="0.3">
      <c r="A151" s="13">
        <v>9</v>
      </c>
      <c r="B151" s="18" t="s">
        <v>77</v>
      </c>
      <c r="C151" s="23">
        <v>1</v>
      </c>
      <c r="D151" s="23">
        <v>1</v>
      </c>
      <c r="E151" s="29">
        <f t="shared" si="66"/>
        <v>336000</v>
      </c>
      <c r="F151" s="15">
        <f t="shared" si="67"/>
        <v>336000</v>
      </c>
      <c r="G151" s="19">
        <v>336000</v>
      </c>
      <c r="H151" s="23">
        <v>1</v>
      </c>
      <c r="I151" s="23">
        <v>1</v>
      </c>
      <c r="J151" s="29">
        <f t="shared" si="68"/>
        <v>336000</v>
      </c>
      <c r="K151" s="15">
        <f t="shared" si="69"/>
        <v>336000</v>
      </c>
      <c r="L151" s="19">
        <v>336000</v>
      </c>
      <c r="M151" s="30">
        <f t="shared" si="64"/>
        <v>2</v>
      </c>
      <c r="N151" s="16">
        <f t="shared" si="70"/>
        <v>2</v>
      </c>
      <c r="O151" s="30"/>
      <c r="P151" s="17">
        <f t="shared" si="71"/>
        <v>672000</v>
      </c>
      <c r="Q151" s="17">
        <f t="shared" si="65"/>
        <v>672000</v>
      </c>
      <c r="R151" s="35"/>
      <c r="S151" s="36"/>
      <c r="X151" s="3"/>
    </row>
    <row r="152" spans="1:24" s="2" customFormat="1" ht="49.5" x14ac:dyDescent="0.3">
      <c r="A152" s="13">
        <v>10</v>
      </c>
      <c r="B152" s="18" t="s">
        <v>78</v>
      </c>
      <c r="C152" s="23">
        <v>1</v>
      </c>
      <c r="D152" s="23">
        <v>1</v>
      </c>
      <c r="E152" s="29">
        <f t="shared" si="66"/>
        <v>120000</v>
      </c>
      <c r="F152" s="15">
        <f t="shared" si="67"/>
        <v>120000</v>
      </c>
      <c r="G152" s="19">
        <v>120000</v>
      </c>
      <c r="H152" s="23">
        <v>1</v>
      </c>
      <c r="I152" s="23">
        <v>1</v>
      </c>
      <c r="J152" s="29">
        <f t="shared" si="68"/>
        <v>144000</v>
      </c>
      <c r="K152" s="15">
        <f t="shared" si="69"/>
        <v>144000</v>
      </c>
      <c r="L152" s="19">
        <v>144000</v>
      </c>
      <c r="M152" s="30">
        <f t="shared" si="64"/>
        <v>2</v>
      </c>
      <c r="N152" s="16">
        <f t="shared" si="70"/>
        <v>2</v>
      </c>
      <c r="O152" s="30"/>
      <c r="P152" s="17">
        <f t="shared" si="71"/>
        <v>264000</v>
      </c>
      <c r="Q152" s="17">
        <f t="shared" si="65"/>
        <v>264000</v>
      </c>
      <c r="R152" s="35"/>
      <c r="S152" s="36"/>
      <c r="X152" s="3"/>
    </row>
    <row r="153" spans="1:24" s="2" customFormat="1" ht="33" x14ac:dyDescent="0.3">
      <c r="A153" s="13">
        <v>11</v>
      </c>
      <c r="B153" s="18" t="s">
        <v>79</v>
      </c>
      <c r="C153" s="23">
        <v>1</v>
      </c>
      <c r="D153" s="23">
        <v>1</v>
      </c>
      <c r="E153" s="29">
        <f t="shared" si="66"/>
        <v>144000</v>
      </c>
      <c r="F153" s="15">
        <f t="shared" si="67"/>
        <v>144000</v>
      </c>
      <c r="G153" s="19">
        <v>144000</v>
      </c>
      <c r="H153" s="23">
        <v>1</v>
      </c>
      <c r="I153" s="23">
        <v>1</v>
      </c>
      <c r="J153" s="29">
        <f t="shared" si="68"/>
        <v>120000</v>
      </c>
      <c r="K153" s="15">
        <f t="shared" si="69"/>
        <v>120000</v>
      </c>
      <c r="L153" s="19">
        <v>120000</v>
      </c>
      <c r="M153" s="30">
        <f t="shared" si="64"/>
        <v>2</v>
      </c>
      <c r="N153" s="16">
        <f t="shared" si="70"/>
        <v>2</v>
      </c>
      <c r="O153" s="30"/>
      <c r="P153" s="17">
        <f t="shared" si="71"/>
        <v>264000</v>
      </c>
      <c r="Q153" s="17">
        <f t="shared" si="65"/>
        <v>264000</v>
      </c>
      <c r="R153" s="35"/>
      <c r="S153" s="36"/>
      <c r="X153" s="3"/>
    </row>
    <row r="154" spans="1:24" s="2" customFormat="1" ht="16.5" x14ac:dyDescent="0.3">
      <c r="A154" s="13">
        <v>12</v>
      </c>
      <c r="B154" s="18" t="s">
        <v>80</v>
      </c>
      <c r="C154" s="23">
        <v>10</v>
      </c>
      <c r="D154" s="23">
        <v>10</v>
      </c>
      <c r="E154" s="29">
        <f t="shared" si="66"/>
        <v>91200</v>
      </c>
      <c r="F154" s="15">
        <f t="shared" si="67"/>
        <v>912000</v>
      </c>
      <c r="G154" s="19">
        <v>912000</v>
      </c>
      <c r="H154" s="23">
        <v>10</v>
      </c>
      <c r="I154" s="23">
        <v>10</v>
      </c>
      <c r="J154" s="29">
        <f t="shared" si="68"/>
        <v>91200</v>
      </c>
      <c r="K154" s="15">
        <f t="shared" si="69"/>
        <v>912000</v>
      </c>
      <c r="L154" s="19">
        <v>912000</v>
      </c>
      <c r="M154" s="30">
        <f t="shared" si="64"/>
        <v>20</v>
      </c>
      <c r="N154" s="16">
        <f t="shared" si="70"/>
        <v>20</v>
      </c>
      <c r="O154" s="30"/>
      <c r="P154" s="17">
        <f t="shared" si="71"/>
        <v>1824000</v>
      </c>
      <c r="Q154" s="17">
        <f t="shared" si="65"/>
        <v>1824000</v>
      </c>
      <c r="R154" s="35"/>
      <c r="S154" s="36"/>
      <c r="X154" s="3"/>
    </row>
    <row r="155" spans="1:24" s="2" customFormat="1" ht="16.5" x14ac:dyDescent="0.3">
      <c r="A155" s="13">
        <v>13</v>
      </c>
      <c r="B155" s="18" t="s">
        <v>18</v>
      </c>
      <c r="C155" s="23">
        <v>3</v>
      </c>
      <c r="D155" s="23">
        <v>3</v>
      </c>
      <c r="E155" s="29">
        <f t="shared" si="66"/>
        <v>43200</v>
      </c>
      <c r="F155" s="15">
        <f t="shared" si="67"/>
        <v>129600</v>
      </c>
      <c r="G155" s="19">
        <v>129600</v>
      </c>
      <c r="H155" s="23">
        <v>2</v>
      </c>
      <c r="I155" s="23">
        <v>2</v>
      </c>
      <c r="J155" s="29">
        <f t="shared" si="68"/>
        <v>43200</v>
      </c>
      <c r="K155" s="15">
        <f t="shared" si="69"/>
        <v>86400</v>
      </c>
      <c r="L155" s="19">
        <v>86400</v>
      </c>
      <c r="M155" s="30">
        <f t="shared" si="64"/>
        <v>5</v>
      </c>
      <c r="N155" s="16">
        <f t="shared" si="70"/>
        <v>5</v>
      </c>
      <c r="O155" s="30"/>
      <c r="P155" s="17">
        <f t="shared" si="71"/>
        <v>216000</v>
      </c>
      <c r="Q155" s="17">
        <f t="shared" si="65"/>
        <v>216000</v>
      </c>
      <c r="R155" s="35"/>
      <c r="S155" s="36"/>
      <c r="X155" s="3"/>
    </row>
    <row r="156" spans="1:24" s="2" customFormat="1" ht="16.5" x14ac:dyDescent="0.3">
      <c r="A156" s="13">
        <v>14</v>
      </c>
      <c r="B156" s="18" t="s">
        <v>19</v>
      </c>
      <c r="C156" s="23"/>
      <c r="D156" s="23"/>
      <c r="E156" s="29"/>
      <c r="F156" s="15"/>
      <c r="G156" s="19"/>
      <c r="H156" s="23">
        <v>1</v>
      </c>
      <c r="I156" s="23">
        <v>1</v>
      </c>
      <c r="J156" s="29">
        <f t="shared" si="68"/>
        <v>43200</v>
      </c>
      <c r="K156" s="15">
        <f t="shared" si="69"/>
        <v>43200</v>
      </c>
      <c r="L156" s="19">
        <v>43200</v>
      </c>
      <c r="M156" s="30">
        <f t="shared" si="64"/>
        <v>1</v>
      </c>
      <c r="N156" s="16">
        <f t="shared" si="70"/>
        <v>1</v>
      </c>
      <c r="O156" s="30"/>
      <c r="P156" s="17">
        <f t="shared" si="71"/>
        <v>43200</v>
      </c>
      <c r="Q156" s="17">
        <f t="shared" si="65"/>
        <v>43200</v>
      </c>
      <c r="R156" s="35"/>
      <c r="S156" s="36"/>
      <c r="X156" s="3"/>
    </row>
    <row r="157" spans="1:24" s="2" customFormat="1" ht="16.5" x14ac:dyDescent="0.3">
      <c r="A157" s="13">
        <v>15</v>
      </c>
      <c r="B157" s="18" t="s">
        <v>81</v>
      </c>
      <c r="C157" s="23"/>
      <c r="D157" s="23"/>
      <c r="E157" s="29"/>
      <c r="F157" s="15"/>
      <c r="G157" s="19"/>
      <c r="H157" s="23">
        <v>1</v>
      </c>
      <c r="I157" s="23">
        <v>1</v>
      </c>
      <c r="J157" s="29">
        <f t="shared" si="68"/>
        <v>108000</v>
      </c>
      <c r="K157" s="15">
        <f t="shared" si="69"/>
        <v>108000</v>
      </c>
      <c r="L157" s="19">
        <v>108000</v>
      </c>
      <c r="M157" s="30">
        <f t="shared" si="64"/>
        <v>1</v>
      </c>
      <c r="N157" s="16">
        <f t="shared" si="70"/>
        <v>1</v>
      </c>
      <c r="O157" s="30"/>
      <c r="P157" s="17">
        <f t="shared" si="71"/>
        <v>108000</v>
      </c>
      <c r="Q157" s="17">
        <f t="shared" si="65"/>
        <v>108000</v>
      </c>
      <c r="R157" s="35"/>
      <c r="S157" s="36"/>
      <c r="X157" s="3"/>
    </row>
    <row r="158" spans="1:24" s="2" customFormat="1" ht="33" x14ac:dyDescent="0.3">
      <c r="A158" s="13">
        <v>16</v>
      </c>
      <c r="B158" s="18" t="s">
        <v>82</v>
      </c>
      <c r="C158" s="23">
        <v>19</v>
      </c>
      <c r="D158" s="23">
        <f>19-4.6</f>
        <v>14.4</v>
      </c>
      <c r="E158" s="29">
        <f t="shared" si="66"/>
        <v>54000</v>
      </c>
      <c r="F158" s="15">
        <f t="shared" si="67"/>
        <v>777600</v>
      </c>
      <c r="G158" s="19">
        <v>1026000</v>
      </c>
      <c r="H158" s="23">
        <v>19.8</v>
      </c>
      <c r="I158" s="23">
        <v>19.8</v>
      </c>
      <c r="J158" s="29">
        <f t="shared" si="68"/>
        <v>69600</v>
      </c>
      <c r="K158" s="15">
        <f t="shared" si="69"/>
        <v>1378080</v>
      </c>
      <c r="L158" s="19">
        <v>1378080</v>
      </c>
      <c r="M158" s="37">
        <f t="shared" si="64"/>
        <v>34.200000000000003</v>
      </c>
      <c r="N158" s="16">
        <f t="shared" si="70"/>
        <v>34.200000000000003</v>
      </c>
      <c r="O158" s="37"/>
      <c r="P158" s="17">
        <f t="shared" si="71"/>
        <v>2155680</v>
      </c>
      <c r="Q158" s="17">
        <f t="shared" si="65"/>
        <v>2404080</v>
      </c>
      <c r="R158" s="38"/>
      <c r="S158" s="36"/>
      <c r="X158" s="3"/>
    </row>
    <row r="159" spans="1:24" s="2" customFormat="1" ht="16.5" x14ac:dyDescent="0.3">
      <c r="A159" s="13">
        <v>17</v>
      </c>
      <c r="B159" s="18" t="s">
        <v>20</v>
      </c>
      <c r="C159" s="23">
        <v>4</v>
      </c>
      <c r="D159" s="23">
        <v>4</v>
      </c>
      <c r="E159" s="29">
        <f t="shared" si="66"/>
        <v>28800</v>
      </c>
      <c r="F159" s="15">
        <f t="shared" si="67"/>
        <v>115200</v>
      </c>
      <c r="G159" s="19">
        <v>115200</v>
      </c>
      <c r="H159" s="23">
        <v>4</v>
      </c>
      <c r="I159" s="23">
        <v>4</v>
      </c>
      <c r="J159" s="29">
        <f t="shared" si="68"/>
        <v>28800</v>
      </c>
      <c r="K159" s="15">
        <f t="shared" si="69"/>
        <v>115200</v>
      </c>
      <c r="L159" s="19">
        <v>115200</v>
      </c>
      <c r="M159" s="30">
        <f t="shared" si="64"/>
        <v>8</v>
      </c>
      <c r="N159" s="16">
        <f t="shared" si="70"/>
        <v>8</v>
      </c>
      <c r="O159" s="30"/>
      <c r="P159" s="17">
        <f t="shared" si="71"/>
        <v>230400</v>
      </c>
      <c r="Q159" s="17">
        <f t="shared" si="65"/>
        <v>230400</v>
      </c>
      <c r="R159" s="35"/>
      <c r="S159" s="36"/>
      <c r="X159" s="3"/>
    </row>
    <row r="160" spans="1:24" s="2" customFormat="1" ht="33" x14ac:dyDescent="0.3">
      <c r="A160" s="13">
        <v>18</v>
      </c>
      <c r="B160" s="18" t="s">
        <v>83</v>
      </c>
      <c r="C160" s="23">
        <v>1</v>
      </c>
      <c r="D160" s="23">
        <v>1</v>
      </c>
      <c r="E160" s="29">
        <f t="shared" si="66"/>
        <v>91200</v>
      </c>
      <c r="F160" s="15">
        <f t="shared" si="67"/>
        <v>91200</v>
      </c>
      <c r="G160" s="19">
        <v>91200</v>
      </c>
      <c r="H160" s="23">
        <v>1</v>
      </c>
      <c r="I160" s="23">
        <v>1</v>
      </c>
      <c r="J160" s="29">
        <f t="shared" si="68"/>
        <v>91200</v>
      </c>
      <c r="K160" s="15">
        <f t="shared" si="69"/>
        <v>91200</v>
      </c>
      <c r="L160" s="19">
        <v>91200</v>
      </c>
      <c r="M160" s="30">
        <f t="shared" si="64"/>
        <v>2</v>
      </c>
      <c r="N160" s="16">
        <f t="shared" si="70"/>
        <v>2</v>
      </c>
      <c r="O160" s="30"/>
      <c r="P160" s="17">
        <f t="shared" si="71"/>
        <v>182400</v>
      </c>
      <c r="Q160" s="17">
        <f t="shared" si="65"/>
        <v>182400</v>
      </c>
      <c r="R160" s="35"/>
      <c r="S160" s="36"/>
      <c r="X160" s="3"/>
    </row>
    <row r="161" spans="1:24" s="2" customFormat="1" ht="16.5" x14ac:dyDescent="0.3">
      <c r="A161" s="13">
        <v>19</v>
      </c>
      <c r="B161" s="18" t="s">
        <v>84</v>
      </c>
      <c r="C161" s="23">
        <v>1</v>
      </c>
      <c r="D161" s="23">
        <v>1</v>
      </c>
      <c r="E161" s="29">
        <f t="shared" si="66"/>
        <v>91200</v>
      </c>
      <c r="F161" s="15">
        <f t="shared" si="67"/>
        <v>91200</v>
      </c>
      <c r="G161" s="19">
        <v>91200</v>
      </c>
      <c r="H161" s="23">
        <v>1</v>
      </c>
      <c r="I161" s="23">
        <v>1</v>
      </c>
      <c r="J161" s="29">
        <f t="shared" si="68"/>
        <v>91200</v>
      </c>
      <c r="K161" s="15">
        <f t="shared" si="69"/>
        <v>91200</v>
      </c>
      <c r="L161" s="19">
        <v>91200</v>
      </c>
      <c r="M161" s="30">
        <f t="shared" si="64"/>
        <v>2</v>
      </c>
      <c r="N161" s="16">
        <f t="shared" si="70"/>
        <v>2</v>
      </c>
      <c r="O161" s="30"/>
      <c r="P161" s="17">
        <f t="shared" si="71"/>
        <v>182400</v>
      </c>
      <c r="Q161" s="17">
        <f t="shared" si="65"/>
        <v>182400</v>
      </c>
      <c r="R161" s="35"/>
      <c r="S161" s="36"/>
      <c r="X161" s="3"/>
    </row>
    <row r="162" spans="1:24" s="2" customFormat="1" ht="16.5" x14ac:dyDescent="0.3">
      <c r="A162" s="13">
        <v>20</v>
      </c>
      <c r="B162" s="18" t="s">
        <v>85</v>
      </c>
      <c r="C162" s="23">
        <v>1</v>
      </c>
      <c r="D162" s="23">
        <v>1</v>
      </c>
      <c r="E162" s="29">
        <f t="shared" si="66"/>
        <v>105600</v>
      </c>
      <c r="F162" s="15">
        <f t="shared" si="67"/>
        <v>105600</v>
      </c>
      <c r="G162" s="19">
        <v>105600</v>
      </c>
      <c r="H162" s="23">
        <v>1</v>
      </c>
      <c r="I162" s="23">
        <v>1</v>
      </c>
      <c r="J162" s="29">
        <f t="shared" si="68"/>
        <v>105600</v>
      </c>
      <c r="K162" s="15">
        <f t="shared" si="69"/>
        <v>105600</v>
      </c>
      <c r="L162" s="19">
        <v>105600</v>
      </c>
      <c r="M162" s="30">
        <f t="shared" si="64"/>
        <v>2</v>
      </c>
      <c r="N162" s="16">
        <f t="shared" si="70"/>
        <v>2</v>
      </c>
      <c r="O162" s="30"/>
      <c r="P162" s="17">
        <f t="shared" si="71"/>
        <v>211200</v>
      </c>
      <c r="Q162" s="17">
        <f t="shared" si="65"/>
        <v>211200</v>
      </c>
      <c r="R162" s="35"/>
      <c r="S162" s="36"/>
      <c r="X162" s="3"/>
    </row>
    <row r="163" spans="1:24" s="2" customFormat="1" ht="16.5" x14ac:dyDescent="0.3">
      <c r="A163" s="13">
        <v>22</v>
      </c>
      <c r="B163" s="18" t="s">
        <v>86</v>
      </c>
      <c r="C163" s="23">
        <v>1</v>
      </c>
      <c r="D163" s="23">
        <v>1</v>
      </c>
      <c r="E163" s="29">
        <f t="shared" si="66"/>
        <v>91200</v>
      </c>
      <c r="F163" s="15">
        <f t="shared" si="67"/>
        <v>91200</v>
      </c>
      <c r="G163" s="19">
        <v>91200</v>
      </c>
      <c r="H163" s="23">
        <v>1</v>
      </c>
      <c r="I163" s="23">
        <v>1</v>
      </c>
      <c r="J163" s="29">
        <f t="shared" si="68"/>
        <v>91200</v>
      </c>
      <c r="K163" s="15">
        <f t="shared" si="69"/>
        <v>91200</v>
      </c>
      <c r="L163" s="19">
        <v>91200</v>
      </c>
      <c r="M163" s="30">
        <f t="shared" si="64"/>
        <v>2</v>
      </c>
      <c r="N163" s="16">
        <f t="shared" si="70"/>
        <v>2</v>
      </c>
      <c r="O163" s="30"/>
      <c r="P163" s="17">
        <f t="shared" si="71"/>
        <v>182400</v>
      </c>
      <c r="Q163" s="17">
        <f t="shared" si="65"/>
        <v>182400</v>
      </c>
      <c r="R163" s="35"/>
      <c r="S163" s="36"/>
      <c r="X163" s="3"/>
    </row>
    <row r="164" spans="1:24" s="2" customFormat="1" ht="49.5" x14ac:dyDescent="0.3">
      <c r="A164" s="13">
        <v>23</v>
      </c>
      <c r="B164" s="18" t="s">
        <v>87</v>
      </c>
      <c r="C164" s="23">
        <v>1</v>
      </c>
      <c r="D164" s="23">
        <v>1</v>
      </c>
      <c r="E164" s="29">
        <f t="shared" si="66"/>
        <v>288000</v>
      </c>
      <c r="F164" s="15">
        <f t="shared" si="67"/>
        <v>288000</v>
      </c>
      <c r="G164" s="19">
        <v>288000</v>
      </c>
      <c r="H164" s="23">
        <v>1</v>
      </c>
      <c r="I164" s="23">
        <v>1</v>
      </c>
      <c r="J164" s="29">
        <f t="shared" si="68"/>
        <v>264000</v>
      </c>
      <c r="K164" s="15">
        <f t="shared" si="69"/>
        <v>264000</v>
      </c>
      <c r="L164" s="19">
        <v>264000</v>
      </c>
      <c r="M164" s="30">
        <f t="shared" si="64"/>
        <v>2</v>
      </c>
      <c r="N164" s="16">
        <f t="shared" si="70"/>
        <v>2</v>
      </c>
      <c r="O164" s="30"/>
      <c r="P164" s="17">
        <f t="shared" si="71"/>
        <v>552000</v>
      </c>
      <c r="Q164" s="17">
        <f t="shared" si="65"/>
        <v>552000</v>
      </c>
      <c r="R164" s="35"/>
      <c r="S164" s="36"/>
      <c r="X164" s="3"/>
    </row>
    <row r="165" spans="1:24" s="2" customFormat="1" ht="66" x14ac:dyDescent="0.3">
      <c r="A165" s="13">
        <v>24</v>
      </c>
      <c r="B165" s="18" t="s">
        <v>22</v>
      </c>
      <c r="C165" s="23">
        <v>275</v>
      </c>
      <c r="D165" s="23">
        <f>275-58</f>
        <v>217</v>
      </c>
      <c r="E165" s="29">
        <f t="shared" si="66"/>
        <v>1800</v>
      </c>
      <c r="F165" s="15">
        <f t="shared" si="67"/>
        <v>390600</v>
      </c>
      <c r="G165" s="19">
        <v>495000</v>
      </c>
      <c r="H165" s="23">
        <v>463</v>
      </c>
      <c r="I165" s="39">
        <f>463-43.5</f>
        <v>419.5</v>
      </c>
      <c r="J165" s="29">
        <f t="shared" si="68"/>
        <v>1800</v>
      </c>
      <c r="K165" s="15">
        <f t="shared" si="69"/>
        <v>755100</v>
      </c>
      <c r="L165" s="19">
        <v>833400</v>
      </c>
      <c r="M165" s="30">
        <f t="shared" si="64"/>
        <v>680</v>
      </c>
      <c r="N165" s="16">
        <f t="shared" si="70"/>
        <v>636.5</v>
      </c>
      <c r="O165" s="30"/>
      <c r="P165" s="17">
        <f t="shared" si="71"/>
        <v>1145700</v>
      </c>
      <c r="Q165" s="17">
        <f t="shared" si="65"/>
        <v>1328400</v>
      </c>
      <c r="R165" s="35"/>
      <c r="S165" s="36"/>
      <c r="X165" s="3"/>
    </row>
    <row r="166" spans="1:24" s="2" customFormat="1" ht="16.5" x14ac:dyDescent="0.3">
      <c r="A166" s="13">
        <v>25</v>
      </c>
      <c r="B166" s="18" t="s">
        <v>23</v>
      </c>
      <c r="C166" s="23">
        <v>4</v>
      </c>
      <c r="D166" s="23">
        <v>4</v>
      </c>
      <c r="E166" s="29">
        <f t="shared" si="66"/>
        <v>84000</v>
      </c>
      <c r="F166" s="15">
        <f t="shared" si="67"/>
        <v>336000</v>
      </c>
      <c r="G166" s="19">
        <v>336000</v>
      </c>
      <c r="H166" s="23">
        <v>4</v>
      </c>
      <c r="I166" s="23">
        <v>4</v>
      </c>
      <c r="J166" s="29">
        <f t="shared" si="68"/>
        <v>84000</v>
      </c>
      <c r="K166" s="15">
        <f t="shared" si="69"/>
        <v>336000</v>
      </c>
      <c r="L166" s="19">
        <v>336000</v>
      </c>
      <c r="M166" s="30">
        <f t="shared" si="64"/>
        <v>8</v>
      </c>
      <c r="N166" s="16">
        <f t="shared" si="70"/>
        <v>8</v>
      </c>
      <c r="O166" s="30"/>
      <c r="P166" s="17">
        <f t="shared" si="71"/>
        <v>672000</v>
      </c>
      <c r="Q166" s="17">
        <f t="shared" si="65"/>
        <v>672000</v>
      </c>
      <c r="R166" s="35"/>
      <c r="S166" s="36"/>
      <c r="X166" s="3"/>
    </row>
    <row r="167" spans="1:24" s="2" customFormat="1" ht="49.5" x14ac:dyDescent="0.3">
      <c r="A167" s="13">
        <v>26</v>
      </c>
      <c r="B167" s="18" t="s">
        <v>88</v>
      </c>
      <c r="C167" s="23">
        <v>1</v>
      </c>
      <c r="D167" s="23">
        <v>1</v>
      </c>
      <c r="E167" s="29">
        <f t="shared" si="66"/>
        <v>43200</v>
      </c>
      <c r="F167" s="15">
        <f t="shared" si="67"/>
        <v>43200</v>
      </c>
      <c r="G167" s="19">
        <v>43200</v>
      </c>
      <c r="H167" s="23">
        <v>1</v>
      </c>
      <c r="I167" s="23">
        <v>1</v>
      </c>
      <c r="J167" s="29">
        <f t="shared" si="68"/>
        <v>43200</v>
      </c>
      <c r="K167" s="15">
        <f t="shared" si="69"/>
        <v>43200</v>
      </c>
      <c r="L167" s="19">
        <v>43200</v>
      </c>
      <c r="M167" s="30">
        <f t="shared" si="64"/>
        <v>2</v>
      </c>
      <c r="N167" s="16">
        <f t="shared" si="70"/>
        <v>2</v>
      </c>
      <c r="O167" s="30"/>
      <c r="P167" s="17">
        <f t="shared" si="71"/>
        <v>86400</v>
      </c>
      <c r="Q167" s="17">
        <f t="shared" si="65"/>
        <v>86400</v>
      </c>
      <c r="R167" s="35"/>
      <c r="S167" s="36"/>
      <c r="X167" s="3"/>
    </row>
    <row r="168" spans="1:24" s="2" customFormat="1" ht="49.5" x14ac:dyDescent="0.3">
      <c r="A168" s="13">
        <v>27</v>
      </c>
      <c r="B168" s="18" t="s">
        <v>24</v>
      </c>
      <c r="C168" s="23">
        <v>1</v>
      </c>
      <c r="D168" s="23">
        <v>1</v>
      </c>
      <c r="E168" s="29">
        <f t="shared" si="66"/>
        <v>43200</v>
      </c>
      <c r="F168" s="15">
        <f t="shared" si="67"/>
        <v>43200</v>
      </c>
      <c r="G168" s="19">
        <v>43200</v>
      </c>
      <c r="H168" s="23">
        <v>1</v>
      </c>
      <c r="I168" s="23">
        <v>1</v>
      </c>
      <c r="J168" s="29">
        <f t="shared" si="68"/>
        <v>43200</v>
      </c>
      <c r="K168" s="15">
        <f t="shared" si="69"/>
        <v>43200</v>
      </c>
      <c r="L168" s="19">
        <v>43200</v>
      </c>
      <c r="M168" s="30">
        <f t="shared" si="64"/>
        <v>2</v>
      </c>
      <c r="N168" s="16">
        <f t="shared" si="70"/>
        <v>2</v>
      </c>
      <c r="O168" s="30"/>
      <c r="P168" s="17">
        <f t="shared" si="71"/>
        <v>86400</v>
      </c>
      <c r="Q168" s="17">
        <f t="shared" si="65"/>
        <v>86400</v>
      </c>
      <c r="R168" s="35"/>
      <c r="S168" s="36"/>
      <c r="X168" s="3"/>
    </row>
    <row r="169" spans="1:24" s="2" customFormat="1" ht="33" x14ac:dyDescent="0.3">
      <c r="A169" s="13">
        <v>28</v>
      </c>
      <c r="B169" s="18" t="s">
        <v>89</v>
      </c>
      <c r="C169" s="23">
        <v>2</v>
      </c>
      <c r="D169" s="23">
        <v>2</v>
      </c>
      <c r="E169" s="29">
        <f t="shared" si="66"/>
        <v>72000</v>
      </c>
      <c r="F169" s="15">
        <f t="shared" si="67"/>
        <v>144000</v>
      </c>
      <c r="G169" s="19">
        <v>144000</v>
      </c>
      <c r="H169" s="23">
        <v>4</v>
      </c>
      <c r="I169" s="23">
        <v>4</v>
      </c>
      <c r="J169" s="29">
        <f t="shared" si="68"/>
        <v>72000</v>
      </c>
      <c r="K169" s="15">
        <f t="shared" si="69"/>
        <v>288000</v>
      </c>
      <c r="L169" s="19">
        <v>288000</v>
      </c>
      <c r="M169" s="30">
        <f t="shared" si="64"/>
        <v>6</v>
      </c>
      <c r="N169" s="16">
        <f t="shared" si="70"/>
        <v>6</v>
      </c>
      <c r="O169" s="30"/>
      <c r="P169" s="17">
        <f t="shared" si="71"/>
        <v>432000</v>
      </c>
      <c r="Q169" s="17">
        <f t="shared" si="65"/>
        <v>432000</v>
      </c>
      <c r="R169" s="35"/>
      <c r="S169" s="36"/>
      <c r="X169" s="3"/>
    </row>
    <row r="170" spans="1:24" s="2" customFormat="1" ht="16.5" x14ac:dyDescent="0.3">
      <c r="A170" s="13">
        <v>29</v>
      </c>
      <c r="B170" s="18" t="s">
        <v>25</v>
      </c>
      <c r="C170" s="23">
        <v>4</v>
      </c>
      <c r="D170" s="23">
        <v>4</v>
      </c>
      <c r="E170" s="29">
        <f t="shared" si="66"/>
        <v>33600</v>
      </c>
      <c r="F170" s="15">
        <f t="shared" si="67"/>
        <v>134400</v>
      </c>
      <c r="G170" s="19">
        <v>134400</v>
      </c>
      <c r="H170" s="23">
        <v>4</v>
      </c>
      <c r="I170" s="23">
        <v>4</v>
      </c>
      <c r="J170" s="29">
        <f t="shared" si="68"/>
        <v>33600</v>
      </c>
      <c r="K170" s="15">
        <f t="shared" si="69"/>
        <v>134400</v>
      </c>
      <c r="L170" s="19">
        <v>134400</v>
      </c>
      <c r="M170" s="30">
        <f t="shared" si="64"/>
        <v>8</v>
      </c>
      <c r="N170" s="16">
        <f t="shared" si="70"/>
        <v>8</v>
      </c>
      <c r="O170" s="30"/>
      <c r="P170" s="17">
        <f t="shared" si="71"/>
        <v>268800</v>
      </c>
      <c r="Q170" s="17">
        <f t="shared" si="65"/>
        <v>268800</v>
      </c>
      <c r="R170" s="35"/>
      <c r="S170" s="36"/>
      <c r="X170" s="3"/>
    </row>
    <row r="171" spans="1:24" s="2" customFormat="1" ht="33" x14ac:dyDescent="0.3">
      <c r="A171" s="13">
        <v>30</v>
      </c>
      <c r="B171" s="18" t="s">
        <v>26</v>
      </c>
      <c r="C171" s="23">
        <v>11</v>
      </c>
      <c r="D171" s="23">
        <v>11</v>
      </c>
      <c r="E171" s="29">
        <f t="shared" si="66"/>
        <v>26400</v>
      </c>
      <c r="F171" s="15">
        <f t="shared" si="67"/>
        <v>290400</v>
      </c>
      <c r="G171" s="19">
        <v>290400</v>
      </c>
      <c r="H171" s="23">
        <v>10</v>
      </c>
      <c r="I171" s="23">
        <v>10</v>
      </c>
      <c r="J171" s="29">
        <f t="shared" si="68"/>
        <v>26400</v>
      </c>
      <c r="K171" s="15">
        <f t="shared" si="69"/>
        <v>264000</v>
      </c>
      <c r="L171" s="19">
        <v>264000</v>
      </c>
      <c r="M171" s="30">
        <f t="shared" si="64"/>
        <v>21</v>
      </c>
      <c r="N171" s="16">
        <f t="shared" si="70"/>
        <v>21</v>
      </c>
      <c r="O171" s="30"/>
      <c r="P171" s="17">
        <f t="shared" si="71"/>
        <v>554400</v>
      </c>
      <c r="Q171" s="17">
        <f t="shared" si="65"/>
        <v>554400</v>
      </c>
      <c r="R171" s="35"/>
      <c r="S171" s="36"/>
      <c r="X171" s="3"/>
    </row>
    <row r="172" spans="1:24" s="2" customFormat="1" ht="16.5" x14ac:dyDescent="0.3">
      <c r="A172" s="13">
        <v>31</v>
      </c>
      <c r="B172" s="18" t="s">
        <v>90</v>
      </c>
      <c r="C172" s="23">
        <v>5</v>
      </c>
      <c r="D172" s="23">
        <v>5</v>
      </c>
      <c r="E172" s="29">
        <f t="shared" si="66"/>
        <v>120000</v>
      </c>
      <c r="F172" s="15">
        <f t="shared" si="67"/>
        <v>600000</v>
      </c>
      <c r="G172" s="19">
        <v>600000</v>
      </c>
      <c r="H172" s="23">
        <v>5.71</v>
      </c>
      <c r="I172" s="23">
        <v>5.71</v>
      </c>
      <c r="J172" s="29">
        <f t="shared" si="68"/>
        <v>120000</v>
      </c>
      <c r="K172" s="15">
        <f t="shared" si="69"/>
        <v>685200</v>
      </c>
      <c r="L172" s="19">
        <v>685200</v>
      </c>
      <c r="M172" s="17">
        <f t="shared" si="64"/>
        <v>10.71</v>
      </c>
      <c r="N172" s="16">
        <f t="shared" si="70"/>
        <v>10.71</v>
      </c>
      <c r="O172" s="17"/>
      <c r="P172" s="17">
        <f t="shared" si="71"/>
        <v>1285200</v>
      </c>
      <c r="Q172" s="17">
        <f t="shared" si="65"/>
        <v>1285200</v>
      </c>
      <c r="R172" s="36"/>
      <c r="S172" s="36"/>
      <c r="X172" s="3"/>
    </row>
    <row r="173" spans="1:24" s="2" customFormat="1" ht="16.5" x14ac:dyDescent="0.3">
      <c r="A173" s="13">
        <v>32</v>
      </c>
      <c r="B173" s="18" t="s">
        <v>27</v>
      </c>
      <c r="C173" s="23">
        <v>10</v>
      </c>
      <c r="D173" s="23">
        <v>10</v>
      </c>
      <c r="E173" s="29">
        <f t="shared" si="66"/>
        <v>45600</v>
      </c>
      <c r="F173" s="15">
        <f t="shared" si="67"/>
        <v>456000</v>
      </c>
      <c r="G173" s="19">
        <v>456000</v>
      </c>
      <c r="H173" s="23">
        <v>10</v>
      </c>
      <c r="I173" s="23">
        <v>10</v>
      </c>
      <c r="J173" s="29">
        <f t="shared" si="68"/>
        <v>45600</v>
      </c>
      <c r="K173" s="15">
        <f t="shared" si="69"/>
        <v>456000</v>
      </c>
      <c r="L173" s="19">
        <v>456000</v>
      </c>
      <c r="M173" s="30">
        <f t="shared" si="64"/>
        <v>20</v>
      </c>
      <c r="N173" s="16">
        <f t="shared" si="70"/>
        <v>20</v>
      </c>
      <c r="O173" s="30"/>
      <c r="P173" s="17">
        <f t="shared" si="71"/>
        <v>912000</v>
      </c>
      <c r="Q173" s="17">
        <f t="shared" si="65"/>
        <v>912000</v>
      </c>
      <c r="R173" s="35"/>
      <c r="S173" s="36"/>
      <c r="X173" s="3"/>
    </row>
    <row r="174" spans="1:24" s="2" customFormat="1" ht="33" x14ac:dyDescent="0.3">
      <c r="A174" s="13">
        <v>33</v>
      </c>
      <c r="B174" s="18" t="s">
        <v>28</v>
      </c>
      <c r="C174" s="23">
        <v>142.69999999999999</v>
      </c>
      <c r="D174" s="23">
        <f>142.7-32.3</f>
        <v>110.39999999999999</v>
      </c>
      <c r="E174" s="29">
        <f t="shared" si="66"/>
        <v>7800.0000000000009</v>
      </c>
      <c r="F174" s="15">
        <f t="shared" si="67"/>
        <v>861120</v>
      </c>
      <c r="G174" s="19">
        <v>1113060</v>
      </c>
      <c r="H174" s="23">
        <v>73.7</v>
      </c>
      <c r="I174" s="23">
        <f>H174+32.3</f>
        <v>106</v>
      </c>
      <c r="J174" s="29">
        <f t="shared" si="68"/>
        <v>15600</v>
      </c>
      <c r="K174" s="15">
        <f>73.7*15600+32.3*7800</f>
        <v>1401660</v>
      </c>
      <c r="L174" s="19">
        <v>1149720</v>
      </c>
      <c r="M174" s="37">
        <f t="shared" si="64"/>
        <v>184.1</v>
      </c>
      <c r="N174" s="16">
        <f t="shared" si="70"/>
        <v>216.39999999999998</v>
      </c>
      <c r="O174" s="37"/>
      <c r="P174" s="17">
        <f t="shared" si="71"/>
        <v>2262780</v>
      </c>
      <c r="Q174" s="17">
        <f t="shared" si="65"/>
        <v>2262780</v>
      </c>
      <c r="R174" s="38"/>
      <c r="S174" s="36"/>
      <c r="X174" s="3"/>
    </row>
    <row r="175" spans="1:24" s="2" customFormat="1" ht="33" x14ac:dyDescent="0.3">
      <c r="A175" s="13">
        <v>35</v>
      </c>
      <c r="B175" s="18" t="s">
        <v>30</v>
      </c>
      <c r="C175" s="23">
        <v>1</v>
      </c>
      <c r="D175" s="23">
        <v>1</v>
      </c>
      <c r="E175" s="29">
        <f t="shared" si="66"/>
        <v>91200</v>
      </c>
      <c r="F175" s="15">
        <f t="shared" si="67"/>
        <v>91200</v>
      </c>
      <c r="G175" s="19">
        <v>91200</v>
      </c>
      <c r="H175" s="23">
        <v>1</v>
      </c>
      <c r="I175" s="23">
        <v>1</v>
      </c>
      <c r="J175" s="29">
        <f t="shared" si="68"/>
        <v>91200</v>
      </c>
      <c r="K175" s="15">
        <f t="shared" si="69"/>
        <v>91200</v>
      </c>
      <c r="L175" s="19">
        <v>91200</v>
      </c>
      <c r="M175" s="30">
        <f t="shared" si="64"/>
        <v>2</v>
      </c>
      <c r="N175" s="16">
        <f t="shared" si="70"/>
        <v>2</v>
      </c>
      <c r="O175" s="30"/>
      <c r="P175" s="17">
        <f t="shared" si="71"/>
        <v>182400</v>
      </c>
      <c r="Q175" s="17">
        <f t="shared" si="65"/>
        <v>182400</v>
      </c>
      <c r="R175" s="35"/>
      <c r="S175" s="36"/>
      <c r="X175" s="3"/>
    </row>
    <row r="176" spans="1:24" s="2" customFormat="1" ht="16.5" x14ac:dyDescent="0.3">
      <c r="A176" s="13">
        <v>38</v>
      </c>
      <c r="B176" s="18" t="s">
        <v>33</v>
      </c>
      <c r="C176" s="23">
        <v>4</v>
      </c>
      <c r="D176" s="23">
        <v>4</v>
      </c>
      <c r="E176" s="29">
        <f t="shared" si="66"/>
        <v>36000</v>
      </c>
      <c r="F176" s="15">
        <f t="shared" si="67"/>
        <v>144000</v>
      </c>
      <c r="G176" s="19">
        <v>144000</v>
      </c>
      <c r="H176" s="23">
        <v>4</v>
      </c>
      <c r="I176" s="23">
        <v>4</v>
      </c>
      <c r="J176" s="29">
        <f t="shared" si="68"/>
        <v>36000</v>
      </c>
      <c r="K176" s="15">
        <f t="shared" si="69"/>
        <v>144000</v>
      </c>
      <c r="L176" s="19">
        <v>144000</v>
      </c>
      <c r="M176" s="30">
        <f t="shared" si="64"/>
        <v>8</v>
      </c>
      <c r="N176" s="16">
        <f t="shared" si="70"/>
        <v>8</v>
      </c>
      <c r="O176" s="30"/>
      <c r="P176" s="17">
        <f t="shared" si="71"/>
        <v>288000</v>
      </c>
      <c r="Q176" s="17">
        <f t="shared" si="65"/>
        <v>288000</v>
      </c>
      <c r="R176" s="35"/>
      <c r="S176" s="36"/>
      <c r="X176" s="3"/>
    </row>
    <row r="177" spans="1:24" s="2" customFormat="1" ht="33" x14ac:dyDescent="0.3">
      <c r="A177" s="13">
        <v>40</v>
      </c>
      <c r="B177" s="18" t="s">
        <v>91</v>
      </c>
      <c r="C177" s="23"/>
      <c r="D177" s="23"/>
      <c r="E177" s="29"/>
      <c r="F177" s="15"/>
      <c r="G177" s="19"/>
      <c r="H177" s="23">
        <v>1</v>
      </c>
      <c r="I177" s="23">
        <v>1</v>
      </c>
      <c r="J177" s="29">
        <f t="shared" si="68"/>
        <v>395680.8</v>
      </c>
      <c r="K177" s="15">
        <f t="shared" si="69"/>
        <v>395680.8</v>
      </c>
      <c r="L177" s="19">
        <v>395680.8</v>
      </c>
      <c r="M177" s="30">
        <f t="shared" si="64"/>
        <v>1</v>
      </c>
      <c r="N177" s="16">
        <f t="shared" si="70"/>
        <v>1</v>
      </c>
      <c r="O177" s="30"/>
      <c r="P177" s="17">
        <f t="shared" si="71"/>
        <v>395680.8</v>
      </c>
      <c r="Q177" s="17">
        <f t="shared" si="65"/>
        <v>395680.8</v>
      </c>
      <c r="R177" s="35"/>
      <c r="S177" s="36"/>
      <c r="X177" s="3"/>
    </row>
    <row r="178" spans="1:24" s="2" customFormat="1" ht="33" x14ac:dyDescent="0.3">
      <c r="A178" s="13">
        <v>41</v>
      </c>
      <c r="B178" s="18" t="s">
        <v>92</v>
      </c>
      <c r="C178" s="23">
        <v>1</v>
      </c>
      <c r="D178" s="23">
        <v>1</v>
      </c>
      <c r="E178" s="29">
        <v>1090000</v>
      </c>
      <c r="F178" s="15">
        <f t="shared" si="67"/>
        <v>1090000</v>
      </c>
      <c r="G178" s="19">
        <v>343200</v>
      </c>
      <c r="H178" s="23">
        <v>1</v>
      </c>
      <c r="I178" s="23">
        <v>1</v>
      </c>
      <c r="J178" s="29">
        <f t="shared" si="68"/>
        <v>1071600</v>
      </c>
      <c r="K178" s="15">
        <f t="shared" si="69"/>
        <v>1071600</v>
      </c>
      <c r="L178" s="19">
        <v>1071600</v>
      </c>
      <c r="M178" s="30">
        <f t="shared" si="64"/>
        <v>2</v>
      </c>
      <c r="N178" s="16">
        <f t="shared" si="70"/>
        <v>2</v>
      </c>
      <c r="O178" s="30"/>
      <c r="P178" s="17">
        <f t="shared" si="71"/>
        <v>2161600</v>
      </c>
      <c r="Q178" s="17">
        <f t="shared" si="65"/>
        <v>1414800</v>
      </c>
      <c r="R178" s="35"/>
      <c r="S178" s="36"/>
      <c r="X178" s="3"/>
    </row>
    <row r="179" spans="1:24" s="2" customFormat="1" ht="33" x14ac:dyDescent="0.3">
      <c r="A179" s="13">
        <v>42</v>
      </c>
      <c r="B179" s="64" t="s">
        <v>115</v>
      </c>
      <c r="C179" s="23">
        <v>7.2</v>
      </c>
      <c r="D179" s="23">
        <v>7.2</v>
      </c>
      <c r="E179" s="29">
        <f t="shared" si="66"/>
        <v>75600</v>
      </c>
      <c r="F179" s="15">
        <f t="shared" si="67"/>
        <v>544320</v>
      </c>
      <c r="G179" s="19">
        <v>544320</v>
      </c>
      <c r="H179" s="23">
        <v>7.46</v>
      </c>
      <c r="I179" s="23">
        <v>7.46</v>
      </c>
      <c r="J179" s="29">
        <f t="shared" si="68"/>
        <v>54000</v>
      </c>
      <c r="K179" s="15">
        <f t="shared" si="69"/>
        <v>402840</v>
      </c>
      <c r="L179" s="19">
        <v>402840</v>
      </c>
      <c r="M179" s="17">
        <f t="shared" si="64"/>
        <v>14.66</v>
      </c>
      <c r="N179" s="16">
        <f t="shared" si="70"/>
        <v>14.66</v>
      </c>
      <c r="O179" s="17"/>
      <c r="P179" s="17">
        <f t="shared" si="71"/>
        <v>947160</v>
      </c>
      <c r="Q179" s="17">
        <f t="shared" si="65"/>
        <v>947160</v>
      </c>
      <c r="R179" s="38"/>
      <c r="S179" s="36"/>
      <c r="X179" s="3"/>
    </row>
    <row r="180" spans="1:24" s="2" customFormat="1" ht="33" x14ac:dyDescent="0.3">
      <c r="A180" s="13">
        <v>43</v>
      </c>
      <c r="B180" s="18" t="s">
        <v>95</v>
      </c>
      <c r="C180" s="23"/>
      <c r="D180" s="23"/>
      <c r="E180" s="29"/>
      <c r="F180" s="15"/>
      <c r="G180" s="19"/>
      <c r="H180" s="23">
        <v>1</v>
      </c>
      <c r="I180" s="23">
        <v>1</v>
      </c>
      <c r="J180" s="29">
        <f t="shared" si="68"/>
        <v>79200</v>
      </c>
      <c r="K180" s="15">
        <f t="shared" si="69"/>
        <v>79200</v>
      </c>
      <c r="L180" s="19">
        <v>79200</v>
      </c>
      <c r="M180" s="30">
        <f t="shared" si="64"/>
        <v>1</v>
      </c>
      <c r="N180" s="16">
        <f t="shared" si="70"/>
        <v>1</v>
      </c>
      <c r="O180" s="30"/>
      <c r="P180" s="17">
        <f t="shared" si="71"/>
        <v>79200</v>
      </c>
      <c r="Q180" s="17">
        <f t="shared" si="65"/>
        <v>79200</v>
      </c>
      <c r="R180" s="35"/>
      <c r="S180" s="36"/>
      <c r="X180" s="3"/>
    </row>
    <row r="181" spans="1:24" s="2" customFormat="1" ht="33" x14ac:dyDescent="0.3">
      <c r="A181" s="13">
        <v>44</v>
      </c>
      <c r="B181" s="64" t="s">
        <v>117</v>
      </c>
      <c r="C181" s="23">
        <v>1</v>
      </c>
      <c r="D181" s="23">
        <v>1</v>
      </c>
      <c r="E181" s="29">
        <f t="shared" si="66"/>
        <v>566400</v>
      </c>
      <c r="F181" s="15">
        <f t="shared" si="67"/>
        <v>566400</v>
      </c>
      <c r="G181" s="19">
        <v>566400</v>
      </c>
      <c r="H181" s="23"/>
      <c r="I181" s="23"/>
      <c r="J181" s="29"/>
      <c r="K181" s="15"/>
      <c r="L181" s="19"/>
      <c r="M181" s="30">
        <f t="shared" si="64"/>
        <v>1</v>
      </c>
      <c r="N181" s="16">
        <f t="shared" si="70"/>
        <v>1</v>
      </c>
      <c r="O181" s="30"/>
      <c r="P181" s="17">
        <f t="shared" si="71"/>
        <v>566400</v>
      </c>
      <c r="Q181" s="17">
        <f t="shared" si="65"/>
        <v>566400</v>
      </c>
      <c r="R181" s="35"/>
      <c r="S181" s="36"/>
      <c r="X181" s="3"/>
    </row>
    <row r="182" spans="1:24" s="2" customFormat="1" ht="33" x14ac:dyDescent="0.3">
      <c r="A182" s="13">
        <v>45</v>
      </c>
      <c r="B182" s="18" t="s">
        <v>96</v>
      </c>
      <c r="C182" s="23"/>
      <c r="D182" s="23"/>
      <c r="E182" s="29"/>
      <c r="F182" s="15"/>
      <c r="G182" s="19"/>
      <c r="H182" s="23">
        <v>10.43</v>
      </c>
      <c r="I182" s="23">
        <f>10.43</f>
        <v>10.43</v>
      </c>
      <c r="J182" s="29">
        <f t="shared" si="68"/>
        <v>78000</v>
      </c>
      <c r="K182" s="15">
        <f>I182*J182</f>
        <v>813540</v>
      </c>
      <c r="L182" s="19">
        <v>813540</v>
      </c>
      <c r="M182" s="17">
        <f t="shared" si="64"/>
        <v>10.43</v>
      </c>
      <c r="N182" s="16">
        <f t="shared" si="70"/>
        <v>10.43</v>
      </c>
      <c r="O182" s="17"/>
      <c r="P182" s="17">
        <f t="shared" si="71"/>
        <v>813540</v>
      </c>
      <c r="Q182" s="17">
        <f t="shared" si="65"/>
        <v>813540</v>
      </c>
      <c r="R182" s="38"/>
      <c r="S182" s="36"/>
      <c r="X182" s="3"/>
    </row>
    <row r="183" spans="1:24" s="2" customFormat="1" ht="16.5" x14ac:dyDescent="0.3">
      <c r="A183" s="13">
        <v>46</v>
      </c>
      <c r="B183" s="64" t="s">
        <v>118</v>
      </c>
      <c r="C183" s="23">
        <v>3.2</v>
      </c>
      <c r="D183" s="23">
        <v>3.2</v>
      </c>
      <c r="E183" s="29">
        <f t="shared" si="66"/>
        <v>60000</v>
      </c>
      <c r="F183" s="15">
        <f t="shared" si="67"/>
        <v>192000</v>
      </c>
      <c r="G183" s="19">
        <v>192000</v>
      </c>
      <c r="H183" s="23"/>
      <c r="I183" s="23"/>
      <c r="J183" s="29"/>
      <c r="K183" s="15"/>
      <c r="L183" s="19"/>
      <c r="M183" s="37">
        <f t="shared" si="64"/>
        <v>3.2</v>
      </c>
      <c r="N183" s="16">
        <f t="shared" si="70"/>
        <v>3.2</v>
      </c>
      <c r="O183" s="37"/>
      <c r="P183" s="17">
        <f t="shared" si="71"/>
        <v>192000</v>
      </c>
      <c r="Q183" s="17">
        <f t="shared" si="65"/>
        <v>192000</v>
      </c>
      <c r="R183" s="38"/>
      <c r="S183" s="36"/>
      <c r="X183" s="3"/>
    </row>
    <row r="184" spans="1:24" s="2" customFormat="1" ht="33" x14ac:dyDescent="0.3">
      <c r="A184" s="13">
        <v>47</v>
      </c>
      <c r="B184" s="18" t="s">
        <v>97</v>
      </c>
      <c r="C184" s="23">
        <v>4.2</v>
      </c>
      <c r="D184" s="23">
        <v>4.2</v>
      </c>
      <c r="E184" s="29">
        <f t="shared" si="66"/>
        <v>75600</v>
      </c>
      <c r="F184" s="15">
        <f t="shared" si="67"/>
        <v>317520</v>
      </c>
      <c r="G184" s="19">
        <v>317520</v>
      </c>
      <c r="H184" s="23">
        <v>4.0199999999999996</v>
      </c>
      <c r="I184" s="23">
        <v>4.0199999999999996</v>
      </c>
      <c r="J184" s="29">
        <f t="shared" si="68"/>
        <v>75600.000000000015</v>
      </c>
      <c r="K184" s="15">
        <f t="shared" si="69"/>
        <v>303912</v>
      </c>
      <c r="L184" s="19">
        <v>303912</v>
      </c>
      <c r="M184" s="17">
        <f t="shared" si="64"/>
        <v>8.2199999999999989</v>
      </c>
      <c r="N184" s="16">
        <f t="shared" si="70"/>
        <v>8.2199999999999989</v>
      </c>
      <c r="O184" s="17"/>
      <c r="P184" s="17">
        <f t="shared" si="71"/>
        <v>621432</v>
      </c>
      <c r="Q184" s="17">
        <f t="shared" si="65"/>
        <v>621432</v>
      </c>
      <c r="R184" s="38"/>
      <c r="S184" s="36"/>
      <c r="X184" s="3"/>
    </row>
    <row r="185" spans="1:24" s="2" customFormat="1" ht="33" x14ac:dyDescent="0.3">
      <c r="A185" s="13">
        <v>48</v>
      </c>
      <c r="B185" s="18" t="s">
        <v>98</v>
      </c>
      <c r="C185" s="23">
        <v>1</v>
      </c>
      <c r="D185" s="23">
        <v>1</v>
      </c>
      <c r="E185" s="29">
        <f t="shared" si="66"/>
        <v>79200</v>
      </c>
      <c r="F185" s="15">
        <f t="shared" si="67"/>
        <v>79200</v>
      </c>
      <c r="G185" s="19">
        <v>79200</v>
      </c>
      <c r="H185" s="23">
        <v>3</v>
      </c>
      <c r="I185" s="23">
        <v>3</v>
      </c>
      <c r="J185" s="29">
        <f t="shared" si="68"/>
        <v>79200</v>
      </c>
      <c r="K185" s="15">
        <f t="shared" si="69"/>
        <v>237600</v>
      </c>
      <c r="L185" s="19">
        <v>237600</v>
      </c>
      <c r="M185" s="30">
        <f t="shared" si="64"/>
        <v>4</v>
      </c>
      <c r="N185" s="16">
        <f t="shared" si="70"/>
        <v>4</v>
      </c>
      <c r="O185" s="30"/>
      <c r="P185" s="17">
        <f t="shared" si="71"/>
        <v>316800</v>
      </c>
      <c r="Q185" s="17">
        <f t="shared" si="65"/>
        <v>316800</v>
      </c>
      <c r="R185" s="35"/>
      <c r="S185" s="36"/>
      <c r="X185" s="3"/>
    </row>
    <row r="186" spans="1:24" s="2" customFormat="1" ht="16.5" x14ac:dyDescent="0.3">
      <c r="A186" s="13">
        <v>49</v>
      </c>
      <c r="B186" s="18" t="s">
        <v>99</v>
      </c>
      <c r="C186" s="23">
        <v>1</v>
      </c>
      <c r="D186" s="23">
        <v>1</v>
      </c>
      <c r="E186" s="29">
        <f t="shared" si="66"/>
        <v>79200</v>
      </c>
      <c r="F186" s="15">
        <f t="shared" si="67"/>
        <v>79200</v>
      </c>
      <c r="G186" s="19">
        <v>79200</v>
      </c>
      <c r="H186" s="23">
        <v>1</v>
      </c>
      <c r="I186" s="23">
        <v>1</v>
      </c>
      <c r="J186" s="29">
        <f t="shared" si="68"/>
        <v>79200</v>
      </c>
      <c r="K186" s="15">
        <f t="shared" si="69"/>
        <v>79200</v>
      </c>
      <c r="L186" s="19">
        <v>79200</v>
      </c>
      <c r="M186" s="30">
        <f t="shared" si="64"/>
        <v>2</v>
      </c>
      <c r="N186" s="16">
        <f t="shared" si="70"/>
        <v>2</v>
      </c>
      <c r="O186" s="30"/>
      <c r="P186" s="17">
        <f t="shared" si="71"/>
        <v>158400</v>
      </c>
      <c r="Q186" s="17">
        <f t="shared" si="65"/>
        <v>158400</v>
      </c>
      <c r="R186" s="35"/>
      <c r="S186" s="36"/>
      <c r="X186" s="3"/>
    </row>
    <row r="187" spans="1:24" s="2" customFormat="1" ht="16.5" x14ac:dyDescent="0.3">
      <c r="A187" s="13">
        <v>50</v>
      </c>
      <c r="B187" s="64" t="s">
        <v>100</v>
      </c>
      <c r="C187" s="23">
        <v>1</v>
      </c>
      <c r="D187" s="23">
        <v>1</v>
      </c>
      <c r="E187" s="29">
        <f t="shared" si="66"/>
        <v>79200</v>
      </c>
      <c r="F187" s="15">
        <f t="shared" si="67"/>
        <v>79200</v>
      </c>
      <c r="G187" s="19">
        <v>79200</v>
      </c>
      <c r="H187" s="23">
        <v>1</v>
      </c>
      <c r="I187" s="23">
        <v>1</v>
      </c>
      <c r="J187" s="29">
        <f t="shared" si="68"/>
        <v>79200</v>
      </c>
      <c r="K187" s="15">
        <f t="shared" si="69"/>
        <v>79200</v>
      </c>
      <c r="L187" s="19">
        <v>79200</v>
      </c>
      <c r="M187" s="30">
        <f t="shared" si="64"/>
        <v>2</v>
      </c>
      <c r="N187" s="16">
        <f t="shared" si="70"/>
        <v>2</v>
      </c>
      <c r="O187" s="30"/>
      <c r="P187" s="17">
        <f t="shared" si="71"/>
        <v>158400</v>
      </c>
      <c r="Q187" s="17">
        <f t="shared" si="65"/>
        <v>158400</v>
      </c>
      <c r="R187" s="35"/>
      <c r="S187" s="36"/>
      <c r="X187" s="3"/>
    </row>
    <row r="188" spans="1:24" s="2" customFormat="1" ht="16.5" x14ac:dyDescent="0.3">
      <c r="A188" s="24"/>
      <c r="B188" s="25" t="s">
        <v>11</v>
      </c>
      <c r="C188" s="17"/>
      <c r="D188" s="17"/>
      <c r="E188" s="17"/>
      <c r="F188" s="52">
        <f>SUM(F144:F187)</f>
        <v>12741160</v>
      </c>
      <c r="G188" s="17">
        <f>SUM(G144:G187)</f>
        <v>12599100</v>
      </c>
      <c r="H188" s="17"/>
      <c r="I188" s="17"/>
      <c r="J188" s="17"/>
      <c r="K188" s="52">
        <f>SUM(K144:K187)</f>
        <v>15707212.800000001</v>
      </c>
      <c r="L188" s="17">
        <f t="shared" ref="L188:Q188" si="72">SUM(L144:L187)</f>
        <v>15533572.800000001</v>
      </c>
      <c r="M188" s="17"/>
      <c r="N188" s="17"/>
      <c r="O188" s="17"/>
      <c r="P188" s="17">
        <f t="shared" si="71"/>
        <v>28448372.800000001</v>
      </c>
      <c r="Q188" s="17">
        <f t="shared" si="72"/>
        <v>28132672.800000001</v>
      </c>
      <c r="R188" s="36"/>
      <c r="S188" s="36"/>
      <c r="X188" s="3"/>
    </row>
    <row r="189" spans="1:24" s="2" customFormat="1" ht="16.5" x14ac:dyDescent="0.3">
      <c r="A189" s="24"/>
      <c r="B189" s="25"/>
      <c r="C189" s="17"/>
      <c r="D189" s="183" t="s">
        <v>15</v>
      </c>
      <c r="E189" s="184"/>
      <c r="F189" s="184"/>
      <c r="G189" s="184"/>
      <c r="H189" s="184"/>
      <c r="I189" s="184"/>
      <c r="J189" s="184"/>
      <c r="K189" s="184"/>
      <c r="L189" s="184"/>
      <c r="M189" s="184"/>
      <c r="N189" s="184"/>
      <c r="O189" s="184"/>
      <c r="P189" s="184"/>
      <c r="Q189" s="185"/>
      <c r="R189" s="36"/>
      <c r="S189" s="36"/>
      <c r="X189" s="3"/>
    </row>
    <row r="190" spans="1:24" s="2" customFormat="1" ht="33" x14ac:dyDescent="0.3">
      <c r="A190" s="24">
        <v>1</v>
      </c>
      <c r="B190" s="18" t="s">
        <v>96</v>
      </c>
      <c r="C190" s="17"/>
      <c r="D190" s="17"/>
      <c r="E190" s="80"/>
      <c r="F190" s="17"/>
      <c r="G190" s="17"/>
      <c r="H190" s="17"/>
      <c r="I190" s="20">
        <v>7.4</v>
      </c>
      <c r="J190" s="67">
        <v>41300</v>
      </c>
      <c r="K190" s="19">
        <f>I190*J190</f>
        <v>305620</v>
      </c>
      <c r="L190" s="17"/>
      <c r="M190" s="17"/>
      <c r="N190" s="17">
        <v>7.4</v>
      </c>
      <c r="O190" s="17"/>
      <c r="P190" s="17">
        <v>305620</v>
      </c>
      <c r="Q190" s="17"/>
      <c r="R190" s="36"/>
      <c r="S190" s="36"/>
      <c r="X190" s="3"/>
    </row>
    <row r="191" spans="1:24" s="2" customFormat="1" ht="16.5" x14ac:dyDescent="0.3">
      <c r="A191" s="24"/>
      <c r="B191" s="25" t="s">
        <v>11</v>
      </c>
      <c r="C191" s="17"/>
      <c r="D191" s="17"/>
      <c r="E191" s="17"/>
      <c r="F191" s="17"/>
      <c r="G191" s="17"/>
      <c r="H191" s="17"/>
      <c r="I191" s="20"/>
      <c r="J191" s="13"/>
      <c r="K191" s="17">
        <f>SUM(K190)</f>
        <v>305620</v>
      </c>
      <c r="L191" s="17"/>
      <c r="M191" s="17"/>
      <c r="N191" s="17"/>
      <c r="O191" s="17"/>
      <c r="P191" s="17">
        <v>305620</v>
      </c>
      <c r="Q191" s="17"/>
      <c r="R191" s="36"/>
      <c r="S191" s="36"/>
      <c r="X191" s="3"/>
    </row>
    <row r="192" spans="1:24" s="2" customFormat="1" ht="18.75" x14ac:dyDescent="0.3">
      <c r="A192" s="179"/>
      <c r="B192" s="180"/>
      <c r="C192" s="66"/>
      <c r="D192" s="176" t="s">
        <v>101</v>
      </c>
      <c r="E192" s="177"/>
      <c r="F192" s="177"/>
      <c r="G192" s="177"/>
      <c r="H192" s="177"/>
      <c r="I192" s="177"/>
      <c r="J192" s="177"/>
      <c r="K192" s="177"/>
      <c r="L192" s="177"/>
      <c r="M192" s="177"/>
      <c r="N192" s="177"/>
      <c r="O192" s="177"/>
      <c r="P192" s="177"/>
      <c r="Q192" s="178"/>
      <c r="R192" s="181"/>
      <c r="S192" s="181"/>
      <c r="X192" s="3"/>
    </row>
    <row r="193" spans="1:24" s="2" customFormat="1" ht="33" x14ac:dyDescent="0.3">
      <c r="A193" s="13">
        <v>1</v>
      </c>
      <c r="B193" s="18" t="s">
        <v>102</v>
      </c>
      <c r="C193" s="13">
        <v>3</v>
      </c>
      <c r="D193" s="13">
        <v>3</v>
      </c>
      <c r="E193" s="67">
        <f>G193/C193</f>
        <v>324999.99666666664</v>
      </c>
      <c r="F193" s="19">
        <f>D193*E193</f>
        <v>974999.99</v>
      </c>
      <c r="G193" s="19">
        <v>974999.99</v>
      </c>
      <c r="H193" s="23">
        <v>3</v>
      </c>
      <c r="I193" s="23">
        <v>3</v>
      </c>
      <c r="J193" s="26">
        <f>L193/H193</f>
        <v>324999.99666666664</v>
      </c>
      <c r="K193" s="19">
        <f>I193*J193</f>
        <v>974999.99</v>
      </c>
      <c r="L193" s="19">
        <v>974999.99</v>
      </c>
      <c r="M193" s="30">
        <f>D193+H193</f>
        <v>6</v>
      </c>
      <c r="N193" s="16">
        <f>D193+I193</f>
        <v>6</v>
      </c>
      <c r="O193" s="30"/>
      <c r="P193" s="17">
        <f>F193+K193</f>
        <v>1949999.98</v>
      </c>
      <c r="Q193" s="17">
        <f>G193+L193</f>
        <v>1949999.98</v>
      </c>
      <c r="R193" s="35"/>
      <c r="S193" s="36"/>
      <c r="X193" s="3"/>
    </row>
    <row r="194" spans="1:24" s="2" customFormat="1" ht="33" x14ac:dyDescent="0.3">
      <c r="A194" s="13">
        <v>2</v>
      </c>
      <c r="B194" s="18" t="s">
        <v>103</v>
      </c>
      <c r="C194" s="23">
        <v>3</v>
      </c>
      <c r="D194" s="23">
        <v>3</v>
      </c>
      <c r="E194" s="67">
        <f>G194/C194</f>
        <v>204999.99666666667</v>
      </c>
      <c r="F194" s="19">
        <f>D194*E194</f>
        <v>614999.99</v>
      </c>
      <c r="G194" s="19">
        <v>614999.99</v>
      </c>
      <c r="H194" s="23">
        <v>4</v>
      </c>
      <c r="I194" s="23">
        <v>4</v>
      </c>
      <c r="J194" s="26">
        <f>L194/H194</f>
        <v>204999.9975</v>
      </c>
      <c r="K194" s="19">
        <f>I194*J194</f>
        <v>819999.99</v>
      </c>
      <c r="L194" s="19">
        <v>819999.99</v>
      </c>
      <c r="M194" s="30">
        <f>D194+H194</f>
        <v>7</v>
      </c>
      <c r="N194" s="16">
        <f>D194+I194</f>
        <v>7</v>
      </c>
      <c r="O194" s="30"/>
      <c r="P194" s="17">
        <f>F194+K194</f>
        <v>1434999.98</v>
      </c>
      <c r="Q194" s="17">
        <f>G194+L194</f>
        <v>1434999.98</v>
      </c>
      <c r="R194" s="35"/>
      <c r="S194" s="36"/>
      <c r="X194" s="3"/>
    </row>
    <row r="195" spans="1:24" s="2" customFormat="1" ht="16.5" x14ac:dyDescent="0.3">
      <c r="A195" s="27"/>
      <c r="B195" s="68" t="s">
        <v>11</v>
      </c>
      <c r="C195" s="55"/>
      <c r="D195" s="55"/>
      <c r="E195" s="55"/>
      <c r="F195" s="17">
        <f>SUM(F193:F194)</f>
        <v>1589999.98</v>
      </c>
      <c r="G195" s="17">
        <f>SUM(G193:G194)</f>
        <v>1589999.98</v>
      </c>
      <c r="H195" s="17"/>
      <c r="I195" s="17"/>
      <c r="J195" s="17"/>
      <c r="K195" s="17">
        <f>SUM(K193:K194)</f>
        <v>1794999.98</v>
      </c>
      <c r="L195" s="17">
        <f t="shared" ref="L195" si="73">SUM(L193:L194)</f>
        <v>1794999.98</v>
      </c>
      <c r="M195" s="30"/>
      <c r="N195" s="30"/>
      <c r="O195" s="30"/>
      <c r="P195" s="17">
        <f>SUM(P193:P194)</f>
        <v>3384999.96</v>
      </c>
      <c r="Q195" s="17">
        <f>G195+L195</f>
        <v>3384999.96</v>
      </c>
      <c r="R195" s="36"/>
      <c r="S195" s="36"/>
      <c r="X195" s="3"/>
    </row>
    <row r="196" spans="1:24" s="2" customFormat="1" ht="18.75" x14ac:dyDescent="0.3">
      <c r="B196" s="69"/>
      <c r="C196" s="69"/>
      <c r="D196" s="167" t="s">
        <v>104</v>
      </c>
      <c r="E196" s="168"/>
      <c r="F196" s="168"/>
      <c r="G196" s="168"/>
      <c r="H196" s="168"/>
      <c r="I196" s="168"/>
      <c r="J196" s="168"/>
      <c r="K196" s="168"/>
      <c r="L196" s="168"/>
      <c r="M196" s="168"/>
      <c r="N196" s="168"/>
      <c r="O196" s="168"/>
      <c r="P196" s="168"/>
      <c r="Q196" s="169"/>
      <c r="R196" s="182"/>
      <c r="S196" s="182"/>
      <c r="X196" s="3"/>
    </row>
    <row r="197" spans="1:24" s="2" customFormat="1" ht="49.5" x14ac:dyDescent="0.3">
      <c r="A197" s="13">
        <v>1</v>
      </c>
      <c r="B197" s="64" t="s">
        <v>105</v>
      </c>
      <c r="C197" s="23">
        <v>1</v>
      </c>
      <c r="D197" s="23">
        <v>1</v>
      </c>
      <c r="E197" s="26">
        <f>G197/C197</f>
        <v>300000</v>
      </c>
      <c r="F197" s="19">
        <f>D197*E197</f>
        <v>300000</v>
      </c>
      <c r="G197" s="19">
        <v>300000</v>
      </c>
      <c r="H197" s="23">
        <v>1</v>
      </c>
      <c r="I197" s="23">
        <v>1</v>
      </c>
      <c r="J197" s="26">
        <f>L197/H197</f>
        <v>300000</v>
      </c>
      <c r="K197" s="19">
        <f>I197*J197</f>
        <v>300000</v>
      </c>
      <c r="L197" s="19">
        <v>300000</v>
      </c>
      <c r="M197" s="30">
        <f t="shared" ref="M197:M200" si="74">D197+H197</f>
        <v>2</v>
      </c>
      <c r="N197" s="16">
        <f>D197+I197</f>
        <v>2</v>
      </c>
      <c r="O197" s="30"/>
      <c r="P197" s="17">
        <f>F197+K197</f>
        <v>600000</v>
      </c>
      <c r="Q197" s="17">
        <f>G197+L197</f>
        <v>600000</v>
      </c>
      <c r="R197" s="35"/>
      <c r="S197" s="36"/>
      <c r="X197" s="3"/>
    </row>
    <row r="198" spans="1:24" s="2" customFormat="1" ht="49.5" x14ac:dyDescent="0.3">
      <c r="A198" s="13">
        <v>2</v>
      </c>
      <c r="B198" s="64" t="s">
        <v>106</v>
      </c>
      <c r="C198" s="23">
        <v>2</v>
      </c>
      <c r="D198" s="23">
        <v>2</v>
      </c>
      <c r="E198" s="26">
        <f t="shared" ref="E198:E200" si="75">G198/C198</f>
        <v>390000</v>
      </c>
      <c r="F198" s="19">
        <f t="shared" ref="F198:F200" si="76">D198*E198</f>
        <v>780000</v>
      </c>
      <c r="G198" s="19">
        <v>780000</v>
      </c>
      <c r="H198" s="23">
        <v>2</v>
      </c>
      <c r="I198" s="23">
        <v>2</v>
      </c>
      <c r="J198" s="26">
        <f t="shared" ref="J198:J199" si="77">L198/H198</f>
        <v>390000</v>
      </c>
      <c r="K198" s="19">
        <f t="shared" ref="K198:K199" si="78">I198*J198</f>
        <v>780000</v>
      </c>
      <c r="L198" s="19">
        <v>780000</v>
      </c>
      <c r="M198" s="30">
        <f t="shared" si="74"/>
        <v>4</v>
      </c>
      <c r="N198" s="16">
        <f t="shared" ref="N198:N200" si="79">D198+I198</f>
        <v>4</v>
      </c>
      <c r="O198" s="30"/>
      <c r="P198" s="17">
        <f t="shared" ref="P198:P200" si="80">F198+K198</f>
        <v>1560000</v>
      </c>
      <c r="Q198" s="17">
        <f>G198+L198</f>
        <v>1560000</v>
      </c>
      <c r="R198" s="35"/>
      <c r="S198" s="36"/>
      <c r="X198" s="3"/>
    </row>
    <row r="199" spans="1:24" s="2" customFormat="1" ht="49.5" x14ac:dyDescent="0.3">
      <c r="A199" s="13">
        <v>3</v>
      </c>
      <c r="B199" s="64" t="s">
        <v>107</v>
      </c>
      <c r="C199" s="23">
        <v>4</v>
      </c>
      <c r="D199" s="23">
        <v>4</v>
      </c>
      <c r="E199" s="26">
        <f t="shared" si="75"/>
        <v>440000.005</v>
      </c>
      <c r="F199" s="19">
        <f t="shared" si="76"/>
        <v>1760000.02</v>
      </c>
      <c r="G199" s="19">
        <v>1760000.02</v>
      </c>
      <c r="H199" s="23">
        <v>4</v>
      </c>
      <c r="I199" s="23">
        <v>4</v>
      </c>
      <c r="J199" s="26">
        <f t="shared" si="77"/>
        <v>440000.005</v>
      </c>
      <c r="K199" s="19">
        <f t="shared" si="78"/>
        <v>1760000.02</v>
      </c>
      <c r="L199" s="23">
        <v>1760000.02</v>
      </c>
      <c r="M199" s="30">
        <f t="shared" si="74"/>
        <v>8</v>
      </c>
      <c r="N199" s="16">
        <f t="shared" si="79"/>
        <v>8</v>
      </c>
      <c r="O199" s="30"/>
      <c r="P199" s="17">
        <f t="shared" si="80"/>
        <v>3520000.04</v>
      </c>
      <c r="Q199" s="17">
        <f>G199+L199</f>
        <v>3520000.04</v>
      </c>
      <c r="R199" s="35"/>
      <c r="S199" s="36"/>
      <c r="X199" s="3"/>
    </row>
    <row r="200" spans="1:24" s="2" customFormat="1" ht="66" x14ac:dyDescent="0.3">
      <c r="A200" s="13">
        <v>4</v>
      </c>
      <c r="B200" s="64" t="s">
        <v>108</v>
      </c>
      <c r="C200" s="23">
        <v>1</v>
      </c>
      <c r="D200" s="23">
        <v>1</v>
      </c>
      <c r="E200" s="26">
        <f t="shared" si="75"/>
        <v>710000</v>
      </c>
      <c r="F200" s="19">
        <f t="shared" si="76"/>
        <v>710000</v>
      </c>
      <c r="G200" s="19">
        <v>710000</v>
      </c>
      <c r="H200" s="23"/>
      <c r="I200" s="23"/>
      <c r="J200" s="26"/>
      <c r="K200" s="19"/>
      <c r="L200" s="19"/>
      <c r="M200" s="30">
        <f t="shared" si="74"/>
        <v>1</v>
      </c>
      <c r="N200" s="16">
        <f t="shared" si="79"/>
        <v>1</v>
      </c>
      <c r="O200" s="30"/>
      <c r="P200" s="17">
        <f t="shared" si="80"/>
        <v>710000</v>
      </c>
      <c r="Q200" s="17">
        <f>G200+L200</f>
        <v>710000</v>
      </c>
      <c r="R200" s="35"/>
      <c r="S200" s="36"/>
      <c r="X200" s="3"/>
    </row>
    <row r="201" spans="1:24" s="2" customFormat="1" ht="16.5" x14ac:dyDescent="0.3">
      <c r="B201" s="70" t="s">
        <v>11</v>
      </c>
      <c r="C201" s="55"/>
      <c r="D201" s="55"/>
      <c r="E201" s="55"/>
      <c r="F201" s="17">
        <f>SUM(F197:F200)</f>
        <v>3550000.02</v>
      </c>
      <c r="G201" s="17">
        <f>SUM(G197:G200)</f>
        <v>3550000.02</v>
      </c>
      <c r="H201" s="17"/>
      <c r="I201" s="17"/>
      <c r="J201" s="17"/>
      <c r="K201" s="17">
        <f>SUM(K197:K200)</f>
        <v>2840000.02</v>
      </c>
      <c r="L201" s="17">
        <f t="shared" ref="L201" si="81">SUM(L197:L200)</f>
        <v>2840000.02</v>
      </c>
      <c r="M201" s="30"/>
      <c r="N201" s="30"/>
      <c r="O201" s="30"/>
      <c r="P201" s="17">
        <f>SUM(P197:P200)</f>
        <v>6390000.04</v>
      </c>
      <c r="Q201" s="17">
        <f>G201+L201</f>
        <v>6390000.04</v>
      </c>
      <c r="R201" s="36"/>
      <c r="S201" s="36"/>
      <c r="X201" s="3"/>
    </row>
    <row r="202" spans="1:24" s="2" customFormat="1" ht="18.75" x14ac:dyDescent="0.3">
      <c r="A202" s="174"/>
      <c r="B202" s="175"/>
      <c r="C202" s="71"/>
      <c r="D202" s="167" t="s">
        <v>109</v>
      </c>
      <c r="E202" s="168"/>
      <c r="F202" s="168"/>
      <c r="G202" s="168"/>
      <c r="H202" s="168"/>
      <c r="I202" s="168"/>
      <c r="J202" s="168"/>
      <c r="K202" s="168"/>
      <c r="L202" s="168"/>
      <c r="M202" s="168"/>
      <c r="N202" s="168"/>
      <c r="O202" s="168"/>
      <c r="P202" s="168"/>
      <c r="Q202" s="169"/>
      <c r="R202" s="182"/>
      <c r="S202" s="182"/>
      <c r="X202" s="3"/>
    </row>
    <row r="203" spans="1:24" s="2" customFormat="1" ht="16.5" x14ac:dyDescent="0.3">
      <c r="A203" s="13">
        <v>1</v>
      </c>
      <c r="B203" s="64" t="s">
        <v>110</v>
      </c>
      <c r="C203" s="23">
        <v>1</v>
      </c>
      <c r="D203" s="23">
        <v>1</v>
      </c>
      <c r="E203" s="26">
        <f>G203/C203</f>
        <v>178000</v>
      </c>
      <c r="F203" s="19">
        <f>D203*E203</f>
        <v>178000</v>
      </c>
      <c r="G203" s="19">
        <v>178000</v>
      </c>
      <c r="H203" s="23">
        <v>1</v>
      </c>
      <c r="I203" s="23">
        <v>1</v>
      </c>
      <c r="J203" s="26">
        <f>L203/H203</f>
        <v>178000</v>
      </c>
      <c r="K203" s="19">
        <f>I203*J203</f>
        <v>178000</v>
      </c>
      <c r="L203" s="19">
        <v>178000</v>
      </c>
      <c r="M203" s="30">
        <f t="shared" ref="M203:M206" si="82">D203+H203</f>
        <v>2</v>
      </c>
      <c r="N203" s="16">
        <f>D203+I203</f>
        <v>2</v>
      </c>
      <c r="O203" s="30"/>
      <c r="P203" s="17">
        <f>F203+K203</f>
        <v>356000</v>
      </c>
      <c r="Q203" s="17">
        <f t="shared" ref="Q203:Q208" si="83">G203+L203</f>
        <v>356000</v>
      </c>
      <c r="R203" s="35"/>
      <c r="S203" s="36"/>
      <c r="X203" s="3"/>
    </row>
    <row r="204" spans="1:24" s="2" customFormat="1" ht="33" x14ac:dyDescent="0.3">
      <c r="A204" s="13">
        <v>2</v>
      </c>
      <c r="B204" s="64" t="s">
        <v>111</v>
      </c>
      <c r="C204" s="23">
        <v>1</v>
      </c>
      <c r="D204" s="23">
        <v>1</v>
      </c>
      <c r="E204" s="26">
        <f t="shared" ref="E204:E206" si="84">G204/C204</f>
        <v>165000</v>
      </c>
      <c r="F204" s="19">
        <f t="shared" ref="F204:F206" si="85">D204*E204</f>
        <v>165000</v>
      </c>
      <c r="G204" s="19">
        <v>165000</v>
      </c>
      <c r="H204" s="23">
        <v>1</v>
      </c>
      <c r="I204" s="23">
        <v>1</v>
      </c>
      <c r="J204" s="26">
        <f t="shared" ref="J204:J206" si="86">L204/H204</f>
        <v>165000</v>
      </c>
      <c r="K204" s="19">
        <f t="shared" ref="K204:K206" si="87">I204*J204</f>
        <v>165000</v>
      </c>
      <c r="L204" s="19">
        <v>165000</v>
      </c>
      <c r="M204" s="30">
        <f t="shared" si="82"/>
        <v>2</v>
      </c>
      <c r="N204" s="16">
        <f t="shared" ref="N204:N206" si="88">D204+I204</f>
        <v>2</v>
      </c>
      <c r="O204" s="30"/>
      <c r="P204" s="17">
        <f t="shared" ref="P204:P206" si="89">F204+K204</f>
        <v>330000</v>
      </c>
      <c r="Q204" s="17">
        <f t="shared" si="83"/>
        <v>330000</v>
      </c>
      <c r="R204" s="35"/>
      <c r="S204" s="36"/>
      <c r="X204" s="3"/>
    </row>
    <row r="205" spans="1:24" s="2" customFormat="1" ht="33" x14ac:dyDescent="0.3">
      <c r="A205" s="13">
        <v>3</v>
      </c>
      <c r="B205" s="64" t="s">
        <v>112</v>
      </c>
      <c r="C205" s="23">
        <v>1</v>
      </c>
      <c r="D205" s="23">
        <v>1</v>
      </c>
      <c r="E205" s="26">
        <f t="shared" si="84"/>
        <v>90000</v>
      </c>
      <c r="F205" s="19">
        <f t="shared" si="85"/>
        <v>90000</v>
      </c>
      <c r="G205" s="19">
        <v>90000</v>
      </c>
      <c r="H205" s="23">
        <v>1</v>
      </c>
      <c r="I205" s="23">
        <v>1</v>
      </c>
      <c r="J205" s="26">
        <f t="shared" si="86"/>
        <v>90000</v>
      </c>
      <c r="K205" s="19">
        <f t="shared" si="87"/>
        <v>90000</v>
      </c>
      <c r="L205" s="19">
        <v>90000</v>
      </c>
      <c r="M205" s="30">
        <f t="shared" si="82"/>
        <v>2</v>
      </c>
      <c r="N205" s="16">
        <f t="shared" si="88"/>
        <v>2</v>
      </c>
      <c r="O205" s="30"/>
      <c r="P205" s="17">
        <f t="shared" si="89"/>
        <v>180000</v>
      </c>
      <c r="Q205" s="17">
        <f t="shared" si="83"/>
        <v>180000</v>
      </c>
      <c r="R205" s="35"/>
      <c r="S205" s="36"/>
      <c r="X205" s="3"/>
    </row>
    <row r="206" spans="1:24" s="2" customFormat="1" ht="33" x14ac:dyDescent="0.3">
      <c r="A206" s="13">
        <v>4</v>
      </c>
      <c r="B206" s="64" t="s">
        <v>113</v>
      </c>
      <c r="C206" s="23">
        <v>1</v>
      </c>
      <c r="D206" s="23">
        <v>1</v>
      </c>
      <c r="E206" s="26">
        <f t="shared" si="84"/>
        <v>95000</v>
      </c>
      <c r="F206" s="19">
        <f t="shared" si="85"/>
        <v>95000</v>
      </c>
      <c r="G206" s="19">
        <v>95000</v>
      </c>
      <c r="H206" s="23">
        <v>1</v>
      </c>
      <c r="I206" s="23">
        <v>1</v>
      </c>
      <c r="J206" s="26">
        <f t="shared" si="86"/>
        <v>95000</v>
      </c>
      <c r="K206" s="19">
        <f t="shared" si="87"/>
        <v>95000</v>
      </c>
      <c r="L206" s="19">
        <v>95000</v>
      </c>
      <c r="M206" s="30">
        <f t="shared" si="82"/>
        <v>2</v>
      </c>
      <c r="N206" s="16">
        <f t="shared" si="88"/>
        <v>2</v>
      </c>
      <c r="O206" s="30"/>
      <c r="P206" s="17">
        <f t="shared" si="89"/>
        <v>190000</v>
      </c>
      <c r="Q206" s="17">
        <f t="shared" si="83"/>
        <v>190000</v>
      </c>
      <c r="R206" s="35"/>
      <c r="S206" s="36"/>
      <c r="X206" s="3"/>
    </row>
    <row r="207" spans="1:24" s="2" customFormat="1" ht="16.5" x14ac:dyDescent="0.3">
      <c r="A207" s="72"/>
      <c r="B207" s="68" t="s">
        <v>11</v>
      </c>
      <c r="C207" s="55"/>
      <c r="D207" s="55"/>
      <c r="E207" s="55"/>
      <c r="F207" s="17">
        <f>SUM(F203:F206)</f>
        <v>528000</v>
      </c>
      <c r="G207" s="17">
        <f>SUM(G203:G206)</f>
        <v>528000</v>
      </c>
      <c r="H207" s="17"/>
      <c r="I207" s="17"/>
      <c r="J207" s="17"/>
      <c r="K207" s="17">
        <f>SUM(K203:K206)</f>
        <v>528000</v>
      </c>
      <c r="L207" s="17">
        <f t="shared" ref="L207" si="90">SUM(L203:L206)</f>
        <v>528000</v>
      </c>
      <c r="M207" s="30"/>
      <c r="N207" s="30"/>
      <c r="O207" s="30"/>
      <c r="P207" s="17">
        <f>SUM(P203:P206)</f>
        <v>1056000</v>
      </c>
      <c r="Q207" s="17">
        <f t="shared" si="83"/>
        <v>1056000</v>
      </c>
      <c r="R207" s="36"/>
      <c r="S207" s="36"/>
      <c r="X207" s="3"/>
    </row>
    <row r="208" spans="1:24" s="2" customFormat="1" ht="17.25" x14ac:dyDescent="0.3">
      <c r="A208" s="73"/>
      <c r="B208" s="74" t="s">
        <v>114</v>
      </c>
      <c r="C208" s="75"/>
      <c r="D208" s="75"/>
      <c r="E208" s="75"/>
      <c r="F208" s="76">
        <f>F188+F195+F201+F207+F191</f>
        <v>18409160</v>
      </c>
      <c r="G208" s="76">
        <f>G188+G195+G201+G207+G191</f>
        <v>18267100</v>
      </c>
      <c r="H208" s="76"/>
      <c r="I208" s="76"/>
      <c r="J208" s="76"/>
      <c r="K208" s="76">
        <f>K188+K195+K201+K207+K191</f>
        <v>21175832.800000001</v>
      </c>
      <c r="L208" s="76">
        <f>L188+L195+L201+L207+L191</f>
        <v>20696572.800000001</v>
      </c>
      <c r="M208" s="76"/>
      <c r="N208" s="76"/>
      <c r="O208" s="76"/>
      <c r="P208" s="76">
        <f>P188+P195+P201+P207+P191</f>
        <v>39584992.800000004</v>
      </c>
      <c r="Q208" s="76">
        <f t="shared" si="83"/>
        <v>38963672.799999997</v>
      </c>
      <c r="R208" s="81"/>
      <c r="S208" s="81"/>
      <c r="X208" s="3"/>
    </row>
    <row r="209" spans="1:24" s="2" customFormat="1" ht="16.5" x14ac:dyDescent="0.3">
      <c r="A209" s="1"/>
      <c r="P209" s="3"/>
      <c r="X209" s="3"/>
    </row>
    <row r="210" spans="1:24" s="2" customFormat="1" ht="16.5" x14ac:dyDescent="0.3">
      <c r="A210" s="1"/>
      <c r="P210" s="3"/>
      <c r="X210" s="3"/>
    </row>
    <row r="211" spans="1:24" s="2" customFormat="1" ht="20.25" x14ac:dyDescent="0.3">
      <c r="A211" s="1"/>
      <c r="R211" s="157" t="s">
        <v>46</v>
      </c>
      <c r="S211" s="157"/>
      <c r="X211" s="3"/>
    </row>
    <row r="212" spans="1:24" s="2" customFormat="1" ht="16.5" x14ac:dyDescent="0.3">
      <c r="A212" s="158" t="s">
        <v>47</v>
      </c>
      <c r="B212" s="158"/>
      <c r="C212" s="158"/>
      <c r="D212" s="158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  <c r="R212" s="158"/>
      <c r="S212" s="158"/>
      <c r="X212" s="3"/>
    </row>
    <row r="213" spans="1:24" s="2" customFormat="1" ht="16.5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X213" s="3"/>
    </row>
    <row r="214" spans="1:24" s="2" customFormat="1" ht="16.5" x14ac:dyDescent="0.3">
      <c r="A214" s="1"/>
      <c r="M214" s="159" t="s">
        <v>5</v>
      </c>
      <c r="N214" s="159"/>
      <c r="O214" s="159"/>
      <c r="P214" s="159"/>
      <c r="Q214" s="159"/>
      <c r="X214" s="3"/>
    </row>
    <row r="215" spans="1:24" s="2" customFormat="1" ht="16.5" x14ac:dyDescent="0.3">
      <c r="A215" s="160" t="s">
        <v>6</v>
      </c>
      <c r="B215" s="163" t="s">
        <v>7</v>
      </c>
      <c r="C215" s="9"/>
      <c r="D215" s="170" t="s">
        <v>48</v>
      </c>
      <c r="E215" s="171"/>
      <c r="F215" s="171"/>
      <c r="G215" s="172"/>
      <c r="H215" s="170" t="s">
        <v>49</v>
      </c>
      <c r="I215" s="171"/>
      <c r="J215" s="171"/>
      <c r="K215" s="171"/>
      <c r="L215" s="172"/>
      <c r="M215" s="170" t="s">
        <v>11</v>
      </c>
      <c r="N215" s="171"/>
      <c r="O215" s="171"/>
      <c r="P215" s="171"/>
      <c r="Q215" s="172"/>
      <c r="R215" s="166"/>
      <c r="S215" s="166"/>
      <c r="X215" s="3"/>
    </row>
    <row r="216" spans="1:24" s="2" customFormat="1" ht="33" x14ac:dyDescent="0.3">
      <c r="A216" s="161"/>
      <c r="B216" s="164"/>
      <c r="C216" s="10" t="s">
        <v>12</v>
      </c>
      <c r="D216" s="10" t="s">
        <v>12</v>
      </c>
      <c r="E216" s="10" t="s">
        <v>13</v>
      </c>
      <c r="F216" s="10" t="s">
        <v>14</v>
      </c>
      <c r="G216" s="55" t="s">
        <v>14</v>
      </c>
      <c r="H216" s="10" t="s">
        <v>12</v>
      </c>
      <c r="I216" s="10" t="s">
        <v>12</v>
      </c>
      <c r="J216" s="10" t="s">
        <v>13</v>
      </c>
      <c r="K216" s="55" t="s">
        <v>14</v>
      </c>
      <c r="L216" s="55" t="s">
        <v>14</v>
      </c>
      <c r="M216" s="10" t="s">
        <v>12</v>
      </c>
      <c r="N216" s="10" t="s">
        <v>12</v>
      </c>
      <c r="O216" s="10"/>
      <c r="P216" s="55" t="s">
        <v>14</v>
      </c>
      <c r="Q216" s="55"/>
      <c r="R216" s="31"/>
      <c r="S216" s="56"/>
      <c r="X216" s="3"/>
    </row>
    <row r="217" spans="1:24" s="2" customFormat="1" ht="18.75" x14ac:dyDescent="0.3">
      <c r="A217" s="162"/>
      <c r="B217" s="165"/>
      <c r="C217" s="33"/>
      <c r="D217" s="167" t="s">
        <v>50</v>
      </c>
      <c r="E217" s="168"/>
      <c r="F217" s="168"/>
      <c r="G217" s="168"/>
      <c r="H217" s="168"/>
      <c r="I217" s="168"/>
      <c r="J217" s="168"/>
      <c r="K217" s="168"/>
      <c r="L217" s="168"/>
      <c r="M217" s="168"/>
      <c r="N217" s="168"/>
      <c r="O217" s="168"/>
      <c r="P217" s="168"/>
      <c r="Q217" s="169"/>
      <c r="R217" s="34"/>
      <c r="S217" s="34"/>
      <c r="X217" s="3"/>
    </row>
    <row r="218" spans="1:24" s="2" customFormat="1" ht="49.5" x14ac:dyDescent="0.3">
      <c r="A218" s="13">
        <v>1</v>
      </c>
      <c r="B218" s="59" t="s">
        <v>71</v>
      </c>
      <c r="C218" s="79">
        <v>1</v>
      </c>
      <c r="D218" s="79">
        <v>1</v>
      </c>
      <c r="E218" s="29">
        <f>G218/C218</f>
        <v>122000</v>
      </c>
      <c r="F218" s="15">
        <f>D218*E218</f>
        <v>122000</v>
      </c>
      <c r="G218" s="15">
        <v>122000</v>
      </c>
      <c r="H218" s="79">
        <v>1</v>
      </c>
      <c r="I218" s="79">
        <v>1</v>
      </c>
      <c r="J218" s="29">
        <f>L218/H218</f>
        <v>118000</v>
      </c>
      <c r="K218" s="15">
        <f>I218*J218</f>
        <v>118000</v>
      </c>
      <c r="L218" s="15">
        <v>118000</v>
      </c>
      <c r="M218" s="30">
        <f t="shared" ref="M218:M258" si="91">D218+H218</f>
        <v>2</v>
      </c>
      <c r="N218" s="16">
        <f>D218+I218</f>
        <v>2</v>
      </c>
      <c r="O218" s="30"/>
      <c r="P218" s="17">
        <f>F218+K218</f>
        <v>240000</v>
      </c>
      <c r="Q218" s="17">
        <f t="shared" ref="Q218:Q258" si="92">G218+L218</f>
        <v>240000</v>
      </c>
      <c r="R218" s="35"/>
      <c r="S218" s="36"/>
      <c r="X218" s="3"/>
    </row>
    <row r="219" spans="1:24" s="2" customFormat="1" ht="16.5" x14ac:dyDescent="0.3">
      <c r="A219" s="13">
        <v>2</v>
      </c>
      <c r="B219" s="18" t="s">
        <v>72</v>
      </c>
      <c r="C219" s="23">
        <v>8</v>
      </c>
      <c r="D219" s="23">
        <v>8</v>
      </c>
      <c r="E219" s="29">
        <f t="shared" ref="E219:E258" si="93">G219/C219</f>
        <v>58600</v>
      </c>
      <c r="F219" s="15">
        <f t="shared" ref="F219:F258" si="94">D219*E219</f>
        <v>468800</v>
      </c>
      <c r="G219" s="19">
        <v>468800</v>
      </c>
      <c r="H219" s="23">
        <v>9</v>
      </c>
      <c r="I219" s="23">
        <v>9</v>
      </c>
      <c r="J219" s="29">
        <f t="shared" ref="J219:J257" si="95">L219/H219</f>
        <v>56600</v>
      </c>
      <c r="K219" s="15">
        <f t="shared" ref="K219:K257" si="96">I219*J219</f>
        <v>509400</v>
      </c>
      <c r="L219" s="19">
        <v>509400</v>
      </c>
      <c r="M219" s="30">
        <f t="shared" si="91"/>
        <v>17</v>
      </c>
      <c r="N219" s="16">
        <f t="shared" ref="N219:N258" si="97">D219+I219</f>
        <v>17</v>
      </c>
      <c r="O219" s="30"/>
      <c r="P219" s="17">
        <f t="shared" ref="P219:P258" si="98">F219+K219</f>
        <v>978200</v>
      </c>
      <c r="Q219" s="17">
        <f t="shared" si="92"/>
        <v>978200</v>
      </c>
      <c r="R219" s="35"/>
      <c r="S219" s="36"/>
      <c r="X219" s="3"/>
    </row>
    <row r="220" spans="1:24" s="2" customFormat="1" ht="33" x14ac:dyDescent="0.3">
      <c r="A220" s="13">
        <v>4</v>
      </c>
      <c r="B220" s="18" t="s">
        <v>73</v>
      </c>
      <c r="C220" s="23">
        <v>10</v>
      </c>
      <c r="D220" s="23">
        <v>10</v>
      </c>
      <c r="E220" s="29">
        <f t="shared" si="93"/>
        <v>66900</v>
      </c>
      <c r="F220" s="15">
        <f t="shared" si="94"/>
        <v>669000</v>
      </c>
      <c r="G220" s="19">
        <v>669000</v>
      </c>
      <c r="H220" s="23">
        <v>10</v>
      </c>
      <c r="I220" s="23">
        <v>10</v>
      </c>
      <c r="J220" s="29">
        <f t="shared" si="95"/>
        <v>64900</v>
      </c>
      <c r="K220" s="15">
        <f t="shared" si="96"/>
        <v>649000</v>
      </c>
      <c r="L220" s="19">
        <v>649000</v>
      </c>
      <c r="M220" s="30">
        <f t="shared" si="91"/>
        <v>20</v>
      </c>
      <c r="N220" s="16">
        <f t="shared" si="97"/>
        <v>20</v>
      </c>
      <c r="O220" s="30"/>
      <c r="P220" s="17">
        <f t="shared" si="98"/>
        <v>1318000</v>
      </c>
      <c r="Q220" s="17">
        <f t="shared" si="92"/>
        <v>1318000</v>
      </c>
      <c r="R220" s="35"/>
      <c r="S220" s="36"/>
      <c r="X220" s="3"/>
    </row>
    <row r="221" spans="1:24" s="2" customFormat="1" ht="33" x14ac:dyDescent="0.3">
      <c r="A221" s="13">
        <v>5</v>
      </c>
      <c r="B221" s="18" t="s">
        <v>74</v>
      </c>
      <c r="C221" s="23">
        <v>6</v>
      </c>
      <c r="D221" s="23">
        <v>6</v>
      </c>
      <c r="E221" s="29">
        <f t="shared" si="93"/>
        <v>147500</v>
      </c>
      <c r="F221" s="15">
        <f t="shared" si="94"/>
        <v>885000</v>
      </c>
      <c r="G221" s="19">
        <v>885000</v>
      </c>
      <c r="H221" s="23">
        <v>4</v>
      </c>
      <c r="I221" s="23">
        <v>4</v>
      </c>
      <c r="J221" s="29">
        <f t="shared" si="95"/>
        <v>147500</v>
      </c>
      <c r="K221" s="15">
        <f t="shared" si="96"/>
        <v>590000</v>
      </c>
      <c r="L221" s="19">
        <v>590000</v>
      </c>
      <c r="M221" s="30">
        <f t="shared" si="91"/>
        <v>10</v>
      </c>
      <c r="N221" s="16">
        <f t="shared" si="97"/>
        <v>10</v>
      </c>
      <c r="O221" s="30"/>
      <c r="P221" s="17">
        <f t="shared" si="98"/>
        <v>1475000</v>
      </c>
      <c r="Q221" s="17">
        <f t="shared" si="92"/>
        <v>1475000</v>
      </c>
      <c r="R221" s="35"/>
      <c r="S221" s="36"/>
      <c r="X221" s="3"/>
    </row>
    <row r="222" spans="1:24" s="2" customFormat="1" ht="33" x14ac:dyDescent="0.3">
      <c r="A222" s="13">
        <v>6</v>
      </c>
      <c r="B222" s="18" t="s">
        <v>75</v>
      </c>
      <c r="C222" s="23">
        <v>1</v>
      </c>
      <c r="D222" s="23">
        <v>1</v>
      </c>
      <c r="E222" s="29">
        <f t="shared" si="93"/>
        <v>35400</v>
      </c>
      <c r="F222" s="15">
        <f t="shared" si="94"/>
        <v>35400</v>
      </c>
      <c r="G222" s="19">
        <v>35400</v>
      </c>
      <c r="H222" s="23">
        <v>1</v>
      </c>
      <c r="I222" s="23">
        <v>1</v>
      </c>
      <c r="J222" s="29">
        <f t="shared" si="95"/>
        <v>35400</v>
      </c>
      <c r="K222" s="15">
        <f t="shared" si="96"/>
        <v>35400</v>
      </c>
      <c r="L222" s="19">
        <v>35400</v>
      </c>
      <c r="M222" s="30">
        <f t="shared" si="91"/>
        <v>2</v>
      </c>
      <c r="N222" s="16">
        <f t="shared" si="97"/>
        <v>2</v>
      </c>
      <c r="O222" s="30"/>
      <c r="P222" s="17">
        <f t="shared" si="98"/>
        <v>70800</v>
      </c>
      <c r="Q222" s="17">
        <f t="shared" si="92"/>
        <v>70800</v>
      </c>
      <c r="R222" s="35"/>
      <c r="S222" s="36"/>
      <c r="X222" s="3"/>
    </row>
    <row r="223" spans="1:24" s="2" customFormat="1" ht="33" x14ac:dyDescent="0.3">
      <c r="A223" s="13">
        <v>7</v>
      </c>
      <c r="B223" s="18" t="s">
        <v>76</v>
      </c>
      <c r="C223" s="23">
        <v>1</v>
      </c>
      <c r="D223" s="23">
        <v>1</v>
      </c>
      <c r="E223" s="29">
        <f t="shared" si="93"/>
        <v>35400</v>
      </c>
      <c r="F223" s="15">
        <f t="shared" si="94"/>
        <v>35400</v>
      </c>
      <c r="G223" s="19">
        <v>35400</v>
      </c>
      <c r="H223" s="23">
        <v>1</v>
      </c>
      <c r="I223" s="23">
        <v>1</v>
      </c>
      <c r="J223" s="29">
        <f t="shared" si="95"/>
        <v>35400</v>
      </c>
      <c r="K223" s="15">
        <f t="shared" si="96"/>
        <v>35400</v>
      </c>
      <c r="L223" s="19">
        <v>35400</v>
      </c>
      <c r="M223" s="30">
        <f t="shared" si="91"/>
        <v>2</v>
      </c>
      <c r="N223" s="16">
        <f t="shared" si="97"/>
        <v>2</v>
      </c>
      <c r="O223" s="30"/>
      <c r="P223" s="17">
        <f t="shared" si="98"/>
        <v>70800</v>
      </c>
      <c r="Q223" s="17">
        <f t="shared" si="92"/>
        <v>70800</v>
      </c>
      <c r="R223" s="35"/>
      <c r="S223" s="36"/>
      <c r="X223" s="3"/>
    </row>
    <row r="224" spans="1:24" s="2" customFormat="1" ht="16.5" x14ac:dyDescent="0.3">
      <c r="A224" s="13">
        <v>8</v>
      </c>
      <c r="B224" s="18" t="s">
        <v>17</v>
      </c>
      <c r="C224" s="23">
        <v>1</v>
      </c>
      <c r="D224" s="23">
        <v>1</v>
      </c>
      <c r="E224" s="29">
        <f t="shared" si="93"/>
        <v>47200</v>
      </c>
      <c r="F224" s="15">
        <f t="shared" si="94"/>
        <v>47200</v>
      </c>
      <c r="G224" s="19">
        <v>47200</v>
      </c>
      <c r="H224" s="23">
        <v>1</v>
      </c>
      <c r="I224" s="23">
        <v>1</v>
      </c>
      <c r="J224" s="29">
        <f t="shared" si="95"/>
        <v>47200</v>
      </c>
      <c r="K224" s="15">
        <f t="shared" si="96"/>
        <v>47200</v>
      </c>
      <c r="L224" s="19">
        <v>47200</v>
      </c>
      <c r="M224" s="30">
        <f t="shared" si="91"/>
        <v>2</v>
      </c>
      <c r="N224" s="16">
        <f t="shared" si="97"/>
        <v>2</v>
      </c>
      <c r="O224" s="30"/>
      <c r="P224" s="17">
        <f t="shared" si="98"/>
        <v>94400</v>
      </c>
      <c r="Q224" s="17">
        <f t="shared" si="92"/>
        <v>94400</v>
      </c>
      <c r="R224" s="35"/>
      <c r="S224" s="36"/>
      <c r="X224" s="3"/>
    </row>
    <row r="225" spans="1:24" s="2" customFormat="1" ht="33" x14ac:dyDescent="0.3">
      <c r="A225" s="13">
        <v>9</v>
      </c>
      <c r="B225" s="18" t="s">
        <v>77</v>
      </c>
      <c r="C225" s="23">
        <v>1</v>
      </c>
      <c r="D225" s="23">
        <v>1</v>
      </c>
      <c r="E225" s="29">
        <f t="shared" si="93"/>
        <v>283200</v>
      </c>
      <c r="F225" s="15">
        <f t="shared" si="94"/>
        <v>283200</v>
      </c>
      <c r="G225" s="19">
        <v>283200</v>
      </c>
      <c r="H225" s="23">
        <v>1</v>
      </c>
      <c r="I225" s="23">
        <v>1</v>
      </c>
      <c r="J225" s="29">
        <f t="shared" si="95"/>
        <v>285000</v>
      </c>
      <c r="K225" s="15">
        <f t="shared" si="96"/>
        <v>285000</v>
      </c>
      <c r="L225" s="19">
        <v>285000</v>
      </c>
      <c r="M225" s="30">
        <f t="shared" si="91"/>
        <v>2</v>
      </c>
      <c r="N225" s="16">
        <f t="shared" si="97"/>
        <v>2</v>
      </c>
      <c r="O225" s="30"/>
      <c r="P225" s="17">
        <f t="shared" si="98"/>
        <v>568200</v>
      </c>
      <c r="Q225" s="17">
        <f t="shared" si="92"/>
        <v>568200</v>
      </c>
      <c r="R225" s="35"/>
      <c r="S225" s="36"/>
      <c r="X225" s="3"/>
    </row>
    <row r="226" spans="1:24" s="2" customFormat="1" ht="49.5" x14ac:dyDescent="0.3">
      <c r="A226" s="13">
        <v>10</v>
      </c>
      <c r="B226" s="18" t="s">
        <v>78</v>
      </c>
      <c r="C226" s="23">
        <v>1</v>
      </c>
      <c r="D226" s="23">
        <v>1</v>
      </c>
      <c r="E226" s="29">
        <f t="shared" si="93"/>
        <v>118000</v>
      </c>
      <c r="F226" s="15">
        <f t="shared" si="94"/>
        <v>118000</v>
      </c>
      <c r="G226" s="19">
        <v>118000</v>
      </c>
      <c r="H226" s="23">
        <v>1</v>
      </c>
      <c r="I226" s="23">
        <v>1</v>
      </c>
      <c r="J226" s="29">
        <f t="shared" si="95"/>
        <v>117500</v>
      </c>
      <c r="K226" s="15">
        <f t="shared" si="96"/>
        <v>117500</v>
      </c>
      <c r="L226" s="19">
        <v>117500</v>
      </c>
      <c r="M226" s="30">
        <f t="shared" si="91"/>
        <v>2</v>
      </c>
      <c r="N226" s="16">
        <f t="shared" si="97"/>
        <v>2</v>
      </c>
      <c r="O226" s="30"/>
      <c r="P226" s="17">
        <f t="shared" si="98"/>
        <v>235500</v>
      </c>
      <c r="Q226" s="17">
        <f t="shared" si="92"/>
        <v>235500</v>
      </c>
      <c r="R226" s="35"/>
      <c r="S226" s="36"/>
      <c r="X226" s="3"/>
    </row>
    <row r="227" spans="1:24" s="2" customFormat="1" ht="33" x14ac:dyDescent="0.3">
      <c r="A227" s="13">
        <v>11</v>
      </c>
      <c r="B227" s="18" t="s">
        <v>79</v>
      </c>
      <c r="C227" s="23">
        <v>1</v>
      </c>
      <c r="D227" s="23">
        <v>1</v>
      </c>
      <c r="E227" s="29">
        <f t="shared" si="93"/>
        <v>108500</v>
      </c>
      <c r="F227" s="15">
        <f t="shared" si="94"/>
        <v>108500</v>
      </c>
      <c r="G227" s="19">
        <v>108500</v>
      </c>
      <c r="H227" s="23">
        <v>1</v>
      </c>
      <c r="I227" s="23">
        <v>1</v>
      </c>
      <c r="J227" s="29">
        <f t="shared" si="95"/>
        <v>100300</v>
      </c>
      <c r="K227" s="15">
        <f t="shared" si="96"/>
        <v>100300</v>
      </c>
      <c r="L227" s="19">
        <v>100300</v>
      </c>
      <c r="M227" s="30">
        <f t="shared" si="91"/>
        <v>2</v>
      </c>
      <c r="N227" s="16">
        <f t="shared" si="97"/>
        <v>2</v>
      </c>
      <c r="O227" s="30"/>
      <c r="P227" s="17">
        <f t="shared" si="98"/>
        <v>208800</v>
      </c>
      <c r="Q227" s="17">
        <f t="shared" si="92"/>
        <v>208800</v>
      </c>
      <c r="R227" s="35"/>
      <c r="S227" s="36"/>
      <c r="X227" s="3"/>
    </row>
    <row r="228" spans="1:24" s="2" customFormat="1" ht="16.5" x14ac:dyDescent="0.3">
      <c r="A228" s="13">
        <v>12</v>
      </c>
      <c r="B228" s="18" t="s">
        <v>80</v>
      </c>
      <c r="C228" s="23">
        <v>10</v>
      </c>
      <c r="D228" s="23">
        <v>10</v>
      </c>
      <c r="E228" s="29">
        <f t="shared" si="93"/>
        <v>89600</v>
      </c>
      <c r="F228" s="15">
        <f t="shared" si="94"/>
        <v>896000</v>
      </c>
      <c r="G228" s="19">
        <v>896000</v>
      </c>
      <c r="H228" s="23">
        <v>9</v>
      </c>
      <c r="I228" s="23">
        <v>9</v>
      </c>
      <c r="J228" s="29">
        <f t="shared" si="95"/>
        <v>80600</v>
      </c>
      <c r="K228" s="15">
        <f t="shared" si="96"/>
        <v>725400</v>
      </c>
      <c r="L228" s="19">
        <v>725400</v>
      </c>
      <c r="M228" s="30">
        <f t="shared" si="91"/>
        <v>19</v>
      </c>
      <c r="N228" s="16">
        <f t="shared" si="97"/>
        <v>19</v>
      </c>
      <c r="O228" s="30"/>
      <c r="P228" s="17">
        <f t="shared" si="98"/>
        <v>1621400</v>
      </c>
      <c r="Q228" s="17">
        <f t="shared" si="92"/>
        <v>1621400</v>
      </c>
      <c r="R228" s="35"/>
      <c r="S228" s="36"/>
      <c r="X228" s="3"/>
    </row>
    <row r="229" spans="1:24" s="2" customFormat="1" ht="16.5" x14ac:dyDescent="0.3">
      <c r="A229" s="13">
        <v>13</v>
      </c>
      <c r="B229" s="18" t="s">
        <v>18</v>
      </c>
      <c r="C229" s="23">
        <v>3</v>
      </c>
      <c r="D229" s="23">
        <v>3</v>
      </c>
      <c r="E229" s="29">
        <f t="shared" si="93"/>
        <v>35400</v>
      </c>
      <c r="F229" s="15">
        <f t="shared" si="94"/>
        <v>106200</v>
      </c>
      <c r="G229" s="19">
        <v>106200</v>
      </c>
      <c r="H229" s="23">
        <v>2</v>
      </c>
      <c r="I229" s="23">
        <v>2</v>
      </c>
      <c r="J229" s="29">
        <f t="shared" si="95"/>
        <v>35400</v>
      </c>
      <c r="K229" s="15">
        <f t="shared" si="96"/>
        <v>70800</v>
      </c>
      <c r="L229" s="19">
        <v>70800</v>
      </c>
      <c r="M229" s="30">
        <f t="shared" si="91"/>
        <v>5</v>
      </c>
      <c r="N229" s="16">
        <f t="shared" si="97"/>
        <v>5</v>
      </c>
      <c r="O229" s="30"/>
      <c r="P229" s="17">
        <f t="shared" si="98"/>
        <v>177000</v>
      </c>
      <c r="Q229" s="17">
        <f t="shared" si="92"/>
        <v>177000</v>
      </c>
      <c r="R229" s="35"/>
      <c r="S229" s="36"/>
      <c r="X229" s="3"/>
    </row>
    <row r="230" spans="1:24" s="2" customFormat="1" ht="16.5" x14ac:dyDescent="0.3">
      <c r="A230" s="13">
        <v>14</v>
      </c>
      <c r="B230" s="18" t="s">
        <v>19</v>
      </c>
      <c r="C230" s="23">
        <v>1</v>
      </c>
      <c r="D230" s="23">
        <v>1</v>
      </c>
      <c r="E230" s="29">
        <f t="shared" si="93"/>
        <v>41300</v>
      </c>
      <c r="F230" s="15">
        <f t="shared" si="94"/>
        <v>41300</v>
      </c>
      <c r="G230" s="19">
        <v>41300</v>
      </c>
      <c r="H230" s="23">
        <v>1</v>
      </c>
      <c r="I230" s="23">
        <v>1</v>
      </c>
      <c r="J230" s="29">
        <f t="shared" si="95"/>
        <v>41300</v>
      </c>
      <c r="K230" s="15">
        <f t="shared" si="96"/>
        <v>41300</v>
      </c>
      <c r="L230" s="19">
        <v>41300</v>
      </c>
      <c r="M230" s="30">
        <f t="shared" si="91"/>
        <v>2</v>
      </c>
      <c r="N230" s="16">
        <f t="shared" si="97"/>
        <v>2</v>
      </c>
      <c r="O230" s="30"/>
      <c r="P230" s="17">
        <f t="shared" si="98"/>
        <v>82600</v>
      </c>
      <c r="Q230" s="17">
        <f t="shared" si="92"/>
        <v>82600</v>
      </c>
      <c r="R230" s="35"/>
      <c r="S230" s="36"/>
      <c r="X230" s="3"/>
    </row>
    <row r="231" spans="1:24" s="2" customFormat="1" ht="16.5" x14ac:dyDescent="0.3">
      <c r="A231" s="13">
        <v>15</v>
      </c>
      <c r="B231" s="18" t="s">
        <v>81</v>
      </c>
      <c r="C231" s="23">
        <v>1</v>
      </c>
      <c r="D231" s="23">
        <v>1</v>
      </c>
      <c r="E231" s="29">
        <f t="shared" si="93"/>
        <v>106200</v>
      </c>
      <c r="F231" s="15">
        <f t="shared" si="94"/>
        <v>106200</v>
      </c>
      <c r="G231" s="19">
        <v>106200</v>
      </c>
      <c r="H231" s="23">
        <v>1</v>
      </c>
      <c r="I231" s="23">
        <v>1</v>
      </c>
      <c r="J231" s="29">
        <f t="shared" si="95"/>
        <v>106200</v>
      </c>
      <c r="K231" s="15">
        <f t="shared" si="96"/>
        <v>106200</v>
      </c>
      <c r="L231" s="19">
        <v>106200</v>
      </c>
      <c r="M231" s="30">
        <f t="shared" si="91"/>
        <v>2</v>
      </c>
      <c r="N231" s="16">
        <f t="shared" si="97"/>
        <v>2</v>
      </c>
      <c r="O231" s="30"/>
      <c r="P231" s="17">
        <f t="shared" si="98"/>
        <v>212400</v>
      </c>
      <c r="Q231" s="17">
        <f t="shared" si="92"/>
        <v>212400</v>
      </c>
      <c r="R231" s="35"/>
      <c r="S231" s="36"/>
      <c r="X231" s="3"/>
    </row>
    <row r="232" spans="1:24" s="2" customFormat="1" ht="33" x14ac:dyDescent="0.3">
      <c r="A232" s="13">
        <v>16</v>
      </c>
      <c r="B232" s="18" t="s">
        <v>82</v>
      </c>
      <c r="C232" s="23">
        <v>23.17</v>
      </c>
      <c r="D232" s="23">
        <f>23.17-0.45</f>
        <v>22.720000000000002</v>
      </c>
      <c r="E232" s="29">
        <f t="shared" si="93"/>
        <v>55099.999999999993</v>
      </c>
      <c r="F232" s="15">
        <f t="shared" si="94"/>
        <v>1251872</v>
      </c>
      <c r="G232" s="19">
        <v>1276667</v>
      </c>
      <c r="H232" s="23">
        <v>14.2</v>
      </c>
      <c r="I232" s="23">
        <f>14.2-3.6</f>
        <v>10.6</v>
      </c>
      <c r="J232" s="29">
        <f t="shared" si="95"/>
        <v>52800</v>
      </c>
      <c r="K232" s="15">
        <f t="shared" si="96"/>
        <v>559680</v>
      </c>
      <c r="L232" s="19">
        <v>749760</v>
      </c>
      <c r="M232" s="17">
        <f t="shared" si="91"/>
        <v>36.92</v>
      </c>
      <c r="N232" s="16">
        <f t="shared" si="97"/>
        <v>33.32</v>
      </c>
      <c r="O232" s="17"/>
      <c r="P232" s="17">
        <f t="shared" si="98"/>
        <v>1811552</v>
      </c>
      <c r="Q232" s="17">
        <f t="shared" si="92"/>
        <v>2026427</v>
      </c>
      <c r="R232" s="38"/>
      <c r="S232" s="36"/>
      <c r="X232" s="3"/>
    </row>
    <row r="233" spans="1:24" s="2" customFormat="1" ht="33" x14ac:dyDescent="0.3">
      <c r="A233" s="13">
        <v>18</v>
      </c>
      <c r="B233" s="18" t="s">
        <v>83</v>
      </c>
      <c r="C233" s="23">
        <v>1</v>
      </c>
      <c r="D233" s="23">
        <v>1</v>
      </c>
      <c r="E233" s="26">
        <f t="shared" si="93"/>
        <v>82600</v>
      </c>
      <c r="F233" s="15">
        <f t="shared" si="94"/>
        <v>82600</v>
      </c>
      <c r="G233" s="19">
        <v>82600</v>
      </c>
      <c r="H233" s="23">
        <v>1</v>
      </c>
      <c r="I233" s="23">
        <v>1</v>
      </c>
      <c r="J233" s="29">
        <f t="shared" si="95"/>
        <v>82600</v>
      </c>
      <c r="K233" s="15">
        <f t="shared" si="96"/>
        <v>82600</v>
      </c>
      <c r="L233" s="19">
        <v>82600</v>
      </c>
      <c r="M233" s="30">
        <f t="shared" si="91"/>
        <v>2</v>
      </c>
      <c r="N233" s="16">
        <f t="shared" si="97"/>
        <v>2</v>
      </c>
      <c r="O233" s="30"/>
      <c r="P233" s="17">
        <f t="shared" si="98"/>
        <v>165200</v>
      </c>
      <c r="Q233" s="17">
        <f t="shared" si="92"/>
        <v>165200</v>
      </c>
      <c r="R233" s="35"/>
      <c r="S233" s="36"/>
      <c r="X233" s="3"/>
    </row>
    <row r="234" spans="1:24" s="2" customFormat="1" ht="16.5" x14ac:dyDescent="0.3">
      <c r="A234" s="13">
        <v>19</v>
      </c>
      <c r="B234" s="18" t="s">
        <v>84</v>
      </c>
      <c r="C234" s="23">
        <v>1</v>
      </c>
      <c r="D234" s="23">
        <v>1</v>
      </c>
      <c r="E234" s="26">
        <f t="shared" si="93"/>
        <v>70800</v>
      </c>
      <c r="F234" s="15">
        <f t="shared" si="94"/>
        <v>70800</v>
      </c>
      <c r="G234" s="19">
        <v>70800</v>
      </c>
      <c r="H234" s="23">
        <v>1</v>
      </c>
      <c r="I234" s="23">
        <v>1</v>
      </c>
      <c r="J234" s="29">
        <f t="shared" si="95"/>
        <v>82500</v>
      </c>
      <c r="K234" s="15">
        <f t="shared" si="96"/>
        <v>82500</v>
      </c>
      <c r="L234" s="19">
        <v>82500</v>
      </c>
      <c r="M234" s="30">
        <f t="shared" si="91"/>
        <v>2</v>
      </c>
      <c r="N234" s="16">
        <f t="shared" si="97"/>
        <v>2</v>
      </c>
      <c r="O234" s="30"/>
      <c r="P234" s="17">
        <f t="shared" si="98"/>
        <v>153300</v>
      </c>
      <c r="Q234" s="17">
        <f t="shared" si="92"/>
        <v>153300</v>
      </c>
      <c r="R234" s="35"/>
      <c r="S234" s="36"/>
      <c r="X234" s="3"/>
    </row>
    <row r="235" spans="1:24" s="2" customFormat="1" ht="16.5" x14ac:dyDescent="0.3">
      <c r="A235" s="13">
        <v>20</v>
      </c>
      <c r="B235" s="18" t="s">
        <v>85</v>
      </c>
      <c r="C235" s="23">
        <v>1</v>
      </c>
      <c r="D235" s="23">
        <v>1</v>
      </c>
      <c r="E235" s="26">
        <f t="shared" si="93"/>
        <v>84900</v>
      </c>
      <c r="F235" s="15">
        <f t="shared" si="94"/>
        <v>84900</v>
      </c>
      <c r="G235" s="19">
        <v>84900</v>
      </c>
      <c r="H235" s="23">
        <v>1</v>
      </c>
      <c r="I235" s="23">
        <v>1</v>
      </c>
      <c r="J235" s="29">
        <f t="shared" si="95"/>
        <v>94000</v>
      </c>
      <c r="K235" s="15">
        <f t="shared" si="96"/>
        <v>94000</v>
      </c>
      <c r="L235" s="19">
        <v>94000</v>
      </c>
      <c r="M235" s="30">
        <f t="shared" si="91"/>
        <v>2</v>
      </c>
      <c r="N235" s="16">
        <f t="shared" si="97"/>
        <v>2</v>
      </c>
      <c r="O235" s="30"/>
      <c r="P235" s="17">
        <f t="shared" si="98"/>
        <v>178900</v>
      </c>
      <c r="Q235" s="17">
        <f t="shared" si="92"/>
        <v>178900</v>
      </c>
      <c r="R235" s="35"/>
      <c r="S235" s="36"/>
      <c r="X235" s="3"/>
    </row>
    <row r="236" spans="1:24" s="2" customFormat="1" ht="16.5" x14ac:dyDescent="0.3">
      <c r="A236" s="13">
        <v>22</v>
      </c>
      <c r="B236" s="18" t="s">
        <v>86</v>
      </c>
      <c r="C236" s="23">
        <v>1</v>
      </c>
      <c r="D236" s="23">
        <v>1</v>
      </c>
      <c r="E236" s="26">
        <f t="shared" si="93"/>
        <v>70800</v>
      </c>
      <c r="F236" s="15">
        <f t="shared" si="94"/>
        <v>70800</v>
      </c>
      <c r="G236" s="19">
        <v>70800</v>
      </c>
      <c r="H236" s="23">
        <v>1</v>
      </c>
      <c r="I236" s="23">
        <v>1</v>
      </c>
      <c r="J236" s="29">
        <f t="shared" si="95"/>
        <v>70800</v>
      </c>
      <c r="K236" s="15">
        <f t="shared" si="96"/>
        <v>70800</v>
      </c>
      <c r="L236" s="19">
        <v>70800</v>
      </c>
      <c r="M236" s="30">
        <f t="shared" si="91"/>
        <v>2</v>
      </c>
      <c r="N236" s="16">
        <f t="shared" si="97"/>
        <v>2</v>
      </c>
      <c r="O236" s="30"/>
      <c r="P236" s="17">
        <f t="shared" si="98"/>
        <v>141600</v>
      </c>
      <c r="Q236" s="17">
        <f t="shared" si="92"/>
        <v>141600</v>
      </c>
      <c r="R236" s="35"/>
      <c r="S236" s="36"/>
      <c r="X236" s="3"/>
    </row>
    <row r="237" spans="1:24" s="2" customFormat="1" ht="49.5" x14ac:dyDescent="0.3">
      <c r="A237" s="13">
        <v>23</v>
      </c>
      <c r="B237" s="18" t="s">
        <v>87</v>
      </c>
      <c r="C237" s="23">
        <v>1</v>
      </c>
      <c r="D237" s="23">
        <v>1</v>
      </c>
      <c r="E237" s="26">
        <f t="shared" si="93"/>
        <v>118000</v>
      </c>
      <c r="F237" s="15">
        <f t="shared" si="94"/>
        <v>118000</v>
      </c>
      <c r="G237" s="19">
        <v>118000</v>
      </c>
      <c r="H237" s="23"/>
      <c r="I237" s="23"/>
      <c r="J237" s="29"/>
      <c r="K237" s="15"/>
      <c r="L237" s="19"/>
      <c r="M237" s="30">
        <f t="shared" si="91"/>
        <v>1</v>
      </c>
      <c r="N237" s="16">
        <f t="shared" si="97"/>
        <v>1</v>
      </c>
      <c r="O237" s="30"/>
      <c r="P237" s="17">
        <f t="shared" si="98"/>
        <v>118000</v>
      </c>
      <c r="Q237" s="17">
        <f t="shared" si="92"/>
        <v>118000</v>
      </c>
      <c r="R237" s="35"/>
      <c r="S237" s="36"/>
      <c r="X237" s="3"/>
    </row>
    <row r="238" spans="1:24" s="2" customFormat="1" ht="66" x14ac:dyDescent="0.3">
      <c r="A238" s="13">
        <v>24</v>
      </c>
      <c r="B238" s="18" t="s">
        <v>22</v>
      </c>
      <c r="C238" s="23">
        <v>472</v>
      </c>
      <c r="D238" s="23">
        <f>472-68</f>
        <v>404</v>
      </c>
      <c r="E238" s="26">
        <f t="shared" si="93"/>
        <v>1475</v>
      </c>
      <c r="F238" s="15">
        <f t="shared" si="94"/>
        <v>595900</v>
      </c>
      <c r="G238" s="19">
        <v>696200</v>
      </c>
      <c r="H238" s="23">
        <v>282</v>
      </c>
      <c r="I238" s="23">
        <f>282-135.7</f>
        <v>146.30000000000001</v>
      </c>
      <c r="J238" s="29">
        <f t="shared" si="95"/>
        <v>1475</v>
      </c>
      <c r="K238" s="15">
        <f t="shared" si="96"/>
        <v>215792.50000000003</v>
      </c>
      <c r="L238" s="19">
        <v>415950</v>
      </c>
      <c r="M238" s="30">
        <f t="shared" si="91"/>
        <v>686</v>
      </c>
      <c r="N238" s="16">
        <f t="shared" si="97"/>
        <v>550.29999999999995</v>
      </c>
      <c r="O238" s="30"/>
      <c r="P238" s="17">
        <f t="shared" si="98"/>
        <v>811692.5</v>
      </c>
      <c r="Q238" s="17">
        <f t="shared" si="92"/>
        <v>1112150</v>
      </c>
      <c r="R238" s="35"/>
      <c r="S238" s="36"/>
      <c r="X238" s="3"/>
    </row>
    <row r="239" spans="1:24" s="2" customFormat="1" ht="16.5" x14ac:dyDescent="0.3">
      <c r="A239" s="13">
        <v>25</v>
      </c>
      <c r="B239" s="18" t="s">
        <v>23</v>
      </c>
      <c r="C239" s="23">
        <v>2</v>
      </c>
      <c r="D239" s="23">
        <v>2</v>
      </c>
      <c r="E239" s="26">
        <f t="shared" si="93"/>
        <v>70800</v>
      </c>
      <c r="F239" s="15">
        <f t="shared" si="94"/>
        <v>141600</v>
      </c>
      <c r="G239" s="19">
        <v>141600</v>
      </c>
      <c r="H239" s="23">
        <v>4</v>
      </c>
      <c r="I239" s="23">
        <v>4</v>
      </c>
      <c r="J239" s="29">
        <f t="shared" si="95"/>
        <v>70800</v>
      </c>
      <c r="K239" s="15">
        <f t="shared" si="96"/>
        <v>283200</v>
      </c>
      <c r="L239" s="19">
        <v>283200</v>
      </c>
      <c r="M239" s="30">
        <f t="shared" si="91"/>
        <v>6</v>
      </c>
      <c r="N239" s="16">
        <f t="shared" si="97"/>
        <v>6</v>
      </c>
      <c r="O239" s="30"/>
      <c r="P239" s="17">
        <f t="shared" si="98"/>
        <v>424800</v>
      </c>
      <c r="Q239" s="17">
        <f t="shared" si="92"/>
        <v>424800</v>
      </c>
      <c r="R239" s="35"/>
      <c r="S239" s="36"/>
      <c r="X239" s="3"/>
    </row>
    <row r="240" spans="1:24" s="2" customFormat="1" ht="49.5" x14ac:dyDescent="0.3">
      <c r="A240" s="13">
        <v>26</v>
      </c>
      <c r="B240" s="18" t="s">
        <v>88</v>
      </c>
      <c r="C240" s="23">
        <v>1</v>
      </c>
      <c r="D240" s="23">
        <v>1</v>
      </c>
      <c r="E240" s="26">
        <f t="shared" si="93"/>
        <v>35400</v>
      </c>
      <c r="F240" s="15">
        <f t="shared" si="94"/>
        <v>35400</v>
      </c>
      <c r="G240" s="19">
        <v>35400</v>
      </c>
      <c r="H240" s="23">
        <v>1</v>
      </c>
      <c r="I240" s="23">
        <v>1</v>
      </c>
      <c r="J240" s="29">
        <f t="shared" si="95"/>
        <v>35400</v>
      </c>
      <c r="K240" s="15">
        <f t="shared" si="96"/>
        <v>35400</v>
      </c>
      <c r="L240" s="19">
        <v>35400</v>
      </c>
      <c r="M240" s="30">
        <f t="shared" si="91"/>
        <v>2</v>
      </c>
      <c r="N240" s="16">
        <f t="shared" si="97"/>
        <v>2</v>
      </c>
      <c r="O240" s="30"/>
      <c r="P240" s="17">
        <f t="shared" si="98"/>
        <v>70800</v>
      </c>
      <c r="Q240" s="17">
        <f t="shared" si="92"/>
        <v>70800</v>
      </c>
      <c r="R240" s="35"/>
      <c r="S240" s="36"/>
      <c r="X240" s="3"/>
    </row>
    <row r="241" spans="1:24" s="2" customFormat="1" ht="49.5" x14ac:dyDescent="0.3">
      <c r="A241" s="13">
        <v>27</v>
      </c>
      <c r="B241" s="18" t="s">
        <v>24</v>
      </c>
      <c r="C241" s="23">
        <v>1</v>
      </c>
      <c r="D241" s="23">
        <v>1</v>
      </c>
      <c r="E241" s="26">
        <f t="shared" si="93"/>
        <v>35400</v>
      </c>
      <c r="F241" s="15">
        <f t="shared" si="94"/>
        <v>35400</v>
      </c>
      <c r="G241" s="19">
        <v>35400</v>
      </c>
      <c r="H241" s="23">
        <v>1</v>
      </c>
      <c r="I241" s="23">
        <v>1</v>
      </c>
      <c r="J241" s="29">
        <f t="shared" si="95"/>
        <v>35400</v>
      </c>
      <c r="K241" s="15">
        <f t="shared" si="96"/>
        <v>35400</v>
      </c>
      <c r="L241" s="19">
        <v>35400</v>
      </c>
      <c r="M241" s="30">
        <f t="shared" si="91"/>
        <v>2</v>
      </c>
      <c r="N241" s="16">
        <f t="shared" si="97"/>
        <v>2</v>
      </c>
      <c r="O241" s="30"/>
      <c r="P241" s="17">
        <f t="shared" si="98"/>
        <v>70800</v>
      </c>
      <c r="Q241" s="17">
        <f t="shared" si="92"/>
        <v>70800</v>
      </c>
      <c r="R241" s="35"/>
      <c r="S241" s="36"/>
      <c r="X241" s="3"/>
    </row>
    <row r="242" spans="1:24" s="2" customFormat="1" ht="33" x14ac:dyDescent="0.3">
      <c r="A242" s="13">
        <v>28</v>
      </c>
      <c r="B242" s="18" t="s">
        <v>89</v>
      </c>
      <c r="C242" s="23">
        <v>4</v>
      </c>
      <c r="D242" s="23">
        <v>4</v>
      </c>
      <c r="E242" s="26">
        <f t="shared" si="93"/>
        <v>70800</v>
      </c>
      <c r="F242" s="15">
        <f t="shared" si="94"/>
        <v>283200</v>
      </c>
      <c r="G242" s="19">
        <v>283200</v>
      </c>
      <c r="H242" s="23">
        <v>4</v>
      </c>
      <c r="I242" s="23">
        <v>4</v>
      </c>
      <c r="J242" s="29">
        <f t="shared" si="95"/>
        <v>59000</v>
      </c>
      <c r="K242" s="15">
        <f t="shared" si="96"/>
        <v>236000</v>
      </c>
      <c r="L242" s="19">
        <v>236000</v>
      </c>
      <c r="M242" s="30">
        <f t="shared" si="91"/>
        <v>8</v>
      </c>
      <c r="N242" s="16">
        <f t="shared" si="97"/>
        <v>8</v>
      </c>
      <c r="O242" s="30"/>
      <c r="P242" s="17">
        <f t="shared" si="98"/>
        <v>519200</v>
      </c>
      <c r="Q242" s="17">
        <f t="shared" si="92"/>
        <v>519200</v>
      </c>
      <c r="R242" s="35"/>
      <c r="S242" s="36"/>
      <c r="X242" s="3"/>
    </row>
    <row r="243" spans="1:24" s="2" customFormat="1" ht="16.5" x14ac:dyDescent="0.3">
      <c r="A243" s="13">
        <v>29</v>
      </c>
      <c r="B243" s="18" t="s">
        <v>25</v>
      </c>
      <c r="C243" s="23">
        <v>4</v>
      </c>
      <c r="D243" s="23">
        <v>4</v>
      </c>
      <c r="E243" s="26">
        <f t="shared" si="93"/>
        <v>29500</v>
      </c>
      <c r="F243" s="15">
        <f t="shared" si="94"/>
        <v>118000</v>
      </c>
      <c r="G243" s="19">
        <v>118000</v>
      </c>
      <c r="H243" s="23">
        <v>4</v>
      </c>
      <c r="I243" s="23">
        <v>4</v>
      </c>
      <c r="J243" s="29">
        <f t="shared" si="95"/>
        <v>28750</v>
      </c>
      <c r="K243" s="15">
        <f t="shared" si="96"/>
        <v>115000</v>
      </c>
      <c r="L243" s="19">
        <v>115000</v>
      </c>
      <c r="M243" s="30">
        <f t="shared" si="91"/>
        <v>8</v>
      </c>
      <c r="N243" s="16">
        <f t="shared" si="97"/>
        <v>8</v>
      </c>
      <c r="O243" s="30"/>
      <c r="P243" s="17">
        <f t="shared" si="98"/>
        <v>233000</v>
      </c>
      <c r="Q243" s="17">
        <f t="shared" si="92"/>
        <v>233000</v>
      </c>
      <c r="R243" s="35"/>
      <c r="S243" s="36"/>
      <c r="X243" s="3"/>
    </row>
    <row r="244" spans="1:24" s="2" customFormat="1" ht="16.5" x14ac:dyDescent="0.3">
      <c r="A244" s="13">
        <v>31</v>
      </c>
      <c r="B244" s="18" t="s">
        <v>90</v>
      </c>
      <c r="C244" s="23">
        <v>5.93</v>
      </c>
      <c r="D244" s="23">
        <v>5.93</v>
      </c>
      <c r="E244" s="26">
        <f t="shared" si="93"/>
        <v>122000</v>
      </c>
      <c r="F244" s="15">
        <f t="shared" si="94"/>
        <v>723460</v>
      </c>
      <c r="G244" s="19">
        <v>723460</v>
      </c>
      <c r="H244" s="23">
        <v>3.7</v>
      </c>
      <c r="I244" s="23">
        <v>3.7</v>
      </c>
      <c r="J244" s="29">
        <f t="shared" si="95"/>
        <v>122000</v>
      </c>
      <c r="K244" s="15">
        <f t="shared" si="96"/>
        <v>451400</v>
      </c>
      <c r="L244" s="19">
        <v>451400</v>
      </c>
      <c r="M244" s="17">
        <f t="shared" si="91"/>
        <v>9.629999999999999</v>
      </c>
      <c r="N244" s="16">
        <f t="shared" si="97"/>
        <v>9.629999999999999</v>
      </c>
      <c r="O244" s="17"/>
      <c r="P244" s="17">
        <f t="shared" si="98"/>
        <v>1174860</v>
      </c>
      <c r="Q244" s="17">
        <f t="shared" si="92"/>
        <v>1174860</v>
      </c>
      <c r="R244" s="36"/>
      <c r="S244" s="36"/>
      <c r="X244" s="3"/>
    </row>
    <row r="245" spans="1:24" s="2" customFormat="1" ht="16.5" x14ac:dyDescent="0.3">
      <c r="A245" s="13">
        <v>32</v>
      </c>
      <c r="B245" s="18" t="s">
        <v>27</v>
      </c>
      <c r="C245" s="23">
        <v>8</v>
      </c>
      <c r="D245" s="23">
        <v>8</v>
      </c>
      <c r="E245" s="26">
        <f t="shared" si="93"/>
        <v>41300</v>
      </c>
      <c r="F245" s="15">
        <f t="shared" si="94"/>
        <v>330400</v>
      </c>
      <c r="G245" s="19">
        <v>330400</v>
      </c>
      <c r="H245" s="23">
        <v>6</v>
      </c>
      <c r="I245" s="23">
        <v>6</v>
      </c>
      <c r="J245" s="29">
        <f t="shared" si="95"/>
        <v>41300</v>
      </c>
      <c r="K245" s="15">
        <f t="shared" si="96"/>
        <v>247800</v>
      </c>
      <c r="L245" s="19">
        <v>247800</v>
      </c>
      <c r="M245" s="30">
        <f t="shared" si="91"/>
        <v>14</v>
      </c>
      <c r="N245" s="16">
        <f t="shared" si="97"/>
        <v>14</v>
      </c>
      <c r="O245" s="30"/>
      <c r="P245" s="17">
        <f t="shared" si="98"/>
        <v>578200</v>
      </c>
      <c r="Q245" s="17">
        <f t="shared" si="92"/>
        <v>578200</v>
      </c>
      <c r="R245" s="35"/>
      <c r="S245" s="36"/>
      <c r="X245" s="3"/>
    </row>
    <row r="246" spans="1:24" s="2" customFormat="1" ht="33" x14ac:dyDescent="0.3">
      <c r="A246" s="13">
        <v>33</v>
      </c>
      <c r="B246" s="18" t="s">
        <v>28</v>
      </c>
      <c r="C246" s="23">
        <v>158</v>
      </c>
      <c r="D246" s="23">
        <f>158-5.4</f>
        <v>152.6</v>
      </c>
      <c r="E246" s="26">
        <f t="shared" si="93"/>
        <v>7700</v>
      </c>
      <c r="F246" s="15">
        <f t="shared" si="94"/>
        <v>1175020</v>
      </c>
      <c r="G246" s="19">
        <v>1216600</v>
      </c>
      <c r="H246" s="23">
        <v>77</v>
      </c>
      <c r="I246" s="23">
        <f>77-9</f>
        <v>68</v>
      </c>
      <c r="J246" s="29">
        <f t="shared" si="95"/>
        <v>7700</v>
      </c>
      <c r="K246" s="15">
        <f t="shared" si="96"/>
        <v>523600</v>
      </c>
      <c r="L246" s="19">
        <v>592900</v>
      </c>
      <c r="M246" s="30">
        <f t="shared" si="91"/>
        <v>229.6</v>
      </c>
      <c r="N246" s="16">
        <f t="shared" si="97"/>
        <v>220.6</v>
      </c>
      <c r="O246" s="30"/>
      <c r="P246" s="17">
        <f t="shared" si="98"/>
        <v>1698620</v>
      </c>
      <c r="Q246" s="17">
        <f t="shared" si="92"/>
        <v>1809500</v>
      </c>
      <c r="R246" s="38"/>
      <c r="S246" s="36"/>
      <c r="X246" s="3"/>
    </row>
    <row r="247" spans="1:24" s="2" customFormat="1" ht="33" x14ac:dyDescent="0.3">
      <c r="A247" s="13">
        <v>35</v>
      </c>
      <c r="B247" s="18" t="s">
        <v>30</v>
      </c>
      <c r="C247" s="23">
        <v>1</v>
      </c>
      <c r="D247" s="23">
        <v>1</v>
      </c>
      <c r="E247" s="26">
        <f t="shared" si="93"/>
        <v>30600</v>
      </c>
      <c r="F247" s="15">
        <f t="shared" si="94"/>
        <v>30600</v>
      </c>
      <c r="G247" s="19">
        <v>30600</v>
      </c>
      <c r="H247" s="23">
        <v>1</v>
      </c>
      <c r="I247" s="23">
        <v>1</v>
      </c>
      <c r="J247" s="29">
        <f t="shared" si="95"/>
        <v>37000</v>
      </c>
      <c r="K247" s="15">
        <f t="shared" si="96"/>
        <v>37000</v>
      </c>
      <c r="L247" s="19">
        <v>37000</v>
      </c>
      <c r="M247" s="30">
        <f t="shared" si="91"/>
        <v>2</v>
      </c>
      <c r="N247" s="16">
        <f t="shared" si="97"/>
        <v>2</v>
      </c>
      <c r="O247" s="30"/>
      <c r="P247" s="17">
        <f t="shared" si="98"/>
        <v>67600</v>
      </c>
      <c r="Q247" s="17">
        <f t="shared" si="92"/>
        <v>67600</v>
      </c>
      <c r="R247" s="35"/>
      <c r="S247" s="36"/>
      <c r="X247" s="3"/>
    </row>
    <row r="248" spans="1:24" s="2" customFormat="1" ht="16.5" x14ac:dyDescent="0.3">
      <c r="A248" s="13">
        <v>38</v>
      </c>
      <c r="B248" s="18" t="s">
        <v>33</v>
      </c>
      <c r="C248" s="23">
        <v>4</v>
      </c>
      <c r="D248" s="23">
        <v>4</v>
      </c>
      <c r="E248" s="26">
        <f t="shared" si="93"/>
        <v>29500</v>
      </c>
      <c r="F248" s="15">
        <f t="shared" si="94"/>
        <v>118000</v>
      </c>
      <c r="G248" s="19">
        <v>118000</v>
      </c>
      <c r="H248" s="23">
        <v>4</v>
      </c>
      <c r="I248" s="23">
        <v>4</v>
      </c>
      <c r="J248" s="29">
        <f t="shared" si="95"/>
        <v>29200</v>
      </c>
      <c r="K248" s="15">
        <f t="shared" si="96"/>
        <v>116800</v>
      </c>
      <c r="L248" s="19">
        <v>116800</v>
      </c>
      <c r="M248" s="30">
        <f t="shared" si="91"/>
        <v>8</v>
      </c>
      <c r="N248" s="16">
        <f t="shared" si="97"/>
        <v>8</v>
      </c>
      <c r="O248" s="30"/>
      <c r="P248" s="17">
        <f t="shared" si="98"/>
        <v>234800</v>
      </c>
      <c r="Q248" s="17">
        <f t="shared" si="92"/>
        <v>234800</v>
      </c>
      <c r="R248" s="35"/>
      <c r="S248" s="36"/>
      <c r="X248" s="3"/>
    </row>
    <row r="249" spans="1:24" s="2" customFormat="1" ht="33" x14ac:dyDescent="0.3">
      <c r="A249" s="13">
        <v>40</v>
      </c>
      <c r="B249" s="18" t="s">
        <v>92</v>
      </c>
      <c r="C249" s="23">
        <v>1</v>
      </c>
      <c r="D249" s="23">
        <v>1</v>
      </c>
      <c r="E249" s="26">
        <f t="shared" si="93"/>
        <v>585000</v>
      </c>
      <c r="F249" s="15">
        <f t="shared" si="94"/>
        <v>585000</v>
      </c>
      <c r="G249" s="19">
        <v>585000</v>
      </c>
      <c r="H249" s="23">
        <v>1</v>
      </c>
      <c r="I249" s="23">
        <v>1</v>
      </c>
      <c r="J249" s="29">
        <f t="shared" si="95"/>
        <v>582000</v>
      </c>
      <c r="K249" s="15">
        <f t="shared" si="96"/>
        <v>582000</v>
      </c>
      <c r="L249" s="19">
        <v>582000</v>
      </c>
      <c r="M249" s="30">
        <f t="shared" si="91"/>
        <v>2</v>
      </c>
      <c r="N249" s="16">
        <f t="shared" si="97"/>
        <v>2</v>
      </c>
      <c r="O249" s="30"/>
      <c r="P249" s="17">
        <f t="shared" si="98"/>
        <v>1167000</v>
      </c>
      <c r="Q249" s="17">
        <f t="shared" si="92"/>
        <v>1167000</v>
      </c>
      <c r="R249" s="35"/>
      <c r="S249" s="36"/>
      <c r="X249" s="3"/>
    </row>
    <row r="250" spans="1:24" s="2" customFormat="1" ht="33" x14ac:dyDescent="0.3">
      <c r="A250" s="13">
        <v>41</v>
      </c>
      <c r="B250" s="64" t="s">
        <v>115</v>
      </c>
      <c r="C250" s="23">
        <v>8.3000000000000007</v>
      </c>
      <c r="D250" s="23">
        <v>8.3000000000000007</v>
      </c>
      <c r="E250" s="26">
        <f t="shared" si="93"/>
        <v>64899.999999999993</v>
      </c>
      <c r="F250" s="15">
        <f t="shared" si="94"/>
        <v>538670</v>
      </c>
      <c r="G250" s="19">
        <v>538670</v>
      </c>
      <c r="H250" s="23">
        <v>7.12</v>
      </c>
      <c r="I250" s="23">
        <v>7.12</v>
      </c>
      <c r="J250" s="29">
        <f t="shared" si="95"/>
        <v>64900</v>
      </c>
      <c r="K250" s="15">
        <f t="shared" si="96"/>
        <v>462088</v>
      </c>
      <c r="L250" s="19">
        <v>462088</v>
      </c>
      <c r="M250" s="17">
        <f t="shared" si="91"/>
        <v>15.420000000000002</v>
      </c>
      <c r="N250" s="16">
        <f t="shared" si="97"/>
        <v>15.420000000000002</v>
      </c>
      <c r="O250" s="17"/>
      <c r="P250" s="17">
        <f t="shared" si="98"/>
        <v>1000758</v>
      </c>
      <c r="Q250" s="17">
        <f t="shared" si="92"/>
        <v>1000758</v>
      </c>
      <c r="R250" s="38"/>
      <c r="S250" s="36"/>
      <c r="X250" s="3"/>
    </row>
    <row r="251" spans="1:24" s="2" customFormat="1" ht="33" x14ac:dyDescent="0.3">
      <c r="A251" s="13">
        <v>42</v>
      </c>
      <c r="B251" s="18" t="s">
        <v>95</v>
      </c>
      <c r="C251" s="23">
        <v>1</v>
      </c>
      <c r="D251" s="23">
        <v>1</v>
      </c>
      <c r="E251" s="26">
        <f t="shared" si="93"/>
        <v>77850</v>
      </c>
      <c r="F251" s="15">
        <f t="shared" si="94"/>
        <v>77850</v>
      </c>
      <c r="G251" s="19">
        <v>77850</v>
      </c>
      <c r="H251" s="23">
        <v>1</v>
      </c>
      <c r="I251" s="23">
        <v>1</v>
      </c>
      <c r="J251" s="29">
        <f t="shared" si="95"/>
        <v>70800</v>
      </c>
      <c r="K251" s="15">
        <f t="shared" si="96"/>
        <v>70800</v>
      </c>
      <c r="L251" s="19">
        <v>70800</v>
      </c>
      <c r="M251" s="30">
        <f t="shared" si="91"/>
        <v>2</v>
      </c>
      <c r="N251" s="16">
        <f t="shared" si="97"/>
        <v>2</v>
      </c>
      <c r="O251" s="30"/>
      <c r="P251" s="17">
        <f t="shared" si="98"/>
        <v>148650</v>
      </c>
      <c r="Q251" s="17">
        <f t="shared" si="92"/>
        <v>148650</v>
      </c>
      <c r="R251" s="35"/>
      <c r="S251" s="36"/>
      <c r="X251" s="3"/>
    </row>
    <row r="252" spans="1:24" s="2" customFormat="1" ht="33" x14ac:dyDescent="0.3">
      <c r="A252" s="13">
        <v>43</v>
      </c>
      <c r="B252" s="64" t="s">
        <v>117</v>
      </c>
      <c r="C252" s="23">
        <v>1</v>
      </c>
      <c r="D252" s="23">
        <v>1</v>
      </c>
      <c r="E252" s="26">
        <f t="shared" si="93"/>
        <v>656050</v>
      </c>
      <c r="F252" s="15">
        <f t="shared" si="94"/>
        <v>656050</v>
      </c>
      <c r="G252" s="19">
        <v>656050</v>
      </c>
      <c r="H252" s="23">
        <v>1</v>
      </c>
      <c r="I252" s="23">
        <v>1</v>
      </c>
      <c r="J252" s="29">
        <f t="shared" si="95"/>
        <v>606200</v>
      </c>
      <c r="K252" s="15">
        <f t="shared" si="96"/>
        <v>606200</v>
      </c>
      <c r="L252" s="19">
        <v>606200</v>
      </c>
      <c r="M252" s="30">
        <f t="shared" si="91"/>
        <v>2</v>
      </c>
      <c r="N252" s="16">
        <f t="shared" si="97"/>
        <v>2</v>
      </c>
      <c r="O252" s="30"/>
      <c r="P252" s="17">
        <f t="shared" si="98"/>
        <v>1262250</v>
      </c>
      <c r="Q252" s="17">
        <f t="shared" si="92"/>
        <v>1262250</v>
      </c>
      <c r="R252" s="35"/>
      <c r="S252" s="36"/>
      <c r="X252" s="3"/>
    </row>
    <row r="253" spans="1:24" s="2" customFormat="1" ht="33" x14ac:dyDescent="0.3">
      <c r="A253" s="13">
        <v>44</v>
      </c>
      <c r="B253" s="18" t="s">
        <v>96</v>
      </c>
      <c r="C253" s="23">
        <v>21.1</v>
      </c>
      <c r="D253" s="23">
        <v>21.1</v>
      </c>
      <c r="E253" s="26">
        <f t="shared" si="93"/>
        <v>35400</v>
      </c>
      <c r="F253" s="15">
        <f t="shared" si="94"/>
        <v>746940</v>
      </c>
      <c r="G253" s="19">
        <v>746940</v>
      </c>
      <c r="H253" s="23"/>
      <c r="I253" s="23"/>
      <c r="J253" s="29"/>
      <c r="K253" s="15"/>
      <c r="L253" s="19"/>
      <c r="M253" s="37">
        <f t="shared" si="91"/>
        <v>21.1</v>
      </c>
      <c r="N253" s="16">
        <f t="shared" si="97"/>
        <v>21.1</v>
      </c>
      <c r="O253" s="37"/>
      <c r="P253" s="17">
        <f t="shared" si="98"/>
        <v>746940</v>
      </c>
      <c r="Q253" s="17">
        <f t="shared" si="92"/>
        <v>746940</v>
      </c>
      <c r="R253" s="38"/>
      <c r="S253" s="36"/>
      <c r="X253" s="3"/>
    </row>
    <row r="254" spans="1:24" s="2" customFormat="1" ht="16.5" x14ac:dyDescent="0.3">
      <c r="A254" s="13">
        <v>45</v>
      </c>
      <c r="B254" s="64" t="s">
        <v>119</v>
      </c>
      <c r="C254" s="64"/>
      <c r="D254" s="64"/>
      <c r="E254" s="26"/>
      <c r="F254" s="15"/>
      <c r="G254" s="19"/>
      <c r="H254" s="23">
        <v>3.1</v>
      </c>
      <c r="I254" s="23">
        <v>3.1</v>
      </c>
      <c r="J254" s="29">
        <f t="shared" si="95"/>
        <v>35400</v>
      </c>
      <c r="K254" s="15">
        <f t="shared" si="96"/>
        <v>109740</v>
      </c>
      <c r="L254" s="19">
        <v>109740</v>
      </c>
      <c r="M254" s="30">
        <f t="shared" si="91"/>
        <v>3.1</v>
      </c>
      <c r="N254" s="16">
        <f t="shared" si="97"/>
        <v>3.1</v>
      </c>
      <c r="O254" s="30"/>
      <c r="P254" s="17">
        <f t="shared" si="98"/>
        <v>109740</v>
      </c>
      <c r="Q254" s="17">
        <f t="shared" si="92"/>
        <v>109740</v>
      </c>
      <c r="R254" s="38"/>
      <c r="S254" s="36"/>
      <c r="X254" s="3"/>
    </row>
    <row r="255" spans="1:24" s="2" customFormat="1" ht="33" x14ac:dyDescent="0.3">
      <c r="A255" s="13">
        <v>46</v>
      </c>
      <c r="B255" s="18" t="s">
        <v>97</v>
      </c>
      <c r="C255" s="23">
        <v>3.2</v>
      </c>
      <c r="D255" s="23">
        <v>3.2</v>
      </c>
      <c r="E255" s="26">
        <f t="shared" si="93"/>
        <v>59000</v>
      </c>
      <c r="F255" s="15">
        <f t="shared" si="94"/>
        <v>188800</v>
      </c>
      <c r="G255" s="19">
        <v>188800</v>
      </c>
      <c r="H255" s="23">
        <v>2.52</v>
      </c>
      <c r="I255" s="23">
        <v>2.52</v>
      </c>
      <c r="J255" s="29">
        <f t="shared" si="95"/>
        <v>59000</v>
      </c>
      <c r="K255" s="15">
        <f t="shared" si="96"/>
        <v>148680</v>
      </c>
      <c r="L255" s="19">
        <v>148680</v>
      </c>
      <c r="M255" s="17">
        <f t="shared" si="91"/>
        <v>5.7200000000000006</v>
      </c>
      <c r="N255" s="16">
        <f t="shared" si="97"/>
        <v>5.7200000000000006</v>
      </c>
      <c r="O255" s="17"/>
      <c r="P255" s="17">
        <f t="shared" si="98"/>
        <v>337480</v>
      </c>
      <c r="Q255" s="17">
        <f t="shared" si="92"/>
        <v>337480</v>
      </c>
      <c r="R255" s="38"/>
      <c r="S255" s="36"/>
      <c r="X255" s="3"/>
    </row>
    <row r="256" spans="1:24" s="2" customFormat="1" ht="33" x14ac:dyDescent="0.3">
      <c r="A256" s="13">
        <v>47</v>
      </c>
      <c r="B256" s="18" t="s">
        <v>98</v>
      </c>
      <c r="C256" s="23">
        <v>2</v>
      </c>
      <c r="D256" s="23">
        <v>2</v>
      </c>
      <c r="E256" s="26">
        <f t="shared" si="93"/>
        <v>61300</v>
      </c>
      <c r="F256" s="15">
        <f t="shared" si="94"/>
        <v>122600</v>
      </c>
      <c r="G256" s="19">
        <v>122600</v>
      </c>
      <c r="H256" s="23">
        <v>1</v>
      </c>
      <c r="I256" s="23">
        <v>1</v>
      </c>
      <c r="J256" s="29">
        <f t="shared" si="95"/>
        <v>70000</v>
      </c>
      <c r="K256" s="15">
        <f t="shared" si="96"/>
        <v>70000</v>
      </c>
      <c r="L256" s="19">
        <v>70000</v>
      </c>
      <c r="M256" s="30">
        <f t="shared" si="91"/>
        <v>3</v>
      </c>
      <c r="N256" s="16">
        <f t="shared" si="97"/>
        <v>3</v>
      </c>
      <c r="O256" s="30"/>
      <c r="P256" s="17">
        <f t="shared" si="98"/>
        <v>192600</v>
      </c>
      <c r="Q256" s="17">
        <f t="shared" si="92"/>
        <v>192600</v>
      </c>
      <c r="R256" s="35"/>
      <c r="S256" s="36"/>
      <c r="X256" s="3"/>
    </row>
    <row r="257" spans="1:24" s="2" customFormat="1" ht="16.5" x14ac:dyDescent="0.3">
      <c r="A257" s="13">
        <v>48</v>
      </c>
      <c r="B257" s="18" t="s">
        <v>99</v>
      </c>
      <c r="C257" s="23">
        <v>1</v>
      </c>
      <c r="D257" s="23">
        <v>1</v>
      </c>
      <c r="E257" s="26">
        <f t="shared" si="93"/>
        <v>70800</v>
      </c>
      <c r="F257" s="15">
        <f t="shared" si="94"/>
        <v>70800</v>
      </c>
      <c r="G257" s="19">
        <v>70800</v>
      </c>
      <c r="H257" s="23">
        <v>1</v>
      </c>
      <c r="I257" s="23">
        <v>1</v>
      </c>
      <c r="J257" s="29">
        <f t="shared" si="95"/>
        <v>70800</v>
      </c>
      <c r="K257" s="15">
        <f t="shared" si="96"/>
        <v>70800</v>
      </c>
      <c r="L257" s="19">
        <v>70800</v>
      </c>
      <c r="M257" s="30">
        <f t="shared" si="91"/>
        <v>2</v>
      </c>
      <c r="N257" s="16">
        <f t="shared" si="97"/>
        <v>2</v>
      </c>
      <c r="O257" s="30"/>
      <c r="P257" s="17">
        <f t="shared" si="98"/>
        <v>141600</v>
      </c>
      <c r="Q257" s="17">
        <f t="shared" si="92"/>
        <v>141600</v>
      </c>
      <c r="R257" s="35"/>
      <c r="S257" s="36"/>
      <c r="X257" s="3"/>
    </row>
    <row r="258" spans="1:24" s="2" customFormat="1" ht="16.5" x14ac:dyDescent="0.3">
      <c r="A258" s="13">
        <v>49</v>
      </c>
      <c r="B258" s="64" t="s">
        <v>100</v>
      </c>
      <c r="C258" s="23">
        <v>1</v>
      </c>
      <c r="D258" s="23">
        <v>1</v>
      </c>
      <c r="E258" s="26">
        <f t="shared" si="93"/>
        <v>70800</v>
      </c>
      <c r="F258" s="15">
        <f t="shared" si="94"/>
        <v>70800</v>
      </c>
      <c r="G258" s="19">
        <v>70800</v>
      </c>
      <c r="H258" s="23"/>
      <c r="I258" s="23"/>
      <c r="J258" s="29"/>
      <c r="K258" s="15"/>
      <c r="L258" s="19"/>
      <c r="M258" s="30">
        <f t="shared" si="91"/>
        <v>1</v>
      </c>
      <c r="N258" s="16">
        <f t="shared" si="97"/>
        <v>1</v>
      </c>
      <c r="O258" s="30"/>
      <c r="P258" s="17">
        <f t="shared" si="98"/>
        <v>70800</v>
      </c>
      <c r="Q258" s="17">
        <f t="shared" si="92"/>
        <v>70800</v>
      </c>
      <c r="R258" s="35"/>
      <c r="S258" s="36"/>
      <c r="X258" s="3"/>
    </row>
    <row r="259" spans="1:24" s="2" customFormat="1" ht="16.5" x14ac:dyDescent="0.3">
      <c r="A259" s="24"/>
      <c r="B259" s="25" t="s">
        <v>11</v>
      </c>
      <c r="C259" s="17"/>
      <c r="D259" s="17"/>
      <c r="E259" s="17"/>
      <c r="F259" s="17">
        <f>SUM(F218:F258)</f>
        <v>12245662</v>
      </c>
      <c r="G259" s="17">
        <f>SUM(G218:G258)</f>
        <v>12412337</v>
      </c>
      <c r="H259" s="17"/>
      <c r="I259" s="17"/>
      <c r="J259" s="17"/>
      <c r="K259" s="52">
        <f>SUM(K218:K258)</f>
        <v>8738180.5</v>
      </c>
      <c r="L259" s="17">
        <f t="shared" ref="L259" si="99">SUM(L218:L258)</f>
        <v>9197718</v>
      </c>
      <c r="M259" s="17"/>
      <c r="N259" s="17"/>
      <c r="O259" s="17"/>
      <c r="P259" s="17">
        <f>SUM(P218:P258)</f>
        <v>20983842.5</v>
      </c>
      <c r="Q259" s="17">
        <f t="shared" ref="Q259" si="100">SUM(Q218:Q258)</f>
        <v>21610055</v>
      </c>
      <c r="R259" s="36"/>
      <c r="S259" s="36"/>
      <c r="X259" s="3"/>
    </row>
    <row r="260" spans="1:24" s="2" customFormat="1" ht="18.75" x14ac:dyDescent="0.3">
      <c r="A260" s="179"/>
      <c r="B260" s="180"/>
      <c r="C260" s="66"/>
      <c r="D260" s="176" t="s">
        <v>101</v>
      </c>
      <c r="E260" s="177"/>
      <c r="F260" s="177"/>
      <c r="G260" s="177"/>
      <c r="H260" s="177"/>
      <c r="I260" s="177"/>
      <c r="J260" s="177"/>
      <c r="K260" s="177"/>
      <c r="L260" s="177"/>
      <c r="M260" s="177"/>
      <c r="N260" s="177"/>
      <c r="O260" s="177"/>
      <c r="P260" s="177"/>
      <c r="Q260" s="178"/>
      <c r="R260" s="181"/>
      <c r="S260" s="181"/>
      <c r="X260" s="3"/>
    </row>
    <row r="261" spans="1:24" s="2" customFormat="1" ht="33" x14ac:dyDescent="0.3">
      <c r="A261" s="13">
        <v>1</v>
      </c>
      <c r="B261" s="18" t="s">
        <v>102</v>
      </c>
      <c r="C261" s="13">
        <v>3</v>
      </c>
      <c r="D261" s="13">
        <v>3</v>
      </c>
      <c r="E261" s="67">
        <f>G261/C261</f>
        <v>324999.99666666664</v>
      </c>
      <c r="F261" s="19">
        <f>D261*E261</f>
        <v>974999.99</v>
      </c>
      <c r="G261" s="19">
        <v>974999.99</v>
      </c>
      <c r="H261" s="23">
        <v>3</v>
      </c>
      <c r="I261" s="23">
        <v>3</v>
      </c>
      <c r="J261" s="26">
        <f>L261/H261</f>
        <v>324999.99666666664</v>
      </c>
      <c r="K261" s="15">
        <f>I261*J261</f>
        <v>974999.99</v>
      </c>
      <c r="L261" s="19">
        <v>974999.99</v>
      </c>
      <c r="M261" s="30">
        <f>D261+H261</f>
        <v>6</v>
      </c>
      <c r="N261" s="16">
        <f>D261+I261</f>
        <v>6</v>
      </c>
      <c r="O261" s="30"/>
      <c r="P261" s="17">
        <f>F261+K261</f>
        <v>1949999.98</v>
      </c>
      <c r="Q261" s="17">
        <f>G261+L261</f>
        <v>1949999.98</v>
      </c>
      <c r="R261" s="35"/>
      <c r="S261" s="36"/>
      <c r="X261" s="3"/>
    </row>
    <row r="262" spans="1:24" s="2" customFormat="1" ht="33" x14ac:dyDescent="0.3">
      <c r="A262" s="13">
        <v>2</v>
      </c>
      <c r="B262" s="18" t="s">
        <v>103</v>
      </c>
      <c r="C262" s="23">
        <v>4</v>
      </c>
      <c r="D262" s="23">
        <v>4</v>
      </c>
      <c r="E262" s="67">
        <f>G262/C262</f>
        <v>204999.995</v>
      </c>
      <c r="F262" s="19">
        <f>D262*E262</f>
        <v>819999.98</v>
      </c>
      <c r="G262" s="19">
        <v>819999.98</v>
      </c>
      <c r="H262" s="23">
        <v>3</v>
      </c>
      <c r="I262" s="23">
        <v>3</v>
      </c>
      <c r="J262" s="26">
        <f>L262/H262</f>
        <v>204999.99666666667</v>
      </c>
      <c r="K262" s="15">
        <f>I262*J262</f>
        <v>614999.99</v>
      </c>
      <c r="L262" s="19">
        <v>614999.99</v>
      </c>
      <c r="M262" s="30">
        <f>D262+H262</f>
        <v>7</v>
      </c>
      <c r="N262" s="16">
        <f>D262+I262</f>
        <v>7</v>
      </c>
      <c r="O262" s="30"/>
      <c r="P262" s="17">
        <f>F262+K262</f>
        <v>1434999.97</v>
      </c>
      <c r="Q262" s="17">
        <f>G262+L262</f>
        <v>1434999.97</v>
      </c>
      <c r="R262" s="35"/>
      <c r="S262" s="36"/>
      <c r="X262" s="3"/>
    </row>
    <row r="263" spans="1:24" s="2" customFormat="1" ht="16.5" x14ac:dyDescent="0.3">
      <c r="A263" s="27"/>
      <c r="B263" s="68" t="s">
        <v>11</v>
      </c>
      <c r="C263" s="55"/>
      <c r="D263" s="55"/>
      <c r="E263" s="55"/>
      <c r="F263" s="17">
        <f>SUM(F261:F262)</f>
        <v>1794999.97</v>
      </c>
      <c r="G263" s="17">
        <f>SUM(G261:G262)</f>
        <v>1794999.97</v>
      </c>
      <c r="H263" s="17"/>
      <c r="I263" s="17"/>
      <c r="J263" s="17"/>
      <c r="K263" s="17">
        <f>SUM(K261:K262)</f>
        <v>1589999.98</v>
      </c>
      <c r="L263" s="17">
        <f t="shared" ref="L263" si="101">SUM(L261:L262)</f>
        <v>1589999.98</v>
      </c>
      <c r="M263" s="30"/>
      <c r="N263" s="30"/>
      <c r="O263" s="30"/>
      <c r="P263" s="17">
        <f>SUM(P261:P262)</f>
        <v>3384999.95</v>
      </c>
      <c r="Q263" s="17">
        <f>G263+L263</f>
        <v>3384999.95</v>
      </c>
      <c r="R263" s="36"/>
      <c r="S263" s="36"/>
      <c r="X263" s="3"/>
    </row>
    <row r="264" spans="1:24" s="2" customFormat="1" ht="18.75" x14ac:dyDescent="0.3">
      <c r="B264" s="69"/>
      <c r="C264" s="69"/>
      <c r="D264" s="167" t="s">
        <v>104</v>
      </c>
      <c r="E264" s="168"/>
      <c r="F264" s="168"/>
      <c r="G264" s="168"/>
      <c r="H264" s="168"/>
      <c r="I264" s="168"/>
      <c r="J264" s="168"/>
      <c r="K264" s="168"/>
      <c r="L264" s="168"/>
      <c r="M264" s="168"/>
      <c r="N264" s="168"/>
      <c r="O264" s="168"/>
      <c r="P264" s="168"/>
      <c r="Q264" s="169"/>
      <c r="R264" s="182"/>
      <c r="S264" s="182"/>
      <c r="X264" s="3"/>
    </row>
    <row r="265" spans="1:24" s="2" customFormat="1" ht="49.5" x14ac:dyDescent="0.3">
      <c r="A265" s="13">
        <v>1</v>
      </c>
      <c r="B265" s="64" t="s">
        <v>105</v>
      </c>
      <c r="C265" s="23">
        <v>3</v>
      </c>
      <c r="D265" s="23">
        <v>3</v>
      </c>
      <c r="E265" s="26">
        <f>G265/C265</f>
        <v>300000</v>
      </c>
      <c r="F265" s="19">
        <f>D265*E265</f>
        <v>900000</v>
      </c>
      <c r="G265" s="19">
        <v>900000</v>
      </c>
      <c r="H265" s="23">
        <v>3</v>
      </c>
      <c r="I265" s="23">
        <v>3</v>
      </c>
      <c r="J265" s="26">
        <f>L265/H265</f>
        <v>300000</v>
      </c>
      <c r="K265" s="19">
        <f>I265*J265</f>
        <v>900000</v>
      </c>
      <c r="L265" s="19">
        <v>900000</v>
      </c>
      <c r="M265" s="30">
        <f>D265+H265</f>
        <v>6</v>
      </c>
      <c r="N265" s="16">
        <f>D265+I265</f>
        <v>6</v>
      </c>
      <c r="O265" s="30"/>
      <c r="P265" s="17">
        <f>F265+K265</f>
        <v>1800000</v>
      </c>
      <c r="Q265" s="17">
        <f>G265+L265</f>
        <v>1800000</v>
      </c>
      <c r="R265" s="35"/>
      <c r="S265" s="36"/>
      <c r="X265" s="3"/>
    </row>
    <row r="266" spans="1:24" s="2" customFormat="1" ht="49.5" x14ac:dyDescent="0.3">
      <c r="A266" s="13">
        <v>2</v>
      </c>
      <c r="B266" s="64" t="s">
        <v>106</v>
      </c>
      <c r="C266" s="23">
        <v>3</v>
      </c>
      <c r="D266" s="23">
        <v>3</v>
      </c>
      <c r="E266" s="26">
        <f t="shared" ref="E266:E268" si="102">G266/C266</f>
        <v>390000</v>
      </c>
      <c r="F266" s="19">
        <f t="shared" ref="F266:F268" si="103">D266*E266</f>
        <v>1170000</v>
      </c>
      <c r="G266" s="19">
        <v>1170000</v>
      </c>
      <c r="H266" s="23">
        <v>1</v>
      </c>
      <c r="I266" s="23">
        <v>1</v>
      </c>
      <c r="J266" s="26">
        <f t="shared" ref="J266:J267" si="104">L266/H266</f>
        <v>390000</v>
      </c>
      <c r="K266" s="19">
        <f t="shared" ref="K266:K267" si="105">I266*J266</f>
        <v>390000</v>
      </c>
      <c r="L266" s="19">
        <v>390000</v>
      </c>
      <c r="M266" s="30">
        <f>D266+H266</f>
        <v>4</v>
      </c>
      <c r="N266" s="16">
        <f t="shared" ref="N266:N268" si="106">D266+I266</f>
        <v>4</v>
      </c>
      <c r="O266" s="30"/>
      <c r="P266" s="17">
        <f t="shared" ref="P266:P268" si="107">F266+K266</f>
        <v>1560000</v>
      </c>
      <c r="Q266" s="17">
        <f>G266+L266</f>
        <v>1560000</v>
      </c>
      <c r="R266" s="35"/>
      <c r="S266" s="36"/>
      <c r="X266" s="3"/>
    </row>
    <row r="267" spans="1:24" s="2" customFormat="1" ht="49.5" x14ac:dyDescent="0.3">
      <c r="A267" s="13">
        <v>3</v>
      </c>
      <c r="B267" s="64" t="s">
        <v>107</v>
      </c>
      <c r="C267" s="23">
        <v>2</v>
      </c>
      <c r="D267" s="23">
        <v>2</v>
      </c>
      <c r="E267" s="26">
        <f t="shared" si="102"/>
        <v>440000.005</v>
      </c>
      <c r="F267" s="19">
        <f t="shared" si="103"/>
        <v>880000.01</v>
      </c>
      <c r="G267" s="19">
        <v>880000.01</v>
      </c>
      <c r="H267" s="23">
        <v>2</v>
      </c>
      <c r="I267" s="23">
        <v>2</v>
      </c>
      <c r="J267" s="26">
        <f t="shared" si="104"/>
        <v>440000.005</v>
      </c>
      <c r="K267" s="19">
        <f t="shared" si="105"/>
        <v>880000.01</v>
      </c>
      <c r="L267" s="23">
        <v>880000.01</v>
      </c>
      <c r="M267" s="30">
        <f>D267+H267</f>
        <v>4</v>
      </c>
      <c r="N267" s="16">
        <f t="shared" si="106"/>
        <v>4</v>
      </c>
      <c r="O267" s="30"/>
      <c r="P267" s="17">
        <f t="shared" si="107"/>
        <v>1760000.02</v>
      </c>
      <c r="Q267" s="17">
        <f>G267+L267</f>
        <v>1760000.02</v>
      </c>
      <c r="R267" s="35"/>
      <c r="S267" s="36"/>
      <c r="X267" s="3"/>
    </row>
    <row r="268" spans="1:24" s="2" customFormat="1" ht="66" x14ac:dyDescent="0.3">
      <c r="A268" s="13">
        <v>4</v>
      </c>
      <c r="B268" s="64" t="s">
        <v>108</v>
      </c>
      <c r="C268" s="23">
        <v>1</v>
      </c>
      <c r="D268" s="23">
        <v>1</v>
      </c>
      <c r="E268" s="26">
        <f t="shared" si="102"/>
        <v>710000</v>
      </c>
      <c r="F268" s="19">
        <f t="shared" si="103"/>
        <v>710000</v>
      </c>
      <c r="G268" s="19">
        <v>710000</v>
      </c>
      <c r="H268" s="23"/>
      <c r="I268" s="23"/>
      <c r="J268" s="26"/>
      <c r="K268" s="19"/>
      <c r="L268" s="19"/>
      <c r="M268" s="30">
        <f>D268+H268</f>
        <v>1</v>
      </c>
      <c r="N268" s="16">
        <f t="shared" si="106"/>
        <v>1</v>
      </c>
      <c r="O268" s="30"/>
      <c r="P268" s="17">
        <f t="shared" si="107"/>
        <v>710000</v>
      </c>
      <c r="Q268" s="17">
        <f>G268+L268</f>
        <v>710000</v>
      </c>
      <c r="R268" s="35"/>
      <c r="S268" s="36"/>
      <c r="X268" s="3"/>
    </row>
    <row r="269" spans="1:24" s="2" customFormat="1" ht="16.5" x14ac:dyDescent="0.3">
      <c r="B269" s="70" t="s">
        <v>11</v>
      </c>
      <c r="C269" s="55"/>
      <c r="D269" s="55"/>
      <c r="E269" s="55"/>
      <c r="F269" s="17">
        <f>SUM(F265:F268)</f>
        <v>3660000.01</v>
      </c>
      <c r="G269" s="17">
        <f>SUM(G265:G268)</f>
        <v>3660000.01</v>
      </c>
      <c r="H269" s="17"/>
      <c r="I269" s="17"/>
      <c r="J269" s="17"/>
      <c r="K269" s="17">
        <f t="shared" ref="K269:L269" si="108">SUM(K265:K268)</f>
        <v>2170000.0099999998</v>
      </c>
      <c r="L269" s="17">
        <f t="shared" si="108"/>
        <v>2170000.0099999998</v>
      </c>
      <c r="M269" s="30"/>
      <c r="N269" s="30"/>
      <c r="O269" s="30"/>
      <c r="P269" s="17">
        <f>SUM(P265:P268)</f>
        <v>5830000.0199999996</v>
      </c>
      <c r="Q269" s="17">
        <f>G269+L269</f>
        <v>5830000.0199999996</v>
      </c>
      <c r="R269" s="36"/>
      <c r="S269" s="36"/>
      <c r="X269" s="3"/>
    </row>
    <row r="270" spans="1:24" s="2" customFormat="1" ht="18.75" x14ac:dyDescent="0.3">
      <c r="A270" s="174"/>
      <c r="B270" s="175"/>
      <c r="C270" s="71"/>
      <c r="D270" s="167" t="s">
        <v>109</v>
      </c>
      <c r="E270" s="168"/>
      <c r="F270" s="168"/>
      <c r="G270" s="168"/>
      <c r="H270" s="168"/>
      <c r="I270" s="168"/>
      <c r="J270" s="168"/>
      <c r="K270" s="168"/>
      <c r="L270" s="168"/>
      <c r="M270" s="168"/>
      <c r="N270" s="168"/>
      <c r="O270" s="168"/>
      <c r="P270" s="168"/>
      <c r="Q270" s="169"/>
      <c r="R270" s="182"/>
      <c r="S270" s="182"/>
      <c r="X270" s="3"/>
    </row>
    <row r="271" spans="1:24" s="2" customFormat="1" ht="16.5" x14ac:dyDescent="0.3">
      <c r="A271" s="13">
        <v>1</v>
      </c>
      <c r="B271" s="64" t="s">
        <v>110</v>
      </c>
      <c r="C271" s="23">
        <v>1</v>
      </c>
      <c r="D271" s="23">
        <v>1</v>
      </c>
      <c r="E271" s="26">
        <f>G271/C271</f>
        <v>178000</v>
      </c>
      <c r="F271" s="19">
        <f>D271*E271</f>
        <v>178000</v>
      </c>
      <c r="G271" s="19">
        <v>178000</v>
      </c>
      <c r="H271" s="23">
        <v>1</v>
      </c>
      <c r="I271" s="23">
        <v>1</v>
      </c>
      <c r="J271" s="26">
        <f>L271/H271</f>
        <v>178000</v>
      </c>
      <c r="K271" s="19">
        <f>I271*J271</f>
        <v>178000</v>
      </c>
      <c r="L271" s="19">
        <v>178000</v>
      </c>
      <c r="M271" s="30">
        <f>D271+H271</f>
        <v>2</v>
      </c>
      <c r="N271" s="16">
        <f>D271+I271</f>
        <v>2</v>
      </c>
      <c r="O271" s="30"/>
      <c r="P271" s="17">
        <f>F271+K271</f>
        <v>356000</v>
      </c>
      <c r="Q271" s="17">
        <f t="shared" ref="Q271:Q276" si="109">G271+L271</f>
        <v>356000</v>
      </c>
      <c r="R271" s="35"/>
      <c r="S271" s="36"/>
      <c r="X271" s="3"/>
    </row>
    <row r="272" spans="1:24" s="2" customFormat="1" ht="33" x14ac:dyDescent="0.3">
      <c r="A272" s="13">
        <v>2</v>
      </c>
      <c r="B272" s="64" t="s">
        <v>111</v>
      </c>
      <c r="C272" s="23">
        <v>1</v>
      </c>
      <c r="D272" s="23">
        <v>1</v>
      </c>
      <c r="E272" s="26">
        <f t="shared" ref="E272:E274" si="110">G272/C272</f>
        <v>165000</v>
      </c>
      <c r="F272" s="19">
        <f t="shared" ref="F272:F274" si="111">D272*E272</f>
        <v>165000</v>
      </c>
      <c r="G272" s="19">
        <v>165000</v>
      </c>
      <c r="H272" s="23">
        <v>1</v>
      </c>
      <c r="I272" s="23">
        <v>1</v>
      </c>
      <c r="J272" s="26">
        <f t="shared" ref="J272:J274" si="112">L272/H272</f>
        <v>165000</v>
      </c>
      <c r="K272" s="19">
        <f t="shared" ref="K272:K274" si="113">I272*J272</f>
        <v>165000</v>
      </c>
      <c r="L272" s="19">
        <v>165000</v>
      </c>
      <c r="M272" s="30">
        <f>D272+H272</f>
        <v>2</v>
      </c>
      <c r="N272" s="16">
        <f t="shared" ref="N272:N274" si="114">D272+I272</f>
        <v>2</v>
      </c>
      <c r="O272" s="30"/>
      <c r="P272" s="17">
        <f t="shared" ref="P272:P274" si="115">F272+K272</f>
        <v>330000</v>
      </c>
      <c r="Q272" s="17">
        <f t="shared" si="109"/>
        <v>330000</v>
      </c>
      <c r="R272" s="35"/>
      <c r="S272" s="36"/>
      <c r="X272" s="3"/>
    </row>
    <row r="273" spans="1:24" s="2" customFormat="1" ht="33" x14ac:dyDescent="0.3">
      <c r="A273" s="13">
        <v>3</v>
      </c>
      <c r="B273" s="64" t="s">
        <v>112</v>
      </c>
      <c r="C273" s="23">
        <v>1</v>
      </c>
      <c r="D273" s="23">
        <v>1</v>
      </c>
      <c r="E273" s="26">
        <f t="shared" si="110"/>
        <v>90000</v>
      </c>
      <c r="F273" s="19">
        <f t="shared" si="111"/>
        <v>90000</v>
      </c>
      <c r="G273" s="19">
        <v>90000</v>
      </c>
      <c r="H273" s="23">
        <v>1</v>
      </c>
      <c r="I273" s="23">
        <v>1</v>
      </c>
      <c r="J273" s="26">
        <f t="shared" si="112"/>
        <v>90000</v>
      </c>
      <c r="K273" s="19">
        <f t="shared" si="113"/>
        <v>90000</v>
      </c>
      <c r="L273" s="19">
        <v>90000</v>
      </c>
      <c r="M273" s="30">
        <f>D273+H273</f>
        <v>2</v>
      </c>
      <c r="N273" s="16">
        <f t="shared" si="114"/>
        <v>2</v>
      </c>
      <c r="O273" s="30"/>
      <c r="P273" s="17">
        <f t="shared" si="115"/>
        <v>180000</v>
      </c>
      <c r="Q273" s="17">
        <f t="shared" si="109"/>
        <v>180000</v>
      </c>
      <c r="R273" s="35"/>
      <c r="S273" s="36"/>
      <c r="X273" s="3"/>
    </row>
    <row r="274" spans="1:24" s="2" customFormat="1" ht="33" x14ac:dyDescent="0.3">
      <c r="A274" s="13">
        <v>4</v>
      </c>
      <c r="B274" s="64" t="s">
        <v>113</v>
      </c>
      <c r="C274" s="23">
        <v>1</v>
      </c>
      <c r="D274" s="23">
        <v>1</v>
      </c>
      <c r="E274" s="26">
        <f t="shared" si="110"/>
        <v>95000</v>
      </c>
      <c r="F274" s="19">
        <f t="shared" si="111"/>
        <v>95000</v>
      </c>
      <c r="G274" s="19">
        <v>95000</v>
      </c>
      <c r="H274" s="23">
        <v>1</v>
      </c>
      <c r="I274" s="23">
        <v>1</v>
      </c>
      <c r="J274" s="26">
        <f t="shared" si="112"/>
        <v>95000</v>
      </c>
      <c r="K274" s="19">
        <f t="shared" si="113"/>
        <v>95000</v>
      </c>
      <c r="L274" s="19">
        <v>95000</v>
      </c>
      <c r="M274" s="30">
        <f>D274+H274</f>
        <v>2</v>
      </c>
      <c r="N274" s="16">
        <f t="shared" si="114"/>
        <v>2</v>
      </c>
      <c r="O274" s="30"/>
      <c r="P274" s="17">
        <f t="shared" si="115"/>
        <v>190000</v>
      </c>
      <c r="Q274" s="17">
        <f t="shared" si="109"/>
        <v>190000</v>
      </c>
      <c r="R274" s="35"/>
      <c r="S274" s="36"/>
      <c r="X274" s="3"/>
    </row>
    <row r="275" spans="1:24" s="2" customFormat="1" ht="16.5" x14ac:dyDescent="0.3">
      <c r="A275" s="72"/>
      <c r="B275" s="68" t="s">
        <v>11</v>
      </c>
      <c r="C275" s="55"/>
      <c r="D275" s="55"/>
      <c r="E275" s="55"/>
      <c r="F275" s="17">
        <f>SUM(F271:F274)</f>
        <v>528000</v>
      </c>
      <c r="G275" s="17">
        <f>SUM(G271:G274)</f>
        <v>528000</v>
      </c>
      <c r="H275" s="17"/>
      <c r="I275" s="17"/>
      <c r="J275" s="17"/>
      <c r="K275" s="17">
        <f>SUM(K271:K274)</f>
        <v>528000</v>
      </c>
      <c r="L275" s="17">
        <f t="shared" ref="L275" si="116">SUM(L271:L274)</f>
        <v>528000</v>
      </c>
      <c r="M275" s="30"/>
      <c r="N275" s="30"/>
      <c r="O275" s="30"/>
      <c r="P275" s="17">
        <f>SUM(P271:P274)</f>
        <v>1056000</v>
      </c>
      <c r="Q275" s="17">
        <f t="shared" si="109"/>
        <v>1056000</v>
      </c>
      <c r="R275" s="36"/>
      <c r="S275" s="36"/>
      <c r="X275" s="3"/>
    </row>
    <row r="276" spans="1:24" s="2" customFormat="1" ht="17.25" x14ac:dyDescent="0.3">
      <c r="A276" s="73"/>
      <c r="B276" s="74" t="s">
        <v>114</v>
      </c>
      <c r="C276" s="75"/>
      <c r="D276" s="75"/>
      <c r="E276" s="75"/>
      <c r="F276" s="76">
        <f>F259+F263+F269+F275</f>
        <v>18228661.98</v>
      </c>
      <c r="G276" s="76">
        <f>G259+G263+G269+G275</f>
        <v>18395336.98</v>
      </c>
      <c r="H276" s="76"/>
      <c r="I276" s="76"/>
      <c r="J276" s="76"/>
      <c r="K276" s="76">
        <f t="shared" ref="K276:L276" si="117">K259+K263+K269+K275</f>
        <v>13026180.49</v>
      </c>
      <c r="L276" s="76">
        <f t="shared" si="117"/>
        <v>13485717.99</v>
      </c>
      <c r="M276" s="30"/>
      <c r="N276" s="30"/>
      <c r="O276" s="30"/>
      <c r="P276" s="76">
        <f>P275+P269+P263+P259</f>
        <v>31254842.469999999</v>
      </c>
      <c r="Q276" s="76">
        <f t="shared" si="109"/>
        <v>31881054.969999999</v>
      </c>
      <c r="R276" s="81"/>
      <c r="S276" s="81"/>
      <c r="X276" s="3"/>
    </row>
    <row r="277" spans="1:24" s="2" customFormat="1" ht="16.5" x14ac:dyDescent="0.3">
      <c r="A277" s="1"/>
      <c r="P277" s="3"/>
      <c r="X277" s="3"/>
    </row>
    <row r="278" spans="1:24" s="2" customFormat="1" ht="16.5" x14ac:dyDescent="0.3">
      <c r="A278" s="1"/>
      <c r="P278" s="3"/>
      <c r="X278" s="3"/>
    </row>
    <row r="279" spans="1:24" s="2" customFormat="1" ht="16.5" x14ac:dyDescent="0.3">
      <c r="A279" s="1"/>
      <c r="P279" s="3"/>
      <c r="X279" s="3"/>
    </row>
    <row r="280" spans="1:24" s="2" customFormat="1" ht="20.25" x14ac:dyDescent="0.3">
      <c r="A280" s="1"/>
      <c r="R280" s="157" t="s">
        <v>51</v>
      </c>
      <c r="S280" s="157"/>
      <c r="X280" s="3"/>
    </row>
    <row r="281" spans="1:24" s="2" customFormat="1" ht="16.5" x14ac:dyDescent="0.3">
      <c r="A281" s="158" t="s">
        <v>52</v>
      </c>
      <c r="B281" s="158"/>
      <c r="C281" s="158"/>
      <c r="D281" s="158"/>
      <c r="E281" s="158"/>
      <c r="F281" s="158"/>
      <c r="G281" s="158"/>
      <c r="H281" s="158"/>
      <c r="I281" s="158"/>
      <c r="J281" s="158"/>
      <c r="K281" s="158"/>
      <c r="L281" s="158"/>
      <c r="M281" s="158"/>
      <c r="N281" s="158"/>
      <c r="O281" s="158"/>
      <c r="P281" s="158"/>
      <c r="Q281" s="158"/>
      <c r="R281" s="158"/>
      <c r="S281" s="158"/>
      <c r="X281" s="3"/>
    </row>
    <row r="282" spans="1:24" s="2" customFormat="1" ht="16.5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X282" s="3"/>
    </row>
    <row r="283" spans="1:24" s="2" customFormat="1" ht="16.5" x14ac:dyDescent="0.3">
      <c r="A283" s="1"/>
      <c r="R283" s="159" t="s">
        <v>5</v>
      </c>
      <c r="S283" s="159"/>
      <c r="X283" s="3"/>
    </row>
    <row r="284" spans="1:24" s="2" customFormat="1" ht="16.5" x14ac:dyDescent="0.3">
      <c r="A284" s="160" t="s">
        <v>6</v>
      </c>
      <c r="B284" s="163" t="s">
        <v>7</v>
      </c>
      <c r="C284" s="9"/>
      <c r="D284" s="170" t="s">
        <v>53</v>
      </c>
      <c r="E284" s="171"/>
      <c r="F284" s="171"/>
      <c r="G284" s="172"/>
      <c r="H284" s="173" t="s">
        <v>54</v>
      </c>
      <c r="I284" s="173"/>
      <c r="J284" s="173"/>
      <c r="K284" s="173"/>
      <c r="L284" s="173"/>
      <c r="M284" s="170" t="s">
        <v>55</v>
      </c>
      <c r="N284" s="171"/>
      <c r="O284" s="171"/>
      <c r="P284" s="171"/>
      <c r="Q284" s="172"/>
      <c r="R284" s="170" t="s">
        <v>11</v>
      </c>
      <c r="S284" s="172"/>
      <c r="X284" s="3"/>
    </row>
    <row r="285" spans="1:24" s="2" customFormat="1" ht="16.5" x14ac:dyDescent="0.3">
      <c r="A285" s="161"/>
      <c r="B285" s="164"/>
      <c r="C285" s="10" t="s">
        <v>12</v>
      </c>
      <c r="D285" s="10" t="s">
        <v>12</v>
      </c>
      <c r="E285" s="10"/>
      <c r="F285" s="10"/>
      <c r="G285" s="55" t="s">
        <v>14</v>
      </c>
      <c r="H285" s="10" t="s">
        <v>12</v>
      </c>
      <c r="I285" s="10" t="s">
        <v>12</v>
      </c>
      <c r="J285" s="10"/>
      <c r="K285" s="10"/>
      <c r="L285" s="55" t="s">
        <v>14</v>
      </c>
      <c r="M285" s="10" t="s">
        <v>12</v>
      </c>
      <c r="N285" s="10" t="s">
        <v>12</v>
      </c>
      <c r="O285" s="10"/>
      <c r="P285" s="10"/>
      <c r="Q285" s="55" t="s">
        <v>14</v>
      </c>
      <c r="R285" s="10" t="s">
        <v>12</v>
      </c>
      <c r="S285" s="55" t="s">
        <v>14</v>
      </c>
      <c r="X285" s="3"/>
    </row>
    <row r="286" spans="1:24" s="2" customFormat="1" ht="18.75" x14ac:dyDescent="0.3">
      <c r="A286" s="162"/>
      <c r="B286" s="165"/>
      <c r="C286" s="54"/>
      <c r="D286" s="153" t="s">
        <v>56</v>
      </c>
      <c r="E286" s="153"/>
      <c r="F286" s="153"/>
      <c r="G286" s="153"/>
      <c r="H286" s="153"/>
      <c r="I286" s="153"/>
      <c r="J286" s="153"/>
      <c r="K286" s="153"/>
      <c r="L286" s="153"/>
      <c r="M286" s="153"/>
      <c r="N286" s="153"/>
      <c r="O286" s="153"/>
      <c r="P286" s="153"/>
      <c r="Q286" s="153"/>
      <c r="R286" s="153"/>
      <c r="S286" s="153"/>
      <c r="X286" s="3"/>
    </row>
    <row r="287" spans="1:24" s="2" customFormat="1" ht="49.5" x14ac:dyDescent="0.3">
      <c r="A287" s="13">
        <v>1</v>
      </c>
      <c r="B287" s="59" t="s">
        <v>71</v>
      </c>
      <c r="C287" s="79">
        <v>1</v>
      </c>
      <c r="D287" s="79">
        <v>1</v>
      </c>
      <c r="E287" s="29">
        <f>G287/C287</f>
        <v>124200</v>
      </c>
      <c r="F287" s="15">
        <f>D287*E287</f>
        <v>124200</v>
      </c>
      <c r="G287" s="15">
        <v>124200</v>
      </c>
      <c r="H287" s="79">
        <v>1</v>
      </c>
      <c r="I287" s="79">
        <v>1</v>
      </c>
      <c r="J287" s="29">
        <f>L287/H287</f>
        <v>124200</v>
      </c>
      <c r="K287" s="15">
        <f>I287*J287</f>
        <v>124200</v>
      </c>
      <c r="L287" s="15">
        <v>124200</v>
      </c>
      <c r="M287" s="79">
        <v>1</v>
      </c>
      <c r="N287" s="79">
        <v>1</v>
      </c>
      <c r="O287" s="29">
        <f>Q287/M287</f>
        <v>124200</v>
      </c>
      <c r="P287" s="15">
        <f>N287*O287</f>
        <v>124200</v>
      </c>
      <c r="Q287" s="15">
        <v>124200</v>
      </c>
      <c r="R287" s="16">
        <f>D287+I287+N287</f>
        <v>3</v>
      </c>
      <c r="S287" s="17">
        <f>F287+K287+P287</f>
        <v>372600</v>
      </c>
      <c r="X287" s="3"/>
    </row>
    <row r="288" spans="1:24" s="2" customFormat="1" ht="16.5" x14ac:dyDescent="0.3">
      <c r="A288" s="13">
        <v>2</v>
      </c>
      <c r="B288" s="18" t="s">
        <v>72</v>
      </c>
      <c r="C288" s="23">
        <v>6</v>
      </c>
      <c r="D288" s="23">
        <v>6</v>
      </c>
      <c r="E288" s="29">
        <f t="shared" ref="E288:E315" si="118">G288/C288</f>
        <v>62100</v>
      </c>
      <c r="F288" s="15">
        <f t="shared" ref="F288:F315" si="119">D288*E288</f>
        <v>372600</v>
      </c>
      <c r="G288" s="19">
        <v>372600</v>
      </c>
      <c r="H288" s="23">
        <v>8</v>
      </c>
      <c r="I288" s="23">
        <v>8</v>
      </c>
      <c r="J288" s="29">
        <f t="shared" ref="J288:J320" si="120">L288/H288</f>
        <v>62100</v>
      </c>
      <c r="K288" s="15">
        <f t="shared" ref="K288:K320" si="121">I288*J288</f>
        <v>496800</v>
      </c>
      <c r="L288" s="19">
        <v>496800</v>
      </c>
      <c r="M288" s="23">
        <v>5</v>
      </c>
      <c r="N288" s="23">
        <v>5</v>
      </c>
      <c r="O288" s="29">
        <f t="shared" ref="O288:O319" si="122">Q288/M288</f>
        <v>62100</v>
      </c>
      <c r="P288" s="15">
        <f t="shared" ref="P288:P319" si="123">N288*O288</f>
        <v>310500</v>
      </c>
      <c r="Q288" s="19">
        <v>310500</v>
      </c>
      <c r="R288" s="16">
        <f t="shared" ref="R288:R320" si="124">D288+I288+N288</f>
        <v>19</v>
      </c>
      <c r="S288" s="17">
        <f t="shared" ref="S288:S320" si="125">F288+K288+P288</f>
        <v>1179900</v>
      </c>
      <c r="X288" s="3"/>
    </row>
    <row r="289" spans="1:24" s="2" customFormat="1" ht="33" x14ac:dyDescent="0.3">
      <c r="A289" s="13">
        <v>4</v>
      </c>
      <c r="B289" s="18" t="s">
        <v>73</v>
      </c>
      <c r="C289" s="23">
        <v>8</v>
      </c>
      <c r="D289" s="23">
        <v>8</v>
      </c>
      <c r="E289" s="29">
        <f t="shared" si="118"/>
        <v>25875</v>
      </c>
      <c r="F289" s="15">
        <f t="shared" si="119"/>
        <v>207000</v>
      </c>
      <c r="G289" s="19">
        <v>207000</v>
      </c>
      <c r="H289" s="23">
        <v>10</v>
      </c>
      <c r="I289" s="23">
        <v>10</v>
      </c>
      <c r="J289" s="29">
        <f t="shared" si="120"/>
        <v>25875</v>
      </c>
      <c r="K289" s="15">
        <f t="shared" si="121"/>
        <v>258750</v>
      </c>
      <c r="L289" s="19">
        <v>258750</v>
      </c>
      <c r="M289" s="23">
        <v>8</v>
      </c>
      <c r="N289" s="23">
        <v>8</v>
      </c>
      <c r="O289" s="29">
        <f t="shared" si="122"/>
        <v>25875</v>
      </c>
      <c r="P289" s="15">
        <f t="shared" si="123"/>
        <v>207000</v>
      </c>
      <c r="Q289" s="19">
        <v>207000</v>
      </c>
      <c r="R289" s="16">
        <f t="shared" si="124"/>
        <v>26</v>
      </c>
      <c r="S289" s="17">
        <f t="shared" si="125"/>
        <v>672750</v>
      </c>
      <c r="X289" s="3"/>
    </row>
    <row r="290" spans="1:24" s="2" customFormat="1" ht="33" x14ac:dyDescent="0.3">
      <c r="A290" s="13">
        <v>5</v>
      </c>
      <c r="B290" s="18" t="s">
        <v>74</v>
      </c>
      <c r="C290" s="23">
        <v>3</v>
      </c>
      <c r="D290" s="23">
        <v>3</v>
      </c>
      <c r="E290" s="29">
        <f t="shared" si="118"/>
        <v>145000</v>
      </c>
      <c r="F290" s="15">
        <f t="shared" si="119"/>
        <v>435000</v>
      </c>
      <c r="G290" s="19">
        <v>435000</v>
      </c>
      <c r="H290" s="23">
        <v>6</v>
      </c>
      <c r="I290" s="23">
        <v>6</v>
      </c>
      <c r="J290" s="29">
        <f t="shared" si="120"/>
        <v>145000</v>
      </c>
      <c r="K290" s="15">
        <f t="shared" si="121"/>
        <v>870000</v>
      </c>
      <c r="L290" s="19">
        <v>870000</v>
      </c>
      <c r="M290" s="23">
        <v>3</v>
      </c>
      <c r="N290" s="23">
        <v>3</v>
      </c>
      <c r="O290" s="29">
        <f t="shared" si="122"/>
        <v>147500</v>
      </c>
      <c r="P290" s="15">
        <f t="shared" si="123"/>
        <v>442500</v>
      </c>
      <c r="Q290" s="19">
        <v>442500</v>
      </c>
      <c r="R290" s="16">
        <f t="shared" si="124"/>
        <v>12</v>
      </c>
      <c r="S290" s="17">
        <f t="shared" si="125"/>
        <v>1747500</v>
      </c>
      <c r="X290" s="3"/>
    </row>
    <row r="291" spans="1:24" s="2" customFormat="1" ht="33" x14ac:dyDescent="0.3">
      <c r="A291" s="13">
        <v>6</v>
      </c>
      <c r="B291" s="18" t="s">
        <v>75</v>
      </c>
      <c r="C291" s="23">
        <v>1</v>
      </c>
      <c r="D291" s="23">
        <v>1</v>
      </c>
      <c r="E291" s="29">
        <f t="shared" si="118"/>
        <v>25800</v>
      </c>
      <c r="F291" s="15">
        <f t="shared" si="119"/>
        <v>25800</v>
      </c>
      <c r="G291" s="19">
        <v>25800</v>
      </c>
      <c r="H291" s="23">
        <v>2</v>
      </c>
      <c r="I291" s="23">
        <v>2</v>
      </c>
      <c r="J291" s="29">
        <f t="shared" si="120"/>
        <v>25875</v>
      </c>
      <c r="K291" s="15">
        <f t="shared" si="121"/>
        <v>51750</v>
      </c>
      <c r="L291" s="19">
        <v>51750</v>
      </c>
      <c r="M291" s="23">
        <v>1</v>
      </c>
      <c r="N291" s="23">
        <v>1</v>
      </c>
      <c r="O291" s="29">
        <f t="shared" si="122"/>
        <v>25800</v>
      </c>
      <c r="P291" s="15">
        <f t="shared" si="123"/>
        <v>25800</v>
      </c>
      <c r="Q291" s="19">
        <v>25800</v>
      </c>
      <c r="R291" s="16">
        <f t="shared" si="124"/>
        <v>4</v>
      </c>
      <c r="S291" s="17">
        <f t="shared" si="125"/>
        <v>103350</v>
      </c>
      <c r="X291" s="3"/>
    </row>
    <row r="292" spans="1:24" s="2" customFormat="1" ht="33" x14ac:dyDescent="0.3">
      <c r="A292" s="13">
        <v>7</v>
      </c>
      <c r="B292" s="18" t="s">
        <v>76</v>
      </c>
      <c r="C292" s="23">
        <v>1</v>
      </c>
      <c r="D292" s="23">
        <v>1</v>
      </c>
      <c r="E292" s="29">
        <f t="shared" si="118"/>
        <v>46500</v>
      </c>
      <c r="F292" s="15">
        <f t="shared" si="119"/>
        <v>46500</v>
      </c>
      <c r="G292" s="19">
        <v>46500</v>
      </c>
      <c r="H292" s="23">
        <v>1</v>
      </c>
      <c r="I292" s="23">
        <v>1</v>
      </c>
      <c r="J292" s="29">
        <f t="shared" si="120"/>
        <v>46575</v>
      </c>
      <c r="K292" s="15">
        <f t="shared" si="121"/>
        <v>46575</v>
      </c>
      <c r="L292" s="19">
        <v>46575</v>
      </c>
      <c r="M292" s="23">
        <v>1</v>
      </c>
      <c r="N292" s="23">
        <v>1</v>
      </c>
      <c r="O292" s="29">
        <f t="shared" si="122"/>
        <v>46500</v>
      </c>
      <c r="P292" s="15">
        <f t="shared" si="123"/>
        <v>46500</v>
      </c>
      <c r="Q292" s="19">
        <v>46500</v>
      </c>
      <c r="R292" s="16">
        <f t="shared" si="124"/>
        <v>3</v>
      </c>
      <c r="S292" s="17">
        <f t="shared" si="125"/>
        <v>139575</v>
      </c>
      <c r="X292" s="3"/>
    </row>
    <row r="293" spans="1:24" s="2" customFormat="1" ht="33" x14ac:dyDescent="0.3">
      <c r="A293" s="13">
        <v>9</v>
      </c>
      <c r="B293" s="18" t="s">
        <v>77</v>
      </c>
      <c r="C293" s="23">
        <v>1</v>
      </c>
      <c r="D293" s="23">
        <v>1</v>
      </c>
      <c r="E293" s="29">
        <f t="shared" si="118"/>
        <v>310500</v>
      </c>
      <c r="F293" s="15">
        <f t="shared" si="119"/>
        <v>310500</v>
      </c>
      <c r="G293" s="19">
        <v>310500</v>
      </c>
      <c r="H293" s="23">
        <v>1</v>
      </c>
      <c r="I293" s="23">
        <v>1</v>
      </c>
      <c r="J293" s="29">
        <f t="shared" si="120"/>
        <v>310500</v>
      </c>
      <c r="K293" s="15">
        <f t="shared" si="121"/>
        <v>310500</v>
      </c>
      <c r="L293" s="19">
        <v>310500</v>
      </c>
      <c r="M293" s="23">
        <v>1</v>
      </c>
      <c r="N293" s="23">
        <v>1</v>
      </c>
      <c r="O293" s="29">
        <f t="shared" si="122"/>
        <v>310500</v>
      </c>
      <c r="P293" s="15">
        <f t="shared" si="123"/>
        <v>310500</v>
      </c>
      <c r="Q293" s="19">
        <v>310500</v>
      </c>
      <c r="R293" s="16">
        <f t="shared" si="124"/>
        <v>3</v>
      </c>
      <c r="S293" s="17">
        <f t="shared" si="125"/>
        <v>931500</v>
      </c>
      <c r="X293" s="3"/>
    </row>
    <row r="294" spans="1:24" s="2" customFormat="1" ht="49.5" x14ac:dyDescent="0.3">
      <c r="A294" s="13">
        <v>10</v>
      </c>
      <c r="B294" s="18" t="s">
        <v>78</v>
      </c>
      <c r="C294" s="23"/>
      <c r="D294" s="23"/>
      <c r="E294" s="29"/>
      <c r="F294" s="15"/>
      <c r="G294" s="19"/>
      <c r="H294" s="23">
        <v>1</v>
      </c>
      <c r="I294" s="23">
        <v>1</v>
      </c>
      <c r="J294" s="29">
        <f t="shared" si="120"/>
        <v>62100</v>
      </c>
      <c r="K294" s="15">
        <f t="shared" si="121"/>
        <v>62100</v>
      </c>
      <c r="L294" s="19">
        <v>62100</v>
      </c>
      <c r="M294" s="23">
        <v>1</v>
      </c>
      <c r="N294" s="23">
        <v>1</v>
      </c>
      <c r="O294" s="29">
        <f t="shared" si="122"/>
        <v>62100</v>
      </c>
      <c r="P294" s="15">
        <f t="shared" si="123"/>
        <v>62100</v>
      </c>
      <c r="Q294" s="19">
        <v>62100</v>
      </c>
      <c r="R294" s="16">
        <f t="shared" si="124"/>
        <v>2</v>
      </c>
      <c r="S294" s="17">
        <f t="shared" si="125"/>
        <v>124200</v>
      </c>
      <c r="X294" s="3"/>
    </row>
    <row r="295" spans="1:24" s="2" customFormat="1" ht="33" x14ac:dyDescent="0.3">
      <c r="A295" s="13">
        <v>11</v>
      </c>
      <c r="B295" s="18" t="s">
        <v>79</v>
      </c>
      <c r="C295" s="23"/>
      <c r="D295" s="23"/>
      <c r="E295" s="29"/>
      <c r="F295" s="15"/>
      <c r="G295" s="19"/>
      <c r="H295" s="23">
        <v>1</v>
      </c>
      <c r="I295" s="23">
        <v>1</v>
      </c>
      <c r="J295" s="29">
        <f t="shared" si="120"/>
        <v>57000</v>
      </c>
      <c r="K295" s="15">
        <f t="shared" si="121"/>
        <v>57000</v>
      </c>
      <c r="L295" s="19">
        <v>57000</v>
      </c>
      <c r="M295" s="23">
        <v>1</v>
      </c>
      <c r="N295" s="23">
        <v>1</v>
      </c>
      <c r="O295" s="29">
        <f t="shared" si="122"/>
        <v>57000</v>
      </c>
      <c r="P295" s="15">
        <f t="shared" si="123"/>
        <v>57000</v>
      </c>
      <c r="Q295" s="19">
        <v>57000</v>
      </c>
      <c r="R295" s="16">
        <f t="shared" si="124"/>
        <v>2</v>
      </c>
      <c r="S295" s="17">
        <f t="shared" si="125"/>
        <v>114000</v>
      </c>
      <c r="X295" s="3"/>
    </row>
    <row r="296" spans="1:24" s="2" customFormat="1" ht="16.5" x14ac:dyDescent="0.3">
      <c r="A296" s="13">
        <v>12</v>
      </c>
      <c r="B296" s="18" t="s">
        <v>80</v>
      </c>
      <c r="C296" s="23">
        <v>6</v>
      </c>
      <c r="D296" s="23">
        <v>6</v>
      </c>
      <c r="E296" s="29">
        <f t="shared" si="118"/>
        <v>72450</v>
      </c>
      <c r="F296" s="15">
        <f t="shared" si="119"/>
        <v>434700</v>
      </c>
      <c r="G296" s="19">
        <v>434700</v>
      </c>
      <c r="H296" s="23">
        <v>6</v>
      </c>
      <c r="I296" s="23">
        <v>6</v>
      </c>
      <c r="J296" s="29">
        <f t="shared" si="120"/>
        <v>72450</v>
      </c>
      <c r="K296" s="15">
        <f t="shared" si="121"/>
        <v>434700</v>
      </c>
      <c r="L296" s="19">
        <v>434700</v>
      </c>
      <c r="M296" s="23">
        <v>4</v>
      </c>
      <c r="N296" s="23">
        <v>4</v>
      </c>
      <c r="O296" s="29">
        <f t="shared" si="122"/>
        <v>72450</v>
      </c>
      <c r="P296" s="15">
        <f t="shared" si="123"/>
        <v>289800</v>
      </c>
      <c r="Q296" s="19">
        <v>289800</v>
      </c>
      <c r="R296" s="16">
        <f t="shared" si="124"/>
        <v>16</v>
      </c>
      <c r="S296" s="17">
        <f t="shared" si="125"/>
        <v>1159200</v>
      </c>
      <c r="X296" s="3"/>
    </row>
    <row r="297" spans="1:24" s="2" customFormat="1" ht="16.5" x14ac:dyDescent="0.3">
      <c r="A297" s="13">
        <v>15</v>
      </c>
      <c r="B297" s="18" t="s">
        <v>81</v>
      </c>
      <c r="C297" s="23"/>
      <c r="D297" s="23"/>
      <c r="E297" s="29"/>
      <c r="F297" s="15"/>
      <c r="G297" s="19"/>
      <c r="H297" s="23">
        <v>1</v>
      </c>
      <c r="I297" s="23">
        <v>1</v>
      </c>
      <c r="J297" s="29">
        <f t="shared" si="120"/>
        <v>43500</v>
      </c>
      <c r="K297" s="15">
        <f t="shared" si="121"/>
        <v>43500</v>
      </c>
      <c r="L297" s="19">
        <v>43500</v>
      </c>
      <c r="M297" s="13"/>
      <c r="N297" s="13"/>
      <c r="O297" s="29"/>
      <c r="P297" s="15"/>
      <c r="Q297" s="19"/>
      <c r="R297" s="16">
        <f t="shared" si="124"/>
        <v>1</v>
      </c>
      <c r="S297" s="17">
        <f t="shared" si="125"/>
        <v>43500</v>
      </c>
      <c r="X297" s="3"/>
    </row>
    <row r="298" spans="1:24" s="2" customFormat="1" ht="33" x14ac:dyDescent="0.3">
      <c r="A298" s="13">
        <v>16</v>
      </c>
      <c r="B298" s="18" t="s">
        <v>82</v>
      </c>
      <c r="C298" s="23"/>
      <c r="D298" s="23"/>
      <c r="E298" s="29"/>
      <c r="F298" s="15"/>
      <c r="G298" s="19"/>
      <c r="H298" s="23">
        <v>11</v>
      </c>
      <c r="I298" s="23">
        <v>11</v>
      </c>
      <c r="J298" s="29">
        <f t="shared" si="120"/>
        <v>119500</v>
      </c>
      <c r="K298" s="15">
        <f t="shared" si="121"/>
        <v>1314500</v>
      </c>
      <c r="L298" s="19">
        <v>1314500</v>
      </c>
      <c r="M298" s="23">
        <v>7.7</v>
      </c>
      <c r="N298" s="23">
        <v>7.7</v>
      </c>
      <c r="O298" s="29">
        <f t="shared" si="122"/>
        <v>119000</v>
      </c>
      <c r="P298" s="15">
        <f t="shared" si="123"/>
        <v>916300</v>
      </c>
      <c r="Q298" s="19">
        <v>916300</v>
      </c>
      <c r="R298" s="16">
        <f t="shared" si="124"/>
        <v>18.7</v>
      </c>
      <c r="S298" s="17">
        <f t="shared" si="125"/>
        <v>2230800</v>
      </c>
      <c r="X298" s="3"/>
    </row>
    <row r="299" spans="1:24" s="2" customFormat="1" ht="33" x14ac:dyDescent="0.3">
      <c r="A299" s="13">
        <v>18</v>
      </c>
      <c r="B299" s="18" t="s">
        <v>83</v>
      </c>
      <c r="C299" s="23">
        <v>1</v>
      </c>
      <c r="D299" s="23">
        <v>1</v>
      </c>
      <c r="E299" s="29">
        <f t="shared" si="118"/>
        <v>51425</v>
      </c>
      <c r="F299" s="15">
        <f t="shared" si="119"/>
        <v>51425</v>
      </c>
      <c r="G299" s="19">
        <v>51425</v>
      </c>
      <c r="H299" s="23">
        <v>1</v>
      </c>
      <c r="I299" s="23">
        <v>1</v>
      </c>
      <c r="J299" s="29">
        <f t="shared" si="120"/>
        <v>52800</v>
      </c>
      <c r="K299" s="15">
        <f t="shared" si="121"/>
        <v>52800</v>
      </c>
      <c r="L299" s="19">
        <v>52800</v>
      </c>
      <c r="M299" s="23">
        <v>1</v>
      </c>
      <c r="N299" s="23">
        <v>1</v>
      </c>
      <c r="O299" s="29">
        <f t="shared" si="122"/>
        <v>53000</v>
      </c>
      <c r="P299" s="15">
        <f t="shared" si="123"/>
        <v>53000</v>
      </c>
      <c r="Q299" s="19">
        <v>53000</v>
      </c>
      <c r="R299" s="16">
        <f t="shared" si="124"/>
        <v>3</v>
      </c>
      <c r="S299" s="17">
        <f t="shared" si="125"/>
        <v>157225</v>
      </c>
      <c r="X299" s="3"/>
    </row>
    <row r="300" spans="1:24" s="2" customFormat="1" ht="16.5" x14ac:dyDescent="0.3">
      <c r="A300" s="13">
        <v>19</v>
      </c>
      <c r="B300" s="18" t="s">
        <v>84</v>
      </c>
      <c r="C300" s="23"/>
      <c r="D300" s="23"/>
      <c r="E300" s="29"/>
      <c r="F300" s="15"/>
      <c r="G300" s="19"/>
      <c r="H300" s="23">
        <v>1</v>
      </c>
      <c r="I300" s="23">
        <v>1</v>
      </c>
      <c r="J300" s="29">
        <f t="shared" si="120"/>
        <v>88000</v>
      </c>
      <c r="K300" s="15">
        <f t="shared" si="121"/>
        <v>88000</v>
      </c>
      <c r="L300" s="19">
        <v>88000</v>
      </c>
      <c r="M300" s="23">
        <v>1</v>
      </c>
      <c r="N300" s="23">
        <v>1</v>
      </c>
      <c r="O300" s="29">
        <f t="shared" si="122"/>
        <v>88000</v>
      </c>
      <c r="P300" s="15">
        <f t="shared" si="123"/>
        <v>88000</v>
      </c>
      <c r="Q300" s="19">
        <v>88000</v>
      </c>
      <c r="R300" s="16">
        <f t="shared" si="124"/>
        <v>2</v>
      </c>
      <c r="S300" s="17">
        <f t="shared" si="125"/>
        <v>176000</v>
      </c>
      <c r="X300" s="3"/>
    </row>
    <row r="301" spans="1:24" s="2" customFormat="1" ht="16.5" x14ac:dyDescent="0.3">
      <c r="A301" s="13">
        <v>20</v>
      </c>
      <c r="B301" s="18" t="s">
        <v>85</v>
      </c>
      <c r="C301" s="23"/>
      <c r="D301" s="23"/>
      <c r="E301" s="29"/>
      <c r="F301" s="15"/>
      <c r="G301" s="19"/>
      <c r="H301" s="23">
        <v>1</v>
      </c>
      <c r="I301" s="23">
        <v>1</v>
      </c>
      <c r="J301" s="29">
        <f t="shared" si="120"/>
        <v>67300</v>
      </c>
      <c r="K301" s="15">
        <f t="shared" si="121"/>
        <v>67300</v>
      </c>
      <c r="L301" s="19">
        <v>67300</v>
      </c>
      <c r="M301" s="23">
        <v>1</v>
      </c>
      <c r="N301" s="23">
        <v>1</v>
      </c>
      <c r="O301" s="29">
        <f t="shared" si="122"/>
        <v>67200</v>
      </c>
      <c r="P301" s="15">
        <f t="shared" si="123"/>
        <v>67200</v>
      </c>
      <c r="Q301" s="19">
        <v>67200</v>
      </c>
      <c r="R301" s="16">
        <f t="shared" si="124"/>
        <v>2</v>
      </c>
      <c r="S301" s="17">
        <f t="shared" si="125"/>
        <v>134500</v>
      </c>
      <c r="X301" s="3"/>
    </row>
    <row r="302" spans="1:24" s="2" customFormat="1" ht="33" x14ac:dyDescent="0.3">
      <c r="A302" s="13">
        <v>21</v>
      </c>
      <c r="B302" s="18" t="s">
        <v>21</v>
      </c>
      <c r="C302" s="23"/>
      <c r="D302" s="23"/>
      <c r="E302" s="29"/>
      <c r="F302" s="15"/>
      <c r="G302" s="19"/>
      <c r="H302" s="23">
        <v>1</v>
      </c>
      <c r="I302" s="23">
        <v>1</v>
      </c>
      <c r="J302" s="29">
        <f t="shared" si="120"/>
        <v>41400</v>
      </c>
      <c r="K302" s="15">
        <f t="shared" si="121"/>
        <v>41400</v>
      </c>
      <c r="L302" s="19">
        <v>41400</v>
      </c>
      <c r="M302" s="23">
        <v>1</v>
      </c>
      <c r="N302" s="23">
        <v>1</v>
      </c>
      <c r="O302" s="29">
        <f t="shared" si="122"/>
        <v>41400</v>
      </c>
      <c r="P302" s="15">
        <f t="shared" si="123"/>
        <v>41400</v>
      </c>
      <c r="Q302" s="19">
        <v>41400</v>
      </c>
      <c r="R302" s="16">
        <f t="shared" si="124"/>
        <v>2</v>
      </c>
      <c r="S302" s="17">
        <f t="shared" si="125"/>
        <v>82800</v>
      </c>
      <c r="X302" s="3"/>
    </row>
    <row r="303" spans="1:24" s="2" customFormat="1" ht="16.5" x14ac:dyDescent="0.3">
      <c r="A303" s="13">
        <v>22</v>
      </c>
      <c r="B303" s="18" t="s">
        <v>86</v>
      </c>
      <c r="C303" s="23"/>
      <c r="D303" s="23"/>
      <c r="E303" s="29"/>
      <c r="F303" s="15"/>
      <c r="G303" s="19"/>
      <c r="H303" s="23">
        <v>1</v>
      </c>
      <c r="I303" s="23">
        <v>1</v>
      </c>
      <c r="J303" s="29">
        <f t="shared" si="120"/>
        <v>31000</v>
      </c>
      <c r="K303" s="15">
        <f t="shared" si="121"/>
        <v>31000</v>
      </c>
      <c r="L303" s="19">
        <v>31000</v>
      </c>
      <c r="M303" s="13"/>
      <c r="N303" s="13"/>
      <c r="O303" s="29"/>
      <c r="P303" s="15"/>
      <c r="Q303" s="19"/>
      <c r="R303" s="16">
        <f t="shared" si="124"/>
        <v>1</v>
      </c>
      <c r="S303" s="17">
        <f t="shared" si="125"/>
        <v>31000</v>
      </c>
      <c r="X303" s="3"/>
    </row>
    <row r="304" spans="1:24" s="2" customFormat="1" ht="49.5" x14ac:dyDescent="0.3">
      <c r="A304" s="13">
        <v>23</v>
      </c>
      <c r="B304" s="18" t="s">
        <v>87</v>
      </c>
      <c r="C304" s="23"/>
      <c r="D304" s="23"/>
      <c r="E304" s="29"/>
      <c r="F304" s="15"/>
      <c r="G304" s="19"/>
      <c r="H304" s="23">
        <v>1</v>
      </c>
      <c r="I304" s="23">
        <v>1</v>
      </c>
      <c r="J304" s="29">
        <f t="shared" si="120"/>
        <v>134550</v>
      </c>
      <c r="K304" s="15">
        <f t="shared" si="121"/>
        <v>134550</v>
      </c>
      <c r="L304" s="19">
        <v>134550</v>
      </c>
      <c r="M304" s="23">
        <v>1</v>
      </c>
      <c r="N304" s="23">
        <v>1</v>
      </c>
      <c r="O304" s="29">
        <f t="shared" si="122"/>
        <v>182800</v>
      </c>
      <c r="P304" s="15">
        <f t="shared" si="123"/>
        <v>182800</v>
      </c>
      <c r="Q304" s="19">
        <v>182800</v>
      </c>
      <c r="R304" s="16">
        <f t="shared" si="124"/>
        <v>2</v>
      </c>
      <c r="S304" s="17">
        <f t="shared" si="125"/>
        <v>317350</v>
      </c>
      <c r="X304" s="3"/>
    </row>
    <row r="305" spans="1:24" s="2" customFormat="1" ht="66" x14ac:dyDescent="0.3">
      <c r="A305" s="13">
        <v>24</v>
      </c>
      <c r="B305" s="18" t="s">
        <v>22</v>
      </c>
      <c r="C305" s="23">
        <v>95</v>
      </c>
      <c r="D305" s="23">
        <f>C305+10</f>
        <v>105</v>
      </c>
      <c r="E305" s="29">
        <f t="shared" si="118"/>
        <v>2580</v>
      </c>
      <c r="F305" s="15">
        <f>95*2580+10*2400</f>
        <v>269100</v>
      </c>
      <c r="G305" s="19">
        <v>245100</v>
      </c>
      <c r="H305" s="23">
        <v>218</v>
      </c>
      <c r="I305" s="23">
        <v>218</v>
      </c>
      <c r="J305" s="29">
        <f t="shared" si="120"/>
        <v>2400</v>
      </c>
      <c r="K305" s="15">
        <f t="shared" si="121"/>
        <v>523200</v>
      </c>
      <c r="L305" s="19">
        <v>523200</v>
      </c>
      <c r="M305" s="23">
        <v>97</v>
      </c>
      <c r="N305" s="23">
        <f>97-19.5</f>
        <v>77.5</v>
      </c>
      <c r="O305" s="29">
        <f t="shared" si="122"/>
        <v>2400</v>
      </c>
      <c r="P305" s="15">
        <f t="shared" si="123"/>
        <v>186000</v>
      </c>
      <c r="Q305" s="19">
        <v>232800</v>
      </c>
      <c r="R305" s="16">
        <f t="shared" si="124"/>
        <v>400.5</v>
      </c>
      <c r="S305" s="17">
        <f t="shared" si="125"/>
        <v>978300</v>
      </c>
      <c r="X305" s="3"/>
    </row>
    <row r="306" spans="1:24" s="2" customFormat="1" ht="49.5" x14ac:dyDescent="0.3">
      <c r="A306" s="13">
        <v>26</v>
      </c>
      <c r="B306" s="18" t="s">
        <v>88</v>
      </c>
      <c r="C306" s="23">
        <v>1</v>
      </c>
      <c r="D306" s="23">
        <v>1</v>
      </c>
      <c r="E306" s="29">
        <f t="shared" si="118"/>
        <v>25875</v>
      </c>
      <c r="F306" s="15">
        <f t="shared" si="119"/>
        <v>25875</v>
      </c>
      <c r="G306" s="19">
        <v>25875</v>
      </c>
      <c r="H306" s="23">
        <v>1</v>
      </c>
      <c r="I306" s="23">
        <v>1</v>
      </c>
      <c r="J306" s="29">
        <f t="shared" si="120"/>
        <v>25800</v>
      </c>
      <c r="K306" s="15">
        <f t="shared" si="121"/>
        <v>25800</v>
      </c>
      <c r="L306" s="19">
        <v>25800</v>
      </c>
      <c r="M306" s="23">
        <v>1</v>
      </c>
      <c r="N306" s="23">
        <v>1</v>
      </c>
      <c r="O306" s="29">
        <f t="shared" si="122"/>
        <v>25840</v>
      </c>
      <c r="P306" s="15">
        <f t="shared" si="123"/>
        <v>25840</v>
      </c>
      <c r="Q306" s="19">
        <v>25840</v>
      </c>
      <c r="R306" s="16">
        <f t="shared" si="124"/>
        <v>3</v>
      </c>
      <c r="S306" s="17">
        <f t="shared" si="125"/>
        <v>77515</v>
      </c>
      <c r="X306" s="3"/>
    </row>
    <row r="307" spans="1:24" s="2" customFormat="1" ht="33" x14ac:dyDescent="0.3">
      <c r="A307" s="13">
        <v>28</v>
      </c>
      <c r="B307" s="18" t="s">
        <v>89</v>
      </c>
      <c r="C307" s="23">
        <v>4</v>
      </c>
      <c r="D307" s="23">
        <v>4</v>
      </c>
      <c r="E307" s="29">
        <f t="shared" si="118"/>
        <v>73485</v>
      </c>
      <c r="F307" s="15">
        <f t="shared" si="119"/>
        <v>293940</v>
      </c>
      <c r="G307" s="19">
        <v>293940</v>
      </c>
      <c r="H307" s="23">
        <v>4</v>
      </c>
      <c r="I307" s="23">
        <v>4</v>
      </c>
      <c r="J307" s="29">
        <f t="shared" si="120"/>
        <v>73500</v>
      </c>
      <c r="K307" s="15">
        <f t="shared" si="121"/>
        <v>294000</v>
      </c>
      <c r="L307" s="19">
        <v>294000</v>
      </c>
      <c r="M307" s="23">
        <v>4</v>
      </c>
      <c r="N307" s="23">
        <v>4</v>
      </c>
      <c r="O307" s="29">
        <f t="shared" si="122"/>
        <v>73500</v>
      </c>
      <c r="P307" s="15">
        <f t="shared" si="123"/>
        <v>294000</v>
      </c>
      <c r="Q307" s="19">
        <v>294000</v>
      </c>
      <c r="R307" s="16">
        <f t="shared" si="124"/>
        <v>12</v>
      </c>
      <c r="S307" s="17">
        <f t="shared" si="125"/>
        <v>881940</v>
      </c>
      <c r="X307" s="3"/>
    </row>
    <row r="308" spans="1:24" s="2" customFormat="1" ht="16.5" x14ac:dyDescent="0.3">
      <c r="A308" s="13">
        <v>31</v>
      </c>
      <c r="B308" s="18" t="s">
        <v>90</v>
      </c>
      <c r="C308" s="23"/>
      <c r="D308" s="23"/>
      <c r="E308" s="29"/>
      <c r="F308" s="15"/>
      <c r="G308" s="19"/>
      <c r="H308" s="23">
        <v>3.87</v>
      </c>
      <c r="I308" s="23">
        <v>3.87</v>
      </c>
      <c r="J308" s="29">
        <f t="shared" si="120"/>
        <v>51700</v>
      </c>
      <c r="K308" s="15">
        <f t="shared" si="121"/>
        <v>200079</v>
      </c>
      <c r="L308" s="19">
        <v>200079</v>
      </c>
      <c r="M308" s="23"/>
      <c r="N308" s="23"/>
      <c r="O308" s="29"/>
      <c r="P308" s="15"/>
      <c r="Q308" s="19"/>
      <c r="R308" s="16">
        <f t="shared" si="124"/>
        <v>3.87</v>
      </c>
      <c r="S308" s="17">
        <f t="shared" si="125"/>
        <v>200079</v>
      </c>
      <c r="X308" s="3"/>
    </row>
    <row r="309" spans="1:24" s="2" customFormat="1" ht="33" x14ac:dyDescent="0.3">
      <c r="A309" s="13">
        <v>33</v>
      </c>
      <c r="B309" s="18" t="s">
        <v>28</v>
      </c>
      <c r="C309" s="23">
        <v>73</v>
      </c>
      <c r="D309" s="23">
        <f>73-20.6</f>
        <v>52.4</v>
      </c>
      <c r="E309" s="29">
        <f t="shared" si="118"/>
        <v>5380</v>
      </c>
      <c r="F309" s="15">
        <f t="shared" si="119"/>
        <v>281912</v>
      </c>
      <c r="G309" s="19">
        <v>392740</v>
      </c>
      <c r="H309" s="23"/>
      <c r="I309" s="23"/>
      <c r="J309" s="29"/>
      <c r="K309" s="15"/>
      <c r="L309" s="19"/>
      <c r="M309" s="23">
        <v>43</v>
      </c>
      <c r="N309" s="23">
        <v>43</v>
      </c>
      <c r="O309" s="29">
        <f t="shared" si="122"/>
        <v>5400</v>
      </c>
      <c r="P309" s="15">
        <f t="shared" si="123"/>
        <v>232200</v>
      </c>
      <c r="Q309" s="19">
        <v>232200</v>
      </c>
      <c r="R309" s="16">
        <f t="shared" si="124"/>
        <v>95.4</v>
      </c>
      <c r="S309" s="17">
        <f t="shared" si="125"/>
        <v>514112</v>
      </c>
      <c r="X309" s="3"/>
    </row>
    <row r="310" spans="1:24" s="2" customFormat="1" ht="33" x14ac:dyDescent="0.3">
      <c r="A310" s="13">
        <v>35</v>
      </c>
      <c r="B310" s="18" t="s">
        <v>30</v>
      </c>
      <c r="C310" s="23">
        <v>1</v>
      </c>
      <c r="D310" s="23">
        <v>1</v>
      </c>
      <c r="E310" s="29">
        <f t="shared" si="118"/>
        <v>46500</v>
      </c>
      <c r="F310" s="15">
        <f t="shared" si="119"/>
        <v>46500</v>
      </c>
      <c r="G310" s="19">
        <v>46500</v>
      </c>
      <c r="H310" s="23">
        <v>1</v>
      </c>
      <c r="I310" s="23">
        <v>1</v>
      </c>
      <c r="J310" s="29">
        <f t="shared" si="120"/>
        <v>46500</v>
      </c>
      <c r="K310" s="15">
        <f t="shared" si="121"/>
        <v>46500</v>
      </c>
      <c r="L310" s="19">
        <v>46500</v>
      </c>
      <c r="M310" s="23">
        <v>1</v>
      </c>
      <c r="N310" s="23">
        <v>1</v>
      </c>
      <c r="O310" s="29">
        <f t="shared" si="122"/>
        <v>47000</v>
      </c>
      <c r="P310" s="15">
        <f t="shared" si="123"/>
        <v>47000</v>
      </c>
      <c r="Q310" s="19">
        <v>47000</v>
      </c>
      <c r="R310" s="16">
        <f t="shared" si="124"/>
        <v>3</v>
      </c>
      <c r="S310" s="17">
        <f t="shared" si="125"/>
        <v>140000</v>
      </c>
      <c r="X310" s="3"/>
    </row>
    <row r="311" spans="1:24" s="2" customFormat="1" ht="33" x14ac:dyDescent="0.3">
      <c r="A311" s="13">
        <v>40</v>
      </c>
      <c r="B311" s="18" t="s">
        <v>92</v>
      </c>
      <c r="C311" s="23">
        <v>1</v>
      </c>
      <c r="D311" s="23">
        <v>1</v>
      </c>
      <c r="E311" s="29">
        <f>343200</f>
        <v>343200</v>
      </c>
      <c r="F311" s="15">
        <f t="shared" si="119"/>
        <v>343200</v>
      </c>
      <c r="G311" s="19">
        <v>1090000</v>
      </c>
      <c r="H311" s="23">
        <v>1</v>
      </c>
      <c r="I311" s="23">
        <v>1</v>
      </c>
      <c r="J311" s="29">
        <f t="shared" si="120"/>
        <v>1165000</v>
      </c>
      <c r="K311" s="15">
        <f t="shared" si="121"/>
        <v>1165000</v>
      </c>
      <c r="L311" s="19">
        <v>1165000</v>
      </c>
      <c r="M311" s="23">
        <v>1</v>
      </c>
      <c r="N311" s="23">
        <v>1</v>
      </c>
      <c r="O311" s="29">
        <f t="shared" si="122"/>
        <v>1240000</v>
      </c>
      <c r="P311" s="15">
        <f t="shared" si="123"/>
        <v>1240000</v>
      </c>
      <c r="Q311" s="19">
        <v>1240000</v>
      </c>
      <c r="R311" s="16">
        <f t="shared" si="124"/>
        <v>3</v>
      </c>
      <c r="S311" s="17">
        <f t="shared" si="125"/>
        <v>2748200</v>
      </c>
      <c r="X311" s="3"/>
    </row>
    <row r="312" spans="1:24" s="2" customFormat="1" ht="33" x14ac:dyDescent="0.3">
      <c r="A312" s="13">
        <v>41</v>
      </c>
      <c r="B312" s="64" t="s">
        <v>115</v>
      </c>
      <c r="C312" s="23">
        <v>5.52</v>
      </c>
      <c r="D312" s="23">
        <v>5.52</v>
      </c>
      <c r="E312" s="29">
        <f t="shared" si="118"/>
        <v>36230.000000000007</v>
      </c>
      <c r="F312" s="15">
        <f t="shared" si="119"/>
        <v>199989.60000000003</v>
      </c>
      <c r="G312" s="19">
        <v>199989.6</v>
      </c>
      <c r="H312" s="23">
        <v>5.77</v>
      </c>
      <c r="I312" s="23">
        <v>5.77</v>
      </c>
      <c r="J312" s="29">
        <f t="shared" si="120"/>
        <v>35200</v>
      </c>
      <c r="K312" s="15">
        <f t="shared" si="121"/>
        <v>203103.99999999997</v>
      </c>
      <c r="L312" s="19">
        <v>203104</v>
      </c>
      <c r="M312" s="23">
        <v>6.62</v>
      </c>
      <c r="N312" s="23">
        <v>6.62</v>
      </c>
      <c r="O312" s="29">
        <f t="shared" si="122"/>
        <v>35200</v>
      </c>
      <c r="P312" s="15">
        <f t="shared" si="123"/>
        <v>233024</v>
      </c>
      <c r="Q312" s="19">
        <v>233024</v>
      </c>
      <c r="R312" s="16">
        <f t="shared" si="124"/>
        <v>17.91</v>
      </c>
      <c r="S312" s="17">
        <f t="shared" si="125"/>
        <v>636117.6</v>
      </c>
      <c r="X312" s="3"/>
    </row>
    <row r="313" spans="1:24" s="2" customFormat="1" ht="33" x14ac:dyDescent="0.3">
      <c r="A313" s="13">
        <v>42</v>
      </c>
      <c r="B313" s="18" t="s">
        <v>95</v>
      </c>
      <c r="C313" s="23">
        <v>1</v>
      </c>
      <c r="D313" s="23">
        <v>1</v>
      </c>
      <c r="E313" s="29">
        <f t="shared" si="118"/>
        <v>62100</v>
      </c>
      <c r="F313" s="15">
        <f t="shared" si="119"/>
        <v>62100</v>
      </c>
      <c r="G313" s="19">
        <v>62100</v>
      </c>
      <c r="H313" s="23">
        <v>1</v>
      </c>
      <c r="I313" s="23">
        <v>1</v>
      </c>
      <c r="J313" s="29">
        <f t="shared" si="120"/>
        <v>62100</v>
      </c>
      <c r="K313" s="15">
        <f t="shared" si="121"/>
        <v>62100</v>
      </c>
      <c r="L313" s="19">
        <v>62100</v>
      </c>
      <c r="M313" s="23">
        <v>1</v>
      </c>
      <c r="N313" s="23">
        <v>1</v>
      </c>
      <c r="O313" s="29">
        <f t="shared" si="122"/>
        <v>62100</v>
      </c>
      <c r="P313" s="15">
        <f t="shared" si="123"/>
        <v>62100</v>
      </c>
      <c r="Q313" s="19">
        <v>62100</v>
      </c>
      <c r="R313" s="16">
        <f t="shared" si="124"/>
        <v>3</v>
      </c>
      <c r="S313" s="17">
        <f t="shared" si="125"/>
        <v>186300</v>
      </c>
      <c r="X313" s="3"/>
    </row>
    <row r="314" spans="1:24" s="2" customFormat="1" ht="33" x14ac:dyDescent="0.3">
      <c r="A314" s="13">
        <v>43</v>
      </c>
      <c r="B314" s="64" t="s">
        <v>116</v>
      </c>
      <c r="C314" s="64"/>
      <c r="D314" s="64"/>
      <c r="E314" s="29"/>
      <c r="F314" s="15"/>
      <c r="G314" s="19"/>
      <c r="H314" s="23">
        <v>1</v>
      </c>
      <c r="I314" s="23">
        <v>1</v>
      </c>
      <c r="J314" s="29">
        <f t="shared" si="120"/>
        <v>755000</v>
      </c>
      <c r="K314" s="15">
        <f t="shared" si="121"/>
        <v>755000</v>
      </c>
      <c r="L314" s="19">
        <v>755000</v>
      </c>
      <c r="M314" s="23">
        <v>1</v>
      </c>
      <c r="N314" s="23">
        <v>1</v>
      </c>
      <c r="O314" s="29">
        <f t="shared" si="122"/>
        <v>680000</v>
      </c>
      <c r="P314" s="15">
        <f t="shared" si="123"/>
        <v>680000</v>
      </c>
      <c r="Q314" s="19">
        <v>680000</v>
      </c>
      <c r="R314" s="16">
        <f t="shared" si="124"/>
        <v>2</v>
      </c>
      <c r="S314" s="17">
        <f t="shared" si="125"/>
        <v>1435000</v>
      </c>
      <c r="X314" s="3"/>
    </row>
    <row r="315" spans="1:24" s="2" customFormat="1" ht="33" x14ac:dyDescent="0.3">
      <c r="A315" s="13">
        <v>44</v>
      </c>
      <c r="B315" s="64" t="s">
        <v>117</v>
      </c>
      <c r="C315" s="23">
        <v>1</v>
      </c>
      <c r="D315" s="23">
        <v>1</v>
      </c>
      <c r="E315" s="29">
        <f t="shared" si="118"/>
        <v>715000</v>
      </c>
      <c r="F315" s="15">
        <f t="shared" si="119"/>
        <v>715000</v>
      </c>
      <c r="G315" s="19">
        <v>715000</v>
      </c>
      <c r="H315" s="23"/>
      <c r="I315" s="23"/>
      <c r="J315" s="29"/>
      <c r="K315" s="15"/>
      <c r="L315" s="19"/>
      <c r="M315" s="23"/>
      <c r="N315" s="23"/>
      <c r="O315" s="29"/>
      <c r="P315" s="15"/>
      <c r="Q315" s="19"/>
      <c r="R315" s="16">
        <f t="shared" si="124"/>
        <v>1</v>
      </c>
      <c r="S315" s="17">
        <f t="shared" si="125"/>
        <v>715000</v>
      </c>
      <c r="X315" s="3"/>
    </row>
    <row r="316" spans="1:24" s="2" customFormat="1" ht="33" x14ac:dyDescent="0.3">
      <c r="A316" s="13">
        <v>45</v>
      </c>
      <c r="B316" s="18" t="s">
        <v>96</v>
      </c>
      <c r="C316" s="23"/>
      <c r="D316" s="23"/>
      <c r="E316" s="29"/>
      <c r="F316" s="15"/>
      <c r="G316" s="19"/>
      <c r="H316" s="23">
        <v>16</v>
      </c>
      <c r="I316" s="23">
        <f>16-8.8</f>
        <v>7.1999999999999993</v>
      </c>
      <c r="J316" s="29">
        <f t="shared" si="120"/>
        <v>52000</v>
      </c>
      <c r="K316" s="15">
        <f t="shared" si="121"/>
        <v>374399.99999999994</v>
      </c>
      <c r="L316" s="19">
        <v>832000</v>
      </c>
      <c r="M316" s="20"/>
      <c r="N316" s="20"/>
      <c r="O316" s="29"/>
      <c r="P316" s="15"/>
      <c r="Q316" s="19"/>
      <c r="R316" s="16">
        <f t="shared" si="124"/>
        <v>7.1999999999999993</v>
      </c>
      <c r="S316" s="17">
        <f t="shared" si="125"/>
        <v>374399.99999999994</v>
      </c>
      <c r="X316" s="3"/>
    </row>
    <row r="317" spans="1:24" s="2" customFormat="1" ht="33" x14ac:dyDescent="0.3">
      <c r="A317" s="13">
        <v>46</v>
      </c>
      <c r="B317" s="18" t="s">
        <v>97</v>
      </c>
      <c r="C317" s="23"/>
      <c r="D317" s="23"/>
      <c r="E317" s="29"/>
      <c r="F317" s="15"/>
      <c r="G317" s="19"/>
      <c r="H317" s="23">
        <v>2.4</v>
      </c>
      <c r="I317" s="23">
        <v>2.4</v>
      </c>
      <c r="J317" s="29">
        <f t="shared" si="120"/>
        <v>42830</v>
      </c>
      <c r="K317" s="15">
        <f t="shared" si="121"/>
        <v>102792</v>
      </c>
      <c r="L317" s="19">
        <v>102792</v>
      </c>
      <c r="M317" s="20"/>
      <c r="N317" s="20"/>
      <c r="O317" s="29"/>
      <c r="P317" s="15"/>
      <c r="Q317" s="19"/>
      <c r="R317" s="16">
        <f t="shared" si="124"/>
        <v>2.4</v>
      </c>
      <c r="S317" s="17">
        <f t="shared" si="125"/>
        <v>102792</v>
      </c>
      <c r="X317" s="3"/>
    </row>
    <row r="318" spans="1:24" s="2" customFormat="1" ht="33" x14ac:dyDescent="0.3">
      <c r="A318" s="13">
        <v>47</v>
      </c>
      <c r="B318" s="18" t="s">
        <v>98</v>
      </c>
      <c r="C318" s="23"/>
      <c r="D318" s="23"/>
      <c r="E318" s="29"/>
      <c r="F318" s="15"/>
      <c r="G318" s="19"/>
      <c r="H318" s="23">
        <v>2</v>
      </c>
      <c r="I318" s="23">
        <v>2</v>
      </c>
      <c r="J318" s="29">
        <f t="shared" si="120"/>
        <v>35000</v>
      </c>
      <c r="K318" s="15">
        <f t="shared" si="121"/>
        <v>70000</v>
      </c>
      <c r="L318" s="19">
        <v>70000</v>
      </c>
      <c r="M318" s="13"/>
      <c r="N318" s="13"/>
      <c r="O318" s="29"/>
      <c r="P318" s="15"/>
      <c r="Q318" s="19"/>
      <c r="R318" s="16">
        <f t="shared" si="124"/>
        <v>2</v>
      </c>
      <c r="S318" s="17">
        <f t="shared" si="125"/>
        <v>70000</v>
      </c>
      <c r="X318" s="3"/>
    </row>
    <row r="319" spans="1:24" s="2" customFormat="1" ht="16.5" x14ac:dyDescent="0.3">
      <c r="A319" s="13">
        <v>48</v>
      </c>
      <c r="B319" s="18" t="s">
        <v>99</v>
      </c>
      <c r="C319" s="23"/>
      <c r="D319" s="23"/>
      <c r="E319" s="29"/>
      <c r="F319" s="15"/>
      <c r="G319" s="19"/>
      <c r="H319" s="23">
        <v>1</v>
      </c>
      <c r="I319" s="23">
        <v>1</v>
      </c>
      <c r="J319" s="29">
        <f t="shared" si="120"/>
        <v>67200</v>
      </c>
      <c r="K319" s="15">
        <f t="shared" si="121"/>
        <v>67200</v>
      </c>
      <c r="L319" s="19">
        <v>67200</v>
      </c>
      <c r="M319" s="23">
        <v>1</v>
      </c>
      <c r="N319" s="23">
        <v>1</v>
      </c>
      <c r="O319" s="29">
        <f t="shared" si="122"/>
        <v>57000</v>
      </c>
      <c r="P319" s="15">
        <f t="shared" si="123"/>
        <v>57000</v>
      </c>
      <c r="Q319" s="19">
        <v>57000</v>
      </c>
      <c r="R319" s="16">
        <f t="shared" si="124"/>
        <v>2</v>
      </c>
      <c r="S319" s="17">
        <f t="shared" si="125"/>
        <v>124200</v>
      </c>
      <c r="X319" s="3"/>
    </row>
    <row r="320" spans="1:24" s="2" customFormat="1" ht="16.5" x14ac:dyDescent="0.3">
      <c r="A320" s="13">
        <v>49</v>
      </c>
      <c r="B320" s="64" t="s">
        <v>100</v>
      </c>
      <c r="C320" s="82"/>
      <c r="D320" s="82"/>
      <c r="E320" s="29"/>
      <c r="F320" s="15"/>
      <c r="G320" s="19"/>
      <c r="H320" s="23">
        <v>1</v>
      </c>
      <c r="I320" s="23">
        <v>1</v>
      </c>
      <c r="J320" s="29">
        <f t="shared" si="120"/>
        <v>62100</v>
      </c>
      <c r="K320" s="15">
        <f t="shared" si="121"/>
        <v>62100</v>
      </c>
      <c r="L320" s="19">
        <v>62100</v>
      </c>
      <c r="M320" s="23"/>
      <c r="N320" s="23"/>
      <c r="O320" s="29"/>
      <c r="P320" s="15"/>
      <c r="Q320" s="19"/>
      <c r="R320" s="16">
        <f t="shared" si="124"/>
        <v>1</v>
      </c>
      <c r="S320" s="17">
        <f t="shared" si="125"/>
        <v>62100</v>
      </c>
      <c r="X320" s="3"/>
    </row>
    <row r="321" spans="1:24" s="2" customFormat="1" ht="16.5" x14ac:dyDescent="0.3">
      <c r="A321" s="24"/>
      <c r="B321" s="25" t="s">
        <v>11</v>
      </c>
      <c r="C321" s="17"/>
      <c r="D321" s="17"/>
      <c r="E321" s="17"/>
      <c r="F321" s="52">
        <f>SUM(F287:F320)</f>
        <v>4245341.5999999996</v>
      </c>
      <c r="G321" s="17">
        <f t="shared" ref="G321" si="126">SUM(G287:G320)</f>
        <v>5078969.5999999996</v>
      </c>
      <c r="H321" s="17"/>
      <c r="I321" s="17"/>
      <c r="J321" s="17"/>
      <c r="K321" s="52">
        <f>SUM(K287:K320)</f>
        <v>8436700</v>
      </c>
      <c r="L321" s="17">
        <f>SUM(L287:L320)</f>
        <v>8894300</v>
      </c>
      <c r="M321" s="17"/>
      <c r="N321" s="17"/>
      <c r="O321" s="40"/>
      <c r="P321" s="52">
        <f>SUM(P287:P320)</f>
        <v>6281764</v>
      </c>
      <c r="Q321" s="17">
        <f t="shared" ref="Q321:S321" si="127">SUM(Q287:Q320)</f>
        <v>6328564</v>
      </c>
      <c r="R321" s="17"/>
      <c r="S321" s="17">
        <f t="shared" si="127"/>
        <v>18963805.600000001</v>
      </c>
      <c r="X321" s="3"/>
    </row>
    <row r="322" spans="1:24" s="2" customFormat="1" ht="18.75" x14ac:dyDescent="0.3">
      <c r="A322" s="179"/>
      <c r="B322" s="180"/>
      <c r="C322" s="66"/>
      <c r="D322" s="176" t="s">
        <v>101</v>
      </c>
      <c r="E322" s="177"/>
      <c r="F322" s="177"/>
      <c r="G322" s="177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8"/>
      <c r="X322" s="3"/>
    </row>
    <row r="323" spans="1:24" s="2" customFormat="1" ht="33" x14ac:dyDescent="0.3">
      <c r="A323" s="13">
        <v>1</v>
      </c>
      <c r="B323" s="18" t="s">
        <v>102</v>
      </c>
      <c r="C323" s="13">
        <v>2</v>
      </c>
      <c r="D323" s="13">
        <v>2</v>
      </c>
      <c r="E323" s="67">
        <f>G323/C323</f>
        <v>324999.995</v>
      </c>
      <c r="F323" s="19">
        <f>D323*E323</f>
        <v>649999.99</v>
      </c>
      <c r="G323" s="19">
        <v>649999.99</v>
      </c>
      <c r="H323" s="23">
        <v>3</v>
      </c>
      <c r="I323" s="23">
        <v>3</v>
      </c>
      <c r="J323" s="26">
        <f>L323/H323</f>
        <v>324999.99666666664</v>
      </c>
      <c r="K323" s="19">
        <f>I323*J323</f>
        <v>974999.99</v>
      </c>
      <c r="L323" s="19">
        <v>974999.99</v>
      </c>
      <c r="M323" s="23">
        <v>2</v>
      </c>
      <c r="N323" s="23">
        <v>2</v>
      </c>
      <c r="O323" s="26">
        <f>Q323/M323</f>
        <v>324999.995</v>
      </c>
      <c r="P323" s="19">
        <f>N323*O323</f>
        <v>649999.99</v>
      </c>
      <c r="Q323" s="19">
        <v>649999.99</v>
      </c>
      <c r="R323" s="16">
        <f>D323+I323+N323</f>
        <v>7</v>
      </c>
      <c r="S323" s="17">
        <f>F323+K323+P323</f>
        <v>2274999.9699999997</v>
      </c>
      <c r="X323" s="3"/>
    </row>
    <row r="324" spans="1:24" s="2" customFormat="1" ht="33" x14ac:dyDescent="0.3">
      <c r="A324" s="13">
        <v>2</v>
      </c>
      <c r="B324" s="18" t="s">
        <v>103</v>
      </c>
      <c r="C324" s="23">
        <v>2</v>
      </c>
      <c r="D324" s="23">
        <v>2</v>
      </c>
      <c r="E324" s="67">
        <f>G324/C324</f>
        <v>204999.995</v>
      </c>
      <c r="F324" s="19">
        <f>D324*E324</f>
        <v>409999.99</v>
      </c>
      <c r="G324" s="19">
        <v>409999.99</v>
      </c>
      <c r="H324" s="23">
        <v>3</v>
      </c>
      <c r="I324" s="23">
        <v>3</v>
      </c>
      <c r="J324" s="26">
        <f>L324/H324</f>
        <v>204999.99666666667</v>
      </c>
      <c r="K324" s="19">
        <f>I324*J324</f>
        <v>614999.99</v>
      </c>
      <c r="L324" s="19">
        <v>614999.99</v>
      </c>
      <c r="M324" s="23">
        <v>3</v>
      </c>
      <c r="N324" s="23">
        <v>3</v>
      </c>
      <c r="O324" s="26">
        <f>Q324/M324</f>
        <v>204999.99666666667</v>
      </c>
      <c r="P324" s="19">
        <f>N324*O324</f>
        <v>614999.99</v>
      </c>
      <c r="Q324" s="19">
        <v>614999.99</v>
      </c>
      <c r="R324" s="16">
        <f>D324+I324+N324</f>
        <v>8</v>
      </c>
      <c r="S324" s="17">
        <f>F324+K324+P324</f>
        <v>1639999.97</v>
      </c>
      <c r="X324" s="3"/>
    </row>
    <row r="325" spans="1:24" s="2" customFormat="1" ht="16.5" x14ac:dyDescent="0.3">
      <c r="A325" s="27"/>
      <c r="B325" s="68" t="s">
        <v>11</v>
      </c>
      <c r="C325" s="55"/>
      <c r="D325" s="55"/>
      <c r="E325" s="55"/>
      <c r="F325" s="17">
        <f>SUM(F323:F324)</f>
        <v>1059999.98</v>
      </c>
      <c r="G325" s="17">
        <f>SUM(G323:G324)</f>
        <v>1059999.98</v>
      </c>
      <c r="H325" s="17"/>
      <c r="I325" s="17"/>
      <c r="J325" s="17"/>
      <c r="K325" s="17">
        <f>SUM(K323:K324)</f>
        <v>1589999.98</v>
      </c>
      <c r="L325" s="17">
        <f t="shared" ref="L325" si="128">SUM(L323:L324)</f>
        <v>1589999.98</v>
      </c>
      <c r="M325" s="17"/>
      <c r="N325" s="17"/>
      <c r="O325" s="17"/>
      <c r="P325" s="17">
        <f>SUM(P323:P324)</f>
        <v>1264999.98</v>
      </c>
      <c r="Q325" s="17">
        <f t="shared" ref="Q325" si="129">SUM(Q323:Q324)</f>
        <v>1264999.98</v>
      </c>
      <c r="R325" s="17"/>
      <c r="S325" s="17">
        <f t="shared" ref="S325" si="130">SUM(S323:S324)</f>
        <v>3914999.9399999995</v>
      </c>
      <c r="X325" s="3"/>
    </row>
    <row r="326" spans="1:24" s="2" customFormat="1" ht="18.75" x14ac:dyDescent="0.3">
      <c r="B326" s="69"/>
      <c r="C326" s="69"/>
      <c r="D326" s="167" t="s">
        <v>104</v>
      </c>
      <c r="E326" s="168"/>
      <c r="F326" s="168"/>
      <c r="G326" s="168"/>
      <c r="H326" s="168"/>
      <c r="I326" s="168"/>
      <c r="J326" s="168"/>
      <c r="K326" s="168"/>
      <c r="L326" s="168"/>
      <c r="M326" s="168"/>
      <c r="N326" s="168"/>
      <c r="O326" s="168"/>
      <c r="P326" s="168"/>
      <c r="Q326" s="168"/>
      <c r="R326" s="168"/>
      <c r="S326" s="169"/>
      <c r="X326" s="3"/>
    </row>
    <row r="327" spans="1:24" s="2" customFormat="1" ht="49.5" x14ac:dyDescent="0.3">
      <c r="A327" s="13">
        <v>1</v>
      </c>
      <c r="B327" s="64" t="s">
        <v>105</v>
      </c>
      <c r="C327" s="23">
        <v>1</v>
      </c>
      <c r="D327" s="23">
        <v>1</v>
      </c>
      <c r="E327" s="26">
        <f>G327/C327</f>
        <v>300000</v>
      </c>
      <c r="F327" s="19">
        <f>D327*E327</f>
        <v>300000</v>
      </c>
      <c r="G327" s="19">
        <v>300000</v>
      </c>
      <c r="H327" s="23">
        <v>1</v>
      </c>
      <c r="I327" s="23">
        <v>1</v>
      </c>
      <c r="J327" s="26">
        <f>L327/H327</f>
        <v>300000</v>
      </c>
      <c r="K327" s="19">
        <f>I327*J327</f>
        <v>300000</v>
      </c>
      <c r="L327" s="19">
        <v>300000</v>
      </c>
      <c r="M327" s="23">
        <v>1</v>
      </c>
      <c r="N327" s="23">
        <v>1</v>
      </c>
      <c r="O327" s="26">
        <f>Q327/M327</f>
        <v>300000</v>
      </c>
      <c r="P327" s="19">
        <f>N327*O327</f>
        <v>300000</v>
      </c>
      <c r="Q327" s="19">
        <v>300000</v>
      </c>
      <c r="R327" s="16">
        <f>D327+I327+N327</f>
        <v>3</v>
      </c>
      <c r="S327" s="17">
        <f>F327+K327+P327</f>
        <v>900000</v>
      </c>
      <c r="X327" s="3"/>
    </row>
    <row r="328" spans="1:24" s="2" customFormat="1" ht="49.5" x14ac:dyDescent="0.3">
      <c r="A328" s="13">
        <v>2</v>
      </c>
      <c r="B328" s="64" t="s">
        <v>106</v>
      </c>
      <c r="C328" s="23"/>
      <c r="D328" s="23"/>
      <c r="E328" s="26"/>
      <c r="F328" s="19"/>
      <c r="G328" s="19"/>
      <c r="H328" s="23">
        <v>1</v>
      </c>
      <c r="I328" s="23">
        <v>1</v>
      </c>
      <c r="J328" s="26">
        <f t="shared" ref="J328:J330" si="131">L328/H328</f>
        <v>390000</v>
      </c>
      <c r="K328" s="19">
        <f t="shared" ref="K328:K330" si="132">I328*J328</f>
        <v>390000</v>
      </c>
      <c r="L328" s="19">
        <v>390000</v>
      </c>
      <c r="M328" s="23">
        <v>1</v>
      </c>
      <c r="N328" s="23">
        <v>1</v>
      </c>
      <c r="O328" s="26">
        <f t="shared" ref="O328:O329" si="133">Q328/M328</f>
        <v>390000</v>
      </c>
      <c r="P328" s="19">
        <f t="shared" ref="P328:P329" si="134">N328*O328</f>
        <v>390000</v>
      </c>
      <c r="Q328" s="19">
        <v>390000</v>
      </c>
      <c r="R328" s="16">
        <f t="shared" ref="R328:R330" si="135">D328+I328+N328</f>
        <v>2</v>
      </c>
      <c r="S328" s="17">
        <f t="shared" ref="S328:S330" si="136">F328+K328+P328</f>
        <v>780000</v>
      </c>
      <c r="X328" s="3"/>
    </row>
    <row r="329" spans="1:24" s="2" customFormat="1" ht="49.5" x14ac:dyDescent="0.3">
      <c r="A329" s="13">
        <v>3</v>
      </c>
      <c r="B329" s="64" t="s">
        <v>107</v>
      </c>
      <c r="C329" s="23">
        <v>1</v>
      </c>
      <c r="D329" s="23">
        <v>1</v>
      </c>
      <c r="E329" s="26">
        <f t="shared" ref="E329" si="137">G329/C329</f>
        <v>440000</v>
      </c>
      <c r="F329" s="19">
        <f t="shared" ref="F329" si="138">D329*E329</f>
        <v>440000</v>
      </c>
      <c r="G329" s="19">
        <v>440000</v>
      </c>
      <c r="H329" s="27"/>
      <c r="I329" s="27"/>
      <c r="J329" s="26"/>
      <c r="K329" s="19"/>
      <c r="L329" s="27"/>
      <c r="M329" s="23">
        <v>2</v>
      </c>
      <c r="N329" s="23">
        <v>2</v>
      </c>
      <c r="O329" s="26">
        <f t="shared" si="133"/>
        <v>440000.005</v>
      </c>
      <c r="P329" s="19">
        <f t="shared" si="134"/>
        <v>880000.01</v>
      </c>
      <c r="Q329" s="19">
        <v>880000.01</v>
      </c>
      <c r="R329" s="16">
        <f t="shared" si="135"/>
        <v>3</v>
      </c>
      <c r="S329" s="17">
        <f t="shared" si="136"/>
        <v>1320000.01</v>
      </c>
      <c r="X329" s="3"/>
    </row>
    <row r="330" spans="1:24" s="2" customFormat="1" ht="66" x14ac:dyDescent="0.3">
      <c r="A330" s="13">
        <v>4</v>
      </c>
      <c r="B330" s="64" t="s">
        <v>108</v>
      </c>
      <c r="C330" s="23"/>
      <c r="D330" s="23"/>
      <c r="E330" s="26"/>
      <c r="F330" s="19"/>
      <c r="G330" s="19"/>
      <c r="H330" s="23">
        <v>1</v>
      </c>
      <c r="I330" s="23">
        <v>1</v>
      </c>
      <c r="J330" s="26">
        <f t="shared" si="131"/>
        <v>710000</v>
      </c>
      <c r="K330" s="19">
        <f t="shared" si="132"/>
        <v>710000</v>
      </c>
      <c r="L330" s="19">
        <v>710000</v>
      </c>
      <c r="M330" s="23"/>
      <c r="N330" s="23"/>
      <c r="O330" s="26"/>
      <c r="P330" s="19"/>
      <c r="Q330" s="19"/>
      <c r="R330" s="16">
        <f t="shared" si="135"/>
        <v>1</v>
      </c>
      <c r="S330" s="17">
        <f t="shared" si="136"/>
        <v>710000</v>
      </c>
      <c r="X330" s="3"/>
    </row>
    <row r="331" spans="1:24" s="2" customFormat="1" ht="16.5" x14ac:dyDescent="0.3">
      <c r="B331" s="70" t="s">
        <v>11</v>
      </c>
      <c r="C331" s="55"/>
      <c r="D331" s="55"/>
      <c r="E331" s="55"/>
      <c r="F331" s="17">
        <f>SUM(F327:F330)</f>
        <v>740000</v>
      </c>
      <c r="G331" s="17">
        <f>SUM(G327:G330)</f>
        <v>740000</v>
      </c>
      <c r="H331" s="17"/>
      <c r="I331" s="17"/>
      <c r="J331" s="17"/>
      <c r="K331" s="17">
        <f>SUM(K327:K330)</f>
        <v>1400000</v>
      </c>
      <c r="L331" s="17">
        <f t="shared" ref="L331" si="139">SUM(L327:L330)</f>
        <v>1400000</v>
      </c>
      <c r="M331" s="17"/>
      <c r="N331" s="17"/>
      <c r="O331" s="17"/>
      <c r="P331" s="17">
        <f>SUM(P327:P330)</f>
        <v>1570000.01</v>
      </c>
      <c r="Q331" s="17">
        <f t="shared" ref="Q331" si="140">SUM(Q327:Q330)</f>
        <v>1570000.01</v>
      </c>
      <c r="R331" s="17"/>
      <c r="S331" s="17">
        <f t="shared" ref="S331" si="141">SUM(S327:S330)</f>
        <v>3710000.01</v>
      </c>
      <c r="X331" s="3"/>
    </row>
    <row r="332" spans="1:24" s="2" customFormat="1" ht="18.75" x14ac:dyDescent="0.3">
      <c r="A332" s="174"/>
      <c r="B332" s="175"/>
      <c r="C332" s="71"/>
      <c r="D332" s="167" t="s">
        <v>109</v>
      </c>
      <c r="E332" s="168"/>
      <c r="F332" s="168"/>
      <c r="G332" s="168"/>
      <c r="H332" s="168"/>
      <c r="I332" s="168"/>
      <c r="J332" s="168"/>
      <c r="K332" s="168"/>
      <c r="L332" s="168"/>
      <c r="M332" s="168"/>
      <c r="N332" s="168"/>
      <c r="O332" s="168"/>
      <c r="P332" s="168"/>
      <c r="Q332" s="168"/>
      <c r="R332" s="168"/>
      <c r="S332" s="169"/>
      <c r="X332" s="3"/>
    </row>
    <row r="333" spans="1:24" s="2" customFormat="1" ht="16.5" x14ac:dyDescent="0.3">
      <c r="A333" s="13">
        <v>1</v>
      </c>
      <c r="B333" s="64" t="s">
        <v>110</v>
      </c>
      <c r="C333" s="23">
        <v>1</v>
      </c>
      <c r="D333" s="23">
        <v>1</v>
      </c>
      <c r="E333" s="26">
        <f>G333/C333</f>
        <v>178000</v>
      </c>
      <c r="F333" s="19">
        <f>D333*E333</f>
        <v>178000</v>
      </c>
      <c r="G333" s="19">
        <v>178000</v>
      </c>
      <c r="H333" s="23">
        <v>1</v>
      </c>
      <c r="I333" s="23">
        <v>1</v>
      </c>
      <c r="J333" s="26">
        <f>L333/H333</f>
        <v>178000</v>
      </c>
      <c r="K333" s="19">
        <f>I333*J333</f>
        <v>178000</v>
      </c>
      <c r="L333" s="19">
        <v>178000</v>
      </c>
      <c r="M333" s="23">
        <v>1</v>
      </c>
      <c r="N333" s="23">
        <v>1</v>
      </c>
      <c r="O333" s="26">
        <f>Q333/M333</f>
        <v>178000</v>
      </c>
      <c r="P333" s="19">
        <f>N333*O333</f>
        <v>178000</v>
      </c>
      <c r="Q333" s="19">
        <v>178000</v>
      </c>
      <c r="R333" s="16">
        <f>D333+I333+N333</f>
        <v>3</v>
      </c>
      <c r="S333" s="17">
        <f>F333+K333+P333</f>
        <v>534000</v>
      </c>
      <c r="X333" s="3"/>
    </row>
    <row r="334" spans="1:24" s="2" customFormat="1" ht="33" x14ac:dyDescent="0.3">
      <c r="A334" s="13">
        <v>2</v>
      </c>
      <c r="B334" s="64" t="s">
        <v>111</v>
      </c>
      <c r="C334" s="23">
        <v>1</v>
      </c>
      <c r="D334" s="23">
        <v>1</v>
      </c>
      <c r="E334" s="26">
        <f t="shared" ref="E334:E336" si="142">G334/C334</f>
        <v>165000</v>
      </c>
      <c r="F334" s="19">
        <f t="shared" ref="F334:F336" si="143">D334*E334</f>
        <v>165000</v>
      </c>
      <c r="G334" s="19">
        <v>165000</v>
      </c>
      <c r="H334" s="23">
        <v>1</v>
      </c>
      <c r="I334" s="23">
        <v>1</v>
      </c>
      <c r="J334" s="26">
        <f t="shared" ref="J334:J336" si="144">L334/H334</f>
        <v>165000</v>
      </c>
      <c r="K334" s="19">
        <f t="shared" ref="K334:K336" si="145">I334*J334</f>
        <v>165000</v>
      </c>
      <c r="L334" s="19">
        <v>165000</v>
      </c>
      <c r="M334" s="23">
        <v>1</v>
      </c>
      <c r="N334" s="23">
        <v>1</v>
      </c>
      <c r="O334" s="26">
        <f t="shared" ref="O334:O336" si="146">Q334/M334</f>
        <v>165000</v>
      </c>
      <c r="P334" s="19">
        <f t="shared" ref="P334:P336" si="147">N334*O334</f>
        <v>165000</v>
      </c>
      <c r="Q334" s="19">
        <v>165000</v>
      </c>
      <c r="R334" s="16">
        <f t="shared" ref="R334:R336" si="148">D334+I334+N334</f>
        <v>3</v>
      </c>
      <c r="S334" s="17">
        <f t="shared" ref="S334:S336" si="149">F334+K334+P334</f>
        <v>495000</v>
      </c>
      <c r="X334" s="3"/>
    </row>
    <row r="335" spans="1:24" s="2" customFormat="1" ht="33" x14ac:dyDescent="0.3">
      <c r="A335" s="13">
        <v>3</v>
      </c>
      <c r="B335" s="64" t="s">
        <v>112</v>
      </c>
      <c r="C335" s="23">
        <v>1</v>
      </c>
      <c r="D335" s="23">
        <v>1</v>
      </c>
      <c r="E335" s="26">
        <f t="shared" si="142"/>
        <v>90000</v>
      </c>
      <c r="F335" s="19">
        <f t="shared" si="143"/>
        <v>90000</v>
      </c>
      <c r="G335" s="19">
        <v>90000</v>
      </c>
      <c r="H335" s="23">
        <v>1</v>
      </c>
      <c r="I335" s="23">
        <v>1</v>
      </c>
      <c r="J335" s="26">
        <f t="shared" si="144"/>
        <v>90000</v>
      </c>
      <c r="K335" s="19">
        <f t="shared" si="145"/>
        <v>90000</v>
      </c>
      <c r="L335" s="19">
        <v>90000</v>
      </c>
      <c r="M335" s="23">
        <v>1</v>
      </c>
      <c r="N335" s="23">
        <v>1</v>
      </c>
      <c r="O335" s="26">
        <f t="shared" si="146"/>
        <v>90000</v>
      </c>
      <c r="P335" s="19">
        <f t="shared" si="147"/>
        <v>90000</v>
      </c>
      <c r="Q335" s="19">
        <v>90000</v>
      </c>
      <c r="R335" s="16">
        <f t="shared" si="148"/>
        <v>3</v>
      </c>
      <c r="S335" s="17">
        <f t="shared" si="149"/>
        <v>270000</v>
      </c>
      <c r="X335" s="3"/>
    </row>
    <row r="336" spans="1:24" s="2" customFormat="1" ht="33" x14ac:dyDescent="0.3">
      <c r="A336" s="13">
        <v>4</v>
      </c>
      <c r="B336" s="64" t="s">
        <v>113</v>
      </c>
      <c r="C336" s="23">
        <v>1</v>
      </c>
      <c r="D336" s="23">
        <v>1</v>
      </c>
      <c r="E336" s="26">
        <f t="shared" si="142"/>
        <v>95000</v>
      </c>
      <c r="F336" s="19">
        <f t="shared" si="143"/>
        <v>95000</v>
      </c>
      <c r="G336" s="19">
        <v>95000</v>
      </c>
      <c r="H336" s="23">
        <v>1</v>
      </c>
      <c r="I336" s="23">
        <v>1</v>
      </c>
      <c r="J336" s="26">
        <f t="shared" si="144"/>
        <v>95000</v>
      </c>
      <c r="K336" s="19">
        <f t="shared" si="145"/>
        <v>95000</v>
      </c>
      <c r="L336" s="19">
        <v>95000</v>
      </c>
      <c r="M336" s="23">
        <v>1</v>
      </c>
      <c r="N336" s="23">
        <v>1</v>
      </c>
      <c r="O336" s="26">
        <f t="shared" si="146"/>
        <v>95000</v>
      </c>
      <c r="P336" s="19">
        <f t="shared" si="147"/>
        <v>95000</v>
      </c>
      <c r="Q336" s="19">
        <v>95000</v>
      </c>
      <c r="R336" s="16">
        <f t="shared" si="148"/>
        <v>3</v>
      </c>
      <c r="S336" s="17">
        <f t="shared" si="149"/>
        <v>285000</v>
      </c>
      <c r="X336" s="3"/>
    </row>
    <row r="337" spans="1:24" s="2" customFormat="1" ht="16.5" x14ac:dyDescent="0.3">
      <c r="A337" s="72"/>
      <c r="B337" s="68" t="s">
        <v>11</v>
      </c>
      <c r="C337" s="23"/>
      <c r="D337" s="23"/>
      <c r="E337" s="23"/>
      <c r="F337" s="17">
        <f>SUM(F333:F336)</f>
        <v>528000</v>
      </c>
      <c r="G337" s="17">
        <f>SUM(G333:G336)</f>
        <v>528000</v>
      </c>
      <c r="H337" s="17"/>
      <c r="I337" s="17"/>
      <c r="J337" s="17"/>
      <c r="K337" s="17">
        <f>SUM(K333:K336)</f>
        <v>528000</v>
      </c>
      <c r="L337" s="17">
        <f t="shared" ref="L337" si="150">SUM(L333:L336)</f>
        <v>528000</v>
      </c>
      <c r="M337" s="17"/>
      <c r="N337" s="17"/>
      <c r="O337" s="17"/>
      <c r="P337" s="17">
        <f>SUM(P333:P336)</f>
        <v>528000</v>
      </c>
      <c r="Q337" s="17">
        <f t="shared" ref="Q337" si="151">SUM(Q333:Q336)</f>
        <v>528000</v>
      </c>
      <c r="R337" s="17"/>
      <c r="S337" s="17">
        <f t="shared" ref="S337" si="152">SUM(S333:S336)</f>
        <v>1584000</v>
      </c>
      <c r="X337" s="3"/>
    </row>
    <row r="338" spans="1:24" s="2" customFormat="1" ht="17.25" x14ac:dyDescent="0.3">
      <c r="A338" s="73"/>
      <c r="B338" s="74" t="s">
        <v>114</v>
      </c>
      <c r="C338" s="75"/>
      <c r="D338" s="75"/>
      <c r="E338" s="75"/>
      <c r="F338" s="76">
        <f>F321+F325+F331+F337</f>
        <v>6573341.5800000001</v>
      </c>
      <c r="G338" s="76">
        <f>G321+G325+G331+G337</f>
        <v>7406969.5800000001</v>
      </c>
      <c r="H338" s="76"/>
      <c r="I338" s="76"/>
      <c r="J338" s="76"/>
      <c r="K338" s="76">
        <f t="shared" ref="K338:L338" si="153">K321+K325+K331+K337</f>
        <v>11954699.98</v>
      </c>
      <c r="L338" s="76">
        <f t="shared" si="153"/>
        <v>12412299.98</v>
      </c>
      <c r="M338" s="76"/>
      <c r="N338" s="76"/>
      <c r="O338" s="76"/>
      <c r="P338" s="76">
        <f t="shared" ref="P338:S338" si="154">P321+P325+P331+P337</f>
        <v>9644763.9900000002</v>
      </c>
      <c r="Q338" s="76">
        <f t="shared" si="154"/>
        <v>9691563.9900000002</v>
      </c>
      <c r="R338" s="76"/>
      <c r="S338" s="76">
        <f t="shared" si="154"/>
        <v>28172805.549999997</v>
      </c>
      <c r="X338" s="3"/>
    </row>
    <row r="339" spans="1:24" s="2" customFormat="1" ht="16.5" x14ac:dyDescent="0.3">
      <c r="A339" s="1"/>
      <c r="S339" s="3"/>
      <c r="X339" s="3"/>
    </row>
    <row r="340" spans="1:24" s="2" customFormat="1" ht="16.5" x14ac:dyDescent="0.3">
      <c r="A340" s="1"/>
      <c r="X340" s="3"/>
    </row>
    <row r="341" spans="1:24" s="2" customFormat="1" ht="20.25" x14ac:dyDescent="0.3">
      <c r="A341" s="1"/>
      <c r="R341" s="157" t="s">
        <v>57</v>
      </c>
      <c r="S341" s="157"/>
      <c r="X341" s="3"/>
    </row>
    <row r="342" spans="1:24" s="2" customFormat="1" ht="16.5" x14ac:dyDescent="0.3">
      <c r="A342" s="158" t="s">
        <v>58</v>
      </c>
      <c r="B342" s="158"/>
      <c r="C342" s="158"/>
      <c r="D342" s="158"/>
      <c r="E342" s="158"/>
      <c r="F342" s="158"/>
      <c r="G342" s="158"/>
      <c r="H342" s="158"/>
      <c r="I342" s="158"/>
      <c r="J342" s="158"/>
      <c r="K342" s="158"/>
      <c r="L342" s="158"/>
      <c r="M342" s="158"/>
      <c r="N342" s="158"/>
      <c r="O342" s="158"/>
      <c r="P342" s="158"/>
      <c r="Q342" s="158"/>
      <c r="R342" s="158"/>
      <c r="S342" s="158"/>
      <c r="X342" s="3"/>
    </row>
    <row r="343" spans="1:24" s="2" customFormat="1" ht="16.5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X343" s="3"/>
    </row>
    <row r="344" spans="1:24" s="2" customFormat="1" ht="16.5" x14ac:dyDescent="0.3">
      <c r="A344" s="1"/>
      <c r="R344" s="159" t="s">
        <v>5</v>
      </c>
      <c r="S344" s="159"/>
      <c r="X344" s="3"/>
    </row>
    <row r="345" spans="1:24" s="2" customFormat="1" ht="16.5" x14ac:dyDescent="0.3">
      <c r="A345" s="160" t="s">
        <v>6</v>
      </c>
      <c r="B345" s="163" t="s">
        <v>7</v>
      </c>
      <c r="C345" s="9"/>
      <c r="D345" s="170" t="s">
        <v>59</v>
      </c>
      <c r="E345" s="171"/>
      <c r="F345" s="171"/>
      <c r="G345" s="172"/>
      <c r="H345" s="173" t="s">
        <v>60</v>
      </c>
      <c r="I345" s="173"/>
      <c r="J345" s="173"/>
      <c r="K345" s="173"/>
      <c r="L345" s="173"/>
      <c r="M345" s="170" t="s">
        <v>61</v>
      </c>
      <c r="N345" s="171"/>
      <c r="O345" s="171"/>
      <c r="P345" s="171"/>
      <c r="Q345" s="172"/>
      <c r="R345" s="170" t="s">
        <v>11</v>
      </c>
      <c r="S345" s="172"/>
      <c r="X345" s="3"/>
    </row>
    <row r="346" spans="1:24" s="2" customFormat="1" ht="33" x14ac:dyDescent="0.3">
      <c r="A346" s="161"/>
      <c r="B346" s="164"/>
      <c r="C346" s="10" t="s">
        <v>12</v>
      </c>
      <c r="D346" s="10" t="s">
        <v>12</v>
      </c>
      <c r="E346" s="10" t="s">
        <v>62</v>
      </c>
      <c r="F346" s="55" t="s">
        <v>14</v>
      </c>
      <c r="G346" s="55" t="s">
        <v>14</v>
      </c>
      <c r="H346" s="10" t="s">
        <v>12</v>
      </c>
      <c r="I346" s="10" t="s">
        <v>12</v>
      </c>
      <c r="J346" s="10" t="s">
        <v>62</v>
      </c>
      <c r="K346" s="55" t="s">
        <v>14</v>
      </c>
      <c r="L346" s="55" t="s">
        <v>14</v>
      </c>
      <c r="M346" s="10" t="s">
        <v>12</v>
      </c>
      <c r="N346" s="10" t="s">
        <v>12</v>
      </c>
      <c r="O346" s="10" t="s">
        <v>62</v>
      </c>
      <c r="P346" s="55" t="s">
        <v>14</v>
      </c>
      <c r="Q346" s="55" t="s">
        <v>14</v>
      </c>
      <c r="R346" s="10" t="s">
        <v>12</v>
      </c>
      <c r="S346" s="55" t="s">
        <v>14</v>
      </c>
      <c r="X346" s="3"/>
    </row>
    <row r="347" spans="1:24" s="2" customFormat="1" ht="18.75" x14ac:dyDescent="0.3">
      <c r="A347" s="162"/>
      <c r="B347" s="165"/>
      <c r="C347" s="54"/>
      <c r="D347" s="153" t="s">
        <v>63</v>
      </c>
      <c r="E347" s="153"/>
      <c r="F347" s="153"/>
      <c r="G347" s="153"/>
      <c r="H347" s="153"/>
      <c r="I347" s="153"/>
      <c r="J347" s="153"/>
      <c r="K347" s="153"/>
      <c r="L347" s="153"/>
      <c r="M347" s="153"/>
      <c r="N347" s="153"/>
      <c r="O347" s="153"/>
      <c r="P347" s="153"/>
      <c r="Q347" s="153"/>
      <c r="R347" s="153"/>
      <c r="S347" s="153"/>
      <c r="X347" s="3"/>
    </row>
    <row r="348" spans="1:24" s="2" customFormat="1" ht="49.5" x14ac:dyDescent="0.3">
      <c r="A348" s="13">
        <v>1</v>
      </c>
      <c r="B348" s="59" t="s">
        <v>71</v>
      </c>
      <c r="C348" s="79">
        <v>1</v>
      </c>
      <c r="D348" s="79">
        <v>1</v>
      </c>
      <c r="E348" s="29">
        <f>G348/C348</f>
        <v>180000</v>
      </c>
      <c r="F348" s="15">
        <f>D348*E348</f>
        <v>180000</v>
      </c>
      <c r="G348" s="15">
        <v>180000</v>
      </c>
      <c r="H348" s="79">
        <v>1</v>
      </c>
      <c r="I348" s="79">
        <v>1</v>
      </c>
      <c r="J348" s="29">
        <f>L348/H348</f>
        <v>180000</v>
      </c>
      <c r="K348" s="15">
        <f>I348*J348</f>
        <v>180000</v>
      </c>
      <c r="L348" s="15">
        <v>180000</v>
      </c>
      <c r="M348" s="79">
        <v>1</v>
      </c>
      <c r="N348" s="79">
        <v>1</v>
      </c>
      <c r="O348" s="29">
        <f>Q348/M348</f>
        <v>180000</v>
      </c>
      <c r="P348" s="15">
        <f>N348*O348</f>
        <v>180000</v>
      </c>
      <c r="Q348" s="15">
        <v>180000</v>
      </c>
      <c r="R348" s="16">
        <f>D348+I348+N348</f>
        <v>3</v>
      </c>
      <c r="S348" s="17">
        <f>F348+K348+P348</f>
        <v>540000</v>
      </c>
      <c r="X348" s="3"/>
    </row>
    <row r="349" spans="1:24" s="2" customFormat="1" ht="16.5" x14ac:dyDescent="0.3">
      <c r="A349" s="13">
        <v>2</v>
      </c>
      <c r="B349" s="18" t="s">
        <v>72</v>
      </c>
      <c r="C349" s="23">
        <v>6</v>
      </c>
      <c r="D349" s="23">
        <v>6</v>
      </c>
      <c r="E349" s="29">
        <f t="shared" ref="E349:E385" si="155">G349/C349</f>
        <v>96000</v>
      </c>
      <c r="F349" s="15">
        <f t="shared" ref="F349:F385" si="156">D349*E349</f>
        <v>576000</v>
      </c>
      <c r="G349" s="19">
        <v>576000</v>
      </c>
      <c r="H349" s="23">
        <v>6</v>
      </c>
      <c r="I349" s="23">
        <v>6</v>
      </c>
      <c r="J349" s="29">
        <f t="shared" ref="J349:J385" si="157">L349/H349</f>
        <v>96000</v>
      </c>
      <c r="K349" s="15">
        <f t="shared" ref="K349:K385" si="158">I349*J349</f>
        <v>576000</v>
      </c>
      <c r="L349" s="19">
        <v>576000</v>
      </c>
      <c r="M349" s="23">
        <v>6</v>
      </c>
      <c r="N349" s="23">
        <v>6</v>
      </c>
      <c r="O349" s="29">
        <f t="shared" ref="O349:O385" si="159">Q349/M349</f>
        <v>96000</v>
      </c>
      <c r="P349" s="15">
        <f t="shared" ref="P349:P385" si="160">N349*O349</f>
        <v>576000</v>
      </c>
      <c r="Q349" s="19">
        <v>576000</v>
      </c>
      <c r="R349" s="16">
        <f t="shared" ref="R349:R385" si="161">D349+I349+N349</f>
        <v>18</v>
      </c>
      <c r="S349" s="17">
        <f t="shared" ref="S349:S385" si="162">F349+K349+P349</f>
        <v>1728000</v>
      </c>
      <c r="X349" s="3"/>
    </row>
    <row r="350" spans="1:24" s="2" customFormat="1" ht="33" x14ac:dyDescent="0.3">
      <c r="A350" s="13">
        <v>4</v>
      </c>
      <c r="B350" s="18" t="s">
        <v>73</v>
      </c>
      <c r="C350" s="23">
        <v>8</v>
      </c>
      <c r="D350" s="23">
        <v>8</v>
      </c>
      <c r="E350" s="29">
        <f t="shared" si="155"/>
        <v>36000</v>
      </c>
      <c r="F350" s="15">
        <f t="shared" si="156"/>
        <v>288000</v>
      </c>
      <c r="G350" s="19">
        <v>288000</v>
      </c>
      <c r="H350" s="23">
        <v>8</v>
      </c>
      <c r="I350" s="23">
        <v>8</v>
      </c>
      <c r="J350" s="29">
        <f t="shared" si="157"/>
        <v>36000</v>
      </c>
      <c r="K350" s="15">
        <f t="shared" si="158"/>
        <v>288000</v>
      </c>
      <c r="L350" s="19">
        <v>288000</v>
      </c>
      <c r="M350" s="23">
        <v>8</v>
      </c>
      <c r="N350" s="23">
        <v>8</v>
      </c>
      <c r="O350" s="29">
        <f t="shared" si="159"/>
        <v>36000</v>
      </c>
      <c r="P350" s="15">
        <f t="shared" si="160"/>
        <v>288000</v>
      </c>
      <c r="Q350" s="19">
        <v>288000</v>
      </c>
      <c r="R350" s="16">
        <f t="shared" si="161"/>
        <v>24</v>
      </c>
      <c r="S350" s="17">
        <f t="shared" si="162"/>
        <v>864000</v>
      </c>
      <c r="X350" s="3"/>
    </row>
    <row r="351" spans="1:24" s="2" customFormat="1" ht="33" x14ac:dyDescent="0.3">
      <c r="A351" s="13">
        <v>5</v>
      </c>
      <c r="B351" s="18" t="s">
        <v>74</v>
      </c>
      <c r="C351" s="23">
        <v>3</v>
      </c>
      <c r="D351" s="23">
        <v>3</v>
      </c>
      <c r="E351" s="29">
        <f t="shared" si="155"/>
        <v>144000</v>
      </c>
      <c r="F351" s="15">
        <f t="shared" si="156"/>
        <v>432000</v>
      </c>
      <c r="G351" s="19">
        <v>432000</v>
      </c>
      <c r="H351" s="23">
        <v>4</v>
      </c>
      <c r="I351" s="23">
        <v>4</v>
      </c>
      <c r="J351" s="29">
        <f t="shared" si="157"/>
        <v>144000</v>
      </c>
      <c r="K351" s="15">
        <f t="shared" si="158"/>
        <v>576000</v>
      </c>
      <c r="L351" s="19">
        <v>576000</v>
      </c>
      <c r="M351" s="23">
        <v>4</v>
      </c>
      <c r="N351" s="23">
        <v>4</v>
      </c>
      <c r="O351" s="29">
        <f t="shared" si="159"/>
        <v>144000</v>
      </c>
      <c r="P351" s="15">
        <f t="shared" si="160"/>
        <v>576000</v>
      </c>
      <c r="Q351" s="19">
        <v>576000</v>
      </c>
      <c r="R351" s="16">
        <f t="shared" si="161"/>
        <v>11</v>
      </c>
      <c r="S351" s="17">
        <f t="shared" si="162"/>
        <v>1584000</v>
      </c>
      <c r="X351" s="3"/>
    </row>
    <row r="352" spans="1:24" s="2" customFormat="1" ht="33" x14ac:dyDescent="0.3">
      <c r="A352" s="13">
        <v>6</v>
      </c>
      <c r="B352" s="18" t="s">
        <v>75</v>
      </c>
      <c r="C352" s="23">
        <v>1</v>
      </c>
      <c r="D352" s="23">
        <v>1</v>
      </c>
      <c r="E352" s="29">
        <f t="shared" si="155"/>
        <v>36000</v>
      </c>
      <c r="F352" s="15">
        <f t="shared" si="156"/>
        <v>36000</v>
      </c>
      <c r="G352" s="19">
        <v>36000</v>
      </c>
      <c r="H352" s="23">
        <v>1</v>
      </c>
      <c r="I352" s="23">
        <v>1</v>
      </c>
      <c r="J352" s="29">
        <f t="shared" si="157"/>
        <v>36000</v>
      </c>
      <c r="K352" s="15">
        <f t="shared" si="158"/>
        <v>36000</v>
      </c>
      <c r="L352" s="19">
        <v>36000</v>
      </c>
      <c r="M352" s="23">
        <v>1</v>
      </c>
      <c r="N352" s="23">
        <v>1</v>
      </c>
      <c r="O352" s="29">
        <f t="shared" si="159"/>
        <v>36000</v>
      </c>
      <c r="P352" s="15">
        <f t="shared" si="160"/>
        <v>36000</v>
      </c>
      <c r="Q352" s="19">
        <v>36000</v>
      </c>
      <c r="R352" s="16">
        <f t="shared" si="161"/>
        <v>3</v>
      </c>
      <c r="S352" s="17">
        <f t="shared" si="162"/>
        <v>108000</v>
      </c>
      <c r="X352" s="3"/>
    </row>
    <row r="353" spans="1:24" s="2" customFormat="1" ht="33" x14ac:dyDescent="0.3">
      <c r="A353" s="13">
        <v>7</v>
      </c>
      <c r="B353" s="18" t="s">
        <v>76</v>
      </c>
      <c r="C353" s="23">
        <v>1</v>
      </c>
      <c r="D353" s="23">
        <v>1</v>
      </c>
      <c r="E353" s="29">
        <f t="shared" si="155"/>
        <v>36000</v>
      </c>
      <c r="F353" s="15">
        <f t="shared" si="156"/>
        <v>36000</v>
      </c>
      <c r="G353" s="19">
        <v>36000</v>
      </c>
      <c r="H353" s="23">
        <v>1</v>
      </c>
      <c r="I353" s="23">
        <v>1</v>
      </c>
      <c r="J353" s="29">
        <f t="shared" si="157"/>
        <v>36000</v>
      </c>
      <c r="K353" s="15">
        <f t="shared" si="158"/>
        <v>36000</v>
      </c>
      <c r="L353" s="19">
        <v>36000</v>
      </c>
      <c r="M353" s="23">
        <v>1</v>
      </c>
      <c r="N353" s="23">
        <v>1</v>
      </c>
      <c r="O353" s="29">
        <f t="shared" si="159"/>
        <v>36000</v>
      </c>
      <c r="P353" s="15">
        <f t="shared" si="160"/>
        <v>36000</v>
      </c>
      <c r="Q353" s="19">
        <v>36000</v>
      </c>
      <c r="R353" s="16">
        <f t="shared" si="161"/>
        <v>3</v>
      </c>
      <c r="S353" s="17">
        <f t="shared" si="162"/>
        <v>108000</v>
      </c>
      <c r="X353" s="3"/>
    </row>
    <row r="354" spans="1:24" s="2" customFormat="1" ht="16.5" x14ac:dyDescent="0.3">
      <c r="A354" s="13">
        <v>8</v>
      </c>
      <c r="B354" s="18" t="s">
        <v>17</v>
      </c>
      <c r="C354" s="23">
        <v>1</v>
      </c>
      <c r="D354" s="23">
        <v>1</v>
      </c>
      <c r="E354" s="29">
        <f t="shared" si="155"/>
        <v>30000</v>
      </c>
      <c r="F354" s="15">
        <f t="shared" si="156"/>
        <v>30000</v>
      </c>
      <c r="G354" s="19">
        <v>30000</v>
      </c>
      <c r="H354" s="23">
        <v>1</v>
      </c>
      <c r="I354" s="23">
        <v>1</v>
      </c>
      <c r="J354" s="29">
        <f t="shared" si="157"/>
        <v>30000</v>
      </c>
      <c r="K354" s="15">
        <f t="shared" si="158"/>
        <v>30000</v>
      </c>
      <c r="L354" s="19">
        <v>30000</v>
      </c>
      <c r="M354" s="23">
        <v>1</v>
      </c>
      <c r="N354" s="23">
        <v>1</v>
      </c>
      <c r="O354" s="29">
        <f t="shared" si="159"/>
        <v>30000</v>
      </c>
      <c r="P354" s="15">
        <f t="shared" si="160"/>
        <v>30000</v>
      </c>
      <c r="Q354" s="19">
        <v>30000</v>
      </c>
      <c r="R354" s="16">
        <f t="shared" si="161"/>
        <v>3</v>
      </c>
      <c r="S354" s="17">
        <f t="shared" si="162"/>
        <v>90000</v>
      </c>
      <c r="X354" s="3"/>
    </row>
    <row r="355" spans="1:24" s="2" customFormat="1" ht="33" x14ac:dyDescent="0.3">
      <c r="A355" s="13">
        <v>9</v>
      </c>
      <c r="B355" s="18" t="s">
        <v>77</v>
      </c>
      <c r="C355" s="23">
        <v>1</v>
      </c>
      <c r="D355" s="23">
        <v>1</v>
      </c>
      <c r="E355" s="29">
        <f t="shared" si="155"/>
        <v>276000</v>
      </c>
      <c r="F355" s="15">
        <f t="shared" si="156"/>
        <v>276000</v>
      </c>
      <c r="G355" s="19">
        <v>276000</v>
      </c>
      <c r="H355" s="23">
        <v>1</v>
      </c>
      <c r="I355" s="23">
        <v>1</v>
      </c>
      <c r="J355" s="29">
        <f t="shared" si="157"/>
        <v>276000</v>
      </c>
      <c r="K355" s="15">
        <f t="shared" si="158"/>
        <v>276000</v>
      </c>
      <c r="L355" s="19">
        <v>276000</v>
      </c>
      <c r="M355" s="23">
        <v>1</v>
      </c>
      <c r="N355" s="23">
        <v>1</v>
      </c>
      <c r="O355" s="29">
        <f t="shared" si="159"/>
        <v>276000</v>
      </c>
      <c r="P355" s="15">
        <f t="shared" si="160"/>
        <v>276000</v>
      </c>
      <c r="Q355" s="19">
        <v>276000</v>
      </c>
      <c r="R355" s="16">
        <f t="shared" si="161"/>
        <v>3</v>
      </c>
      <c r="S355" s="17">
        <f t="shared" si="162"/>
        <v>828000</v>
      </c>
      <c r="X355" s="3"/>
    </row>
    <row r="356" spans="1:24" s="2" customFormat="1" ht="49.5" x14ac:dyDescent="0.3">
      <c r="A356" s="13">
        <v>10</v>
      </c>
      <c r="B356" s="18" t="s">
        <v>78</v>
      </c>
      <c r="C356" s="23">
        <v>1</v>
      </c>
      <c r="D356" s="23">
        <v>1</v>
      </c>
      <c r="E356" s="29">
        <f t="shared" si="155"/>
        <v>144000</v>
      </c>
      <c r="F356" s="15">
        <f t="shared" si="156"/>
        <v>144000</v>
      </c>
      <c r="G356" s="19">
        <v>144000</v>
      </c>
      <c r="H356" s="23">
        <v>1</v>
      </c>
      <c r="I356" s="23">
        <v>1</v>
      </c>
      <c r="J356" s="29">
        <f t="shared" si="157"/>
        <v>144000</v>
      </c>
      <c r="K356" s="15">
        <f t="shared" si="158"/>
        <v>144000</v>
      </c>
      <c r="L356" s="19">
        <v>144000</v>
      </c>
      <c r="M356" s="23">
        <v>1</v>
      </c>
      <c r="N356" s="23">
        <v>1</v>
      </c>
      <c r="O356" s="29">
        <f t="shared" si="159"/>
        <v>144000</v>
      </c>
      <c r="P356" s="15">
        <f t="shared" si="160"/>
        <v>144000</v>
      </c>
      <c r="Q356" s="19">
        <v>144000</v>
      </c>
      <c r="R356" s="16">
        <f t="shared" si="161"/>
        <v>3</v>
      </c>
      <c r="S356" s="17">
        <f t="shared" si="162"/>
        <v>432000</v>
      </c>
      <c r="X356" s="3"/>
    </row>
    <row r="357" spans="1:24" s="2" customFormat="1" ht="33" x14ac:dyDescent="0.3">
      <c r="A357" s="13">
        <v>11</v>
      </c>
      <c r="B357" s="18" t="s">
        <v>79</v>
      </c>
      <c r="C357" s="23">
        <v>1</v>
      </c>
      <c r="D357" s="23">
        <v>1</v>
      </c>
      <c r="E357" s="29">
        <f t="shared" si="155"/>
        <v>120000</v>
      </c>
      <c r="F357" s="15">
        <f t="shared" si="156"/>
        <v>120000</v>
      </c>
      <c r="G357" s="19">
        <v>120000</v>
      </c>
      <c r="H357" s="23">
        <v>1</v>
      </c>
      <c r="I357" s="23">
        <v>1</v>
      </c>
      <c r="J357" s="29">
        <f t="shared" si="157"/>
        <v>120000</v>
      </c>
      <c r="K357" s="15">
        <f t="shared" si="158"/>
        <v>120000</v>
      </c>
      <c r="L357" s="19">
        <v>120000</v>
      </c>
      <c r="M357" s="23">
        <v>1</v>
      </c>
      <c r="N357" s="23">
        <v>1</v>
      </c>
      <c r="O357" s="29">
        <f t="shared" si="159"/>
        <v>120000</v>
      </c>
      <c r="P357" s="15">
        <f t="shared" si="160"/>
        <v>120000</v>
      </c>
      <c r="Q357" s="19">
        <v>120000</v>
      </c>
      <c r="R357" s="16">
        <f t="shared" si="161"/>
        <v>3</v>
      </c>
      <c r="S357" s="17">
        <f t="shared" si="162"/>
        <v>360000</v>
      </c>
      <c r="X357" s="3"/>
    </row>
    <row r="358" spans="1:24" s="2" customFormat="1" ht="16.5" x14ac:dyDescent="0.3">
      <c r="A358" s="13">
        <v>12</v>
      </c>
      <c r="B358" s="18" t="s">
        <v>80</v>
      </c>
      <c r="C358" s="23">
        <v>6</v>
      </c>
      <c r="D358" s="23">
        <v>6</v>
      </c>
      <c r="E358" s="29">
        <f t="shared" si="155"/>
        <v>54000</v>
      </c>
      <c r="F358" s="15">
        <f t="shared" si="156"/>
        <v>324000</v>
      </c>
      <c r="G358" s="19">
        <v>324000</v>
      </c>
      <c r="H358" s="23">
        <v>6</v>
      </c>
      <c r="I358" s="23">
        <v>6</v>
      </c>
      <c r="J358" s="29">
        <f t="shared" si="157"/>
        <v>54000</v>
      </c>
      <c r="K358" s="15">
        <f t="shared" si="158"/>
        <v>324000</v>
      </c>
      <c r="L358" s="19">
        <v>324000</v>
      </c>
      <c r="M358" s="23">
        <v>6</v>
      </c>
      <c r="N358" s="23">
        <v>6</v>
      </c>
      <c r="O358" s="29">
        <f t="shared" si="159"/>
        <v>54000</v>
      </c>
      <c r="P358" s="15">
        <f t="shared" si="160"/>
        <v>324000</v>
      </c>
      <c r="Q358" s="19">
        <v>324000</v>
      </c>
      <c r="R358" s="16">
        <f t="shared" si="161"/>
        <v>18</v>
      </c>
      <c r="S358" s="17">
        <f t="shared" si="162"/>
        <v>972000</v>
      </c>
      <c r="X358" s="3"/>
    </row>
    <row r="359" spans="1:24" s="2" customFormat="1" ht="16.5" x14ac:dyDescent="0.3">
      <c r="A359" s="13">
        <v>13</v>
      </c>
      <c r="B359" s="18" t="s">
        <v>18</v>
      </c>
      <c r="C359" s="23">
        <v>2</v>
      </c>
      <c r="D359" s="23">
        <v>2</v>
      </c>
      <c r="E359" s="29">
        <f t="shared" si="155"/>
        <v>30000</v>
      </c>
      <c r="F359" s="15">
        <f t="shared" si="156"/>
        <v>60000</v>
      </c>
      <c r="G359" s="19">
        <v>60000</v>
      </c>
      <c r="H359" s="23">
        <v>2</v>
      </c>
      <c r="I359" s="23">
        <v>2</v>
      </c>
      <c r="J359" s="29">
        <f t="shared" si="157"/>
        <v>30000</v>
      </c>
      <c r="K359" s="15">
        <f t="shared" si="158"/>
        <v>60000</v>
      </c>
      <c r="L359" s="19">
        <v>60000</v>
      </c>
      <c r="M359" s="23">
        <v>2</v>
      </c>
      <c r="N359" s="23">
        <v>2</v>
      </c>
      <c r="O359" s="29">
        <f t="shared" si="159"/>
        <v>30000</v>
      </c>
      <c r="P359" s="15">
        <f t="shared" si="160"/>
        <v>60000</v>
      </c>
      <c r="Q359" s="19">
        <v>60000</v>
      </c>
      <c r="R359" s="16">
        <f t="shared" si="161"/>
        <v>6</v>
      </c>
      <c r="S359" s="17">
        <f t="shared" si="162"/>
        <v>180000</v>
      </c>
      <c r="X359" s="3"/>
    </row>
    <row r="360" spans="1:24" s="2" customFormat="1" ht="16.5" x14ac:dyDescent="0.3">
      <c r="A360" s="13">
        <v>15</v>
      </c>
      <c r="B360" s="18" t="s">
        <v>81</v>
      </c>
      <c r="C360" s="23">
        <v>1</v>
      </c>
      <c r="D360" s="23">
        <v>1</v>
      </c>
      <c r="E360" s="29">
        <f t="shared" si="155"/>
        <v>76800</v>
      </c>
      <c r="F360" s="15">
        <f t="shared" si="156"/>
        <v>76800</v>
      </c>
      <c r="G360" s="19">
        <v>76800</v>
      </c>
      <c r="H360" s="23">
        <v>1</v>
      </c>
      <c r="I360" s="23">
        <v>1</v>
      </c>
      <c r="J360" s="29">
        <f t="shared" si="157"/>
        <v>76800</v>
      </c>
      <c r="K360" s="15">
        <f t="shared" si="158"/>
        <v>76800</v>
      </c>
      <c r="L360" s="19">
        <v>76800</v>
      </c>
      <c r="M360" s="23">
        <v>1</v>
      </c>
      <c r="N360" s="23">
        <v>1</v>
      </c>
      <c r="O360" s="29">
        <f t="shared" si="159"/>
        <v>76800</v>
      </c>
      <c r="P360" s="15">
        <f t="shared" si="160"/>
        <v>76800</v>
      </c>
      <c r="Q360" s="19">
        <v>76800</v>
      </c>
      <c r="R360" s="16">
        <f t="shared" si="161"/>
        <v>3</v>
      </c>
      <c r="S360" s="17">
        <f t="shared" si="162"/>
        <v>230400</v>
      </c>
      <c r="X360" s="3"/>
    </row>
    <row r="361" spans="1:24" s="2" customFormat="1" ht="33" x14ac:dyDescent="0.3">
      <c r="A361" s="13">
        <v>16</v>
      </c>
      <c r="B361" s="18" t="s">
        <v>82</v>
      </c>
      <c r="C361" s="23">
        <v>23.1</v>
      </c>
      <c r="D361" s="23">
        <v>23.1</v>
      </c>
      <c r="E361" s="29">
        <f t="shared" si="155"/>
        <v>96000</v>
      </c>
      <c r="F361" s="15">
        <f t="shared" si="156"/>
        <v>2217600</v>
      </c>
      <c r="G361" s="19">
        <v>2217600</v>
      </c>
      <c r="H361" s="23">
        <v>19.399999999999999</v>
      </c>
      <c r="I361" s="23">
        <v>19.399999999999999</v>
      </c>
      <c r="J361" s="29">
        <f t="shared" si="157"/>
        <v>96000</v>
      </c>
      <c r="K361" s="15">
        <f t="shared" si="158"/>
        <v>1862399.9999999998</v>
      </c>
      <c r="L361" s="19">
        <v>1862400</v>
      </c>
      <c r="M361" s="23">
        <v>20.3</v>
      </c>
      <c r="N361" s="23">
        <v>20.3</v>
      </c>
      <c r="O361" s="29">
        <f t="shared" si="159"/>
        <v>96000</v>
      </c>
      <c r="P361" s="15">
        <f t="shared" si="160"/>
        <v>1948800</v>
      </c>
      <c r="Q361" s="19">
        <v>1948800</v>
      </c>
      <c r="R361" s="16">
        <f t="shared" si="161"/>
        <v>62.8</v>
      </c>
      <c r="S361" s="17">
        <f t="shared" si="162"/>
        <v>6028800</v>
      </c>
      <c r="X361" s="3"/>
    </row>
    <row r="362" spans="1:24" s="2" customFormat="1" ht="16.5" x14ac:dyDescent="0.3">
      <c r="A362" s="13">
        <v>17</v>
      </c>
      <c r="B362" s="18" t="s">
        <v>20</v>
      </c>
      <c r="C362" s="23">
        <v>4</v>
      </c>
      <c r="D362" s="23">
        <v>4</v>
      </c>
      <c r="E362" s="29">
        <f t="shared" si="155"/>
        <v>25200</v>
      </c>
      <c r="F362" s="15">
        <f t="shared" si="156"/>
        <v>100800</v>
      </c>
      <c r="G362" s="19">
        <v>100800</v>
      </c>
      <c r="H362" s="23">
        <v>3</v>
      </c>
      <c r="I362" s="23">
        <v>3</v>
      </c>
      <c r="J362" s="29">
        <f t="shared" si="157"/>
        <v>25200</v>
      </c>
      <c r="K362" s="15">
        <f t="shared" si="158"/>
        <v>75600</v>
      </c>
      <c r="L362" s="19">
        <v>75600</v>
      </c>
      <c r="M362" s="23">
        <v>4</v>
      </c>
      <c r="N362" s="23">
        <v>4</v>
      </c>
      <c r="O362" s="29">
        <f t="shared" si="159"/>
        <v>25200</v>
      </c>
      <c r="P362" s="15">
        <f t="shared" si="160"/>
        <v>100800</v>
      </c>
      <c r="Q362" s="19">
        <v>100800</v>
      </c>
      <c r="R362" s="16">
        <f t="shared" si="161"/>
        <v>11</v>
      </c>
      <c r="S362" s="17">
        <f t="shared" si="162"/>
        <v>277200</v>
      </c>
      <c r="X362" s="3"/>
    </row>
    <row r="363" spans="1:24" s="2" customFormat="1" ht="33" x14ac:dyDescent="0.3">
      <c r="A363" s="13">
        <v>18</v>
      </c>
      <c r="B363" s="18" t="s">
        <v>83</v>
      </c>
      <c r="C363" s="23">
        <v>1</v>
      </c>
      <c r="D363" s="23">
        <v>1</v>
      </c>
      <c r="E363" s="29">
        <f t="shared" si="155"/>
        <v>69600</v>
      </c>
      <c r="F363" s="15">
        <f t="shared" si="156"/>
        <v>69600</v>
      </c>
      <c r="G363" s="19">
        <v>69600</v>
      </c>
      <c r="H363" s="23">
        <v>1</v>
      </c>
      <c r="I363" s="23">
        <v>1</v>
      </c>
      <c r="J363" s="29">
        <f t="shared" si="157"/>
        <v>69600</v>
      </c>
      <c r="K363" s="15">
        <f t="shared" si="158"/>
        <v>69600</v>
      </c>
      <c r="L363" s="19">
        <v>69600</v>
      </c>
      <c r="M363" s="23">
        <v>1</v>
      </c>
      <c r="N363" s="23">
        <v>1</v>
      </c>
      <c r="O363" s="29">
        <f t="shared" si="159"/>
        <v>69600</v>
      </c>
      <c r="P363" s="15">
        <f t="shared" si="160"/>
        <v>69600</v>
      </c>
      <c r="Q363" s="19">
        <v>69600</v>
      </c>
      <c r="R363" s="16">
        <f t="shared" si="161"/>
        <v>3</v>
      </c>
      <c r="S363" s="17">
        <f t="shared" si="162"/>
        <v>208800</v>
      </c>
      <c r="X363" s="3"/>
    </row>
    <row r="364" spans="1:24" s="2" customFormat="1" ht="16.5" x14ac:dyDescent="0.3">
      <c r="A364" s="13">
        <v>19</v>
      </c>
      <c r="B364" s="18" t="s">
        <v>84</v>
      </c>
      <c r="C364" s="23">
        <v>1</v>
      </c>
      <c r="D364" s="23">
        <v>1</v>
      </c>
      <c r="E364" s="29">
        <f t="shared" si="155"/>
        <v>60000</v>
      </c>
      <c r="F364" s="15">
        <f t="shared" si="156"/>
        <v>60000</v>
      </c>
      <c r="G364" s="19">
        <v>60000</v>
      </c>
      <c r="H364" s="23">
        <v>1</v>
      </c>
      <c r="I364" s="23">
        <v>1</v>
      </c>
      <c r="J364" s="29">
        <f t="shared" si="157"/>
        <v>60000</v>
      </c>
      <c r="K364" s="15">
        <f t="shared" si="158"/>
        <v>60000</v>
      </c>
      <c r="L364" s="19">
        <v>60000</v>
      </c>
      <c r="M364" s="23">
        <v>1</v>
      </c>
      <c r="N364" s="23">
        <v>1</v>
      </c>
      <c r="O364" s="29">
        <f t="shared" si="159"/>
        <v>60000</v>
      </c>
      <c r="P364" s="15">
        <f t="shared" si="160"/>
        <v>60000</v>
      </c>
      <c r="Q364" s="19">
        <v>60000</v>
      </c>
      <c r="R364" s="16">
        <f t="shared" si="161"/>
        <v>3</v>
      </c>
      <c r="S364" s="17">
        <f t="shared" si="162"/>
        <v>180000</v>
      </c>
      <c r="X364" s="3"/>
    </row>
    <row r="365" spans="1:24" s="2" customFormat="1" ht="16.5" x14ac:dyDescent="0.3">
      <c r="A365" s="13">
        <v>20</v>
      </c>
      <c r="B365" s="18" t="s">
        <v>85</v>
      </c>
      <c r="C365" s="23">
        <v>1</v>
      </c>
      <c r="D365" s="23">
        <v>1</v>
      </c>
      <c r="E365" s="29">
        <f t="shared" si="155"/>
        <v>96000</v>
      </c>
      <c r="F365" s="15">
        <f t="shared" si="156"/>
        <v>96000</v>
      </c>
      <c r="G365" s="19">
        <v>96000</v>
      </c>
      <c r="H365" s="23">
        <v>1</v>
      </c>
      <c r="I365" s="23">
        <v>1</v>
      </c>
      <c r="J365" s="29">
        <f t="shared" si="157"/>
        <v>96000</v>
      </c>
      <c r="K365" s="15">
        <f t="shared" si="158"/>
        <v>96000</v>
      </c>
      <c r="L365" s="19">
        <v>96000</v>
      </c>
      <c r="M365" s="23">
        <v>1</v>
      </c>
      <c r="N365" s="23">
        <v>1</v>
      </c>
      <c r="O365" s="29">
        <f t="shared" si="159"/>
        <v>96000</v>
      </c>
      <c r="P365" s="15">
        <f t="shared" si="160"/>
        <v>96000</v>
      </c>
      <c r="Q365" s="19">
        <v>96000</v>
      </c>
      <c r="R365" s="16">
        <f t="shared" si="161"/>
        <v>3</v>
      </c>
      <c r="S365" s="17">
        <f t="shared" si="162"/>
        <v>288000</v>
      </c>
      <c r="X365" s="3"/>
    </row>
    <row r="366" spans="1:24" s="2" customFormat="1" ht="16.5" x14ac:dyDescent="0.3">
      <c r="A366" s="13">
        <v>22</v>
      </c>
      <c r="B366" s="18" t="s">
        <v>86</v>
      </c>
      <c r="C366" s="23">
        <v>1</v>
      </c>
      <c r="D366" s="23">
        <v>1</v>
      </c>
      <c r="E366" s="29">
        <f t="shared" si="155"/>
        <v>48000</v>
      </c>
      <c r="F366" s="15">
        <f t="shared" si="156"/>
        <v>48000</v>
      </c>
      <c r="G366" s="19">
        <v>48000</v>
      </c>
      <c r="H366" s="23">
        <v>1</v>
      </c>
      <c r="I366" s="23">
        <v>1</v>
      </c>
      <c r="J366" s="29">
        <f t="shared" si="157"/>
        <v>48000</v>
      </c>
      <c r="K366" s="15">
        <f t="shared" si="158"/>
        <v>48000</v>
      </c>
      <c r="L366" s="19">
        <v>48000</v>
      </c>
      <c r="M366" s="23">
        <v>1</v>
      </c>
      <c r="N366" s="23">
        <v>1</v>
      </c>
      <c r="O366" s="29">
        <f t="shared" si="159"/>
        <v>48000</v>
      </c>
      <c r="P366" s="15">
        <f t="shared" si="160"/>
        <v>48000</v>
      </c>
      <c r="Q366" s="19">
        <v>48000</v>
      </c>
      <c r="R366" s="16">
        <f t="shared" si="161"/>
        <v>3</v>
      </c>
      <c r="S366" s="17">
        <f t="shared" si="162"/>
        <v>144000</v>
      </c>
      <c r="X366" s="3"/>
    </row>
    <row r="367" spans="1:24" s="2" customFormat="1" ht="49.5" x14ac:dyDescent="0.3">
      <c r="A367" s="13">
        <v>23</v>
      </c>
      <c r="B367" s="18" t="s">
        <v>87</v>
      </c>
      <c r="C367" s="23">
        <v>1</v>
      </c>
      <c r="D367" s="23">
        <v>1</v>
      </c>
      <c r="E367" s="29">
        <f t="shared" si="155"/>
        <v>216000</v>
      </c>
      <c r="F367" s="15">
        <f t="shared" si="156"/>
        <v>216000</v>
      </c>
      <c r="G367" s="19">
        <v>216000</v>
      </c>
      <c r="H367" s="23">
        <v>1</v>
      </c>
      <c r="I367" s="23">
        <v>1</v>
      </c>
      <c r="J367" s="29">
        <f t="shared" si="157"/>
        <v>216000</v>
      </c>
      <c r="K367" s="15">
        <f t="shared" si="158"/>
        <v>216000</v>
      </c>
      <c r="L367" s="19">
        <v>216000</v>
      </c>
      <c r="M367" s="23">
        <v>1</v>
      </c>
      <c r="N367" s="23">
        <v>1</v>
      </c>
      <c r="O367" s="29">
        <f t="shared" si="159"/>
        <v>216000</v>
      </c>
      <c r="P367" s="15">
        <f t="shared" si="160"/>
        <v>216000</v>
      </c>
      <c r="Q367" s="19">
        <v>216000</v>
      </c>
      <c r="R367" s="16">
        <f t="shared" si="161"/>
        <v>3</v>
      </c>
      <c r="S367" s="17">
        <f t="shared" si="162"/>
        <v>648000</v>
      </c>
      <c r="X367" s="3"/>
    </row>
    <row r="368" spans="1:24" s="2" customFormat="1" ht="66" x14ac:dyDescent="0.3">
      <c r="A368" s="13">
        <v>24</v>
      </c>
      <c r="B368" s="18" t="s">
        <v>22</v>
      </c>
      <c r="C368" s="23">
        <v>300</v>
      </c>
      <c r="D368" s="23">
        <f>C368-34</f>
        <v>266</v>
      </c>
      <c r="E368" s="29">
        <f t="shared" si="155"/>
        <v>4800</v>
      </c>
      <c r="F368" s="15">
        <f t="shared" si="156"/>
        <v>1276800</v>
      </c>
      <c r="G368" s="19">
        <v>1440000</v>
      </c>
      <c r="H368" s="23">
        <v>250</v>
      </c>
      <c r="I368" s="23">
        <f>250-47</f>
        <v>203</v>
      </c>
      <c r="J368" s="29">
        <f t="shared" si="157"/>
        <v>4800</v>
      </c>
      <c r="K368" s="15">
        <f t="shared" si="158"/>
        <v>974400</v>
      </c>
      <c r="L368" s="19">
        <v>1200000</v>
      </c>
      <c r="M368" s="23">
        <v>280</v>
      </c>
      <c r="N368" s="23">
        <f>280-96</f>
        <v>184</v>
      </c>
      <c r="O368" s="29">
        <f t="shared" si="159"/>
        <v>4800</v>
      </c>
      <c r="P368" s="15">
        <f t="shared" si="160"/>
        <v>883200</v>
      </c>
      <c r="Q368" s="19">
        <v>1344000</v>
      </c>
      <c r="R368" s="16">
        <f t="shared" si="161"/>
        <v>653</v>
      </c>
      <c r="S368" s="17">
        <f t="shared" si="162"/>
        <v>3134400</v>
      </c>
      <c r="X368" s="3"/>
    </row>
    <row r="369" spans="1:24" s="2" customFormat="1" ht="49.5" x14ac:dyDescent="0.3">
      <c r="A369" s="13">
        <v>26</v>
      </c>
      <c r="B369" s="18" t="s">
        <v>88</v>
      </c>
      <c r="C369" s="23">
        <v>1</v>
      </c>
      <c r="D369" s="23">
        <v>1</v>
      </c>
      <c r="E369" s="29">
        <f t="shared" si="155"/>
        <v>30000</v>
      </c>
      <c r="F369" s="15">
        <f t="shared" si="156"/>
        <v>30000</v>
      </c>
      <c r="G369" s="19">
        <v>30000</v>
      </c>
      <c r="H369" s="23">
        <v>1</v>
      </c>
      <c r="I369" s="23">
        <v>1</v>
      </c>
      <c r="J369" s="29">
        <f t="shared" si="157"/>
        <v>30000</v>
      </c>
      <c r="K369" s="15">
        <f t="shared" si="158"/>
        <v>30000</v>
      </c>
      <c r="L369" s="19">
        <v>30000</v>
      </c>
      <c r="M369" s="23">
        <v>1</v>
      </c>
      <c r="N369" s="23">
        <v>1</v>
      </c>
      <c r="O369" s="29">
        <f t="shared" si="159"/>
        <v>30000</v>
      </c>
      <c r="P369" s="15">
        <f t="shared" si="160"/>
        <v>30000</v>
      </c>
      <c r="Q369" s="19">
        <v>30000</v>
      </c>
      <c r="R369" s="16">
        <f t="shared" si="161"/>
        <v>3</v>
      </c>
      <c r="S369" s="17">
        <f t="shared" si="162"/>
        <v>90000</v>
      </c>
      <c r="X369" s="3"/>
    </row>
    <row r="370" spans="1:24" s="2" customFormat="1" ht="49.5" x14ac:dyDescent="0.3">
      <c r="A370" s="13">
        <v>27</v>
      </c>
      <c r="B370" s="18" t="s">
        <v>24</v>
      </c>
      <c r="C370" s="23">
        <v>1</v>
      </c>
      <c r="D370" s="23">
        <v>1</v>
      </c>
      <c r="E370" s="29">
        <f t="shared" si="155"/>
        <v>30000</v>
      </c>
      <c r="F370" s="15">
        <f t="shared" si="156"/>
        <v>30000</v>
      </c>
      <c r="G370" s="19">
        <v>30000</v>
      </c>
      <c r="H370" s="23">
        <v>1</v>
      </c>
      <c r="I370" s="23">
        <v>1</v>
      </c>
      <c r="J370" s="29">
        <f t="shared" si="157"/>
        <v>30000</v>
      </c>
      <c r="K370" s="15">
        <f t="shared" si="158"/>
        <v>30000</v>
      </c>
      <c r="L370" s="19">
        <v>30000</v>
      </c>
      <c r="M370" s="23">
        <v>1</v>
      </c>
      <c r="N370" s="23">
        <v>1</v>
      </c>
      <c r="O370" s="29">
        <f t="shared" si="159"/>
        <v>30000</v>
      </c>
      <c r="P370" s="15">
        <f t="shared" si="160"/>
        <v>30000</v>
      </c>
      <c r="Q370" s="19">
        <v>30000</v>
      </c>
      <c r="R370" s="16">
        <f t="shared" si="161"/>
        <v>3</v>
      </c>
      <c r="S370" s="17">
        <f t="shared" si="162"/>
        <v>90000</v>
      </c>
      <c r="X370" s="3"/>
    </row>
    <row r="371" spans="1:24" s="2" customFormat="1" ht="33" x14ac:dyDescent="0.3">
      <c r="A371" s="13">
        <v>28</v>
      </c>
      <c r="B371" s="18" t="s">
        <v>89</v>
      </c>
      <c r="C371" s="23">
        <v>4</v>
      </c>
      <c r="D371" s="23">
        <v>4</v>
      </c>
      <c r="E371" s="29">
        <f t="shared" si="155"/>
        <v>27600</v>
      </c>
      <c r="F371" s="15">
        <f t="shared" si="156"/>
        <v>110400</v>
      </c>
      <c r="G371" s="19">
        <v>110400</v>
      </c>
      <c r="H371" s="23">
        <v>4</v>
      </c>
      <c r="I371" s="23">
        <v>4</v>
      </c>
      <c r="J371" s="29">
        <f t="shared" si="157"/>
        <v>27600</v>
      </c>
      <c r="K371" s="15">
        <f t="shared" si="158"/>
        <v>110400</v>
      </c>
      <c r="L371" s="19">
        <v>110400</v>
      </c>
      <c r="M371" s="23">
        <v>4</v>
      </c>
      <c r="N371" s="23">
        <v>4</v>
      </c>
      <c r="O371" s="29">
        <f t="shared" si="159"/>
        <v>27600</v>
      </c>
      <c r="P371" s="15">
        <f t="shared" si="160"/>
        <v>110400</v>
      </c>
      <c r="Q371" s="19">
        <v>110400</v>
      </c>
      <c r="R371" s="16">
        <f t="shared" si="161"/>
        <v>12</v>
      </c>
      <c r="S371" s="17">
        <f t="shared" si="162"/>
        <v>331200</v>
      </c>
      <c r="X371" s="3"/>
    </row>
    <row r="372" spans="1:24" s="2" customFormat="1" ht="16.5" x14ac:dyDescent="0.3">
      <c r="A372" s="13">
        <v>29</v>
      </c>
      <c r="B372" s="18" t="s">
        <v>25</v>
      </c>
      <c r="C372" s="23">
        <v>3</v>
      </c>
      <c r="D372" s="23">
        <v>3</v>
      </c>
      <c r="E372" s="29">
        <f t="shared" si="155"/>
        <v>174000</v>
      </c>
      <c r="F372" s="15">
        <f t="shared" si="156"/>
        <v>522000</v>
      </c>
      <c r="G372" s="19">
        <v>522000</v>
      </c>
      <c r="H372" s="23">
        <v>3</v>
      </c>
      <c r="I372" s="23">
        <v>3</v>
      </c>
      <c r="J372" s="29">
        <f t="shared" si="157"/>
        <v>174000</v>
      </c>
      <c r="K372" s="15">
        <f t="shared" si="158"/>
        <v>522000</v>
      </c>
      <c r="L372" s="19">
        <v>522000</v>
      </c>
      <c r="M372" s="23">
        <v>3</v>
      </c>
      <c r="N372" s="23">
        <v>3</v>
      </c>
      <c r="O372" s="29">
        <f t="shared" si="159"/>
        <v>174000</v>
      </c>
      <c r="P372" s="15">
        <f t="shared" si="160"/>
        <v>522000</v>
      </c>
      <c r="Q372" s="19">
        <v>522000</v>
      </c>
      <c r="R372" s="16">
        <f t="shared" si="161"/>
        <v>9</v>
      </c>
      <c r="S372" s="17">
        <f t="shared" si="162"/>
        <v>1566000</v>
      </c>
      <c r="X372" s="3"/>
    </row>
    <row r="373" spans="1:24" s="2" customFormat="1" ht="16.5" x14ac:dyDescent="0.3">
      <c r="A373" s="13">
        <v>31</v>
      </c>
      <c r="B373" s="18" t="s">
        <v>90</v>
      </c>
      <c r="C373" s="23">
        <v>5</v>
      </c>
      <c r="D373" s="23">
        <v>5</v>
      </c>
      <c r="E373" s="29">
        <f t="shared" si="155"/>
        <v>78000</v>
      </c>
      <c r="F373" s="15">
        <f t="shared" si="156"/>
        <v>390000</v>
      </c>
      <c r="G373" s="19">
        <v>390000</v>
      </c>
      <c r="H373" s="23">
        <v>5.94</v>
      </c>
      <c r="I373" s="23">
        <v>5.94</v>
      </c>
      <c r="J373" s="29">
        <f t="shared" si="157"/>
        <v>78000</v>
      </c>
      <c r="K373" s="15">
        <f t="shared" si="158"/>
        <v>463320.00000000006</v>
      </c>
      <c r="L373" s="19">
        <v>463320</v>
      </c>
      <c r="M373" s="23">
        <v>5.7</v>
      </c>
      <c r="N373" s="23">
        <v>5.7</v>
      </c>
      <c r="O373" s="29">
        <f t="shared" si="159"/>
        <v>78000</v>
      </c>
      <c r="P373" s="15">
        <f t="shared" si="160"/>
        <v>444600</v>
      </c>
      <c r="Q373" s="19">
        <v>444600</v>
      </c>
      <c r="R373" s="16">
        <f t="shared" si="161"/>
        <v>16.64</v>
      </c>
      <c r="S373" s="17">
        <f t="shared" si="162"/>
        <v>1297920</v>
      </c>
      <c r="X373" s="3"/>
    </row>
    <row r="374" spans="1:24" s="2" customFormat="1" ht="33" x14ac:dyDescent="0.3">
      <c r="A374" s="13">
        <v>33</v>
      </c>
      <c r="B374" s="18" t="s">
        <v>28</v>
      </c>
      <c r="C374" s="23">
        <v>79.400000000000006</v>
      </c>
      <c r="D374" s="23">
        <v>79.400000000000006</v>
      </c>
      <c r="E374" s="29">
        <f t="shared" si="155"/>
        <v>5400</v>
      </c>
      <c r="F374" s="15">
        <f t="shared" si="156"/>
        <v>428760.00000000006</v>
      </c>
      <c r="G374" s="19">
        <v>428760</v>
      </c>
      <c r="H374" s="23">
        <v>113</v>
      </c>
      <c r="I374" s="23">
        <f>113-25</f>
        <v>88</v>
      </c>
      <c r="J374" s="29">
        <f t="shared" si="157"/>
        <v>5400</v>
      </c>
      <c r="K374" s="15">
        <f t="shared" si="158"/>
        <v>475200</v>
      </c>
      <c r="L374" s="19">
        <v>610200</v>
      </c>
      <c r="M374" s="23">
        <v>97.5</v>
      </c>
      <c r="N374" s="23">
        <v>97.5</v>
      </c>
      <c r="O374" s="29">
        <f t="shared" si="159"/>
        <v>5400</v>
      </c>
      <c r="P374" s="15">
        <f t="shared" si="160"/>
        <v>526500</v>
      </c>
      <c r="Q374" s="19">
        <v>526500</v>
      </c>
      <c r="R374" s="16">
        <f t="shared" si="161"/>
        <v>264.89999999999998</v>
      </c>
      <c r="S374" s="17">
        <f t="shared" si="162"/>
        <v>1430460</v>
      </c>
      <c r="X374" s="3"/>
    </row>
    <row r="375" spans="1:24" s="2" customFormat="1" ht="33" x14ac:dyDescent="0.3">
      <c r="A375" s="13">
        <v>40</v>
      </c>
      <c r="B375" s="64" t="s">
        <v>91</v>
      </c>
      <c r="C375" s="23">
        <v>1</v>
      </c>
      <c r="D375" s="23">
        <v>1</v>
      </c>
      <c r="E375" s="29">
        <f t="shared" si="155"/>
        <v>540000</v>
      </c>
      <c r="F375" s="15">
        <f t="shared" si="156"/>
        <v>540000</v>
      </c>
      <c r="G375" s="19">
        <v>540000</v>
      </c>
      <c r="H375" s="23"/>
      <c r="I375" s="23"/>
      <c r="J375" s="29"/>
      <c r="K375" s="15"/>
      <c r="L375" s="19"/>
      <c r="M375" s="23"/>
      <c r="N375" s="23"/>
      <c r="O375" s="29"/>
      <c r="P375" s="15"/>
      <c r="Q375" s="19"/>
      <c r="R375" s="16">
        <f t="shared" si="161"/>
        <v>1</v>
      </c>
      <c r="S375" s="17">
        <f t="shared" si="162"/>
        <v>540000</v>
      </c>
      <c r="X375" s="3"/>
    </row>
    <row r="376" spans="1:24" s="2" customFormat="1" ht="33" x14ac:dyDescent="0.3">
      <c r="A376" s="13">
        <v>41</v>
      </c>
      <c r="B376" s="18" t="s">
        <v>92</v>
      </c>
      <c r="C376" s="23">
        <v>1</v>
      </c>
      <c r="D376" s="23">
        <v>1</v>
      </c>
      <c r="E376" s="29">
        <f t="shared" si="155"/>
        <v>2400000</v>
      </c>
      <c r="F376" s="15">
        <f t="shared" si="156"/>
        <v>2400000</v>
      </c>
      <c r="G376" s="19">
        <v>2400000</v>
      </c>
      <c r="H376" s="23">
        <v>1</v>
      </c>
      <c r="I376" s="23">
        <v>1</v>
      </c>
      <c r="J376" s="29">
        <f t="shared" si="157"/>
        <v>2400000</v>
      </c>
      <c r="K376" s="15">
        <f t="shared" si="158"/>
        <v>2400000</v>
      </c>
      <c r="L376" s="19">
        <v>2400000</v>
      </c>
      <c r="M376" s="23">
        <v>1</v>
      </c>
      <c r="N376" s="23">
        <v>1</v>
      </c>
      <c r="O376" s="29">
        <f t="shared" si="159"/>
        <v>2400000</v>
      </c>
      <c r="P376" s="15">
        <f t="shared" si="160"/>
        <v>2400000</v>
      </c>
      <c r="Q376" s="19">
        <v>2400000</v>
      </c>
      <c r="R376" s="16">
        <f t="shared" si="161"/>
        <v>3</v>
      </c>
      <c r="S376" s="17">
        <f t="shared" si="162"/>
        <v>7200000</v>
      </c>
      <c r="X376" s="3"/>
    </row>
    <row r="377" spans="1:24" s="2" customFormat="1" ht="33" x14ac:dyDescent="0.3">
      <c r="A377" s="13">
        <v>42</v>
      </c>
      <c r="B377" s="64" t="s">
        <v>115</v>
      </c>
      <c r="C377" s="23">
        <v>7.2</v>
      </c>
      <c r="D377" s="23">
        <v>7.2</v>
      </c>
      <c r="E377" s="29">
        <f t="shared" si="155"/>
        <v>36000</v>
      </c>
      <c r="F377" s="15">
        <f t="shared" si="156"/>
        <v>259200</v>
      </c>
      <c r="G377" s="19">
        <v>259200</v>
      </c>
      <c r="H377" s="23">
        <v>9.75</v>
      </c>
      <c r="I377" s="23">
        <v>9.75</v>
      </c>
      <c r="J377" s="29">
        <f t="shared" si="157"/>
        <v>36000</v>
      </c>
      <c r="K377" s="15">
        <f t="shared" si="158"/>
        <v>351000</v>
      </c>
      <c r="L377" s="19">
        <v>351000</v>
      </c>
      <c r="M377" s="23">
        <v>9.75</v>
      </c>
      <c r="N377" s="23">
        <v>9.75</v>
      </c>
      <c r="O377" s="29">
        <f t="shared" si="159"/>
        <v>36000</v>
      </c>
      <c r="P377" s="15">
        <f t="shared" si="160"/>
        <v>351000</v>
      </c>
      <c r="Q377" s="19">
        <v>351000</v>
      </c>
      <c r="R377" s="16">
        <f t="shared" si="161"/>
        <v>26.7</v>
      </c>
      <c r="S377" s="17">
        <f t="shared" si="162"/>
        <v>961200</v>
      </c>
      <c r="X377" s="3"/>
    </row>
    <row r="378" spans="1:24" s="2" customFormat="1" ht="33" x14ac:dyDescent="0.3">
      <c r="A378" s="13">
        <v>43</v>
      </c>
      <c r="B378" s="18" t="s">
        <v>95</v>
      </c>
      <c r="C378" s="23">
        <v>1</v>
      </c>
      <c r="D378" s="23">
        <v>1</v>
      </c>
      <c r="E378" s="29">
        <f t="shared" si="155"/>
        <v>98400</v>
      </c>
      <c r="F378" s="15">
        <f t="shared" si="156"/>
        <v>98400</v>
      </c>
      <c r="G378" s="19">
        <v>98400</v>
      </c>
      <c r="H378" s="23">
        <v>1</v>
      </c>
      <c r="I378" s="23">
        <v>1</v>
      </c>
      <c r="J378" s="29">
        <f t="shared" si="157"/>
        <v>98400</v>
      </c>
      <c r="K378" s="15">
        <f t="shared" si="158"/>
        <v>98400</v>
      </c>
      <c r="L378" s="19">
        <v>98400</v>
      </c>
      <c r="M378" s="23">
        <v>1</v>
      </c>
      <c r="N378" s="23">
        <v>1</v>
      </c>
      <c r="O378" s="29">
        <f t="shared" si="159"/>
        <v>98400</v>
      </c>
      <c r="P378" s="15">
        <f t="shared" si="160"/>
        <v>98400</v>
      </c>
      <c r="Q378" s="19">
        <v>98400</v>
      </c>
      <c r="R378" s="16">
        <f t="shared" si="161"/>
        <v>3</v>
      </c>
      <c r="S378" s="17">
        <f t="shared" si="162"/>
        <v>295200</v>
      </c>
      <c r="X378" s="3"/>
    </row>
    <row r="379" spans="1:24" s="2" customFormat="1" ht="33" x14ac:dyDescent="0.3">
      <c r="A379" s="13">
        <v>44</v>
      </c>
      <c r="B379" s="64" t="s">
        <v>116</v>
      </c>
      <c r="C379" s="64"/>
      <c r="D379" s="64"/>
      <c r="E379" s="29"/>
      <c r="F379" s="15"/>
      <c r="G379" s="19"/>
      <c r="H379" s="23">
        <v>1</v>
      </c>
      <c r="I379" s="23">
        <v>1</v>
      </c>
      <c r="J379" s="29">
        <f t="shared" si="157"/>
        <v>540000</v>
      </c>
      <c r="K379" s="15">
        <f t="shared" si="158"/>
        <v>540000</v>
      </c>
      <c r="L379" s="19">
        <v>540000</v>
      </c>
      <c r="M379" s="23">
        <v>1</v>
      </c>
      <c r="N379" s="23">
        <v>1</v>
      </c>
      <c r="O379" s="29">
        <f t="shared" si="159"/>
        <v>540000</v>
      </c>
      <c r="P379" s="15">
        <f t="shared" si="160"/>
        <v>540000</v>
      </c>
      <c r="Q379" s="19">
        <v>540000</v>
      </c>
      <c r="R379" s="16">
        <f t="shared" si="161"/>
        <v>2</v>
      </c>
      <c r="S379" s="17">
        <f t="shared" si="162"/>
        <v>1080000</v>
      </c>
      <c r="X379" s="3"/>
    </row>
    <row r="380" spans="1:24" s="2" customFormat="1" ht="33" x14ac:dyDescent="0.3">
      <c r="A380" s="13">
        <v>45</v>
      </c>
      <c r="B380" s="18" t="s">
        <v>96</v>
      </c>
      <c r="C380" s="23"/>
      <c r="D380" s="23">
        <v>5.6</v>
      </c>
      <c r="E380" s="29">
        <v>54000</v>
      </c>
      <c r="F380" s="15">
        <f>D380*E380</f>
        <v>302400</v>
      </c>
      <c r="G380" s="19"/>
      <c r="H380" s="23">
        <v>16</v>
      </c>
      <c r="I380" s="23">
        <f>16-5.6</f>
        <v>10.4</v>
      </c>
      <c r="J380" s="29">
        <f t="shared" si="157"/>
        <v>54000</v>
      </c>
      <c r="K380" s="15">
        <f t="shared" si="158"/>
        <v>561600</v>
      </c>
      <c r="L380" s="19">
        <v>864000</v>
      </c>
      <c r="M380" s="23">
        <v>16</v>
      </c>
      <c r="N380" s="23">
        <v>16</v>
      </c>
      <c r="O380" s="29">
        <f t="shared" si="159"/>
        <v>54000</v>
      </c>
      <c r="P380" s="15">
        <f t="shared" si="160"/>
        <v>864000</v>
      </c>
      <c r="Q380" s="19">
        <v>864000</v>
      </c>
      <c r="R380" s="16">
        <f t="shared" si="161"/>
        <v>32</v>
      </c>
      <c r="S380" s="17">
        <f t="shared" si="162"/>
        <v>1728000</v>
      </c>
      <c r="X380" s="3"/>
    </row>
    <row r="381" spans="1:24" s="2" customFormat="1" ht="16.5" x14ac:dyDescent="0.3">
      <c r="A381" s="13">
        <v>46</v>
      </c>
      <c r="B381" s="64" t="s">
        <v>118</v>
      </c>
      <c r="C381" s="23">
        <v>8.4</v>
      </c>
      <c r="D381" s="23">
        <v>8.4</v>
      </c>
      <c r="E381" s="29">
        <f t="shared" si="155"/>
        <v>54000</v>
      </c>
      <c r="F381" s="15">
        <f t="shared" si="156"/>
        <v>453600</v>
      </c>
      <c r="G381" s="19">
        <v>453600</v>
      </c>
      <c r="H381" s="23"/>
      <c r="I381" s="23"/>
      <c r="J381" s="29"/>
      <c r="K381" s="15"/>
      <c r="L381" s="19"/>
      <c r="M381" s="20"/>
      <c r="N381" s="20"/>
      <c r="O381" s="29"/>
      <c r="P381" s="15"/>
      <c r="Q381" s="19"/>
      <c r="R381" s="16">
        <f t="shared" si="161"/>
        <v>8.4</v>
      </c>
      <c r="S381" s="17">
        <f t="shared" si="162"/>
        <v>453600</v>
      </c>
      <c r="X381" s="3"/>
    </row>
    <row r="382" spans="1:24" s="2" customFormat="1" ht="33" x14ac:dyDescent="0.3">
      <c r="A382" s="13">
        <v>47</v>
      </c>
      <c r="B382" s="18" t="s">
        <v>97</v>
      </c>
      <c r="C382" s="23">
        <v>3.1</v>
      </c>
      <c r="D382" s="23">
        <v>3.1</v>
      </c>
      <c r="E382" s="29">
        <f t="shared" si="155"/>
        <v>36000</v>
      </c>
      <c r="F382" s="15">
        <f t="shared" si="156"/>
        <v>111600</v>
      </c>
      <c r="G382" s="19">
        <v>111600</v>
      </c>
      <c r="H382" s="23">
        <v>1.95</v>
      </c>
      <c r="I382" s="23">
        <v>1.95</v>
      </c>
      <c r="J382" s="29">
        <f t="shared" si="157"/>
        <v>36000</v>
      </c>
      <c r="K382" s="15">
        <f t="shared" si="158"/>
        <v>70200</v>
      </c>
      <c r="L382" s="19">
        <v>70200</v>
      </c>
      <c r="M382" s="23">
        <v>2.2000000000000002</v>
      </c>
      <c r="N382" s="23">
        <v>2.2000000000000002</v>
      </c>
      <c r="O382" s="29">
        <f t="shared" si="159"/>
        <v>36000</v>
      </c>
      <c r="P382" s="15">
        <f t="shared" si="160"/>
        <v>79200</v>
      </c>
      <c r="Q382" s="19">
        <v>79200</v>
      </c>
      <c r="R382" s="16">
        <f t="shared" si="161"/>
        <v>7.25</v>
      </c>
      <c r="S382" s="17">
        <f t="shared" si="162"/>
        <v>261000</v>
      </c>
      <c r="X382" s="3"/>
    </row>
    <row r="383" spans="1:24" s="2" customFormat="1" ht="33" x14ac:dyDescent="0.3">
      <c r="A383" s="13">
        <v>48</v>
      </c>
      <c r="B383" s="18" t="s">
        <v>98</v>
      </c>
      <c r="C383" s="23">
        <v>1</v>
      </c>
      <c r="D383" s="23">
        <v>1</v>
      </c>
      <c r="E383" s="29">
        <f t="shared" si="155"/>
        <v>42000</v>
      </c>
      <c r="F383" s="15">
        <f t="shared" si="156"/>
        <v>42000</v>
      </c>
      <c r="G383" s="19">
        <v>42000</v>
      </c>
      <c r="H383" s="23">
        <v>2</v>
      </c>
      <c r="I383" s="23">
        <v>2</v>
      </c>
      <c r="J383" s="29">
        <f t="shared" si="157"/>
        <v>42000</v>
      </c>
      <c r="K383" s="15">
        <f t="shared" si="158"/>
        <v>84000</v>
      </c>
      <c r="L383" s="19">
        <v>84000</v>
      </c>
      <c r="M383" s="23">
        <v>2</v>
      </c>
      <c r="N383" s="23">
        <v>2</v>
      </c>
      <c r="O383" s="29">
        <f t="shared" si="159"/>
        <v>42000</v>
      </c>
      <c r="P383" s="15">
        <f t="shared" si="160"/>
        <v>84000</v>
      </c>
      <c r="Q383" s="19">
        <v>84000</v>
      </c>
      <c r="R383" s="16">
        <f t="shared" si="161"/>
        <v>5</v>
      </c>
      <c r="S383" s="17">
        <f t="shared" si="162"/>
        <v>210000</v>
      </c>
      <c r="X383" s="3"/>
    </row>
    <row r="384" spans="1:24" s="2" customFormat="1" ht="16.5" x14ac:dyDescent="0.3">
      <c r="A384" s="13">
        <v>49</v>
      </c>
      <c r="B384" s="18" t="s">
        <v>99</v>
      </c>
      <c r="C384" s="23">
        <v>1</v>
      </c>
      <c r="D384" s="23">
        <v>1</v>
      </c>
      <c r="E384" s="29">
        <f t="shared" si="155"/>
        <v>98400</v>
      </c>
      <c r="F384" s="15">
        <f t="shared" si="156"/>
        <v>98400</v>
      </c>
      <c r="G384" s="19">
        <v>98400</v>
      </c>
      <c r="H384" s="23">
        <v>1</v>
      </c>
      <c r="I384" s="23">
        <v>1</v>
      </c>
      <c r="J384" s="29">
        <f t="shared" si="157"/>
        <v>98400</v>
      </c>
      <c r="K384" s="15">
        <f t="shared" si="158"/>
        <v>98400</v>
      </c>
      <c r="L384" s="19">
        <v>98400</v>
      </c>
      <c r="M384" s="23">
        <v>1</v>
      </c>
      <c r="N384" s="23">
        <v>1</v>
      </c>
      <c r="O384" s="29">
        <f t="shared" si="159"/>
        <v>98400</v>
      </c>
      <c r="P384" s="15">
        <f t="shared" si="160"/>
        <v>98400</v>
      </c>
      <c r="Q384" s="19">
        <v>98400</v>
      </c>
      <c r="R384" s="16">
        <f t="shared" si="161"/>
        <v>3</v>
      </c>
      <c r="S384" s="17">
        <f t="shared" si="162"/>
        <v>295200</v>
      </c>
      <c r="X384" s="3"/>
    </row>
    <row r="385" spans="1:25" s="2" customFormat="1" ht="16.5" x14ac:dyDescent="0.3">
      <c r="A385" s="13">
        <v>50</v>
      </c>
      <c r="B385" s="64" t="s">
        <v>100</v>
      </c>
      <c r="C385" s="23">
        <v>1</v>
      </c>
      <c r="D385" s="23">
        <v>1</v>
      </c>
      <c r="E385" s="29">
        <f t="shared" si="155"/>
        <v>78000</v>
      </c>
      <c r="F385" s="15">
        <f t="shared" si="156"/>
        <v>78000</v>
      </c>
      <c r="G385" s="19">
        <v>78000</v>
      </c>
      <c r="H385" s="23">
        <v>1</v>
      </c>
      <c r="I385" s="23">
        <v>1</v>
      </c>
      <c r="J385" s="29">
        <f t="shared" si="157"/>
        <v>78000</v>
      </c>
      <c r="K385" s="15">
        <f t="shared" si="158"/>
        <v>78000</v>
      </c>
      <c r="L385" s="19">
        <v>78000</v>
      </c>
      <c r="M385" s="23">
        <v>1</v>
      </c>
      <c r="N385" s="23">
        <v>1</v>
      </c>
      <c r="O385" s="29">
        <f t="shared" si="159"/>
        <v>78000</v>
      </c>
      <c r="P385" s="15">
        <f t="shared" si="160"/>
        <v>78000</v>
      </c>
      <c r="Q385" s="19">
        <v>78000</v>
      </c>
      <c r="R385" s="16">
        <f t="shared" si="161"/>
        <v>3</v>
      </c>
      <c r="S385" s="17">
        <f t="shared" si="162"/>
        <v>234000</v>
      </c>
      <c r="X385" s="3"/>
    </row>
    <row r="386" spans="1:25" s="2" customFormat="1" ht="16.5" x14ac:dyDescent="0.3">
      <c r="A386" s="24"/>
      <c r="B386" s="25" t="s">
        <v>11</v>
      </c>
      <c r="C386" s="17"/>
      <c r="D386" s="17"/>
      <c r="E386" s="17"/>
      <c r="F386" s="17">
        <f>SUM(F348:F385)</f>
        <v>12558360</v>
      </c>
      <c r="G386" s="17">
        <f t="shared" ref="G386" si="163">SUM(G348:G385)</f>
        <v>12419160</v>
      </c>
      <c r="H386" s="17"/>
      <c r="I386" s="17"/>
      <c r="J386" s="17"/>
      <c r="K386" s="17">
        <f>SUM(K348:K385)</f>
        <v>12037320</v>
      </c>
      <c r="L386" s="17">
        <f>SUM(L348:L385)</f>
        <v>12700320</v>
      </c>
      <c r="M386" s="17"/>
      <c r="N386" s="17"/>
      <c r="O386" s="17"/>
      <c r="P386" s="52">
        <f>SUM(P348:P385)</f>
        <v>12401700</v>
      </c>
      <c r="Q386" s="17">
        <f t="shared" ref="Q386" si="164">SUM(Q348:Q385)</f>
        <v>12862500</v>
      </c>
      <c r="R386" s="17"/>
      <c r="S386" s="17">
        <f t="shared" ref="S386" si="165">SUM(S348:S385)</f>
        <v>36997380</v>
      </c>
      <c r="X386" s="3"/>
    </row>
    <row r="387" spans="1:25" s="2" customFormat="1" ht="18.75" x14ac:dyDescent="0.3">
      <c r="A387" s="179"/>
      <c r="B387" s="180"/>
      <c r="C387" s="66"/>
      <c r="D387" s="176" t="s">
        <v>101</v>
      </c>
      <c r="E387" s="177"/>
      <c r="F387" s="177"/>
      <c r="G387" s="177"/>
      <c r="H387" s="177"/>
      <c r="I387" s="177"/>
      <c r="J387" s="177"/>
      <c r="K387" s="177"/>
      <c r="L387" s="177"/>
      <c r="M387" s="177"/>
      <c r="N387" s="177"/>
      <c r="O387" s="177"/>
      <c r="P387" s="177"/>
      <c r="Q387" s="177"/>
      <c r="R387" s="177"/>
      <c r="S387" s="178"/>
      <c r="X387" s="3"/>
    </row>
    <row r="388" spans="1:25" s="2" customFormat="1" ht="33" x14ac:dyDescent="0.3">
      <c r="A388" s="13">
        <v>1</v>
      </c>
      <c r="B388" s="18" t="s">
        <v>102</v>
      </c>
      <c r="C388" s="13">
        <v>2</v>
      </c>
      <c r="D388" s="13">
        <v>2</v>
      </c>
      <c r="E388" s="67">
        <f>G388/C388</f>
        <v>324999.995</v>
      </c>
      <c r="F388" s="19">
        <f>D388*E388</f>
        <v>649999.99</v>
      </c>
      <c r="G388" s="19">
        <v>649999.99</v>
      </c>
      <c r="H388" s="23">
        <v>3</v>
      </c>
      <c r="I388" s="23">
        <v>3</v>
      </c>
      <c r="J388" s="26">
        <f>L388/H388</f>
        <v>324999.99666666664</v>
      </c>
      <c r="K388" s="19">
        <f>I388*J388</f>
        <v>974999.99</v>
      </c>
      <c r="L388" s="19">
        <v>974999.99</v>
      </c>
      <c r="M388" s="23">
        <v>3</v>
      </c>
      <c r="N388" s="23">
        <v>3</v>
      </c>
      <c r="O388" s="26">
        <f>Q388/M388</f>
        <v>324999.99666666664</v>
      </c>
      <c r="P388" s="19">
        <f>N388*O388</f>
        <v>974999.99</v>
      </c>
      <c r="Q388" s="19">
        <v>974999.99</v>
      </c>
      <c r="R388" s="16">
        <f>D388+I388+N388</f>
        <v>8</v>
      </c>
      <c r="S388" s="17">
        <f>F388+K388+P388</f>
        <v>2599999.9699999997</v>
      </c>
      <c r="X388" s="3"/>
    </row>
    <row r="389" spans="1:25" s="2" customFormat="1" ht="33" x14ac:dyDescent="0.3">
      <c r="A389" s="13">
        <v>2</v>
      </c>
      <c r="B389" s="18" t="s">
        <v>103</v>
      </c>
      <c r="C389" s="23">
        <v>3</v>
      </c>
      <c r="D389" s="23">
        <v>3</v>
      </c>
      <c r="E389" s="67">
        <f>G389/C389</f>
        <v>204999.99666666667</v>
      </c>
      <c r="F389" s="19">
        <f>D389*E389</f>
        <v>614999.99</v>
      </c>
      <c r="G389" s="19">
        <v>614999.99</v>
      </c>
      <c r="H389" s="23">
        <v>3</v>
      </c>
      <c r="I389" s="23">
        <v>3</v>
      </c>
      <c r="J389" s="26">
        <f>L389/H389</f>
        <v>204999.99666666667</v>
      </c>
      <c r="K389" s="19">
        <f>I389*J389</f>
        <v>614999.99</v>
      </c>
      <c r="L389" s="19">
        <v>614999.99</v>
      </c>
      <c r="M389" s="23">
        <v>3</v>
      </c>
      <c r="N389" s="23">
        <v>3</v>
      </c>
      <c r="O389" s="26">
        <f>Q389/M389</f>
        <v>204999.99666666667</v>
      </c>
      <c r="P389" s="19">
        <f>N389*O389</f>
        <v>614999.99</v>
      </c>
      <c r="Q389" s="19">
        <v>614999.99</v>
      </c>
      <c r="R389" s="16">
        <f>D389+H389+M389</f>
        <v>9</v>
      </c>
      <c r="S389" s="17">
        <f>F389+K389+P389</f>
        <v>1844999.97</v>
      </c>
      <c r="X389" s="3"/>
    </row>
    <row r="390" spans="1:25" s="2" customFormat="1" ht="16.5" x14ac:dyDescent="0.3">
      <c r="A390" s="27"/>
      <c r="B390" s="68" t="s">
        <v>11</v>
      </c>
      <c r="C390" s="55"/>
      <c r="D390" s="55"/>
      <c r="E390" s="55"/>
      <c r="F390" s="17">
        <f>SUM(F388:F389)</f>
        <v>1264999.98</v>
      </c>
      <c r="G390" s="17">
        <f>SUM(G388:G389)</f>
        <v>1264999.98</v>
      </c>
      <c r="H390" s="17"/>
      <c r="I390" s="17"/>
      <c r="J390" s="17"/>
      <c r="K390" s="17">
        <f>SUM(K388:K389)</f>
        <v>1589999.98</v>
      </c>
      <c r="L390" s="17">
        <f t="shared" ref="L390" si="166">SUM(L388:L389)</f>
        <v>1589999.98</v>
      </c>
      <c r="M390" s="17"/>
      <c r="N390" s="17"/>
      <c r="O390" s="17"/>
      <c r="P390" s="17">
        <f>SUM(P388:P389)</f>
        <v>1589999.98</v>
      </c>
      <c r="Q390" s="17">
        <f t="shared" ref="Q390" si="167">SUM(Q388:Q389)</f>
        <v>1589999.98</v>
      </c>
      <c r="R390" s="17"/>
      <c r="S390" s="17">
        <f t="shared" ref="S390" si="168">SUM(S388:S389)</f>
        <v>4444999.9399999995</v>
      </c>
      <c r="X390" s="3"/>
    </row>
    <row r="391" spans="1:25" s="2" customFormat="1" ht="18.75" x14ac:dyDescent="0.3">
      <c r="B391" s="69"/>
      <c r="C391" s="69"/>
      <c r="D391" s="167" t="s">
        <v>104</v>
      </c>
      <c r="E391" s="168"/>
      <c r="F391" s="168"/>
      <c r="G391" s="168"/>
      <c r="H391" s="168"/>
      <c r="I391" s="168"/>
      <c r="J391" s="168"/>
      <c r="K391" s="168"/>
      <c r="L391" s="168"/>
      <c r="M391" s="168"/>
      <c r="N391" s="168"/>
      <c r="O391" s="168"/>
      <c r="P391" s="168"/>
      <c r="Q391" s="168"/>
      <c r="R391" s="168"/>
      <c r="S391" s="169"/>
      <c r="X391" s="3"/>
    </row>
    <row r="392" spans="1:25" s="2" customFormat="1" ht="49.5" x14ac:dyDescent="0.3">
      <c r="A392" s="13">
        <v>1</v>
      </c>
      <c r="B392" s="64" t="s">
        <v>105</v>
      </c>
      <c r="C392" s="23">
        <v>1</v>
      </c>
      <c r="D392" s="23">
        <v>1</v>
      </c>
      <c r="E392" s="26">
        <f>G392/C392</f>
        <v>300000</v>
      </c>
      <c r="F392" s="19">
        <f>D392*E392</f>
        <v>300000</v>
      </c>
      <c r="G392" s="19">
        <v>300000</v>
      </c>
      <c r="H392" s="23">
        <v>1</v>
      </c>
      <c r="I392" s="23">
        <v>1</v>
      </c>
      <c r="J392" s="26">
        <f>L392/H392</f>
        <v>300000</v>
      </c>
      <c r="K392" s="19">
        <f>I392*J392</f>
        <v>300000</v>
      </c>
      <c r="L392" s="19">
        <v>300000</v>
      </c>
      <c r="M392" s="23">
        <v>1</v>
      </c>
      <c r="N392" s="23">
        <v>1</v>
      </c>
      <c r="O392" s="26">
        <f>Q392/M392</f>
        <v>300000</v>
      </c>
      <c r="P392" s="19">
        <f>N392*O392</f>
        <v>300000</v>
      </c>
      <c r="Q392" s="19">
        <v>300000</v>
      </c>
      <c r="R392" s="16">
        <f>D392+I392+N392</f>
        <v>3</v>
      </c>
      <c r="S392" s="17">
        <f>F392+K392+P392</f>
        <v>900000</v>
      </c>
      <c r="U392" s="41"/>
      <c r="V392" s="42"/>
      <c r="W392" s="43"/>
      <c r="X392" s="44"/>
      <c r="Y392" s="45"/>
    </row>
    <row r="393" spans="1:25" s="2" customFormat="1" ht="49.5" x14ac:dyDescent="0.3">
      <c r="A393" s="13">
        <v>2</v>
      </c>
      <c r="B393" s="64" t="s">
        <v>106</v>
      </c>
      <c r="C393" s="23">
        <v>1</v>
      </c>
      <c r="D393" s="23">
        <v>1</v>
      </c>
      <c r="E393" s="26">
        <f t="shared" ref="E393:E395" si="169">G393/C393</f>
        <v>390000</v>
      </c>
      <c r="F393" s="19">
        <f t="shared" ref="F393:F395" si="170">D393*E393</f>
        <v>390000</v>
      </c>
      <c r="G393" s="19">
        <v>390000</v>
      </c>
      <c r="H393" s="23">
        <v>1</v>
      </c>
      <c r="I393" s="23">
        <v>1</v>
      </c>
      <c r="J393" s="26">
        <f t="shared" ref="J393:J394" si="171">L393/H393</f>
        <v>390000</v>
      </c>
      <c r="K393" s="19">
        <f t="shared" ref="K393:K394" si="172">I393*J393</f>
        <v>390000</v>
      </c>
      <c r="L393" s="19">
        <v>390000</v>
      </c>
      <c r="M393" s="23">
        <v>1</v>
      </c>
      <c r="N393" s="23">
        <v>1</v>
      </c>
      <c r="O393" s="26">
        <f t="shared" ref="O393:O395" si="173">Q393/M393</f>
        <v>390000</v>
      </c>
      <c r="P393" s="19">
        <f t="shared" ref="P393:P395" si="174">N393*O393</f>
        <v>390000</v>
      </c>
      <c r="Q393" s="19">
        <v>390000</v>
      </c>
      <c r="R393" s="16">
        <f t="shared" ref="R393:R395" si="175">D393+I393+N393</f>
        <v>3</v>
      </c>
      <c r="S393" s="17">
        <f t="shared" ref="S393:S395" si="176">F393+K393+P393</f>
        <v>1170000</v>
      </c>
      <c r="U393" s="41"/>
      <c r="V393" s="42"/>
      <c r="W393" s="43"/>
      <c r="X393" s="44"/>
      <c r="Y393" s="45"/>
    </row>
    <row r="394" spans="1:25" s="2" customFormat="1" ht="49.5" x14ac:dyDescent="0.3">
      <c r="A394" s="13">
        <v>3</v>
      </c>
      <c r="B394" s="64" t="s">
        <v>107</v>
      </c>
      <c r="C394" s="23"/>
      <c r="D394" s="23"/>
      <c r="E394" s="26"/>
      <c r="F394" s="19"/>
      <c r="G394" s="19"/>
      <c r="H394" s="23">
        <v>2</v>
      </c>
      <c r="I394" s="23">
        <v>2</v>
      </c>
      <c r="J394" s="26">
        <f t="shared" si="171"/>
        <v>440000.005</v>
      </c>
      <c r="K394" s="19">
        <f t="shared" si="172"/>
        <v>880000.01</v>
      </c>
      <c r="L394" s="23">
        <v>880000.01</v>
      </c>
      <c r="M394" s="23"/>
      <c r="N394" s="23"/>
      <c r="O394" s="26"/>
      <c r="P394" s="19"/>
      <c r="Q394" s="19"/>
      <c r="R394" s="16">
        <f t="shared" si="175"/>
        <v>2</v>
      </c>
      <c r="S394" s="17">
        <f t="shared" si="176"/>
        <v>880000.01</v>
      </c>
      <c r="U394" s="41"/>
      <c r="V394" s="42"/>
      <c r="W394" s="43"/>
      <c r="X394" s="44"/>
      <c r="Y394" s="45"/>
    </row>
    <row r="395" spans="1:25" s="2" customFormat="1" ht="66" x14ac:dyDescent="0.3">
      <c r="A395" s="13">
        <v>4</v>
      </c>
      <c r="B395" s="64" t="s">
        <v>108</v>
      </c>
      <c r="C395" s="23">
        <v>1</v>
      </c>
      <c r="D395" s="23">
        <v>1</v>
      </c>
      <c r="E395" s="26">
        <f t="shared" si="169"/>
        <v>710000</v>
      </c>
      <c r="F395" s="19">
        <f t="shared" si="170"/>
        <v>710000</v>
      </c>
      <c r="G395" s="19">
        <v>710000</v>
      </c>
      <c r="H395" s="23"/>
      <c r="I395" s="23"/>
      <c r="J395" s="26"/>
      <c r="K395" s="23"/>
      <c r="L395" s="19"/>
      <c r="M395" s="23">
        <v>1</v>
      </c>
      <c r="N395" s="23">
        <v>1</v>
      </c>
      <c r="O395" s="26">
        <f t="shared" si="173"/>
        <v>710000</v>
      </c>
      <c r="P395" s="19">
        <f t="shared" si="174"/>
        <v>710000</v>
      </c>
      <c r="Q395" s="19">
        <v>710000</v>
      </c>
      <c r="R395" s="16">
        <f t="shared" si="175"/>
        <v>2</v>
      </c>
      <c r="S395" s="17">
        <f t="shared" si="176"/>
        <v>1420000</v>
      </c>
      <c r="U395" s="41"/>
      <c r="V395" s="42"/>
      <c r="W395" s="43"/>
      <c r="X395" s="44"/>
      <c r="Y395" s="45"/>
    </row>
    <row r="396" spans="1:25" s="2" customFormat="1" ht="16.5" x14ac:dyDescent="0.3">
      <c r="B396" s="70" t="s">
        <v>11</v>
      </c>
      <c r="C396" s="55"/>
      <c r="D396" s="55"/>
      <c r="E396" s="55"/>
      <c r="F396" s="17">
        <f>SUM(F392:F395)</f>
        <v>1400000</v>
      </c>
      <c r="G396" s="17">
        <f>SUM(G392:G395)</f>
        <v>1400000</v>
      </c>
      <c r="H396" s="17"/>
      <c r="I396" s="17"/>
      <c r="J396" s="17"/>
      <c r="K396" s="17">
        <f>SUM(K392:K395)</f>
        <v>1570000.01</v>
      </c>
      <c r="L396" s="17">
        <f t="shared" ref="L396" si="177">SUM(L392:L395)</f>
        <v>1570000.01</v>
      </c>
      <c r="M396" s="17"/>
      <c r="N396" s="17"/>
      <c r="O396" s="17"/>
      <c r="P396" s="17">
        <f>SUM(P392:P395)</f>
        <v>1400000</v>
      </c>
      <c r="Q396" s="17">
        <f t="shared" ref="Q396" si="178">SUM(Q392:Q395)</f>
        <v>1400000</v>
      </c>
      <c r="R396" s="17"/>
      <c r="S396" s="17">
        <f t="shared" ref="S396" si="179">SUM(S392:S395)</f>
        <v>4370000.01</v>
      </c>
      <c r="U396" s="41"/>
      <c r="V396" s="42"/>
      <c r="W396" s="43"/>
      <c r="X396" s="44"/>
      <c r="Y396" s="45"/>
    </row>
    <row r="397" spans="1:25" s="2" customFormat="1" ht="18.75" x14ac:dyDescent="0.3">
      <c r="A397" s="174"/>
      <c r="B397" s="175"/>
      <c r="C397" s="71"/>
      <c r="D397" s="167" t="s">
        <v>109</v>
      </c>
      <c r="E397" s="168"/>
      <c r="F397" s="168"/>
      <c r="G397" s="168"/>
      <c r="H397" s="168"/>
      <c r="I397" s="168"/>
      <c r="J397" s="168"/>
      <c r="K397" s="168"/>
      <c r="L397" s="168"/>
      <c r="M397" s="168"/>
      <c r="N397" s="168"/>
      <c r="O397" s="168"/>
      <c r="P397" s="168"/>
      <c r="Q397" s="168"/>
      <c r="R397" s="168"/>
      <c r="S397" s="169"/>
      <c r="U397" s="41"/>
      <c r="V397" s="42"/>
      <c r="W397" s="43"/>
      <c r="X397" s="44"/>
      <c r="Y397" s="45"/>
    </row>
    <row r="398" spans="1:25" s="2" customFormat="1" ht="16.5" x14ac:dyDescent="0.3">
      <c r="A398" s="13">
        <v>1</v>
      </c>
      <c r="B398" s="64" t="s">
        <v>110</v>
      </c>
      <c r="C398" s="23">
        <v>1</v>
      </c>
      <c r="D398" s="23">
        <v>1</v>
      </c>
      <c r="E398" s="26">
        <f>G398/C398</f>
        <v>178000</v>
      </c>
      <c r="F398" s="19">
        <f>D398*E398</f>
        <v>178000</v>
      </c>
      <c r="G398" s="19">
        <v>178000</v>
      </c>
      <c r="H398" s="23">
        <v>1</v>
      </c>
      <c r="I398" s="23">
        <v>1</v>
      </c>
      <c r="J398" s="26">
        <f>L398/H398</f>
        <v>178000</v>
      </c>
      <c r="K398" s="19">
        <f>I398*J398</f>
        <v>178000</v>
      </c>
      <c r="L398" s="19">
        <v>178000</v>
      </c>
      <c r="M398" s="23">
        <v>1</v>
      </c>
      <c r="N398" s="23">
        <v>1</v>
      </c>
      <c r="O398" s="26">
        <f>Q398/M398</f>
        <v>178000</v>
      </c>
      <c r="P398" s="19">
        <f>N398*O398</f>
        <v>178000</v>
      </c>
      <c r="Q398" s="19">
        <v>178000</v>
      </c>
      <c r="R398" s="30">
        <f>D398+I398+N398</f>
        <v>3</v>
      </c>
      <c r="S398" s="17">
        <f>F398+K398+P398</f>
        <v>534000</v>
      </c>
      <c r="U398" s="41"/>
      <c r="V398" s="42"/>
      <c r="W398" s="43"/>
      <c r="X398" s="44"/>
      <c r="Y398" s="45"/>
    </row>
    <row r="399" spans="1:25" s="2" customFormat="1" ht="33" x14ac:dyDescent="0.3">
      <c r="A399" s="13">
        <v>2</v>
      </c>
      <c r="B399" s="64" t="s">
        <v>111</v>
      </c>
      <c r="C399" s="23">
        <v>1</v>
      </c>
      <c r="D399" s="23">
        <v>1</v>
      </c>
      <c r="E399" s="26">
        <f t="shared" ref="E399:E401" si="180">G399/C399</f>
        <v>165000</v>
      </c>
      <c r="F399" s="19">
        <f t="shared" ref="F399:F401" si="181">D399*E399</f>
        <v>165000</v>
      </c>
      <c r="G399" s="19">
        <v>165000</v>
      </c>
      <c r="H399" s="23">
        <v>1</v>
      </c>
      <c r="I399" s="23">
        <v>1</v>
      </c>
      <c r="J399" s="26">
        <f t="shared" ref="J399:J401" si="182">L399/H399</f>
        <v>165000</v>
      </c>
      <c r="K399" s="19">
        <f t="shared" ref="K399:K401" si="183">I399*J399</f>
        <v>165000</v>
      </c>
      <c r="L399" s="19">
        <v>165000</v>
      </c>
      <c r="M399" s="23">
        <v>1</v>
      </c>
      <c r="N399" s="23">
        <v>1</v>
      </c>
      <c r="O399" s="26">
        <f t="shared" ref="O399:O401" si="184">Q399/M399</f>
        <v>165000</v>
      </c>
      <c r="P399" s="19">
        <f t="shared" ref="P399:P401" si="185">N399*O399</f>
        <v>165000</v>
      </c>
      <c r="Q399" s="19">
        <v>165000</v>
      </c>
      <c r="R399" s="30">
        <f t="shared" ref="R399:R401" si="186">D399+I399+N399</f>
        <v>3</v>
      </c>
      <c r="S399" s="17">
        <f t="shared" ref="S399:S401" si="187">F399+K399+P399</f>
        <v>495000</v>
      </c>
      <c r="U399" s="41"/>
      <c r="V399" s="42"/>
      <c r="W399" s="43"/>
      <c r="X399" s="44"/>
      <c r="Y399" s="45"/>
    </row>
    <row r="400" spans="1:25" s="2" customFormat="1" ht="33" x14ac:dyDescent="0.3">
      <c r="A400" s="13">
        <v>3</v>
      </c>
      <c r="B400" s="64" t="s">
        <v>112</v>
      </c>
      <c r="C400" s="23">
        <v>1</v>
      </c>
      <c r="D400" s="23">
        <v>1</v>
      </c>
      <c r="E400" s="26">
        <f t="shared" si="180"/>
        <v>90000</v>
      </c>
      <c r="F400" s="19">
        <f t="shared" si="181"/>
        <v>90000</v>
      </c>
      <c r="G400" s="19">
        <v>90000</v>
      </c>
      <c r="H400" s="23">
        <v>1</v>
      </c>
      <c r="I400" s="23">
        <v>1</v>
      </c>
      <c r="J400" s="26">
        <f t="shared" si="182"/>
        <v>90000</v>
      </c>
      <c r="K400" s="19">
        <f t="shared" si="183"/>
        <v>90000</v>
      </c>
      <c r="L400" s="19">
        <v>90000</v>
      </c>
      <c r="M400" s="23">
        <v>1</v>
      </c>
      <c r="N400" s="23">
        <v>1</v>
      </c>
      <c r="O400" s="26">
        <f t="shared" si="184"/>
        <v>90000</v>
      </c>
      <c r="P400" s="19">
        <f t="shared" si="185"/>
        <v>90000</v>
      </c>
      <c r="Q400" s="19">
        <v>90000</v>
      </c>
      <c r="R400" s="30">
        <f t="shared" si="186"/>
        <v>3</v>
      </c>
      <c r="S400" s="17">
        <f t="shared" si="187"/>
        <v>270000</v>
      </c>
      <c r="U400" s="41"/>
      <c r="V400" s="42"/>
      <c r="W400" s="43"/>
      <c r="X400" s="44"/>
      <c r="Y400" s="45"/>
    </row>
    <row r="401" spans="1:25" s="2" customFormat="1" ht="33" x14ac:dyDescent="0.3">
      <c r="A401" s="13">
        <v>4</v>
      </c>
      <c r="B401" s="64" t="s">
        <v>113</v>
      </c>
      <c r="C401" s="23">
        <v>1</v>
      </c>
      <c r="D401" s="23">
        <v>1</v>
      </c>
      <c r="E401" s="26">
        <f t="shared" si="180"/>
        <v>95000</v>
      </c>
      <c r="F401" s="19">
        <f t="shared" si="181"/>
        <v>95000</v>
      </c>
      <c r="G401" s="19">
        <v>95000</v>
      </c>
      <c r="H401" s="23">
        <v>1</v>
      </c>
      <c r="I401" s="23">
        <v>1</v>
      </c>
      <c r="J401" s="26">
        <f t="shared" si="182"/>
        <v>95000</v>
      </c>
      <c r="K401" s="19">
        <f t="shared" si="183"/>
        <v>95000</v>
      </c>
      <c r="L401" s="19">
        <v>95000</v>
      </c>
      <c r="M401" s="23">
        <v>1</v>
      </c>
      <c r="N401" s="23">
        <v>1</v>
      </c>
      <c r="O401" s="26">
        <f t="shared" si="184"/>
        <v>95000</v>
      </c>
      <c r="P401" s="19">
        <f t="shared" si="185"/>
        <v>95000</v>
      </c>
      <c r="Q401" s="19">
        <v>95000</v>
      </c>
      <c r="R401" s="30">
        <f t="shared" si="186"/>
        <v>3</v>
      </c>
      <c r="S401" s="17">
        <f t="shared" si="187"/>
        <v>285000</v>
      </c>
      <c r="U401" s="41"/>
      <c r="V401" s="42"/>
      <c r="W401" s="43"/>
      <c r="X401" s="44"/>
      <c r="Y401" s="45"/>
    </row>
    <row r="402" spans="1:25" s="2" customFormat="1" ht="16.5" x14ac:dyDescent="0.3">
      <c r="A402" s="72"/>
      <c r="B402" s="68" t="s">
        <v>11</v>
      </c>
      <c r="C402" s="55"/>
      <c r="D402" s="55"/>
      <c r="E402" s="55"/>
      <c r="F402" s="17">
        <f>SUM(F398:F401)</f>
        <v>528000</v>
      </c>
      <c r="G402" s="17">
        <f>SUM(G398:G401)</f>
        <v>528000</v>
      </c>
      <c r="H402" s="17"/>
      <c r="I402" s="17"/>
      <c r="J402" s="17"/>
      <c r="K402" s="17">
        <f>SUM(K398:K401)</f>
        <v>528000</v>
      </c>
      <c r="L402" s="17">
        <f t="shared" ref="L402" si="188">SUM(L398:L401)</f>
        <v>528000</v>
      </c>
      <c r="M402" s="17"/>
      <c r="N402" s="17"/>
      <c r="O402" s="17"/>
      <c r="P402" s="17">
        <f>SUM(P398:P401)</f>
        <v>528000</v>
      </c>
      <c r="Q402" s="17">
        <f t="shared" ref="Q402" si="189">SUM(Q398:Q401)</f>
        <v>528000</v>
      </c>
      <c r="R402" s="17"/>
      <c r="S402" s="17">
        <f t="shared" ref="S402" si="190">SUM(S398:S401)</f>
        <v>1584000</v>
      </c>
      <c r="U402" s="41"/>
      <c r="V402" s="42"/>
      <c r="W402" s="43"/>
      <c r="X402" s="44"/>
      <c r="Y402" s="45"/>
    </row>
    <row r="403" spans="1:25" s="2" customFormat="1" ht="17.25" x14ac:dyDescent="0.3">
      <c r="A403" s="73"/>
      <c r="B403" s="74" t="s">
        <v>114</v>
      </c>
      <c r="C403" s="75"/>
      <c r="D403" s="75"/>
      <c r="E403" s="75"/>
      <c r="F403" s="76">
        <f>F386+F390+F396+F402</f>
        <v>15751359.98</v>
      </c>
      <c r="G403" s="76">
        <f>G386+G390+G396+G402</f>
        <v>15612159.98</v>
      </c>
      <c r="H403" s="76"/>
      <c r="I403" s="76"/>
      <c r="J403" s="76"/>
      <c r="K403" s="76">
        <f>K386+K390+K396+K402</f>
        <v>15725319.99</v>
      </c>
      <c r="L403" s="76">
        <f>L386+L390+L396+L402</f>
        <v>16388319.99</v>
      </c>
      <c r="M403" s="76"/>
      <c r="N403" s="76"/>
      <c r="O403" s="76"/>
      <c r="P403" s="76">
        <f>P386+P390+P396+P402</f>
        <v>15919699.98</v>
      </c>
      <c r="Q403" s="76">
        <f>Q386+Q390+Q396+Q402</f>
        <v>16380499.98</v>
      </c>
      <c r="R403" s="76"/>
      <c r="S403" s="76">
        <f>S386+S390+S396+S402</f>
        <v>47396379.949999996</v>
      </c>
      <c r="U403" s="41"/>
      <c r="V403" s="42"/>
      <c r="W403" s="43"/>
      <c r="X403" s="44"/>
      <c r="Y403" s="45"/>
    </row>
    <row r="404" spans="1:25" s="2" customFormat="1" ht="16.5" x14ac:dyDescent="0.3">
      <c r="A404" s="1"/>
      <c r="S404" s="3"/>
      <c r="U404" s="41"/>
      <c r="V404" s="42"/>
      <c r="W404" s="43"/>
      <c r="X404" s="44"/>
      <c r="Y404" s="45"/>
    </row>
    <row r="405" spans="1:25" s="2" customFormat="1" ht="16.5" x14ac:dyDescent="0.3">
      <c r="A405" s="1"/>
      <c r="U405" s="41"/>
      <c r="V405" s="42"/>
      <c r="W405" s="43"/>
      <c r="X405" s="44"/>
      <c r="Y405" s="45"/>
    </row>
    <row r="406" spans="1:25" s="2" customFormat="1" ht="20.25" x14ac:dyDescent="0.3">
      <c r="A406" s="1"/>
      <c r="R406" s="157" t="s">
        <v>64</v>
      </c>
      <c r="S406" s="157"/>
      <c r="U406" s="41"/>
      <c r="V406" s="42"/>
      <c r="W406" s="43"/>
      <c r="X406" s="44"/>
      <c r="Y406" s="45"/>
    </row>
    <row r="407" spans="1:25" s="2" customFormat="1" ht="16.5" x14ac:dyDescent="0.3">
      <c r="A407" s="158" t="s">
        <v>65</v>
      </c>
      <c r="B407" s="158"/>
      <c r="C407" s="158"/>
      <c r="D407" s="158"/>
      <c r="E407" s="158"/>
      <c r="F407" s="158"/>
      <c r="G407" s="158"/>
      <c r="H407" s="158"/>
      <c r="I407" s="158"/>
      <c r="J407" s="158"/>
      <c r="K407" s="158"/>
      <c r="L407" s="158"/>
      <c r="M407" s="158"/>
      <c r="N407" s="158"/>
      <c r="O407" s="158"/>
      <c r="P407" s="158"/>
      <c r="Q407" s="158"/>
      <c r="R407" s="158"/>
      <c r="S407" s="158"/>
      <c r="U407" s="41"/>
      <c r="V407" s="42"/>
      <c r="W407" s="43"/>
      <c r="X407" s="44"/>
      <c r="Y407" s="45"/>
    </row>
    <row r="408" spans="1:25" s="2" customFormat="1" ht="16.5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U408" s="41"/>
      <c r="V408" s="42"/>
      <c r="W408" s="43"/>
      <c r="X408" s="44"/>
      <c r="Y408" s="45"/>
    </row>
    <row r="409" spans="1:25" s="2" customFormat="1" ht="16.5" x14ac:dyDescent="0.3">
      <c r="A409" s="1"/>
      <c r="R409" s="159" t="s">
        <v>5</v>
      </c>
      <c r="S409" s="159"/>
      <c r="U409" s="41"/>
      <c r="V409" s="42"/>
      <c r="W409" s="43"/>
      <c r="X409" s="44"/>
      <c r="Y409" s="45"/>
    </row>
    <row r="410" spans="1:25" s="2" customFormat="1" ht="16.5" x14ac:dyDescent="0.3">
      <c r="A410" s="160" t="s">
        <v>6</v>
      </c>
      <c r="B410" s="163" t="s">
        <v>7</v>
      </c>
      <c r="C410" s="9"/>
      <c r="D410" s="170" t="s">
        <v>66</v>
      </c>
      <c r="E410" s="171"/>
      <c r="F410" s="171"/>
      <c r="G410" s="172"/>
      <c r="H410" s="173" t="s">
        <v>67</v>
      </c>
      <c r="I410" s="173"/>
      <c r="J410" s="173"/>
      <c r="K410" s="173"/>
      <c r="L410" s="173"/>
      <c r="M410" s="170" t="s">
        <v>68</v>
      </c>
      <c r="N410" s="171"/>
      <c r="O410" s="171"/>
      <c r="P410" s="171"/>
      <c r="Q410" s="172"/>
      <c r="R410" s="170" t="s">
        <v>11</v>
      </c>
      <c r="S410" s="172"/>
      <c r="U410" s="41"/>
      <c r="V410" s="42"/>
      <c r="W410" s="43"/>
      <c r="X410" s="44"/>
      <c r="Y410" s="45"/>
    </row>
    <row r="411" spans="1:25" s="2" customFormat="1" ht="16.5" x14ac:dyDescent="0.3">
      <c r="A411" s="161"/>
      <c r="B411" s="164"/>
      <c r="C411" s="10" t="s">
        <v>12</v>
      </c>
      <c r="D411" s="10" t="s">
        <v>12</v>
      </c>
      <c r="E411" s="10"/>
      <c r="F411" s="55" t="s">
        <v>14</v>
      </c>
      <c r="G411" s="55" t="s">
        <v>14</v>
      </c>
      <c r="H411" s="10" t="s">
        <v>12</v>
      </c>
      <c r="I411" s="10" t="s">
        <v>12</v>
      </c>
      <c r="J411" s="10"/>
      <c r="K411" s="55" t="s">
        <v>14</v>
      </c>
      <c r="L411" s="55" t="s">
        <v>14</v>
      </c>
      <c r="M411" s="10" t="s">
        <v>12</v>
      </c>
      <c r="N411" s="10" t="s">
        <v>12</v>
      </c>
      <c r="O411" s="10"/>
      <c r="P411" s="55" t="s">
        <v>14</v>
      </c>
      <c r="Q411" s="55" t="s">
        <v>14</v>
      </c>
      <c r="R411" s="10" t="s">
        <v>12</v>
      </c>
      <c r="S411" s="55" t="s">
        <v>14</v>
      </c>
      <c r="U411" s="41"/>
      <c r="V411" s="42"/>
      <c r="W411" s="43"/>
      <c r="X411" s="44"/>
      <c r="Y411" s="45"/>
    </row>
    <row r="412" spans="1:25" s="2" customFormat="1" ht="18.75" x14ac:dyDescent="0.3">
      <c r="A412" s="162"/>
      <c r="B412" s="165"/>
      <c r="C412" s="54"/>
      <c r="D412" s="153" t="s">
        <v>69</v>
      </c>
      <c r="E412" s="153"/>
      <c r="F412" s="153"/>
      <c r="G412" s="153"/>
      <c r="H412" s="153"/>
      <c r="I412" s="153"/>
      <c r="J412" s="153"/>
      <c r="K412" s="153"/>
      <c r="L412" s="153"/>
      <c r="M412" s="153"/>
      <c r="N412" s="153"/>
      <c r="O412" s="153"/>
      <c r="P412" s="153"/>
      <c r="Q412" s="153"/>
      <c r="R412" s="153"/>
      <c r="S412" s="153"/>
      <c r="U412" s="41"/>
      <c r="V412" s="42"/>
      <c r="W412" s="43"/>
      <c r="X412" s="44"/>
      <c r="Y412" s="45"/>
    </row>
    <row r="413" spans="1:25" s="2" customFormat="1" ht="49.5" x14ac:dyDescent="0.3">
      <c r="A413" s="13">
        <v>1</v>
      </c>
      <c r="B413" s="59" t="s">
        <v>71</v>
      </c>
      <c r="C413" s="79">
        <v>1</v>
      </c>
      <c r="D413" s="79">
        <v>1</v>
      </c>
      <c r="E413" s="29">
        <f>G413/C413</f>
        <v>138000</v>
      </c>
      <c r="F413" s="15">
        <f>D413*E413</f>
        <v>138000</v>
      </c>
      <c r="G413" s="15">
        <v>138000</v>
      </c>
      <c r="H413" s="79">
        <v>1</v>
      </c>
      <c r="I413" s="79">
        <v>1</v>
      </c>
      <c r="J413" s="29">
        <f>L413/H413</f>
        <v>140400</v>
      </c>
      <c r="K413" s="40">
        <f>I413*J413</f>
        <v>140400</v>
      </c>
      <c r="L413" s="15">
        <v>140400</v>
      </c>
      <c r="M413" s="79">
        <v>1</v>
      </c>
      <c r="N413" s="79">
        <v>1</v>
      </c>
      <c r="O413" s="29">
        <f>Q413/M413</f>
        <v>138000</v>
      </c>
      <c r="P413" s="15">
        <f>N413*O413</f>
        <v>138000</v>
      </c>
      <c r="Q413" s="15">
        <v>138000</v>
      </c>
      <c r="R413" s="16">
        <f>D413+I413+N413</f>
        <v>3</v>
      </c>
      <c r="S413" s="17">
        <f>F413+K413+P413</f>
        <v>416400</v>
      </c>
      <c r="U413" s="41"/>
      <c r="V413" s="42"/>
      <c r="W413" s="43"/>
      <c r="X413" s="44"/>
      <c r="Y413" s="45"/>
    </row>
    <row r="414" spans="1:25" s="2" customFormat="1" ht="16.5" x14ac:dyDescent="0.3">
      <c r="A414" s="13">
        <v>2</v>
      </c>
      <c r="B414" s="18" t="s">
        <v>72</v>
      </c>
      <c r="C414" s="23">
        <v>4</v>
      </c>
      <c r="D414" s="23">
        <v>4</v>
      </c>
      <c r="E414" s="29">
        <f t="shared" ref="E414:E450" si="191">G414/C414</f>
        <v>68400</v>
      </c>
      <c r="F414" s="15">
        <f t="shared" ref="F414:F450" si="192">D414*E414</f>
        <v>273600</v>
      </c>
      <c r="G414" s="19">
        <v>273600</v>
      </c>
      <c r="H414" s="23">
        <v>8</v>
      </c>
      <c r="I414" s="23">
        <v>8</v>
      </c>
      <c r="J414" s="29">
        <f t="shared" ref="J414:J451" si="193">L414/H414</f>
        <v>69600</v>
      </c>
      <c r="K414" s="40">
        <f t="shared" ref="K414:K451" si="194">I414*J414</f>
        <v>556800</v>
      </c>
      <c r="L414" s="19">
        <v>556800</v>
      </c>
      <c r="M414" s="23">
        <v>10</v>
      </c>
      <c r="N414" s="23">
        <v>10</v>
      </c>
      <c r="O414" s="29">
        <f t="shared" ref="O414:O450" si="195">Q414/M414</f>
        <v>69600</v>
      </c>
      <c r="P414" s="15">
        <f t="shared" ref="P414:P450" si="196">N414*O414</f>
        <v>696000</v>
      </c>
      <c r="Q414" s="19">
        <v>696000</v>
      </c>
      <c r="R414" s="16">
        <f t="shared" ref="R414:R451" si="197">D414+I414+N414</f>
        <v>22</v>
      </c>
      <c r="S414" s="17">
        <f t="shared" ref="S414:S451" si="198">F414+K414+P414</f>
        <v>1526400</v>
      </c>
      <c r="U414" s="41"/>
      <c r="V414" s="42"/>
      <c r="W414" s="43"/>
      <c r="X414" s="44"/>
      <c r="Y414" s="45"/>
    </row>
    <row r="415" spans="1:25" s="2" customFormat="1" ht="33" x14ac:dyDescent="0.3">
      <c r="A415" s="13">
        <v>4</v>
      </c>
      <c r="B415" s="18" t="s">
        <v>73</v>
      </c>
      <c r="C415" s="23">
        <v>6</v>
      </c>
      <c r="D415" s="23">
        <v>6</v>
      </c>
      <c r="E415" s="29">
        <f t="shared" si="191"/>
        <v>34800</v>
      </c>
      <c r="F415" s="15">
        <f t="shared" si="192"/>
        <v>208800</v>
      </c>
      <c r="G415" s="19">
        <v>208800</v>
      </c>
      <c r="H415" s="23">
        <v>10</v>
      </c>
      <c r="I415" s="23">
        <v>10</v>
      </c>
      <c r="J415" s="29">
        <f t="shared" si="193"/>
        <v>32400</v>
      </c>
      <c r="K415" s="40">
        <f t="shared" si="194"/>
        <v>324000</v>
      </c>
      <c r="L415" s="19">
        <v>324000</v>
      </c>
      <c r="M415" s="23">
        <v>10</v>
      </c>
      <c r="N415" s="23">
        <v>10</v>
      </c>
      <c r="O415" s="29">
        <f t="shared" si="195"/>
        <v>33600</v>
      </c>
      <c r="P415" s="15">
        <f t="shared" si="196"/>
        <v>336000</v>
      </c>
      <c r="Q415" s="19">
        <v>336000</v>
      </c>
      <c r="R415" s="16">
        <f t="shared" si="197"/>
        <v>26</v>
      </c>
      <c r="S415" s="17">
        <f t="shared" si="198"/>
        <v>868800</v>
      </c>
      <c r="U415" s="41"/>
      <c r="V415" s="42"/>
      <c r="W415" s="43"/>
      <c r="X415" s="44"/>
      <c r="Y415" s="45"/>
    </row>
    <row r="416" spans="1:25" s="2" customFormat="1" ht="33" x14ac:dyDescent="0.3">
      <c r="A416" s="13">
        <v>5</v>
      </c>
      <c r="B416" s="18" t="s">
        <v>74</v>
      </c>
      <c r="C416" s="23">
        <v>3</v>
      </c>
      <c r="D416" s="23">
        <v>3</v>
      </c>
      <c r="E416" s="29">
        <f t="shared" si="191"/>
        <v>189600</v>
      </c>
      <c r="F416" s="15">
        <f t="shared" si="192"/>
        <v>568800</v>
      </c>
      <c r="G416" s="19">
        <v>568800</v>
      </c>
      <c r="H416" s="23">
        <v>5</v>
      </c>
      <c r="I416" s="23">
        <v>5</v>
      </c>
      <c r="J416" s="29">
        <f t="shared" si="193"/>
        <v>186000</v>
      </c>
      <c r="K416" s="40">
        <f t="shared" si="194"/>
        <v>930000</v>
      </c>
      <c r="L416" s="19">
        <v>930000</v>
      </c>
      <c r="M416" s="23">
        <v>5</v>
      </c>
      <c r="N416" s="23">
        <v>5</v>
      </c>
      <c r="O416" s="29">
        <f t="shared" si="195"/>
        <v>187200</v>
      </c>
      <c r="P416" s="15">
        <f t="shared" si="196"/>
        <v>936000</v>
      </c>
      <c r="Q416" s="19">
        <v>936000</v>
      </c>
      <c r="R416" s="16">
        <f t="shared" si="197"/>
        <v>13</v>
      </c>
      <c r="S416" s="17">
        <f t="shared" si="198"/>
        <v>2434800</v>
      </c>
      <c r="U416" s="41"/>
      <c r="V416" s="42"/>
      <c r="W416" s="43"/>
      <c r="X416" s="44"/>
      <c r="Y416" s="45"/>
    </row>
    <row r="417" spans="1:25" s="2" customFormat="1" ht="33" x14ac:dyDescent="0.3">
      <c r="A417" s="13">
        <v>6</v>
      </c>
      <c r="B417" s="18" t="s">
        <v>75</v>
      </c>
      <c r="C417" s="23">
        <v>1</v>
      </c>
      <c r="D417" s="23">
        <v>1</v>
      </c>
      <c r="E417" s="29">
        <f t="shared" si="191"/>
        <v>32400</v>
      </c>
      <c r="F417" s="15">
        <f t="shared" si="192"/>
        <v>32400</v>
      </c>
      <c r="G417" s="19">
        <v>32400</v>
      </c>
      <c r="H417" s="23">
        <v>2</v>
      </c>
      <c r="I417" s="23">
        <v>2</v>
      </c>
      <c r="J417" s="29">
        <f t="shared" si="193"/>
        <v>32400</v>
      </c>
      <c r="K417" s="40">
        <f t="shared" si="194"/>
        <v>64800</v>
      </c>
      <c r="L417" s="19">
        <v>64800</v>
      </c>
      <c r="M417" s="23">
        <v>2</v>
      </c>
      <c r="N417" s="23">
        <v>2</v>
      </c>
      <c r="O417" s="29">
        <f t="shared" si="195"/>
        <v>32400</v>
      </c>
      <c r="P417" s="15">
        <f t="shared" si="196"/>
        <v>64800</v>
      </c>
      <c r="Q417" s="19">
        <v>64800</v>
      </c>
      <c r="R417" s="16">
        <f t="shared" si="197"/>
        <v>5</v>
      </c>
      <c r="S417" s="17">
        <f t="shared" si="198"/>
        <v>162000</v>
      </c>
      <c r="U417" s="41"/>
      <c r="V417" s="42"/>
      <c r="W417" s="43"/>
      <c r="X417" s="44"/>
      <c r="Y417" s="45"/>
    </row>
    <row r="418" spans="1:25" s="2" customFormat="1" ht="33" x14ac:dyDescent="0.3">
      <c r="A418" s="13">
        <v>7</v>
      </c>
      <c r="B418" s="18" t="s">
        <v>76</v>
      </c>
      <c r="C418" s="23">
        <v>1</v>
      </c>
      <c r="D418" s="23">
        <v>1</v>
      </c>
      <c r="E418" s="29">
        <f t="shared" si="191"/>
        <v>38400</v>
      </c>
      <c r="F418" s="15">
        <f t="shared" si="192"/>
        <v>38400</v>
      </c>
      <c r="G418" s="19">
        <v>38400</v>
      </c>
      <c r="H418" s="23">
        <v>1</v>
      </c>
      <c r="I418" s="23">
        <v>1</v>
      </c>
      <c r="J418" s="29">
        <f t="shared" si="193"/>
        <v>43200</v>
      </c>
      <c r="K418" s="40">
        <f t="shared" si="194"/>
        <v>43200</v>
      </c>
      <c r="L418" s="19">
        <v>43200</v>
      </c>
      <c r="M418" s="23">
        <v>1</v>
      </c>
      <c r="N418" s="23">
        <v>1</v>
      </c>
      <c r="O418" s="29">
        <f t="shared" si="195"/>
        <v>42000</v>
      </c>
      <c r="P418" s="15">
        <f t="shared" si="196"/>
        <v>42000</v>
      </c>
      <c r="Q418" s="19">
        <v>42000</v>
      </c>
      <c r="R418" s="16">
        <f t="shared" si="197"/>
        <v>3</v>
      </c>
      <c r="S418" s="17">
        <f t="shared" si="198"/>
        <v>123600</v>
      </c>
      <c r="U418" s="41"/>
      <c r="V418" s="42"/>
      <c r="W418" s="43"/>
      <c r="X418" s="44"/>
      <c r="Y418" s="45"/>
    </row>
    <row r="419" spans="1:25" s="2" customFormat="1" ht="16.5" x14ac:dyDescent="0.3">
      <c r="A419" s="13">
        <v>8</v>
      </c>
      <c r="B419" s="18" t="s">
        <v>17</v>
      </c>
      <c r="C419" s="23"/>
      <c r="D419" s="23"/>
      <c r="E419" s="29"/>
      <c r="F419" s="15"/>
      <c r="G419" s="19"/>
      <c r="H419" s="23">
        <v>1</v>
      </c>
      <c r="I419" s="23">
        <v>1</v>
      </c>
      <c r="J419" s="29">
        <f t="shared" si="193"/>
        <v>32400</v>
      </c>
      <c r="K419" s="40">
        <f t="shared" si="194"/>
        <v>32400</v>
      </c>
      <c r="L419" s="19">
        <v>32400</v>
      </c>
      <c r="M419" s="23">
        <v>1</v>
      </c>
      <c r="N419" s="23">
        <v>1</v>
      </c>
      <c r="O419" s="29">
        <f t="shared" si="195"/>
        <v>32400</v>
      </c>
      <c r="P419" s="15">
        <f t="shared" si="196"/>
        <v>32400</v>
      </c>
      <c r="Q419" s="19">
        <v>32400</v>
      </c>
      <c r="R419" s="16">
        <f t="shared" si="197"/>
        <v>2</v>
      </c>
      <c r="S419" s="17">
        <f t="shared" si="198"/>
        <v>64800</v>
      </c>
      <c r="U419" s="41"/>
      <c r="V419" s="42"/>
      <c r="W419" s="43"/>
      <c r="X419" s="44"/>
      <c r="Y419" s="45"/>
    </row>
    <row r="420" spans="1:25" s="2" customFormat="1" ht="33" x14ac:dyDescent="0.3">
      <c r="A420" s="13">
        <v>9</v>
      </c>
      <c r="B420" s="18" t="s">
        <v>77</v>
      </c>
      <c r="C420" s="23">
        <v>1</v>
      </c>
      <c r="D420" s="23">
        <v>1</v>
      </c>
      <c r="E420" s="29">
        <f t="shared" si="191"/>
        <v>366000</v>
      </c>
      <c r="F420" s="15">
        <f t="shared" si="192"/>
        <v>366000</v>
      </c>
      <c r="G420" s="19">
        <v>366000</v>
      </c>
      <c r="H420" s="23">
        <v>1</v>
      </c>
      <c r="I420" s="23">
        <v>1</v>
      </c>
      <c r="J420" s="29">
        <f t="shared" si="193"/>
        <v>356400</v>
      </c>
      <c r="K420" s="40">
        <f t="shared" si="194"/>
        <v>356400</v>
      </c>
      <c r="L420" s="19">
        <v>356400</v>
      </c>
      <c r="M420" s="23">
        <v>1</v>
      </c>
      <c r="N420" s="23">
        <v>1</v>
      </c>
      <c r="O420" s="29">
        <f t="shared" si="195"/>
        <v>348000</v>
      </c>
      <c r="P420" s="15">
        <f t="shared" si="196"/>
        <v>348000</v>
      </c>
      <c r="Q420" s="19">
        <v>348000</v>
      </c>
      <c r="R420" s="16">
        <f t="shared" si="197"/>
        <v>3</v>
      </c>
      <c r="S420" s="17">
        <f t="shared" si="198"/>
        <v>1070400</v>
      </c>
      <c r="U420" s="41"/>
      <c r="V420" s="42"/>
      <c r="W420" s="43"/>
      <c r="X420" s="44"/>
      <c r="Y420" s="45"/>
    </row>
    <row r="421" spans="1:25" s="2" customFormat="1" ht="49.5" x14ac:dyDescent="0.3">
      <c r="A421" s="13">
        <v>10</v>
      </c>
      <c r="B421" s="18" t="s">
        <v>78</v>
      </c>
      <c r="C421" s="23"/>
      <c r="D421" s="23"/>
      <c r="E421" s="29"/>
      <c r="F421" s="15"/>
      <c r="G421" s="19"/>
      <c r="H421" s="23">
        <v>1</v>
      </c>
      <c r="I421" s="23">
        <v>1</v>
      </c>
      <c r="J421" s="29">
        <f t="shared" si="193"/>
        <v>76800</v>
      </c>
      <c r="K421" s="40">
        <f t="shared" si="194"/>
        <v>76800</v>
      </c>
      <c r="L421" s="19">
        <v>76800</v>
      </c>
      <c r="M421" s="23">
        <v>1</v>
      </c>
      <c r="N421" s="23">
        <v>1</v>
      </c>
      <c r="O421" s="29">
        <f t="shared" si="195"/>
        <v>75600</v>
      </c>
      <c r="P421" s="15">
        <f t="shared" si="196"/>
        <v>75600</v>
      </c>
      <c r="Q421" s="19">
        <v>75600</v>
      </c>
      <c r="R421" s="16">
        <f t="shared" si="197"/>
        <v>2</v>
      </c>
      <c r="S421" s="17">
        <f t="shared" si="198"/>
        <v>152400</v>
      </c>
      <c r="U421" s="41"/>
      <c r="V421" s="42"/>
      <c r="W421" s="43"/>
      <c r="X421" s="44"/>
      <c r="Y421" s="45"/>
    </row>
    <row r="422" spans="1:25" s="2" customFormat="1" ht="33" x14ac:dyDescent="0.3">
      <c r="A422" s="13">
        <v>11</v>
      </c>
      <c r="B422" s="18" t="s">
        <v>79</v>
      </c>
      <c r="C422" s="23">
        <v>1</v>
      </c>
      <c r="D422" s="23">
        <v>1</v>
      </c>
      <c r="E422" s="29">
        <f t="shared" si="191"/>
        <v>82800</v>
      </c>
      <c r="F422" s="15">
        <f t="shared" si="192"/>
        <v>82800</v>
      </c>
      <c r="G422" s="19">
        <v>82800</v>
      </c>
      <c r="H422" s="23">
        <v>1</v>
      </c>
      <c r="I422" s="23">
        <v>1</v>
      </c>
      <c r="J422" s="29">
        <f t="shared" si="193"/>
        <v>74400</v>
      </c>
      <c r="K422" s="40">
        <f t="shared" si="194"/>
        <v>74400</v>
      </c>
      <c r="L422" s="19">
        <v>74400</v>
      </c>
      <c r="M422" s="23">
        <v>1</v>
      </c>
      <c r="N422" s="23">
        <v>1</v>
      </c>
      <c r="O422" s="29">
        <f t="shared" si="195"/>
        <v>82800</v>
      </c>
      <c r="P422" s="15">
        <f t="shared" si="196"/>
        <v>82800</v>
      </c>
      <c r="Q422" s="19">
        <v>82800</v>
      </c>
      <c r="R422" s="16">
        <f t="shared" si="197"/>
        <v>3</v>
      </c>
      <c r="S422" s="17">
        <f t="shared" si="198"/>
        <v>240000</v>
      </c>
      <c r="U422" s="41"/>
      <c r="V422" s="42"/>
      <c r="W422" s="43"/>
      <c r="X422" s="44"/>
      <c r="Y422" s="45"/>
    </row>
    <row r="423" spans="1:25" s="2" customFormat="1" ht="16.5" x14ac:dyDescent="0.3">
      <c r="A423" s="13">
        <v>12</v>
      </c>
      <c r="B423" s="18" t="s">
        <v>80</v>
      </c>
      <c r="C423" s="23">
        <v>6</v>
      </c>
      <c r="D423" s="23">
        <v>6</v>
      </c>
      <c r="E423" s="29">
        <f t="shared" si="191"/>
        <v>87600</v>
      </c>
      <c r="F423" s="15">
        <f t="shared" si="192"/>
        <v>525600</v>
      </c>
      <c r="G423" s="19">
        <v>525600</v>
      </c>
      <c r="H423" s="23">
        <v>8</v>
      </c>
      <c r="I423" s="23">
        <v>8</v>
      </c>
      <c r="J423" s="29">
        <f t="shared" si="193"/>
        <v>72000</v>
      </c>
      <c r="K423" s="40">
        <f t="shared" si="194"/>
        <v>576000</v>
      </c>
      <c r="L423" s="19">
        <v>576000</v>
      </c>
      <c r="M423" s="23">
        <v>8</v>
      </c>
      <c r="N423" s="23">
        <v>8</v>
      </c>
      <c r="O423" s="29">
        <f t="shared" si="195"/>
        <v>90000</v>
      </c>
      <c r="P423" s="15">
        <f t="shared" si="196"/>
        <v>720000</v>
      </c>
      <c r="Q423" s="19">
        <v>720000</v>
      </c>
      <c r="R423" s="16">
        <f t="shared" si="197"/>
        <v>22</v>
      </c>
      <c r="S423" s="17">
        <f t="shared" si="198"/>
        <v>1821600</v>
      </c>
      <c r="U423" s="41"/>
      <c r="V423" s="42"/>
      <c r="W423" s="43"/>
      <c r="X423" s="44"/>
      <c r="Y423" s="45"/>
    </row>
    <row r="424" spans="1:25" s="2" customFormat="1" ht="16.5" x14ac:dyDescent="0.3">
      <c r="A424" s="13">
        <v>15</v>
      </c>
      <c r="B424" s="18" t="s">
        <v>81</v>
      </c>
      <c r="C424" s="23"/>
      <c r="D424" s="23"/>
      <c r="E424" s="29"/>
      <c r="F424" s="15"/>
      <c r="G424" s="19"/>
      <c r="H424" s="23">
        <v>1</v>
      </c>
      <c r="I424" s="23">
        <v>1</v>
      </c>
      <c r="J424" s="29">
        <f t="shared" si="193"/>
        <v>51600</v>
      </c>
      <c r="K424" s="40">
        <f t="shared" si="194"/>
        <v>51600</v>
      </c>
      <c r="L424" s="19">
        <v>51600</v>
      </c>
      <c r="M424" s="23">
        <v>1</v>
      </c>
      <c r="N424" s="23">
        <v>1</v>
      </c>
      <c r="O424" s="29">
        <f t="shared" si="195"/>
        <v>68400</v>
      </c>
      <c r="P424" s="15">
        <f t="shared" si="196"/>
        <v>68400</v>
      </c>
      <c r="Q424" s="19">
        <v>68400</v>
      </c>
      <c r="R424" s="16">
        <f t="shared" si="197"/>
        <v>2</v>
      </c>
      <c r="S424" s="17">
        <f t="shared" si="198"/>
        <v>120000</v>
      </c>
      <c r="U424" s="41"/>
      <c r="V424" s="42"/>
      <c r="W424" s="43"/>
      <c r="X424" s="44"/>
      <c r="Y424" s="45"/>
    </row>
    <row r="425" spans="1:25" s="2" customFormat="1" ht="33" x14ac:dyDescent="0.3">
      <c r="A425" s="13">
        <v>16</v>
      </c>
      <c r="B425" s="18" t="s">
        <v>82</v>
      </c>
      <c r="C425" s="23">
        <v>9.5</v>
      </c>
      <c r="D425" s="23">
        <v>9.5</v>
      </c>
      <c r="E425" s="29">
        <f t="shared" si="191"/>
        <v>139200</v>
      </c>
      <c r="F425" s="15">
        <f t="shared" si="192"/>
        <v>1322400</v>
      </c>
      <c r="G425" s="19">
        <v>1322400</v>
      </c>
      <c r="H425" s="23">
        <v>24.1</v>
      </c>
      <c r="I425" s="23">
        <f>24.1</f>
        <v>24.1</v>
      </c>
      <c r="J425" s="29">
        <f t="shared" si="193"/>
        <v>138000</v>
      </c>
      <c r="K425" s="19">
        <f>I425*J425</f>
        <v>3325800</v>
      </c>
      <c r="L425" s="19">
        <v>3325800</v>
      </c>
      <c r="M425" s="23">
        <v>17.34</v>
      </c>
      <c r="N425" s="23">
        <v>17.34</v>
      </c>
      <c r="O425" s="29">
        <f t="shared" si="195"/>
        <v>135600</v>
      </c>
      <c r="P425" s="15">
        <f t="shared" si="196"/>
        <v>2351304</v>
      </c>
      <c r="Q425" s="19">
        <v>2351304</v>
      </c>
      <c r="R425" s="16">
        <f t="shared" si="197"/>
        <v>50.94</v>
      </c>
      <c r="S425" s="17">
        <f t="shared" si="198"/>
        <v>6999504</v>
      </c>
      <c r="U425" s="41"/>
      <c r="V425" s="42"/>
      <c r="W425" s="43"/>
      <c r="X425" s="44"/>
      <c r="Y425" s="45"/>
    </row>
    <row r="426" spans="1:25" s="2" customFormat="1" ht="33" x14ac:dyDescent="0.3">
      <c r="A426" s="13">
        <v>18</v>
      </c>
      <c r="B426" s="18" t="s">
        <v>83</v>
      </c>
      <c r="C426" s="23">
        <v>1</v>
      </c>
      <c r="D426" s="23">
        <v>1</v>
      </c>
      <c r="E426" s="29">
        <f t="shared" si="191"/>
        <v>57600</v>
      </c>
      <c r="F426" s="15">
        <f t="shared" si="192"/>
        <v>57600</v>
      </c>
      <c r="G426" s="19">
        <v>57600</v>
      </c>
      <c r="H426" s="23">
        <v>1</v>
      </c>
      <c r="I426" s="23">
        <v>1</v>
      </c>
      <c r="J426" s="29">
        <f t="shared" si="193"/>
        <v>58800</v>
      </c>
      <c r="K426" s="19">
        <f t="shared" si="194"/>
        <v>58800</v>
      </c>
      <c r="L426" s="19">
        <v>58800</v>
      </c>
      <c r="M426" s="23">
        <v>1</v>
      </c>
      <c r="N426" s="23">
        <v>1</v>
      </c>
      <c r="O426" s="29">
        <f t="shared" si="195"/>
        <v>57600</v>
      </c>
      <c r="P426" s="15">
        <f t="shared" si="196"/>
        <v>57600</v>
      </c>
      <c r="Q426" s="19">
        <v>57600</v>
      </c>
      <c r="R426" s="16">
        <f t="shared" si="197"/>
        <v>3</v>
      </c>
      <c r="S426" s="17">
        <f t="shared" si="198"/>
        <v>174000</v>
      </c>
      <c r="U426" s="41"/>
      <c r="V426" s="42"/>
      <c r="W426" s="43"/>
      <c r="X426" s="44"/>
      <c r="Y426" s="45"/>
    </row>
    <row r="427" spans="1:25" s="2" customFormat="1" ht="16.5" x14ac:dyDescent="0.3">
      <c r="A427" s="13">
        <v>19</v>
      </c>
      <c r="B427" s="18" t="s">
        <v>84</v>
      </c>
      <c r="C427" s="23">
        <v>1</v>
      </c>
      <c r="D427" s="23">
        <v>1</v>
      </c>
      <c r="E427" s="29">
        <f t="shared" si="191"/>
        <v>87600</v>
      </c>
      <c r="F427" s="15">
        <f t="shared" si="192"/>
        <v>87600</v>
      </c>
      <c r="G427" s="19">
        <v>87600</v>
      </c>
      <c r="H427" s="23">
        <v>1</v>
      </c>
      <c r="I427" s="23">
        <v>1</v>
      </c>
      <c r="J427" s="29">
        <f t="shared" si="193"/>
        <v>88800</v>
      </c>
      <c r="K427" s="19">
        <f t="shared" si="194"/>
        <v>88800</v>
      </c>
      <c r="L427" s="19">
        <v>88800</v>
      </c>
      <c r="M427" s="23">
        <v>1</v>
      </c>
      <c r="N427" s="23">
        <v>1</v>
      </c>
      <c r="O427" s="29">
        <f t="shared" si="195"/>
        <v>87600</v>
      </c>
      <c r="P427" s="15">
        <f t="shared" si="196"/>
        <v>87600</v>
      </c>
      <c r="Q427" s="19">
        <v>87600</v>
      </c>
      <c r="R427" s="16">
        <f t="shared" si="197"/>
        <v>3</v>
      </c>
      <c r="S427" s="17">
        <f t="shared" si="198"/>
        <v>264000</v>
      </c>
      <c r="U427" s="41"/>
      <c r="V427" s="42"/>
      <c r="W427" s="43"/>
      <c r="X427" s="44"/>
      <c r="Y427" s="45"/>
    </row>
    <row r="428" spans="1:25" s="2" customFormat="1" ht="16.5" x14ac:dyDescent="0.3">
      <c r="A428" s="13">
        <v>20</v>
      </c>
      <c r="B428" s="18" t="s">
        <v>85</v>
      </c>
      <c r="C428" s="23">
        <v>1</v>
      </c>
      <c r="D428" s="23">
        <v>1</v>
      </c>
      <c r="E428" s="29">
        <f t="shared" si="191"/>
        <v>68400</v>
      </c>
      <c r="F428" s="15">
        <f t="shared" si="192"/>
        <v>68400</v>
      </c>
      <c r="G428" s="19">
        <v>68400</v>
      </c>
      <c r="H428" s="23">
        <v>1</v>
      </c>
      <c r="I428" s="23">
        <v>1</v>
      </c>
      <c r="J428" s="29">
        <f t="shared" si="193"/>
        <v>69600</v>
      </c>
      <c r="K428" s="19">
        <f t="shared" si="194"/>
        <v>69600</v>
      </c>
      <c r="L428" s="19">
        <v>69600</v>
      </c>
      <c r="M428" s="23">
        <v>1</v>
      </c>
      <c r="N428" s="23">
        <v>1</v>
      </c>
      <c r="O428" s="29">
        <f t="shared" si="195"/>
        <v>68400</v>
      </c>
      <c r="P428" s="15">
        <f t="shared" si="196"/>
        <v>68400</v>
      </c>
      <c r="Q428" s="19">
        <v>68400</v>
      </c>
      <c r="R428" s="16">
        <f t="shared" si="197"/>
        <v>3</v>
      </c>
      <c r="S428" s="17">
        <f t="shared" si="198"/>
        <v>206400</v>
      </c>
      <c r="U428" s="41"/>
      <c r="V428" s="42"/>
      <c r="W428" s="43"/>
      <c r="X428" s="44"/>
      <c r="Y428" s="45"/>
    </row>
    <row r="429" spans="1:25" s="2" customFormat="1" ht="33" x14ac:dyDescent="0.3">
      <c r="A429" s="13">
        <v>21</v>
      </c>
      <c r="B429" s="18" t="s">
        <v>21</v>
      </c>
      <c r="C429" s="23">
        <v>1</v>
      </c>
      <c r="D429" s="23">
        <v>1</v>
      </c>
      <c r="E429" s="29">
        <f t="shared" si="191"/>
        <v>45600</v>
      </c>
      <c r="F429" s="15">
        <f t="shared" si="192"/>
        <v>45600</v>
      </c>
      <c r="G429" s="19">
        <v>45600</v>
      </c>
      <c r="H429" s="23">
        <v>1</v>
      </c>
      <c r="I429" s="23">
        <v>1</v>
      </c>
      <c r="J429" s="29">
        <f t="shared" si="193"/>
        <v>46800</v>
      </c>
      <c r="K429" s="19">
        <f t="shared" si="194"/>
        <v>46800</v>
      </c>
      <c r="L429" s="19">
        <v>46800</v>
      </c>
      <c r="M429" s="23">
        <v>1</v>
      </c>
      <c r="N429" s="23">
        <v>1</v>
      </c>
      <c r="O429" s="29">
        <f t="shared" si="195"/>
        <v>45600</v>
      </c>
      <c r="P429" s="15">
        <f t="shared" si="196"/>
        <v>45600</v>
      </c>
      <c r="Q429" s="19">
        <v>45600</v>
      </c>
      <c r="R429" s="16">
        <f t="shared" si="197"/>
        <v>3</v>
      </c>
      <c r="S429" s="17">
        <f t="shared" si="198"/>
        <v>138000</v>
      </c>
      <c r="U429" s="41"/>
      <c r="V429" s="42"/>
      <c r="W429" s="43"/>
      <c r="X429" s="44"/>
      <c r="Y429" s="45"/>
    </row>
    <row r="430" spans="1:25" s="2" customFormat="1" ht="16.5" x14ac:dyDescent="0.3">
      <c r="A430" s="13">
        <v>22</v>
      </c>
      <c r="B430" s="18" t="s">
        <v>86</v>
      </c>
      <c r="C430" s="23"/>
      <c r="D430" s="23"/>
      <c r="E430" s="29"/>
      <c r="F430" s="15"/>
      <c r="G430" s="19"/>
      <c r="H430" s="23">
        <v>1</v>
      </c>
      <c r="I430" s="23">
        <v>1</v>
      </c>
      <c r="J430" s="29">
        <f t="shared" si="193"/>
        <v>32400</v>
      </c>
      <c r="K430" s="19">
        <f t="shared" si="194"/>
        <v>32400</v>
      </c>
      <c r="L430" s="19">
        <v>32400</v>
      </c>
      <c r="M430" s="23">
        <v>1</v>
      </c>
      <c r="N430" s="23">
        <v>1</v>
      </c>
      <c r="O430" s="29">
        <f t="shared" si="195"/>
        <v>32400</v>
      </c>
      <c r="P430" s="15">
        <f t="shared" si="196"/>
        <v>32400</v>
      </c>
      <c r="Q430" s="19">
        <v>32400</v>
      </c>
      <c r="R430" s="16">
        <f t="shared" si="197"/>
        <v>2</v>
      </c>
      <c r="S430" s="17">
        <f t="shared" si="198"/>
        <v>64800</v>
      </c>
      <c r="U430" s="41"/>
      <c r="V430" s="42"/>
      <c r="W430" s="43"/>
      <c r="X430" s="44"/>
      <c r="Y430" s="45"/>
    </row>
    <row r="431" spans="1:25" s="2" customFormat="1" ht="49.5" x14ac:dyDescent="0.3">
      <c r="A431" s="13">
        <v>23</v>
      </c>
      <c r="B431" s="18" t="s">
        <v>87</v>
      </c>
      <c r="C431" s="23">
        <v>1</v>
      </c>
      <c r="D431" s="23">
        <v>1</v>
      </c>
      <c r="E431" s="29">
        <f t="shared" si="191"/>
        <v>144000</v>
      </c>
      <c r="F431" s="15">
        <f t="shared" si="192"/>
        <v>144000</v>
      </c>
      <c r="G431" s="19">
        <v>144000</v>
      </c>
      <c r="H431" s="23">
        <v>1</v>
      </c>
      <c r="I431" s="23">
        <v>1</v>
      </c>
      <c r="J431" s="29">
        <f t="shared" si="193"/>
        <v>140400</v>
      </c>
      <c r="K431" s="19">
        <f t="shared" si="194"/>
        <v>140400</v>
      </c>
      <c r="L431" s="19">
        <v>140400</v>
      </c>
      <c r="M431" s="23">
        <v>1</v>
      </c>
      <c r="N431" s="23">
        <v>1</v>
      </c>
      <c r="O431" s="29">
        <f t="shared" si="195"/>
        <v>168000</v>
      </c>
      <c r="P431" s="15">
        <f t="shared" si="196"/>
        <v>168000</v>
      </c>
      <c r="Q431" s="19">
        <v>168000</v>
      </c>
      <c r="R431" s="16">
        <f t="shared" si="197"/>
        <v>3</v>
      </c>
      <c r="S431" s="17">
        <f t="shared" si="198"/>
        <v>452400</v>
      </c>
      <c r="U431" s="41"/>
      <c r="V431" s="42"/>
      <c r="W431" s="43"/>
      <c r="X431" s="44"/>
      <c r="Y431" s="45"/>
    </row>
    <row r="432" spans="1:25" s="2" customFormat="1" ht="66" x14ac:dyDescent="0.3">
      <c r="A432" s="13">
        <v>24</v>
      </c>
      <c r="B432" s="18" t="s">
        <v>22</v>
      </c>
      <c r="C432" s="23">
        <v>168</v>
      </c>
      <c r="D432" s="23">
        <v>168</v>
      </c>
      <c r="E432" s="29">
        <f t="shared" si="191"/>
        <v>2760</v>
      </c>
      <c r="F432" s="15">
        <f t="shared" si="192"/>
        <v>463680</v>
      </c>
      <c r="G432" s="19">
        <v>463680</v>
      </c>
      <c r="H432" s="23">
        <v>374</v>
      </c>
      <c r="I432" s="23">
        <v>374</v>
      </c>
      <c r="J432" s="29">
        <f t="shared" si="193"/>
        <v>2880</v>
      </c>
      <c r="K432" s="19">
        <f t="shared" si="194"/>
        <v>1077120</v>
      </c>
      <c r="L432" s="19">
        <v>1077120</v>
      </c>
      <c r="M432" s="23">
        <v>408</v>
      </c>
      <c r="N432" s="23">
        <v>408</v>
      </c>
      <c r="O432" s="29">
        <f t="shared" si="195"/>
        <v>3000</v>
      </c>
      <c r="P432" s="15">
        <f t="shared" si="196"/>
        <v>1224000</v>
      </c>
      <c r="Q432" s="19">
        <v>1224000</v>
      </c>
      <c r="R432" s="16">
        <f t="shared" si="197"/>
        <v>950</v>
      </c>
      <c r="S432" s="17">
        <f t="shared" si="198"/>
        <v>2764800</v>
      </c>
      <c r="U432" s="41"/>
      <c r="V432" s="42"/>
      <c r="W432" s="43"/>
      <c r="X432" s="44"/>
      <c r="Y432" s="45"/>
    </row>
    <row r="433" spans="1:25" s="2" customFormat="1" ht="49.5" x14ac:dyDescent="0.3">
      <c r="A433" s="13">
        <v>26</v>
      </c>
      <c r="B433" s="18" t="s">
        <v>88</v>
      </c>
      <c r="C433" s="23">
        <v>1</v>
      </c>
      <c r="D433" s="23">
        <v>1</v>
      </c>
      <c r="E433" s="29">
        <f t="shared" si="191"/>
        <v>25200</v>
      </c>
      <c r="F433" s="15">
        <f t="shared" si="192"/>
        <v>25200</v>
      </c>
      <c r="G433" s="19">
        <v>25200</v>
      </c>
      <c r="H433" s="23">
        <v>1</v>
      </c>
      <c r="I433" s="23">
        <v>1</v>
      </c>
      <c r="J433" s="29">
        <f t="shared" si="193"/>
        <v>25200</v>
      </c>
      <c r="K433" s="19">
        <f t="shared" si="194"/>
        <v>25200</v>
      </c>
      <c r="L433" s="19">
        <v>25200</v>
      </c>
      <c r="M433" s="23">
        <v>1</v>
      </c>
      <c r="N433" s="23">
        <v>1</v>
      </c>
      <c r="O433" s="29">
        <f t="shared" si="195"/>
        <v>25200</v>
      </c>
      <c r="P433" s="15">
        <f t="shared" si="196"/>
        <v>25200</v>
      </c>
      <c r="Q433" s="19">
        <v>25200</v>
      </c>
      <c r="R433" s="16">
        <f t="shared" si="197"/>
        <v>3</v>
      </c>
      <c r="S433" s="17">
        <f t="shared" si="198"/>
        <v>75600</v>
      </c>
      <c r="U433" s="41"/>
      <c r="V433" s="42"/>
      <c r="W433" s="43"/>
      <c r="X433" s="44"/>
      <c r="Y433" s="45"/>
    </row>
    <row r="434" spans="1:25" s="2" customFormat="1" ht="49.5" x14ac:dyDescent="0.3">
      <c r="A434" s="13">
        <v>27</v>
      </c>
      <c r="B434" s="18" t="s">
        <v>24</v>
      </c>
      <c r="C434" s="23">
        <v>1</v>
      </c>
      <c r="D434" s="23">
        <v>1</v>
      </c>
      <c r="E434" s="29">
        <f t="shared" si="191"/>
        <v>50400</v>
      </c>
      <c r="F434" s="15">
        <f t="shared" si="192"/>
        <v>50400</v>
      </c>
      <c r="G434" s="19">
        <v>50400</v>
      </c>
      <c r="H434" s="23">
        <v>1</v>
      </c>
      <c r="I434" s="23">
        <v>1</v>
      </c>
      <c r="J434" s="29">
        <f t="shared" si="193"/>
        <v>51600</v>
      </c>
      <c r="K434" s="19">
        <f t="shared" si="194"/>
        <v>51600</v>
      </c>
      <c r="L434" s="19">
        <v>51600</v>
      </c>
      <c r="M434" s="23">
        <v>1</v>
      </c>
      <c r="N434" s="23">
        <v>1</v>
      </c>
      <c r="O434" s="29">
        <f t="shared" si="195"/>
        <v>50400</v>
      </c>
      <c r="P434" s="15">
        <f t="shared" si="196"/>
        <v>50400</v>
      </c>
      <c r="Q434" s="19">
        <v>50400</v>
      </c>
      <c r="R434" s="16">
        <f t="shared" si="197"/>
        <v>3</v>
      </c>
      <c r="S434" s="17">
        <f t="shared" si="198"/>
        <v>152400</v>
      </c>
      <c r="U434" s="41"/>
      <c r="V434" s="42"/>
      <c r="W434" s="43"/>
      <c r="X434" s="44"/>
      <c r="Y434" s="45"/>
    </row>
    <row r="435" spans="1:25" s="2" customFormat="1" ht="33" x14ac:dyDescent="0.3">
      <c r="A435" s="13">
        <v>28</v>
      </c>
      <c r="B435" s="18" t="s">
        <v>89</v>
      </c>
      <c r="C435" s="23">
        <v>2</v>
      </c>
      <c r="D435" s="23">
        <v>2</v>
      </c>
      <c r="E435" s="29">
        <f t="shared" si="191"/>
        <v>75600</v>
      </c>
      <c r="F435" s="15">
        <f t="shared" si="192"/>
        <v>151200</v>
      </c>
      <c r="G435" s="19">
        <v>151200</v>
      </c>
      <c r="H435" s="23">
        <v>4</v>
      </c>
      <c r="I435" s="23">
        <v>4</v>
      </c>
      <c r="J435" s="29">
        <f t="shared" si="193"/>
        <v>79200</v>
      </c>
      <c r="K435" s="19">
        <f t="shared" si="194"/>
        <v>316800</v>
      </c>
      <c r="L435" s="19">
        <v>316800</v>
      </c>
      <c r="M435" s="23">
        <v>4</v>
      </c>
      <c r="N435" s="23">
        <v>4</v>
      </c>
      <c r="O435" s="29">
        <f t="shared" si="195"/>
        <v>75600</v>
      </c>
      <c r="P435" s="15">
        <f t="shared" si="196"/>
        <v>302400</v>
      </c>
      <c r="Q435" s="19">
        <v>302400</v>
      </c>
      <c r="R435" s="16">
        <f t="shared" si="197"/>
        <v>10</v>
      </c>
      <c r="S435" s="17">
        <f t="shared" si="198"/>
        <v>770400</v>
      </c>
      <c r="U435" s="41"/>
      <c r="V435" s="42"/>
      <c r="W435" s="43"/>
      <c r="X435" s="44"/>
      <c r="Y435" s="45"/>
    </row>
    <row r="436" spans="1:25" s="2" customFormat="1" ht="16.5" x14ac:dyDescent="0.3">
      <c r="A436" s="13">
        <v>31</v>
      </c>
      <c r="B436" s="18" t="s">
        <v>90</v>
      </c>
      <c r="C436" s="23"/>
      <c r="D436" s="23"/>
      <c r="E436" s="29"/>
      <c r="F436" s="15"/>
      <c r="G436" s="19"/>
      <c r="H436" s="23">
        <v>12</v>
      </c>
      <c r="I436" s="23">
        <v>12</v>
      </c>
      <c r="J436" s="29">
        <f t="shared" si="193"/>
        <v>67200</v>
      </c>
      <c r="K436" s="19">
        <f t="shared" si="194"/>
        <v>806400</v>
      </c>
      <c r="L436" s="19">
        <v>806400</v>
      </c>
      <c r="M436" s="23">
        <v>6.26</v>
      </c>
      <c r="N436" s="23">
        <v>6.26</v>
      </c>
      <c r="O436" s="29">
        <f t="shared" si="195"/>
        <v>62400</v>
      </c>
      <c r="P436" s="15">
        <f t="shared" si="196"/>
        <v>390624</v>
      </c>
      <c r="Q436" s="19">
        <v>390624</v>
      </c>
      <c r="R436" s="16">
        <f t="shared" si="197"/>
        <v>18.259999999999998</v>
      </c>
      <c r="S436" s="17">
        <f t="shared" si="198"/>
        <v>1197024</v>
      </c>
      <c r="X436" s="3"/>
    </row>
    <row r="437" spans="1:25" s="2" customFormat="1" ht="33" x14ac:dyDescent="0.3">
      <c r="A437" s="13">
        <v>33</v>
      </c>
      <c r="B437" s="18" t="s">
        <v>28</v>
      </c>
      <c r="C437" s="23"/>
      <c r="D437" s="23"/>
      <c r="E437" s="29"/>
      <c r="F437" s="15"/>
      <c r="G437" s="19"/>
      <c r="H437" s="23">
        <v>170</v>
      </c>
      <c r="I437" s="23">
        <v>170</v>
      </c>
      <c r="J437" s="29">
        <f t="shared" si="193"/>
        <v>6960</v>
      </c>
      <c r="K437" s="19">
        <f t="shared" si="194"/>
        <v>1183200</v>
      </c>
      <c r="L437" s="19">
        <v>1183200</v>
      </c>
      <c r="M437" s="23">
        <v>84.7</v>
      </c>
      <c r="N437" s="23">
        <v>84.7</v>
      </c>
      <c r="O437" s="29">
        <f t="shared" si="195"/>
        <v>660</v>
      </c>
      <c r="P437" s="15">
        <f t="shared" si="196"/>
        <v>55902</v>
      </c>
      <c r="Q437" s="19">
        <v>55902</v>
      </c>
      <c r="R437" s="16">
        <f t="shared" si="197"/>
        <v>254.7</v>
      </c>
      <c r="S437" s="17">
        <f t="shared" si="198"/>
        <v>1239102</v>
      </c>
      <c r="X437" s="3"/>
    </row>
    <row r="438" spans="1:25" s="2" customFormat="1" ht="33" x14ac:dyDescent="0.3">
      <c r="A438" s="13">
        <v>35</v>
      </c>
      <c r="B438" s="18" t="s">
        <v>30</v>
      </c>
      <c r="C438" s="23">
        <v>1</v>
      </c>
      <c r="D438" s="23">
        <v>1</v>
      </c>
      <c r="E438" s="29">
        <f t="shared" si="191"/>
        <v>43200</v>
      </c>
      <c r="F438" s="15">
        <f t="shared" si="192"/>
        <v>43200</v>
      </c>
      <c r="G438" s="19">
        <v>43200</v>
      </c>
      <c r="H438" s="23">
        <v>1</v>
      </c>
      <c r="I438" s="23">
        <v>1</v>
      </c>
      <c r="J438" s="29">
        <f t="shared" si="193"/>
        <v>44400</v>
      </c>
      <c r="K438" s="19">
        <f t="shared" si="194"/>
        <v>44400</v>
      </c>
      <c r="L438" s="19">
        <v>44400</v>
      </c>
      <c r="M438" s="23">
        <v>1</v>
      </c>
      <c r="N438" s="23">
        <v>1</v>
      </c>
      <c r="O438" s="29">
        <f t="shared" si="195"/>
        <v>43200</v>
      </c>
      <c r="P438" s="15">
        <f t="shared" si="196"/>
        <v>43200</v>
      </c>
      <c r="Q438" s="19">
        <v>43200</v>
      </c>
      <c r="R438" s="16">
        <f t="shared" si="197"/>
        <v>3</v>
      </c>
      <c r="S438" s="17">
        <f t="shared" si="198"/>
        <v>130800</v>
      </c>
      <c r="X438" s="3"/>
    </row>
    <row r="439" spans="1:25" s="2" customFormat="1" ht="33" x14ac:dyDescent="0.3">
      <c r="A439" s="13">
        <v>40</v>
      </c>
      <c r="B439" s="64" t="s">
        <v>91</v>
      </c>
      <c r="C439" s="23"/>
      <c r="D439" s="23"/>
      <c r="E439" s="29"/>
      <c r="F439" s="15"/>
      <c r="G439" s="19"/>
      <c r="H439" s="23">
        <v>1</v>
      </c>
      <c r="I439" s="23">
        <v>1</v>
      </c>
      <c r="J439" s="29">
        <f t="shared" si="193"/>
        <v>1470000</v>
      </c>
      <c r="K439" s="19">
        <f t="shared" si="194"/>
        <v>1470000</v>
      </c>
      <c r="L439" s="19">
        <v>1470000</v>
      </c>
      <c r="M439" s="23">
        <v>1</v>
      </c>
      <c r="N439" s="23">
        <v>1</v>
      </c>
      <c r="O439" s="29">
        <f t="shared" si="195"/>
        <v>1320000</v>
      </c>
      <c r="P439" s="15">
        <f t="shared" si="196"/>
        <v>1320000</v>
      </c>
      <c r="Q439" s="19">
        <v>1320000</v>
      </c>
      <c r="R439" s="16">
        <f t="shared" si="197"/>
        <v>2</v>
      </c>
      <c r="S439" s="17">
        <f t="shared" si="198"/>
        <v>2790000</v>
      </c>
      <c r="X439" s="3"/>
    </row>
    <row r="440" spans="1:25" s="2" customFormat="1" ht="33" x14ac:dyDescent="0.3">
      <c r="A440" s="13">
        <v>41</v>
      </c>
      <c r="B440" s="18" t="s">
        <v>92</v>
      </c>
      <c r="C440" s="23">
        <v>1</v>
      </c>
      <c r="D440" s="23">
        <v>1</v>
      </c>
      <c r="E440" s="29">
        <f t="shared" si="191"/>
        <v>726000</v>
      </c>
      <c r="F440" s="15">
        <f t="shared" si="192"/>
        <v>726000</v>
      </c>
      <c r="G440" s="19">
        <v>726000</v>
      </c>
      <c r="H440" s="23">
        <v>1</v>
      </c>
      <c r="I440" s="23">
        <v>1</v>
      </c>
      <c r="J440" s="29">
        <f t="shared" si="193"/>
        <v>1404000</v>
      </c>
      <c r="K440" s="19">
        <f t="shared" si="194"/>
        <v>1404000</v>
      </c>
      <c r="L440" s="19">
        <v>1404000</v>
      </c>
      <c r="M440" s="23">
        <v>1</v>
      </c>
      <c r="N440" s="23">
        <v>1</v>
      </c>
      <c r="O440" s="29">
        <f t="shared" si="195"/>
        <v>1437600</v>
      </c>
      <c r="P440" s="15">
        <f t="shared" si="196"/>
        <v>1437600</v>
      </c>
      <c r="Q440" s="19">
        <v>1437600</v>
      </c>
      <c r="R440" s="16">
        <f t="shared" si="197"/>
        <v>3</v>
      </c>
      <c r="S440" s="17">
        <f t="shared" si="198"/>
        <v>3567600</v>
      </c>
      <c r="X440" s="3"/>
    </row>
    <row r="441" spans="1:25" s="2" customFormat="1" ht="49.5" x14ac:dyDescent="0.3">
      <c r="A441" s="13">
        <v>42</v>
      </c>
      <c r="B441" s="64" t="s">
        <v>93</v>
      </c>
      <c r="C441" s="64"/>
      <c r="D441" s="64"/>
      <c r="E441" s="29"/>
      <c r="F441" s="15"/>
      <c r="G441" s="19"/>
      <c r="H441" s="23">
        <v>4.2</v>
      </c>
      <c r="I441" s="23">
        <v>4.2</v>
      </c>
      <c r="J441" s="29">
        <f t="shared" si="193"/>
        <v>40800</v>
      </c>
      <c r="K441" s="19">
        <f t="shared" si="194"/>
        <v>171360</v>
      </c>
      <c r="L441" s="19">
        <v>171360</v>
      </c>
      <c r="M441" s="23"/>
      <c r="N441" s="23"/>
      <c r="O441" s="29"/>
      <c r="P441" s="15"/>
      <c r="Q441" s="19"/>
      <c r="R441" s="16">
        <f t="shared" si="197"/>
        <v>4.2</v>
      </c>
      <c r="S441" s="17">
        <f t="shared" si="198"/>
        <v>171360</v>
      </c>
      <c r="X441" s="3"/>
    </row>
    <row r="442" spans="1:25" s="2" customFormat="1" ht="66" x14ac:dyDescent="0.3">
      <c r="A442" s="13">
        <v>43</v>
      </c>
      <c r="B442" s="64" t="s">
        <v>94</v>
      </c>
      <c r="C442" s="64"/>
      <c r="D442" s="64"/>
      <c r="E442" s="29"/>
      <c r="F442" s="15"/>
      <c r="G442" s="19"/>
      <c r="H442" s="23">
        <v>7.2</v>
      </c>
      <c r="I442" s="23">
        <v>7.2</v>
      </c>
      <c r="J442" s="29">
        <f t="shared" si="193"/>
        <v>40800</v>
      </c>
      <c r="K442" s="19">
        <f t="shared" si="194"/>
        <v>293760</v>
      </c>
      <c r="L442" s="19">
        <v>293760</v>
      </c>
      <c r="M442" s="23"/>
      <c r="N442" s="23"/>
      <c r="O442" s="29"/>
      <c r="P442" s="15"/>
      <c r="Q442" s="19"/>
      <c r="R442" s="16">
        <f t="shared" si="197"/>
        <v>7.2</v>
      </c>
      <c r="S442" s="17">
        <f t="shared" si="198"/>
        <v>293760</v>
      </c>
      <c r="X442" s="3"/>
    </row>
    <row r="443" spans="1:25" s="2" customFormat="1" ht="33" x14ac:dyDescent="0.3">
      <c r="A443" s="13">
        <v>44</v>
      </c>
      <c r="B443" s="64" t="s">
        <v>115</v>
      </c>
      <c r="C443" s="23">
        <v>6.48</v>
      </c>
      <c r="D443" s="23">
        <v>6.48</v>
      </c>
      <c r="E443" s="29">
        <f t="shared" si="191"/>
        <v>42000</v>
      </c>
      <c r="F443" s="15">
        <f t="shared" si="192"/>
        <v>272160</v>
      </c>
      <c r="G443" s="19">
        <v>272160</v>
      </c>
      <c r="H443" s="23"/>
      <c r="I443" s="23"/>
      <c r="J443" s="29"/>
      <c r="K443" s="19"/>
      <c r="L443" s="19"/>
      <c r="M443" s="23"/>
      <c r="N443" s="23"/>
      <c r="O443" s="29"/>
      <c r="P443" s="15"/>
      <c r="Q443" s="19"/>
      <c r="R443" s="16">
        <f t="shared" si="197"/>
        <v>6.48</v>
      </c>
      <c r="S443" s="17">
        <f t="shared" si="198"/>
        <v>272160</v>
      </c>
      <c r="X443" s="3"/>
    </row>
    <row r="444" spans="1:25" s="2" customFormat="1" ht="16.5" x14ac:dyDescent="0.3">
      <c r="A444" s="13">
        <v>45</v>
      </c>
      <c r="B444" s="64" t="s">
        <v>120</v>
      </c>
      <c r="C444" s="64"/>
      <c r="D444" s="64"/>
      <c r="E444" s="29"/>
      <c r="F444" s="15"/>
      <c r="G444" s="19"/>
      <c r="H444" s="23"/>
      <c r="I444" s="23"/>
      <c r="J444" s="29"/>
      <c r="K444" s="19"/>
      <c r="L444" s="19"/>
      <c r="M444" s="23">
        <v>11.24</v>
      </c>
      <c r="N444" s="23">
        <v>11.24</v>
      </c>
      <c r="O444" s="29">
        <f t="shared" si="195"/>
        <v>42000</v>
      </c>
      <c r="P444" s="15">
        <f t="shared" si="196"/>
        <v>472080</v>
      </c>
      <c r="Q444" s="19">
        <v>472080</v>
      </c>
      <c r="R444" s="16">
        <f t="shared" si="197"/>
        <v>11.24</v>
      </c>
      <c r="S444" s="17">
        <f t="shared" si="198"/>
        <v>472080</v>
      </c>
      <c r="X444" s="3"/>
    </row>
    <row r="445" spans="1:25" s="2" customFormat="1" ht="33" x14ac:dyDescent="0.3">
      <c r="A445" s="13">
        <v>46</v>
      </c>
      <c r="B445" s="18" t="s">
        <v>95</v>
      </c>
      <c r="C445" s="23"/>
      <c r="D445" s="23"/>
      <c r="E445" s="29"/>
      <c r="F445" s="15"/>
      <c r="G445" s="19"/>
      <c r="H445" s="23">
        <v>1</v>
      </c>
      <c r="I445" s="23">
        <v>1</v>
      </c>
      <c r="J445" s="29">
        <f t="shared" si="193"/>
        <v>75600</v>
      </c>
      <c r="K445" s="19">
        <f t="shared" si="194"/>
        <v>75600</v>
      </c>
      <c r="L445" s="19">
        <v>75600</v>
      </c>
      <c r="M445" s="23">
        <v>1</v>
      </c>
      <c r="N445" s="23">
        <v>1</v>
      </c>
      <c r="O445" s="29">
        <f t="shared" si="195"/>
        <v>75600</v>
      </c>
      <c r="P445" s="15">
        <f t="shared" si="196"/>
        <v>75600</v>
      </c>
      <c r="Q445" s="19">
        <v>75600</v>
      </c>
      <c r="R445" s="16">
        <f t="shared" si="197"/>
        <v>2</v>
      </c>
      <c r="S445" s="17">
        <f t="shared" si="198"/>
        <v>151200</v>
      </c>
      <c r="X445" s="3"/>
    </row>
    <row r="446" spans="1:25" s="2" customFormat="1" ht="33" x14ac:dyDescent="0.3">
      <c r="A446" s="13">
        <v>47</v>
      </c>
      <c r="B446" s="64" t="s">
        <v>116</v>
      </c>
      <c r="C446" s="23">
        <v>1</v>
      </c>
      <c r="D446" s="23">
        <v>1</v>
      </c>
      <c r="E446" s="29">
        <f t="shared" si="191"/>
        <v>852000</v>
      </c>
      <c r="F446" s="15">
        <f t="shared" si="192"/>
        <v>852000</v>
      </c>
      <c r="G446" s="19">
        <v>852000</v>
      </c>
      <c r="H446" s="23"/>
      <c r="I446" s="23"/>
      <c r="J446" s="29"/>
      <c r="K446" s="19"/>
      <c r="L446" s="19"/>
      <c r="M446" s="23"/>
      <c r="N446" s="23"/>
      <c r="O446" s="29"/>
      <c r="P446" s="15"/>
      <c r="Q446" s="19"/>
      <c r="R446" s="16">
        <f t="shared" si="197"/>
        <v>1</v>
      </c>
      <c r="S446" s="17">
        <f t="shared" si="198"/>
        <v>852000</v>
      </c>
      <c r="X446" s="3"/>
    </row>
    <row r="447" spans="1:25" s="2" customFormat="1" ht="33" x14ac:dyDescent="0.3">
      <c r="A447" s="13">
        <v>48</v>
      </c>
      <c r="B447" s="18" t="s">
        <v>96</v>
      </c>
      <c r="C447" s="23"/>
      <c r="D447" s="23"/>
      <c r="E447" s="29"/>
      <c r="F447" s="15"/>
      <c r="G447" s="19"/>
      <c r="H447" s="23">
        <v>10.33</v>
      </c>
      <c r="I447" s="23">
        <v>10.33</v>
      </c>
      <c r="J447" s="29">
        <f t="shared" si="193"/>
        <v>61200</v>
      </c>
      <c r="K447" s="19">
        <f t="shared" si="194"/>
        <v>632196</v>
      </c>
      <c r="L447" s="19">
        <v>632196</v>
      </c>
      <c r="M447" s="23">
        <v>9.57</v>
      </c>
      <c r="N447" s="23">
        <f>9.57</f>
        <v>9.57</v>
      </c>
      <c r="O447" s="29">
        <f t="shared" si="195"/>
        <v>66000</v>
      </c>
      <c r="P447" s="15">
        <f>N447*O447</f>
        <v>631620</v>
      </c>
      <c r="Q447" s="19">
        <v>631620</v>
      </c>
      <c r="R447" s="16">
        <f t="shared" si="197"/>
        <v>19.899999999999999</v>
      </c>
      <c r="S447" s="17">
        <f t="shared" si="198"/>
        <v>1263816</v>
      </c>
      <c r="X447" s="3"/>
    </row>
    <row r="448" spans="1:25" s="2" customFormat="1" ht="33" x14ac:dyDescent="0.3">
      <c r="A448" s="13">
        <v>49</v>
      </c>
      <c r="B448" s="18" t="s">
        <v>97</v>
      </c>
      <c r="C448" s="23"/>
      <c r="D448" s="23"/>
      <c r="E448" s="29"/>
      <c r="F448" s="15"/>
      <c r="G448" s="19"/>
      <c r="H448" s="23">
        <v>3.2</v>
      </c>
      <c r="I448" s="23">
        <v>3.2</v>
      </c>
      <c r="J448" s="29">
        <f t="shared" si="193"/>
        <v>42000</v>
      </c>
      <c r="K448" s="19">
        <f t="shared" si="194"/>
        <v>134400</v>
      </c>
      <c r="L448" s="19">
        <v>134400</v>
      </c>
      <c r="M448" s="23">
        <v>4.0199999999999996</v>
      </c>
      <c r="N448" s="23">
        <v>4.0199999999999996</v>
      </c>
      <c r="O448" s="29">
        <f t="shared" si="195"/>
        <v>43200.000000000007</v>
      </c>
      <c r="P448" s="15">
        <f t="shared" si="196"/>
        <v>173664</v>
      </c>
      <c r="Q448" s="19">
        <v>173664</v>
      </c>
      <c r="R448" s="16">
        <f t="shared" si="197"/>
        <v>7.22</v>
      </c>
      <c r="S448" s="17">
        <f t="shared" si="198"/>
        <v>308064</v>
      </c>
      <c r="X448" s="3"/>
    </row>
    <row r="449" spans="1:24" s="2" customFormat="1" ht="33" x14ac:dyDescent="0.3">
      <c r="A449" s="13">
        <v>50</v>
      </c>
      <c r="B449" s="18" t="s">
        <v>98</v>
      </c>
      <c r="C449" s="23"/>
      <c r="D449" s="23"/>
      <c r="E449" s="29"/>
      <c r="F449" s="15"/>
      <c r="G449" s="19"/>
      <c r="H449" s="23">
        <v>3</v>
      </c>
      <c r="I449" s="23">
        <v>3</v>
      </c>
      <c r="J449" s="29">
        <f t="shared" si="193"/>
        <v>43200</v>
      </c>
      <c r="K449" s="19">
        <f t="shared" si="194"/>
        <v>129600</v>
      </c>
      <c r="L449" s="19">
        <v>129600</v>
      </c>
      <c r="M449" s="23">
        <v>3</v>
      </c>
      <c r="N449" s="23">
        <v>3</v>
      </c>
      <c r="O449" s="29">
        <f t="shared" si="195"/>
        <v>44400</v>
      </c>
      <c r="P449" s="15">
        <f t="shared" si="196"/>
        <v>133200</v>
      </c>
      <c r="Q449" s="19">
        <v>133200</v>
      </c>
      <c r="R449" s="16">
        <f t="shared" si="197"/>
        <v>6</v>
      </c>
      <c r="S449" s="17">
        <f t="shared" si="198"/>
        <v>262800</v>
      </c>
      <c r="X449" s="3"/>
    </row>
    <row r="450" spans="1:24" s="2" customFormat="1" ht="16.5" x14ac:dyDescent="0.3">
      <c r="A450" s="13">
        <v>51</v>
      </c>
      <c r="B450" s="18" t="s">
        <v>99</v>
      </c>
      <c r="C450" s="23">
        <v>1</v>
      </c>
      <c r="D450" s="23">
        <v>1</v>
      </c>
      <c r="E450" s="29">
        <f t="shared" si="191"/>
        <v>60000</v>
      </c>
      <c r="F450" s="15">
        <f t="shared" si="192"/>
        <v>60000</v>
      </c>
      <c r="G450" s="19">
        <v>60000</v>
      </c>
      <c r="H450" s="23">
        <v>1</v>
      </c>
      <c r="I450" s="23">
        <v>1</v>
      </c>
      <c r="J450" s="29">
        <f t="shared" si="193"/>
        <v>69600</v>
      </c>
      <c r="K450" s="19">
        <f t="shared" si="194"/>
        <v>69600</v>
      </c>
      <c r="L450" s="19">
        <v>69600</v>
      </c>
      <c r="M450" s="23">
        <v>1</v>
      </c>
      <c r="N450" s="23">
        <v>1</v>
      </c>
      <c r="O450" s="29">
        <f t="shared" si="195"/>
        <v>55200</v>
      </c>
      <c r="P450" s="15">
        <f t="shared" si="196"/>
        <v>55200</v>
      </c>
      <c r="Q450" s="19">
        <v>55200</v>
      </c>
      <c r="R450" s="16">
        <f t="shared" si="197"/>
        <v>3</v>
      </c>
      <c r="S450" s="17">
        <f t="shared" si="198"/>
        <v>184800</v>
      </c>
      <c r="X450" s="3"/>
    </row>
    <row r="451" spans="1:24" s="2" customFormat="1" ht="16.5" x14ac:dyDescent="0.3">
      <c r="A451" s="13">
        <v>52</v>
      </c>
      <c r="B451" s="64" t="s">
        <v>100</v>
      </c>
      <c r="C451" s="23"/>
      <c r="D451" s="23"/>
      <c r="E451" s="29"/>
      <c r="F451" s="15"/>
      <c r="G451" s="19"/>
      <c r="H451" s="23">
        <v>1</v>
      </c>
      <c r="I451" s="23">
        <v>1</v>
      </c>
      <c r="J451" s="29">
        <f t="shared" si="193"/>
        <v>61200</v>
      </c>
      <c r="K451" s="19">
        <f t="shared" si="194"/>
        <v>61200</v>
      </c>
      <c r="L451" s="19">
        <v>61200</v>
      </c>
      <c r="M451" s="23"/>
      <c r="N451" s="23"/>
      <c r="O451" s="29"/>
      <c r="P451" s="15"/>
      <c r="Q451" s="19"/>
      <c r="R451" s="16">
        <f t="shared" si="197"/>
        <v>1</v>
      </c>
      <c r="S451" s="17">
        <f t="shared" si="198"/>
        <v>61200</v>
      </c>
      <c r="X451" s="3"/>
    </row>
    <row r="452" spans="1:24" s="2" customFormat="1" ht="16.5" x14ac:dyDescent="0.3">
      <c r="A452" s="24"/>
      <c r="B452" s="25" t="s">
        <v>11</v>
      </c>
      <c r="C452" s="17"/>
      <c r="D452" s="17"/>
      <c r="E452" s="17"/>
      <c r="F452" s="52">
        <f>SUM(F413:F451)</f>
        <v>6603840</v>
      </c>
      <c r="G452" s="17">
        <f t="shared" ref="G452" si="199">SUM(G413:G451)</f>
        <v>6603840</v>
      </c>
      <c r="H452" s="17"/>
      <c r="I452" s="17"/>
      <c r="J452" s="17"/>
      <c r="K452" s="17">
        <f>SUM(K413:K451)</f>
        <v>14935836</v>
      </c>
      <c r="L452" s="17">
        <f>SUM(L413:L451)</f>
        <v>14935836</v>
      </c>
      <c r="M452" s="17"/>
      <c r="N452" s="17"/>
      <c r="O452" s="17"/>
      <c r="P452" s="52">
        <f>SUM(P413:P451)</f>
        <v>12741594</v>
      </c>
      <c r="Q452" s="17">
        <f t="shared" ref="Q452" si="200">SUM(Q413:Q451)</f>
        <v>12741594</v>
      </c>
      <c r="R452" s="17"/>
      <c r="S452" s="17">
        <f t="shared" ref="S452" si="201">SUM(S413:S451)</f>
        <v>34281270</v>
      </c>
      <c r="X452" s="3"/>
    </row>
    <row r="453" spans="1:24" s="2" customFormat="1" ht="18.75" x14ac:dyDescent="0.3">
      <c r="A453" s="83"/>
      <c r="B453" s="84"/>
      <c r="C453" s="85"/>
      <c r="D453" s="176" t="s">
        <v>15</v>
      </c>
      <c r="E453" s="177"/>
      <c r="F453" s="177"/>
      <c r="G453" s="177"/>
      <c r="H453" s="177"/>
      <c r="I453" s="177"/>
      <c r="J453" s="177"/>
      <c r="K453" s="177"/>
      <c r="L453" s="177"/>
      <c r="M453" s="177"/>
      <c r="N453" s="177"/>
      <c r="O453" s="177"/>
      <c r="P453" s="177"/>
      <c r="Q453" s="177"/>
      <c r="R453" s="177"/>
      <c r="S453" s="178"/>
      <c r="X453" s="3"/>
    </row>
    <row r="454" spans="1:24" s="2" customFormat="1" ht="33" x14ac:dyDescent="0.3">
      <c r="A454" s="86">
        <v>1</v>
      </c>
      <c r="B454" s="18" t="s">
        <v>82</v>
      </c>
      <c r="C454" s="17"/>
      <c r="D454" s="20"/>
      <c r="E454" s="67"/>
      <c r="F454" s="17"/>
      <c r="G454" s="17"/>
      <c r="H454" s="17"/>
      <c r="I454" s="20">
        <v>0.6</v>
      </c>
      <c r="J454" s="67">
        <v>64900</v>
      </c>
      <c r="K454" s="19">
        <f>I454*J454</f>
        <v>38940</v>
      </c>
      <c r="L454" s="17"/>
      <c r="M454" s="17"/>
      <c r="N454" s="17"/>
      <c r="O454" s="80"/>
      <c r="P454" s="17"/>
      <c r="Q454" s="17"/>
      <c r="R454" s="16">
        <f>D454+I454+N454</f>
        <v>0.6</v>
      </c>
      <c r="S454" s="17">
        <f>P454+K454+F454</f>
        <v>38940</v>
      </c>
      <c r="X454" s="3"/>
    </row>
    <row r="455" spans="1:24" s="2" customFormat="1" ht="33" x14ac:dyDescent="0.3">
      <c r="A455" s="86">
        <v>2</v>
      </c>
      <c r="B455" s="18" t="s">
        <v>96</v>
      </c>
      <c r="C455" s="17"/>
      <c r="D455" s="20"/>
      <c r="E455" s="67"/>
      <c r="F455" s="17"/>
      <c r="G455" s="17"/>
      <c r="H455" s="17"/>
      <c r="I455" s="20"/>
      <c r="J455" s="67"/>
      <c r="K455" s="19"/>
      <c r="L455" s="17"/>
      <c r="M455" s="17"/>
      <c r="N455" s="20">
        <v>8.4</v>
      </c>
      <c r="O455" s="67">
        <v>35400</v>
      </c>
      <c r="P455" s="19">
        <f>N455*O455</f>
        <v>297360</v>
      </c>
      <c r="Q455" s="17"/>
      <c r="R455" s="16">
        <f>D455+I455+N455</f>
        <v>8.4</v>
      </c>
      <c r="S455" s="17">
        <f>P455+K455+F455</f>
        <v>297360</v>
      </c>
      <c r="X455" s="3"/>
    </row>
    <row r="456" spans="1:24" s="2" customFormat="1" ht="16.5" x14ac:dyDescent="0.3">
      <c r="A456" s="86"/>
      <c r="B456" s="25" t="s">
        <v>11</v>
      </c>
      <c r="C456" s="17"/>
      <c r="D456" s="20"/>
      <c r="E456" s="13"/>
      <c r="F456" s="17"/>
      <c r="G456" s="17"/>
      <c r="H456" s="17"/>
      <c r="I456" s="20"/>
      <c r="J456" s="30"/>
      <c r="K456" s="17">
        <f>SUM(K454:K455)</f>
        <v>38940</v>
      </c>
      <c r="L456" s="17"/>
      <c r="M456" s="17"/>
      <c r="N456" s="37"/>
      <c r="O456" s="30"/>
      <c r="P456" s="17">
        <f>SUM(P454:P455)</f>
        <v>297360</v>
      </c>
      <c r="Q456" s="17"/>
      <c r="R456" s="17"/>
      <c r="S456" s="17">
        <f>SUM(S454:S455)</f>
        <v>336300</v>
      </c>
      <c r="X456" s="3"/>
    </row>
    <row r="457" spans="1:24" s="2" customFormat="1" ht="18.75" x14ac:dyDescent="0.3">
      <c r="A457" s="86"/>
      <c r="B457" s="84"/>
      <c r="C457" s="17"/>
      <c r="D457" s="176" t="s">
        <v>50</v>
      </c>
      <c r="E457" s="177"/>
      <c r="F457" s="177"/>
      <c r="G457" s="177"/>
      <c r="H457" s="177"/>
      <c r="I457" s="177"/>
      <c r="J457" s="177"/>
      <c r="K457" s="177"/>
      <c r="L457" s="177"/>
      <c r="M457" s="177"/>
      <c r="N457" s="177"/>
      <c r="O457" s="177"/>
      <c r="P457" s="177"/>
      <c r="Q457" s="177"/>
      <c r="R457" s="177"/>
      <c r="S457" s="178"/>
      <c r="X457" s="3"/>
    </row>
    <row r="458" spans="1:24" s="2" customFormat="1" ht="33" x14ac:dyDescent="0.3">
      <c r="A458" s="86">
        <v>1</v>
      </c>
      <c r="B458" s="18" t="s">
        <v>82</v>
      </c>
      <c r="C458" s="17"/>
      <c r="D458" s="17"/>
      <c r="E458" s="80"/>
      <c r="F458" s="17"/>
      <c r="G458" s="17"/>
      <c r="H458" s="17"/>
      <c r="I458" s="23">
        <f>3.6+0.45</f>
        <v>4.05</v>
      </c>
      <c r="J458" s="87"/>
      <c r="K458" s="19">
        <f>3.6*52800+0.45*55100</f>
        <v>214875</v>
      </c>
      <c r="L458" s="17"/>
      <c r="M458" s="17"/>
      <c r="N458" s="17"/>
      <c r="O458" s="80"/>
      <c r="P458" s="17"/>
      <c r="Q458" s="17"/>
      <c r="R458" s="17">
        <f>N458+I458+D458</f>
        <v>4.05</v>
      </c>
      <c r="S458" s="17">
        <f>P458+K458+F458</f>
        <v>214875</v>
      </c>
      <c r="X458" s="3"/>
    </row>
    <row r="459" spans="1:24" s="2" customFormat="1" ht="16.5" x14ac:dyDescent="0.3">
      <c r="A459" s="86"/>
      <c r="B459" s="25" t="s">
        <v>11</v>
      </c>
      <c r="C459" s="17"/>
      <c r="D459" s="17"/>
      <c r="E459" s="17"/>
      <c r="F459" s="17"/>
      <c r="G459" s="17"/>
      <c r="H459" s="17"/>
      <c r="I459" s="23"/>
      <c r="J459" s="27"/>
      <c r="K459" s="17">
        <f>SUM(K458)</f>
        <v>214875</v>
      </c>
      <c r="L459" s="17"/>
      <c r="M459" s="17"/>
      <c r="N459" s="17"/>
      <c r="O459" s="17"/>
      <c r="P459" s="17"/>
      <c r="Q459" s="17"/>
      <c r="R459" s="17"/>
      <c r="S459" s="17">
        <f>P459+K459+F459</f>
        <v>214875</v>
      </c>
      <c r="X459" s="3"/>
    </row>
    <row r="460" spans="1:24" s="2" customFormat="1" ht="18.75" x14ac:dyDescent="0.3">
      <c r="A460" s="86"/>
      <c r="B460" s="84"/>
      <c r="C460" s="17"/>
      <c r="D460" s="176" t="s">
        <v>45</v>
      </c>
      <c r="E460" s="177"/>
      <c r="F460" s="177"/>
      <c r="G460" s="177"/>
      <c r="H460" s="177"/>
      <c r="I460" s="177"/>
      <c r="J460" s="177"/>
      <c r="K460" s="177"/>
      <c r="L460" s="177"/>
      <c r="M460" s="177"/>
      <c r="N460" s="177"/>
      <c r="O460" s="177"/>
      <c r="P460" s="177"/>
      <c r="Q460" s="177"/>
      <c r="R460" s="177"/>
      <c r="S460" s="178"/>
      <c r="X460" s="3"/>
    </row>
    <row r="461" spans="1:24" s="2" customFormat="1" ht="33" x14ac:dyDescent="0.3">
      <c r="A461" s="86">
        <v>1</v>
      </c>
      <c r="B461" s="18" t="s">
        <v>82</v>
      </c>
      <c r="C461" s="17"/>
      <c r="D461" s="17"/>
      <c r="E461" s="80"/>
      <c r="F461" s="17"/>
      <c r="G461" s="17"/>
      <c r="H461" s="17"/>
      <c r="I461" s="20">
        <v>4.5999999999999996</v>
      </c>
      <c r="J461" s="88">
        <v>54000</v>
      </c>
      <c r="K461" s="19">
        <f>I461*J461</f>
        <v>248399.99999999997</v>
      </c>
      <c r="L461" s="17"/>
      <c r="M461" s="17"/>
      <c r="N461" s="17"/>
      <c r="O461" s="80"/>
      <c r="P461" s="17"/>
      <c r="Q461" s="17"/>
      <c r="R461" s="17">
        <f>N461+I461+D461</f>
        <v>4.5999999999999996</v>
      </c>
      <c r="S461" s="17">
        <f>P461+K461+F461</f>
        <v>248399.99999999997</v>
      </c>
      <c r="X461" s="3"/>
    </row>
    <row r="462" spans="1:24" s="2" customFormat="1" ht="16.5" x14ac:dyDescent="0.3">
      <c r="A462" s="86"/>
      <c r="B462" s="25" t="s">
        <v>11</v>
      </c>
      <c r="C462" s="85"/>
      <c r="D462" s="17"/>
      <c r="E462" s="17"/>
      <c r="F462" s="17"/>
      <c r="G462" s="17"/>
      <c r="H462" s="17"/>
      <c r="I462" s="20"/>
      <c r="J462" s="19"/>
      <c r="K462" s="17">
        <f>SUM(K461)</f>
        <v>248399.99999999997</v>
      </c>
      <c r="L462" s="17"/>
      <c r="M462" s="17"/>
      <c r="N462" s="17"/>
      <c r="O462" s="17"/>
      <c r="P462" s="17"/>
      <c r="Q462" s="17"/>
      <c r="R462" s="17"/>
      <c r="S462" s="17">
        <f>P462+K462+F462</f>
        <v>248399.99999999997</v>
      </c>
      <c r="X462" s="3"/>
    </row>
    <row r="463" spans="1:24" s="2" customFormat="1" ht="18.75" x14ac:dyDescent="0.3">
      <c r="A463" s="179"/>
      <c r="B463" s="180"/>
      <c r="C463" s="66"/>
      <c r="D463" s="176" t="s">
        <v>101</v>
      </c>
      <c r="E463" s="177"/>
      <c r="F463" s="177"/>
      <c r="G463" s="177"/>
      <c r="H463" s="177"/>
      <c r="I463" s="177"/>
      <c r="J463" s="177"/>
      <c r="K463" s="177"/>
      <c r="L463" s="177"/>
      <c r="M463" s="177"/>
      <c r="N463" s="177"/>
      <c r="O463" s="177"/>
      <c r="P463" s="177"/>
      <c r="Q463" s="177"/>
      <c r="R463" s="177"/>
      <c r="S463" s="178"/>
      <c r="X463" s="3"/>
    </row>
    <row r="464" spans="1:24" s="2" customFormat="1" ht="33" x14ac:dyDescent="0.3">
      <c r="A464" s="13">
        <v>1</v>
      </c>
      <c r="B464" s="18" t="s">
        <v>102</v>
      </c>
      <c r="C464" s="13">
        <v>2</v>
      </c>
      <c r="D464" s="13">
        <v>2</v>
      </c>
      <c r="E464" s="67">
        <f>G464/C464</f>
        <v>324999.995</v>
      </c>
      <c r="F464" s="19">
        <f>D464*E464</f>
        <v>649999.99</v>
      </c>
      <c r="G464" s="19">
        <v>649999.99</v>
      </c>
      <c r="H464" s="23">
        <v>3</v>
      </c>
      <c r="I464" s="23">
        <v>3</v>
      </c>
      <c r="J464" s="26">
        <f>L464/H464</f>
        <v>324999.99666666664</v>
      </c>
      <c r="K464" s="19">
        <f>I464*J464</f>
        <v>974999.99</v>
      </c>
      <c r="L464" s="19">
        <v>974999.99</v>
      </c>
      <c r="M464" s="23">
        <v>3</v>
      </c>
      <c r="N464" s="23">
        <v>3</v>
      </c>
      <c r="O464" s="26">
        <f>Q464/M464</f>
        <v>324999.99666666664</v>
      </c>
      <c r="P464" s="19">
        <f>N464*O464</f>
        <v>974999.99</v>
      </c>
      <c r="Q464" s="19">
        <v>974999.99</v>
      </c>
      <c r="R464" s="16">
        <f>D464+I464+N464</f>
        <v>8</v>
      </c>
      <c r="S464" s="17">
        <f>F464+K464+P464</f>
        <v>2599999.9699999997</v>
      </c>
      <c r="X464" s="3"/>
    </row>
    <row r="465" spans="1:24" s="2" customFormat="1" ht="33" x14ac:dyDescent="0.3">
      <c r="A465" s="13">
        <v>2</v>
      </c>
      <c r="B465" s="18" t="s">
        <v>103</v>
      </c>
      <c r="C465" s="23">
        <v>2</v>
      </c>
      <c r="D465" s="23">
        <v>2</v>
      </c>
      <c r="E465" s="67">
        <f>G465/C465</f>
        <v>204999.995</v>
      </c>
      <c r="F465" s="19">
        <f>D465*E465</f>
        <v>409999.99</v>
      </c>
      <c r="G465" s="19">
        <v>409999.99</v>
      </c>
      <c r="H465" s="23">
        <v>4</v>
      </c>
      <c r="I465" s="23">
        <v>4</v>
      </c>
      <c r="J465" s="26">
        <f>L465/H465</f>
        <v>204999.995</v>
      </c>
      <c r="K465" s="19">
        <f>I465*J465</f>
        <v>819999.98</v>
      </c>
      <c r="L465" s="19">
        <v>819999.98</v>
      </c>
      <c r="M465" s="23">
        <v>4</v>
      </c>
      <c r="N465" s="23">
        <v>4</v>
      </c>
      <c r="O465" s="26">
        <f>Q465/M465</f>
        <v>204999.995</v>
      </c>
      <c r="P465" s="19">
        <f>N465*O465</f>
        <v>819999.98</v>
      </c>
      <c r="Q465" s="19">
        <v>819999.98</v>
      </c>
      <c r="R465" s="16">
        <f>D465+I465+N465</f>
        <v>10</v>
      </c>
      <c r="S465" s="17">
        <f>F465+K465+P465</f>
        <v>2049999.95</v>
      </c>
      <c r="X465" s="3"/>
    </row>
    <row r="466" spans="1:24" s="2" customFormat="1" ht="16.5" x14ac:dyDescent="0.3">
      <c r="A466" s="27"/>
      <c r="B466" s="68" t="s">
        <v>11</v>
      </c>
      <c r="C466" s="55"/>
      <c r="D466" s="55"/>
      <c r="E466" s="55"/>
      <c r="F466" s="17">
        <f>SUM(F464:F465)</f>
        <v>1059999.98</v>
      </c>
      <c r="G466" s="17">
        <f>SUM(G464:G465)</f>
        <v>1059999.98</v>
      </c>
      <c r="H466" s="17"/>
      <c r="I466" s="17"/>
      <c r="J466" s="17"/>
      <c r="K466" s="17">
        <f>SUM(K464:K465)</f>
        <v>1794999.97</v>
      </c>
      <c r="L466" s="17">
        <f t="shared" ref="L466" si="202">SUM(L464:L465)</f>
        <v>1794999.97</v>
      </c>
      <c r="M466" s="17"/>
      <c r="N466" s="17"/>
      <c r="O466" s="17"/>
      <c r="P466" s="17">
        <f>SUM(P464:P465)</f>
        <v>1794999.97</v>
      </c>
      <c r="Q466" s="17">
        <f t="shared" ref="Q466" si="203">SUM(Q464:Q465)</f>
        <v>1794999.97</v>
      </c>
      <c r="R466" s="17"/>
      <c r="S466" s="17">
        <f t="shared" ref="S466" si="204">SUM(S464:S465)</f>
        <v>4649999.92</v>
      </c>
      <c r="X466" s="3"/>
    </row>
    <row r="467" spans="1:24" s="2" customFormat="1" ht="18.75" x14ac:dyDescent="0.3">
      <c r="B467" s="69"/>
      <c r="C467" s="69"/>
      <c r="D467" s="167" t="s">
        <v>104</v>
      </c>
      <c r="E467" s="168"/>
      <c r="F467" s="168"/>
      <c r="G467" s="168"/>
      <c r="H467" s="168"/>
      <c r="I467" s="168"/>
      <c r="J467" s="168"/>
      <c r="K467" s="168"/>
      <c r="L467" s="168"/>
      <c r="M467" s="168"/>
      <c r="N467" s="168"/>
      <c r="O467" s="168"/>
      <c r="P467" s="168"/>
      <c r="Q467" s="168"/>
      <c r="R467" s="168"/>
      <c r="S467" s="169"/>
      <c r="X467" s="3"/>
    </row>
    <row r="468" spans="1:24" s="2" customFormat="1" ht="49.5" x14ac:dyDescent="0.3">
      <c r="A468" s="13">
        <v>1</v>
      </c>
      <c r="B468" s="64" t="s">
        <v>105</v>
      </c>
      <c r="C468" s="23">
        <v>2</v>
      </c>
      <c r="D468" s="23">
        <v>2</v>
      </c>
      <c r="E468" s="26">
        <f>G468/C468</f>
        <v>300000</v>
      </c>
      <c r="F468" s="19">
        <f>D468*E468</f>
        <v>600000</v>
      </c>
      <c r="G468" s="19">
        <v>600000</v>
      </c>
      <c r="H468" s="23">
        <v>2</v>
      </c>
      <c r="I468" s="23">
        <v>2</v>
      </c>
      <c r="J468" s="26">
        <f>L468/H468</f>
        <v>300000</v>
      </c>
      <c r="K468" s="19">
        <f>I468*J468</f>
        <v>600000</v>
      </c>
      <c r="L468" s="19">
        <v>600000</v>
      </c>
      <c r="M468" s="23">
        <v>1</v>
      </c>
      <c r="N468" s="23">
        <v>1</v>
      </c>
      <c r="O468" s="26">
        <f>Q468/M468</f>
        <v>300000</v>
      </c>
      <c r="P468" s="19">
        <f>N468*O468</f>
        <v>300000</v>
      </c>
      <c r="Q468" s="19">
        <v>300000</v>
      </c>
      <c r="R468" s="16">
        <f>D468+I468+N468</f>
        <v>5</v>
      </c>
      <c r="S468" s="17">
        <f>F468+K468+P468</f>
        <v>1500000</v>
      </c>
      <c r="X468" s="3"/>
    </row>
    <row r="469" spans="1:24" s="2" customFormat="1" ht="49.5" x14ac:dyDescent="0.3">
      <c r="A469" s="13">
        <v>2</v>
      </c>
      <c r="B469" s="64" t="s">
        <v>106</v>
      </c>
      <c r="C469" s="23"/>
      <c r="D469" s="23"/>
      <c r="E469" s="26"/>
      <c r="F469" s="19"/>
      <c r="G469" s="19"/>
      <c r="H469" s="23">
        <v>1</v>
      </c>
      <c r="I469" s="23">
        <v>1</v>
      </c>
      <c r="J469" s="26">
        <f t="shared" ref="J469:J470" si="205">L469/H469</f>
        <v>390000</v>
      </c>
      <c r="K469" s="19">
        <f t="shared" ref="K469:K470" si="206">I469*J469</f>
        <v>390000</v>
      </c>
      <c r="L469" s="19">
        <v>390000</v>
      </c>
      <c r="M469" s="23">
        <v>1</v>
      </c>
      <c r="N469" s="23">
        <v>1</v>
      </c>
      <c r="O469" s="26">
        <f t="shared" ref="O469:O470" si="207">Q469/M469</f>
        <v>390000</v>
      </c>
      <c r="P469" s="19">
        <f t="shared" ref="P469:P470" si="208">N469*O469</f>
        <v>390000</v>
      </c>
      <c r="Q469" s="19">
        <v>390000</v>
      </c>
      <c r="R469" s="16">
        <f t="shared" ref="R469:R471" si="209">D469+I469+N469</f>
        <v>2</v>
      </c>
      <c r="S469" s="17">
        <f t="shared" ref="S469:S471" si="210">F469+K469+P469</f>
        <v>780000</v>
      </c>
      <c r="X469" s="3"/>
    </row>
    <row r="470" spans="1:24" s="2" customFormat="1" ht="49.5" x14ac:dyDescent="0.3">
      <c r="A470" s="13">
        <v>3</v>
      </c>
      <c r="B470" s="64" t="s">
        <v>107</v>
      </c>
      <c r="C470" s="23"/>
      <c r="D470" s="23"/>
      <c r="E470" s="26"/>
      <c r="F470" s="19"/>
      <c r="G470" s="19"/>
      <c r="H470" s="23">
        <v>2</v>
      </c>
      <c r="I470" s="23">
        <v>2</v>
      </c>
      <c r="J470" s="26">
        <f t="shared" si="205"/>
        <v>440000.005</v>
      </c>
      <c r="K470" s="19">
        <f t="shared" si="206"/>
        <v>880000.01</v>
      </c>
      <c r="L470" s="19">
        <v>880000.01</v>
      </c>
      <c r="M470" s="23">
        <v>2</v>
      </c>
      <c r="N470" s="23">
        <v>2</v>
      </c>
      <c r="O470" s="26">
        <f t="shared" si="207"/>
        <v>440000.005</v>
      </c>
      <c r="P470" s="19">
        <f t="shared" si="208"/>
        <v>880000.01</v>
      </c>
      <c r="Q470" s="19">
        <v>880000.01</v>
      </c>
      <c r="R470" s="16">
        <f t="shared" si="209"/>
        <v>4</v>
      </c>
      <c r="S470" s="17">
        <f t="shared" si="210"/>
        <v>1760000.02</v>
      </c>
      <c r="X470" s="3"/>
    </row>
    <row r="471" spans="1:24" s="2" customFormat="1" ht="66" x14ac:dyDescent="0.3">
      <c r="A471" s="13">
        <v>4</v>
      </c>
      <c r="B471" s="64" t="s">
        <v>108</v>
      </c>
      <c r="C471" s="23">
        <v>1</v>
      </c>
      <c r="D471" s="23">
        <v>1</v>
      </c>
      <c r="E471" s="26">
        <f t="shared" ref="E471" si="211">G471/C471</f>
        <v>710000</v>
      </c>
      <c r="F471" s="19">
        <f t="shared" ref="F471" si="212">D471*E471</f>
        <v>710000</v>
      </c>
      <c r="G471" s="19">
        <v>710000</v>
      </c>
      <c r="H471" s="23"/>
      <c r="I471" s="23"/>
      <c r="J471" s="26"/>
      <c r="K471" s="23"/>
      <c r="L471" s="19"/>
      <c r="M471" s="23"/>
      <c r="N471" s="23"/>
      <c r="O471" s="26"/>
      <c r="P471" s="19"/>
      <c r="Q471" s="19"/>
      <c r="R471" s="16">
        <f t="shared" si="209"/>
        <v>1</v>
      </c>
      <c r="S471" s="17">
        <f t="shared" si="210"/>
        <v>710000</v>
      </c>
      <c r="X471" s="3"/>
    </row>
    <row r="472" spans="1:24" s="2" customFormat="1" ht="16.5" x14ac:dyDescent="0.3">
      <c r="B472" s="70" t="s">
        <v>11</v>
      </c>
      <c r="C472" s="55"/>
      <c r="D472" s="55"/>
      <c r="E472" s="55"/>
      <c r="F472" s="17">
        <f>SUM(F468:F471)</f>
        <v>1310000</v>
      </c>
      <c r="G472" s="17">
        <f>SUM(G468:G471)</f>
        <v>1310000</v>
      </c>
      <c r="H472" s="17"/>
      <c r="I472" s="17"/>
      <c r="J472" s="17"/>
      <c r="K472" s="17">
        <f>SUM(K468:K471)</f>
        <v>1870000.01</v>
      </c>
      <c r="L472" s="17">
        <f t="shared" ref="L472" si="213">SUM(L468:L471)</f>
        <v>1870000.01</v>
      </c>
      <c r="M472" s="17"/>
      <c r="N472" s="17"/>
      <c r="O472" s="17"/>
      <c r="P472" s="17">
        <f>SUM(P468:P471)</f>
        <v>1570000.01</v>
      </c>
      <c r="Q472" s="17">
        <f t="shared" ref="Q472" si="214">SUM(Q468:Q471)</f>
        <v>1570000.01</v>
      </c>
      <c r="R472" s="17"/>
      <c r="S472" s="17">
        <f t="shared" ref="S472" si="215">SUM(S468:S471)</f>
        <v>4750000.0199999996</v>
      </c>
      <c r="X472" s="3"/>
    </row>
    <row r="473" spans="1:24" s="2" customFormat="1" ht="18.75" x14ac:dyDescent="0.3">
      <c r="A473" s="174"/>
      <c r="B473" s="175"/>
      <c r="C473" s="71"/>
      <c r="D473" s="167" t="s">
        <v>109</v>
      </c>
      <c r="E473" s="168"/>
      <c r="F473" s="168"/>
      <c r="G473" s="168"/>
      <c r="H473" s="168"/>
      <c r="I473" s="168"/>
      <c r="J473" s="168"/>
      <c r="K473" s="168"/>
      <c r="L473" s="168"/>
      <c r="M473" s="168"/>
      <c r="N473" s="168"/>
      <c r="O473" s="168"/>
      <c r="P473" s="168"/>
      <c r="Q473" s="168"/>
      <c r="R473" s="168"/>
      <c r="S473" s="169"/>
      <c r="X473" s="3"/>
    </row>
    <row r="474" spans="1:24" s="2" customFormat="1" ht="16.5" x14ac:dyDescent="0.3">
      <c r="A474" s="13">
        <v>1</v>
      </c>
      <c r="B474" s="64" t="s">
        <v>110</v>
      </c>
      <c r="C474" s="23"/>
      <c r="D474" s="23"/>
      <c r="E474" s="26"/>
      <c r="F474" s="23"/>
      <c r="G474" s="19"/>
      <c r="H474" s="23">
        <v>1</v>
      </c>
      <c r="I474" s="23">
        <v>1</v>
      </c>
      <c r="J474" s="26">
        <f>L474/H474</f>
        <v>178000</v>
      </c>
      <c r="K474" s="19">
        <f>I474*J474</f>
        <v>178000</v>
      </c>
      <c r="L474" s="19">
        <v>178000</v>
      </c>
      <c r="M474" s="23">
        <v>1</v>
      </c>
      <c r="N474" s="23">
        <v>1</v>
      </c>
      <c r="O474" s="26">
        <f>Q474/M474</f>
        <v>178000</v>
      </c>
      <c r="P474" s="19">
        <f>N474*O474</f>
        <v>178000</v>
      </c>
      <c r="Q474" s="19">
        <v>178000</v>
      </c>
      <c r="R474" s="16">
        <f>D474+I474+N474</f>
        <v>2</v>
      </c>
      <c r="S474" s="17">
        <f>F474+K474+P474</f>
        <v>356000</v>
      </c>
      <c r="X474" s="3"/>
    </row>
    <row r="475" spans="1:24" s="2" customFormat="1" ht="33" x14ac:dyDescent="0.3">
      <c r="A475" s="13">
        <v>2</v>
      </c>
      <c r="B475" s="64" t="s">
        <v>111</v>
      </c>
      <c r="C475" s="23"/>
      <c r="D475" s="23"/>
      <c r="E475" s="26"/>
      <c r="F475" s="23"/>
      <c r="G475" s="19"/>
      <c r="H475" s="23">
        <v>1</v>
      </c>
      <c r="I475" s="23">
        <v>1</v>
      </c>
      <c r="J475" s="26">
        <f t="shared" ref="J475:J477" si="216">L475/H475</f>
        <v>165000</v>
      </c>
      <c r="K475" s="19">
        <f t="shared" ref="K475:K477" si="217">I475*J475</f>
        <v>165000</v>
      </c>
      <c r="L475" s="19">
        <v>165000</v>
      </c>
      <c r="M475" s="23">
        <v>1</v>
      </c>
      <c r="N475" s="23">
        <v>1</v>
      </c>
      <c r="O475" s="26">
        <f t="shared" ref="O475:O477" si="218">Q475/M475</f>
        <v>165000</v>
      </c>
      <c r="P475" s="19">
        <f t="shared" ref="P475:P477" si="219">N475*O475</f>
        <v>165000</v>
      </c>
      <c r="Q475" s="19">
        <v>165000</v>
      </c>
      <c r="R475" s="16">
        <f t="shared" ref="R475:R477" si="220">D475+I475+N475</f>
        <v>2</v>
      </c>
      <c r="S475" s="17">
        <f t="shared" ref="S475:S477" si="221">F475+K475+P475</f>
        <v>330000</v>
      </c>
      <c r="X475" s="3"/>
    </row>
    <row r="476" spans="1:24" s="2" customFormat="1" ht="33" x14ac:dyDescent="0.3">
      <c r="A476" s="13">
        <v>3</v>
      </c>
      <c r="B476" s="64" t="s">
        <v>112</v>
      </c>
      <c r="C476" s="23"/>
      <c r="D476" s="23"/>
      <c r="E476" s="26"/>
      <c r="F476" s="23"/>
      <c r="G476" s="19"/>
      <c r="H476" s="23">
        <v>1</v>
      </c>
      <c r="I476" s="23">
        <v>1</v>
      </c>
      <c r="J476" s="26">
        <f t="shared" si="216"/>
        <v>90000</v>
      </c>
      <c r="K476" s="19">
        <f t="shared" si="217"/>
        <v>90000</v>
      </c>
      <c r="L476" s="19">
        <v>90000</v>
      </c>
      <c r="M476" s="23">
        <v>1</v>
      </c>
      <c r="N476" s="23">
        <v>1</v>
      </c>
      <c r="O476" s="26">
        <f t="shared" si="218"/>
        <v>90000</v>
      </c>
      <c r="P476" s="19">
        <f t="shared" si="219"/>
        <v>90000</v>
      </c>
      <c r="Q476" s="19">
        <v>90000</v>
      </c>
      <c r="R476" s="16">
        <f t="shared" si="220"/>
        <v>2</v>
      </c>
      <c r="S476" s="17">
        <f t="shared" si="221"/>
        <v>180000</v>
      </c>
      <c r="X476" s="3"/>
    </row>
    <row r="477" spans="1:24" s="2" customFormat="1" ht="33" x14ac:dyDescent="0.3">
      <c r="A477" s="13">
        <v>4</v>
      </c>
      <c r="B477" s="64" t="s">
        <v>113</v>
      </c>
      <c r="C477" s="23"/>
      <c r="D477" s="23"/>
      <c r="E477" s="26"/>
      <c r="F477" s="23"/>
      <c r="G477" s="19"/>
      <c r="H477" s="23">
        <v>1</v>
      </c>
      <c r="I477" s="23">
        <v>1</v>
      </c>
      <c r="J477" s="26">
        <f t="shared" si="216"/>
        <v>95000</v>
      </c>
      <c r="K477" s="19">
        <f t="shared" si="217"/>
        <v>95000</v>
      </c>
      <c r="L477" s="19">
        <v>95000</v>
      </c>
      <c r="M477" s="23">
        <v>1</v>
      </c>
      <c r="N477" s="23">
        <v>1</v>
      </c>
      <c r="O477" s="26">
        <f t="shared" si="218"/>
        <v>95000</v>
      </c>
      <c r="P477" s="19">
        <f t="shared" si="219"/>
        <v>95000</v>
      </c>
      <c r="Q477" s="19">
        <v>95000</v>
      </c>
      <c r="R477" s="16">
        <f t="shared" si="220"/>
        <v>2</v>
      </c>
      <c r="S477" s="17">
        <f t="shared" si="221"/>
        <v>190000</v>
      </c>
      <c r="X477" s="3"/>
    </row>
    <row r="478" spans="1:24" s="2" customFormat="1" ht="16.5" x14ac:dyDescent="0.3">
      <c r="A478" s="72"/>
      <c r="B478" s="68" t="s">
        <v>11</v>
      </c>
      <c r="C478" s="55"/>
      <c r="D478" s="55"/>
      <c r="E478" s="55"/>
      <c r="F478" s="55"/>
      <c r="G478" s="17">
        <f>SUM(G474:G477)</f>
        <v>0</v>
      </c>
      <c r="H478" s="17"/>
      <c r="I478" s="17"/>
      <c r="J478" s="17"/>
      <c r="K478" s="17">
        <f>SUM(K474:K477)</f>
        <v>528000</v>
      </c>
      <c r="L478" s="17">
        <f t="shared" ref="L478" si="222">SUM(L474:L477)</f>
        <v>528000</v>
      </c>
      <c r="M478" s="17"/>
      <c r="N478" s="17"/>
      <c r="O478" s="17"/>
      <c r="P478" s="17">
        <f>SUM(P474:P477)</f>
        <v>528000</v>
      </c>
      <c r="Q478" s="17">
        <f t="shared" ref="Q478" si="223">SUM(Q474:Q477)</f>
        <v>528000</v>
      </c>
      <c r="R478" s="17"/>
      <c r="S478" s="17">
        <f t="shared" ref="S478" si="224">SUM(S474:S477)</f>
        <v>1056000</v>
      </c>
      <c r="X478" s="3"/>
    </row>
    <row r="479" spans="1:24" s="2" customFormat="1" ht="17.25" x14ac:dyDescent="0.3">
      <c r="A479" s="73"/>
      <c r="B479" s="74" t="s">
        <v>114</v>
      </c>
      <c r="C479" s="75"/>
      <c r="D479" s="75"/>
      <c r="E479" s="75"/>
      <c r="F479" s="76">
        <f>F452+F466+F472+F478+F462+F459+F456</f>
        <v>8973839.9800000004</v>
      </c>
      <c r="G479" s="76">
        <f>G452+G466+G472+G478+G462+G459+G456</f>
        <v>8973839.9800000004</v>
      </c>
      <c r="H479" s="76"/>
      <c r="I479" s="76"/>
      <c r="J479" s="76"/>
      <c r="K479" s="76">
        <f>K452+K466+K472+K478+K462+K459+K456</f>
        <v>19631050.98</v>
      </c>
      <c r="L479" s="76">
        <f>L452+L466+L472+L478+L462+L459+L456</f>
        <v>19128835.98</v>
      </c>
      <c r="M479" s="76"/>
      <c r="N479" s="76"/>
      <c r="O479" s="76"/>
      <c r="P479" s="76">
        <f>P452+P466+P472+P478+P462+P459+P456</f>
        <v>16931953.98</v>
      </c>
      <c r="Q479" s="76">
        <f>Q452+Q466+Q472+Q478+Q462+Q459+Q456</f>
        <v>16634593.98</v>
      </c>
      <c r="R479" s="76"/>
      <c r="S479" s="76">
        <f>S478+S472+S466+S462+S459+S456+S452</f>
        <v>45536844.939999998</v>
      </c>
      <c r="X479" s="3"/>
    </row>
    <row r="480" spans="1:24" s="2" customFormat="1" ht="16.5" x14ac:dyDescent="0.3">
      <c r="A480" s="1"/>
      <c r="S480" s="3"/>
      <c r="X480" s="3"/>
    </row>
    <row r="481" spans="1:24" s="50" customFormat="1" ht="16.5" x14ac:dyDescent="0.3">
      <c r="A481" s="46"/>
      <c r="B481" s="47" t="s">
        <v>70</v>
      </c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9">
        <f>S73+S134+P208+P276+S338+S403+S479</f>
        <v>269456903.13</v>
      </c>
      <c r="X481" s="51"/>
    </row>
  </sheetData>
  <mergeCells count="118">
    <mergeCell ref="A67:B67"/>
    <mergeCell ref="D67:S67"/>
    <mergeCell ref="A11:A13"/>
    <mergeCell ref="B11:B13"/>
    <mergeCell ref="D11:G11"/>
    <mergeCell ref="H11:L11"/>
    <mergeCell ref="M11:Q11"/>
    <mergeCell ref="R11:S11"/>
    <mergeCell ref="D13:S13"/>
    <mergeCell ref="N1:S1"/>
    <mergeCell ref="A4:S4"/>
    <mergeCell ref="A5:S5"/>
    <mergeCell ref="R7:S7"/>
    <mergeCell ref="A8:S8"/>
    <mergeCell ref="R10:S10"/>
    <mergeCell ref="A57:B57"/>
    <mergeCell ref="D57:S57"/>
    <mergeCell ref="D61:S61"/>
    <mergeCell ref="R137:S137"/>
    <mergeCell ref="R76:S76"/>
    <mergeCell ref="A77:S77"/>
    <mergeCell ref="R79:S79"/>
    <mergeCell ref="A80:A82"/>
    <mergeCell ref="B80:B82"/>
    <mergeCell ref="D80:G80"/>
    <mergeCell ref="H80:L80"/>
    <mergeCell ref="M80:Q80"/>
    <mergeCell ref="R80:S80"/>
    <mergeCell ref="D82:S82"/>
    <mergeCell ref="A118:B118"/>
    <mergeCell ref="D118:S118"/>
    <mergeCell ref="D122:S122"/>
    <mergeCell ref="A128:B128"/>
    <mergeCell ref="D128:S128"/>
    <mergeCell ref="A138:S138"/>
    <mergeCell ref="M140:Q140"/>
    <mergeCell ref="A141:A143"/>
    <mergeCell ref="B141:B143"/>
    <mergeCell ref="D141:G141"/>
    <mergeCell ref="H141:L141"/>
    <mergeCell ref="M141:Q141"/>
    <mergeCell ref="R141:S141"/>
    <mergeCell ref="D143:Q143"/>
    <mergeCell ref="A202:B202"/>
    <mergeCell ref="D202:Q202"/>
    <mergeCell ref="R202:S202"/>
    <mergeCell ref="R211:S211"/>
    <mergeCell ref="A212:S212"/>
    <mergeCell ref="M214:Q214"/>
    <mergeCell ref="D189:Q189"/>
    <mergeCell ref="A192:B192"/>
    <mergeCell ref="D192:Q192"/>
    <mergeCell ref="R192:S192"/>
    <mergeCell ref="D196:Q196"/>
    <mergeCell ref="R196:S196"/>
    <mergeCell ref="A260:B260"/>
    <mergeCell ref="D260:Q260"/>
    <mergeCell ref="R260:S260"/>
    <mergeCell ref="D264:Q264"/>
    <mergeCell ref="R264:S264"/>
    <mergeCell ref="A270:B270"/>
    <mergeCell ref="D270:Q270"/>
    <mergeCell ref="R270:S270"/>
    <mergeCell ref="A215:A217"/>
    <mergeCell ref="B215:B217"/>
    <mergeCell ref="D215:G215"/>
    <mergeCell ref="H215:L215"/>
    <mergeCell ref="M215:Q215"/>
    <mergeCell ref="R215:S215"/>
    <mergeCell ref="D217:Q217"/>
    <mergeCell ref="A322:B322"/>
    <mergeCell ref="D322:S322"/>
    <mergeCell ref="D326:S326"/>
    <mergeCell ref="A332:B332"/>
    <mergeCell ref="D332:S332"/>
    <mergeCell ref="R341:S341"/>
    <mergeCell ref="R280:S280"/>
    <mergeCell ref="A281:S281"/>
    <mergeCell ref="R283:S283"/>
    <mergeCell ref="A284:A286"/>
    <mergeCell ref="B284:B286"/>
    <mergeCell ref="D284:G284"/>
    <mergeCell ref="H284:L284"/>
    <mergeCell ref="M284:Q284"/>
    <mergeCell ref="R284:S284"/>
    <mergeCell ref="D286:S286"/>
    <mergeCell ref="A387:B387"/>
    <mergeCell ref="D387:S387"/>
    <mergeCell ref="D391:S391"/>
    <mergeCell ref="A397:B397"/>
    <mergeCell ref="D397:S397"/>
    <mergeCell ref="R406:S406"/>
    <mergeCell ref="A342:S342"/>
    <mergeCell ref="R344:S344"/>
    <mergeCell ref="A345:A347"/>
    <mergeCell ref="B345:B347"/>
    <mergeCell ref="D345:G345"/>
    <mergeCell ref="H345:L345"/>
    <mergeCell ref="M345:Q345"/>
    <mergeCell ref="R345:S345"/>
    <mergeCell ref="D347:S347"/>
    <mergeCell ref="A473:B473"/>
    <mergeCell ref="D473:S473"/>
    <mergeCell ref="D453:S453"/>
    <mergeCell ref="D457:S457"/>
    <mergeCell ref="D460:S460"/>
    <mergeCell ref="A463:B463"/>
    <mergeCell ref="D463:S463"/>
    <mergeCell ref="D467:S467"/>
    <mergeCell ref="A407:S407"/>
    <mergeCell ref="R409:S409"/>
    <mergeCell ref="A410:A412"/>
    <mergeCell ref="B410:B412"/>
    <mergeCell ref="D410:G410"/>
    <mergeCell ref="H410:L410"/>
    <mergeCell ref="M410:Q410"/>
    <mergeCell ref="R410:S410"/>
    <mergeCell ref="D412:S412"/>
  </mergeCells>
  <pageMargins left="0" right="0" top="0" bottom="0" header="0" footer="0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7"/>
  <sheetViews>
    <sheetView zoomScale="90" zoomScaleNormal="90" workbookViewId="0">
      <selection activeCell="H28" sqref="H28:H33"/>
    </sheetView>
  </sheetViews>
  <sheetFormatPr defaultRowHeight="15" x14ac:dyDescent="0.25"/>
  <cols>
    <col min="1" max="1" width="5" customWidth="1"/>
    <col min="2" max="2" width="24.28515625" customWidth="1"/>
    <col min="3" max="3" width="21.42578125" customWidth="1"/>
    <col min="5" max="5" width="15.7109375" bestFit="1" customWidth="1"/>
    <col min="6" max="6" width="21.42578125" customWidth="1"/>
    <col min="8" max="8" width="15.7109375" bestFit="1" customWidth="1"/>
    <col min="9" max="9" width="21.42578125" customWidth="1"/>
    <col min="11" max="11" width="15.85546875" bestFit="1" customWidth="1"/>
    <col min="13" max="13" width="17" bestFit="1" customWidth="1"/>
  </cols>
  <sheetData>
    <row r="1" spans="1:13" s="90" customFormat="1" ht="61.5" customHeight="1" x14ac:dyDescent="0.3">
      <c r="K1" s="255" t="s">
        <v>121</v>
      </c>
      <c r="L1" s="256"/>
      <c r="M1" s="256"/>
    </row>
    <row r="2" spans="1:13" s="90" customFormat="1" ht="16.5" x14ac:dyDescent="0.3"/>
    <row r="3" spans="1:13" s="90" customFormat="1" ht="16.5" x14ac:dyDescent="0.3">
      <c r="A3" s="91"/>
      <c r="J3" s="92"/>
      <c r="K3" s="92"/>
      <c r="L3" s="92"/>
      <c r="M3" s="92"/>
    </row>
    <row r="4" spans="1:13" s="90" customFormat="1" ht="16.5" x14ac:dyDescent="0.3">
      <c r="A4" s="257" t="s">
        <v>1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</row>
    <row r="5" spans="1:13" s="90" customFormat="1" ht="63" customHeight="1" x14ac:dyDescent="0.3">
      <c r="A5" s="258" t="s">
        <v>122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</row>
    <row r="6" spans="1:13" s="90" customFormat="1" ht="16.5" x14ac:dyDescent="0.3">
      <c r="A6" s="93"/>
      <c r="B6" s="94"/>
      <c r="C6" s="94"/>
      <c r="D6" s="94"/>
      <c r="E6" s="94"/>
      <c r="F6" s="94"/>
      <c r="G6" s="94"/>
      <c r="H6" s="94"/>
      <c r="I6" s="94"/>
      <c r="J6" s="94"/>
      <c r="K6" s="94"/>
      <c r="L6" s="228" t="s">
        <v>3</v>
      </c>
      <c r="M6" s="228"/>
    </row>
    <row r="7" spans="1:13" s="90" customFormat="1" ht="16.5" x14ac:dyDescent="0.3">
      <c r="A7" s="224" t="s">
        <v>123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</row>
    <row r="8" spans="1:13" s="90" customFormat="1" ht="16.5" x14ac:dyDescent="0.3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</row>
    <row r="9" spans="1:13" s="90" customFormat="1" ht="16.5" x14ac:dyDescent="0.3">
      <c r="A9" s="93"/>
      <c r="B9" s="94"/>
      <c r="C9" s="94"/>
      <c r="D9" s="94"/>
      <c r="E9" s="94"/>
      <c r="F9" s="94"/>
      <c r="G9" s="94"/>
      <c r="H9" s="94"/>
      <c r="I9" s="94"/>
      <c r="J9" s="94"/>
      <c r="K9" s="94"/>
      <c r="L9" s="225" t="s">
        <v>5</v>
      </c>
      <c r="M9" s="225"/>
    </row>
    <row r="10" spans="1:13" s="90" customFormat="1" ht="16.5" x14ac:dyDescent="0.3">
      <c r="A10" s="209" t="s">
        <v>6</v>
      </c>
      <c r="B10" s="233" t="s">
        <v>7</v>
      </c>
      <c r="C10" s="194" t="s">
        <v>8</v>
      </c>
      <c r="D10" s="195"/>
      <c r="E10" s="196"/>
      <c r="F10" s="194" t="s">
        <v>9</v>
      </c>
      <c r="G10" s="195"/>
      <c r="H10" s="196"/>
      <c r="I10" s="194" t="s">
        <v>10</v>
      </c>
      <c r="J10" s="195"/>
      <c r="K10" s="196"/>
      <c r="L10" s="194" t="s">
        <v>11</v>
      </c>
      <c r="M10" s="196"/>
    </row>
    <row r="11" spans="1:13" s="90" customFormat="1" ht="16.5" x14ac:dyDescent="0.3">
      <c r="A11" s="221"/>
      <c r="B11" s="235"/>
      <c r="C11" s="254" t="s">
        <v>124</v>
      </c>
      <c r="D11" s="254" t="s">
        <v>12</v>
      </c>
      <c r="E11" s="223" t="s">
        <v>14</v>
      </c>
      <c r="F11" s="226" t="s">
        <v>124</v>
      </c>
      <c r="G11" s="254" t="s">
        <v>12</v>
      </c>
      <c r="H11" s="223" t="s">
        <v>14</v>
      </c>
      <c r="I11" s="254" t="s">
        <v>124</v>
      </c>
      <c r="J11" s="254" t="s">
        <v>12</v>
      </c>
      <c r="K11" s="223" t="s">
        <v>14</v>
      </c>
      <c r="L11" s="254" t="s">
        <v>12</v>
      </c>
      <c r="M11" s="223" t="s">
        <v>14</v>
      </c>
    </row>
    <row r="12" spans="1:13" s="90" customFormat="1" ht="16.5" x14ac:dyDescent="0.3">
      <c r="A12" s="221"/>
      <c r="B12" s="235"/>
      <c r="C12" s="254"/>
      <c r="D12" s="254"/>
      <c r="E12" s="223"/>
      <c r="F12" s="227"/>
      <c r="G12" s="254"/>
      <c r="H12" s="223"/>
      <c r="I12" s="254"/>
      <c r="J12" s="254"/>
      <c r="K12" s="223"/>
      <c r="L12" s="254"/>
      <c r="M12" s="223"/>
    </row>
    <row r="13" spans="1:13" s="90" customFormat="1" ht="16.5" x14ac:dyDescent="0.3">
      <c r="A13" s="210"/>
      <c r="B13" s="234"/>
      <c r="C13" s="223" t="s">
        <v>125</v>
      </c>
      <c r="D13" s="223"/>
      <c r="E13" s="223"/>
      <c r="F13" s="223"/>
      <c r="G13" s="223"/>
      <c r="H13" s="223"/>
      <c r="I13" s="223"/>
      <c r="J13" s="223"/>
      <c r="K13" s="223"/>
      <c r="L13" s="223"/>
      <c r="M13" s="223"/>
    </row>
    <row r="14" spans="1:13" s="90" customFormat="1" ht="16.5" x14ac:dyDescent="0.3">
      <c r="A14" s="191">
        <v>1</v>
      </c>
      <c r="B14" s="206" t="s">
        <v>126</v>
      </c>
      <c r="C14" s="96" t="s">
        <v>127</v>
      </c>
      <c r="D14" s="197">
        <v>7</v>
      </c>
      <c r="E14" s="188">
        <v>4343850</v>
      </c>
      <c r="F14" s="96" t="s">
        <v>128</v>
      </c>
      <c r="G14" s="197">
        <v>6</v>
      </c>
      <c r="H14" s="188">
        <v>3723300</v>
      </c>
      <c r="I14" s="96" t="s">
        <v>129</v>
      </c>
      <c r="J14" s="197">
        <v>6</v>
      </c>
      <c r="K14" s="188">
        <v>3723300</v>
      </c>
      <c r="L14" s="209">
        <v>19</v>
      </c>
      <c r="M14" s="211">
        <v>11790450</v>
      </c>
    </row>
    <row r="15" spans="1:13" s="90" customFormat="1" ht="16.5" x14ac:dyDescent="0.3">
      <c r="A15" s="192"/>
      <c r="B15" s="208"/>
      <c r="C15" s="96" t="s">
        <v>130</v>
      </c>
      <c r="D15" s="198"/>
      <c r="E15" s="189"/>
      <c r="F15" s="96" t="s">
        <v>131</v>
      </c>
      <c r="G15" s="198"/>
      <c r="H15" s="189"/>
      <c r="I15" s="96" t="s">
        <v>132</v>
      </c>
      <c r="J15" s="198"/>
      <c r="K15" s="189"/>
      <c r="L15" s="221"/>
      <c r="M15" s="222"/>
    </row>
    <row r="16" spans="1:13" s="90" customFormat="1" ht="16.5" x14ac:dyDescent="0.3">
      <c r="A16" s="192"/>
      <c r="B16" s="208"/>
      <c r="C16" s="96" t="s">
        <v>133</v>
      </c>
      <c r="D16" s="198"/>
      <c r="E16" s="189"/>
      <c r="F16" s="96" t="s">
        <v>134</v>
      </c>
      <c r="G16" s="198"/>
      <c r="H16" s="189"/>
      <c r="I16" s="96" t="s">
        <v>135</v>
      </c>
      <c r="J16" s="198"/>
      <c r="K16" s="189"/>
      <c r="L16" s="221"/>
      <c r="M16" s="222"/>
    </row>
    <row r="17" spans="1:13" s="90" customFormat="1" ht="16.5" x14ac:dyDescent="0.3">
      <c r="A17" s="192"/>
      <c r="B17" s="208"/>
      <c r="C17" s="96" t="s">
        <v>136</v>
      </c>
      <c r="D17" s="198"/>
      <c r="E17" s="189"/>
      <c r="F17" s="96" t="s">
        <v>137</v>
      </c>
      <c r="G17" s="198"/>
      <c r="H17" s="189"/>
      <c r="I17" s="96" t="s">
        <v>138</v>
      </c>
      <c r="J17" s="198"/>
      <c r="K17" s="189"/>
      <c r="L17" s="221"/>
      <c r="M17" s="222"/>
    </row>
    <row r="18" spans="1:13" s="90" customFormat="1" ht="16.5" x14ac:dyDescent="0.3">
      <c r="A18" s="192"/>
      <c r="B18" s="208"/>
      <c r="C18" s="96" t="s">
        <v>139</v>
      </c>
      <c r="D18" s="198"/>
      <c r="E18" s="189"/>
      <c r="F18" s="96" t="s">
        <v>140</v>
      </c>
      <c r="G18" s="198"/>
      <c r="H18" s="189"/>
      <c r="I18" s="96" t="s">
        <v>141</v>
      </c>
      <c r="J18" s="198"/>
      <c r="K18" s="189"/>
      <c r="L18" s="221"/>
      <c r="M18" s="222"/>
    </row>
    <row r="19" spans="1:13" s="90" customFormat="1" ht="16.5" x14ac:dyDescent="0.3">
      <c r="A19" s="192"/>
      <c r="B19" s="208"/>
      <c r="C19" s="96" t="s">
        <v>142</v>
      </c>
      <c r="D19" s="198"/>
      <c r="E19" s="189"/>
      <c r="F19" s="252" t="s">
        <v>143</v>
      </c>
      <c r="G19" s="198"/>
      <c r="H19" s="189"/>
      <c r="I19" s="188" t="s">
        <v>144</v>
      </c>
      <c r="J19" s="198"/>
      <c r="K19" s="189"/>
      <c r="L19" s="221"/>
      <c r="M19" s="222"/>
    </row>
    <row r="20" spans="1:13" s="90" customFormat="1" ht="16.5" x14ac:dyDescent="0.3">
      <c r="A20" s="193"/>
      <c r="B20" s="207"/>
      <c r="C20" s="96" t="s">
        <v>145</v>
      </c>
      <c r="D20" s="199"/>
      <c r="E20" s="190"/>
      <c r="F20" s="253"/>
      <c r="G20" s="199"/>
      <c r="H20" s="190"/>
      <c r="I20" s="190"/>
      <c r="J20" s="199"/>
      <c r="K20" s="190"/>
      <c r="L20" s="210"/>
      <c r="M20" s="212"/>
    </row>
    <row r="21" spans="1:13" s="90" customFormat="1" ht="16.5" x14ac:dyDescent="0.3">
      <c r="A21" s="191">
        <v>2</v>
      </c>
      <c r="B21" s="206" t="s">
        <v>146</v>
      </c>
      <c r="C21" s="97" t="s">
        <v>147</v>
      </c>
      <c r="D21" s="197">
        <v>7</v>
      </c>
      <c r="E21" s="188">
        <v>669270</v>
      </c>
      <c r="F21" s="96" t="s">
        <v>148</v>
      </c>
      <c r="G21" s="197">
        <v>6</v>
      </c>
      <c r="H21" s="188">
        <v>573660</v>
      </c>
      <c r="I21" s="96" t="s">
        <v>149</v>
      </c>
      <c r="J21" s="197">
        <v>6</v>
      </c>
      <c r="K21" s="188">
        <v>573660</v>
      </c>
      <c r="L21" s="209">
        <v>19</v>
      </c>
      <c r="M21" s="211">
        <v>1816590</v>
      </c>
    </row>
    <row r="22" spans="1:13" s="90" customFormat="1" ht="16.5" x14ac:dyDescent="0.3">
      <c r="A22" s="192"/>
      <c r="B22" s="208"/>
      <c r="C22" s="97" t="s">
        <v>150</v>
      </c>
      <c r="D22" s="198"/>
      <c r="E22" s="189"/>
      <c r="F22" s="96" t="s">
        <v>151</v>
      </c>
      <c r="G22" s="198"/>
      <c r="H22" s="189"/>
      <c r="I22" s="96" t="s">
        <v>152</v>
      </c>
      <c r="J22" s="198"/>
      <c r="K22" s="189"/>
      <c r="L22" s="221"/>
      <c r="M22" s="222"/>
    </row>
    <row r="23" spans="1:13" s="90" customFormat="1" ht="16.5" x14ac:dyDescent="0.3">
      <c r="A23" s="192"/>
      <c r="B23" s="208"/>
      <c r="C23" s="97" t="s">
        <v>153</v>
      </c>
      <c r="D23" s="198"/>
      <c r="E23" s="189"/>
      <c r="F23" s="98" t="s">
        <v>154</v>
      </c>
      <c r="G23" s="198"/>
      <c r="H23" s="189"/>
      <c r="I23" s="96" t="s">
        <v>155</v>
      </c>
      <c r="J23" s="198"/>
      <c r="K23" s="189"/>
      <c r="L23" s="221"/>
      <c r="M23" s="222"/>
    </row>
    <row r="24" spans="1:13" s="90" customFormat="1" ht="16.5" x14ac:dyDescent="0.3">
      <c r="A24" s="192"/>
      <c r="B24" s="208"/>
      <c r="C24" s="97" t="s">
        <v>156</v>
      </c>
      <c r="D24" s="198"/>
      <c r="E24" s="189"/>
      <c r="F24" s="96" t="s">
        <v>157</v>
      </c>
      <c r="G24" s="198"/>
      <c r="H24" s="189"/>
      <c r="I24" s="96" t="s">
        <v>158</v>
      </c>
      <c r="J24" s="198"/>
      <c r="K24" s="189"/>
      <c r="L24" s="221"/>
      <c r="M24" s="222"/>
    </row>
    <row r="25" spans="1:13" s="90" customFormat="1" ht="16.5" x14ac:dyDescent="0.3">
      <c r="A25" s="192"/>
      <c r="B25" s="208"/>
      <c r="C25" s="97" t="s">
        <v>159</v>
      </c>
      <c r="D25" s="198"/>
      <c r="E25" s="189"/>
      <c r="F25" s="96" t="s">
        <v>160</v>
      </c>
      <c r="G25" s="198"/>
      <c r="H25" s="189"/>
      <c r="I25" s="96" t="s">
        <v>161</v>
      </c>
      <c r="J25" s="198"/>
      <c r="K25" s="189"/>
      <c r="L25" s="221"/>
      <c r="M25" s="222"/>
    </row>
    <row r="26" spans="1:13" s="90" customFormat="1" ht="16.5" x14ac:dyDescent="0.3">
      <c r="A26" s="192"/>
      <c r="B26" s="208"/>
      <c r="C26" s="97" t="s">
        <v>162</v>
      </c>
      <c r="D26" s="198"/>
      <c r="E26" s="189"/>
      <c r="F26" s="252" t="s">
        <v>163</v>
      </c>
      <c r="G26" s="198"/>
      <c r="H26" s="189"/>
      <c r="I26" s="252" t="s">
        <v>164</v>
      </c>
      <c r="J26" s="198"/>
      <c r="K26" s="189"/>
      <c r="L26" s="221"/>
      <c r="M26" s="222"/>
    </row>
    <row r="27" spans="1:13" s="90" customFormat="1" ht="16.5" x14ac:dyDescent="0.3">
      <c r="A27" s="193"/>
      <c r="B27" s="207"/>
      <c r="C27" s="97" t="s">
        <v>165</v>
      </c>
      <c r="D27" s="199"/>
      <c r="E27" s="190"/>
      <c r="F27" s="253"/>
      <c r="G27" s="199"/>
      <c r="H27" s="190"/>
      <c r="I27" s="253"/>
      <c r="J27" s="199"/>
      <c r="K27" s="190"/>
      <c r="L27" s="210"/>
      <c r="M27" s="212"/>
    </row>
    <row r="28" spans="1:13" s="90" customFormat="1" ht="16.5" x14ac:dyDescent="0.3">
      <c r="A28" s="191">
        <v>3</v>
      </c>
      <c r="B28" s="213" t="s">
        <v>166</v>
      </c>
      <c r="C28" s="206"/>
      <c r="D28" s="197"/>
      <c r="E28" s="188"/>
      <c r="F28" s="96">
        <v>20002761208</v>
      </c>
      <c r="G28" s="197">
        <v>6</v>
      </c>
      <c r="H28" s="188">
        <v>224712</v>
      </c>
      <c r="I28" s="188"/>
      <c r="J28" s="197"/>
      <c r="K28" s="188"/>
      <c r="L28" s="209">
        <v>6</v>
      </c>
      <c r="M28" s="211">
        <v>224712</v>
      </c>
    </row>
    <row r="29" spans="1:13" s="90" customFormat="1" ht="16.5" x14ac:dyDescent="0.3">
      <c r="A29" s="192"/>
      <c r="B29" s="251"/>
      <c r="C29" s="208"/>
      <c r="D29" s="198"/>
      <c r="E29" s="189"/>
      <c r="F29" s="96">
        <v>20002771208</v>
      </c>
      <c r="G29" s="198"/>
      <c r="H29" s="189"/>
      <c r="I29" s="189"/>
      <c r="J29" s="198"/>
      <c r="K29" s="189"/>
      <c r="L29" s="221"/>
      <c r="M29" s="222"/>
    </row>
    <row r="30" spans="1:13" s="90" customFormat="1" ht="16.5" x14ac:dyDescent="0.3">
      <c r="A30" s="192"/>
      <c r="B30" s="251"/>
      <c r="C30" s="208"/>
      <c r="D30" s="198"/>
      <c r="E30" s="189"/>
      <c r="F30" s="96">
        <v>20002781208</v>
      </c>
      <c r="G30" s="198"/>
      <c r="H30" s="189"/>
      <c r="I30" s="189"/>
      <c r="J30" s="198"/>
      <c r="K30" s="189"/>
      <c r="L30" s="221"/>
      <c r="M30" s="222"/>
    </row>
    <row r="31" spans="1:13" s="90" customFormat="1" ht="16.5" x14ac:dyDescent="0.3">
      <c r="A31" s="192"/>
      <c r="B31" s="251"/>
      <c r="C31" s="208"/>
      <c r="D31" s="198"/>
      <c r="E31" s="189"/>
      <c r="F31" s="96">
        <v>40045671210</v>
      </c>
      <c r="G31" s="198"/>
      <c r="H31" s="189"/>
      <c r="I31" s="189"/>
      <c r="J31" s="198"/>
      <c r="K31" s="189"/>
      <c r="L31" s="221"/>
      <c r="M31" s="222"/>
    </row>
    <row r="32" spans="1:13" s="90" customFormat="1" ht="16.5" x14ac:dyDescent="0.3">
      <c r="A32" s="192"/>
      <c r="B32" s="251"/>
      <c r="C32" s="208"/>
      <c r="D32" s="198"/>
      <c r="E32" s="189"/>
      <c r="F32" s="96">
        <v>40045681210</v>
      </c>
      <c r="G32" s="198"/>
      <c r="H32" s="189"/>
      <c r="I32" s="189"/>
      <c r="J32" s="198"/>
      <c r="K32" s="189"/>
      <c r="L32" s="221"/>
      <c r="M32" s="222"/>
    </row>
    <row r="33" spans="1:13" s="90" customFormat="1" ht="16.5" x14ac:dyDescent="0.3">
      <c r="A33" s="193"/>
      <c r="B33" s="214"/>
      <c r="C33" s="207"/>
      <c r="D33" s="199"/>
      <c r="E33" s="190"/>
      <c r="F33" s="96">
        <v>40045691210</v>
      </c>
      <c r="G33" s="199"/>
      <c r="H33" s="190"/>
      <c r="I33" s="190"/>
      <c r="J33" s="199"/>
      <c r="K33" s="190"/>
      <c r="L33" s="210"/>
      <c r="M33" s="212"/>
    </row>
    <row r="34" spans="1:13" s="90" customFormat="1" ht="49.5" x14ac:dyDescent="0.3">
      <c r="A34" s="99">
        <v>4</v>
      </c>
      <c r="B34" s="100" t="s">
        <v>167</v>
      </c>
      <c r="C34" s="96" t="s">
        <v>168</v>
      </c>
      <c r="D34" s="101">
        <v>1</v>
      </c>
      <c r="E34" s="102">
        <v>895500</v>
      </c>
      <c r="F34" s="96" t="s">
        <v>169</v>
      </c>
      <c r="G34" s="101">
        <v>1</v>
      </c>
      <c r="H34" s="102">
        <v>895500</v>
      </c>
      <c r="I34" s="103" t="s">
        <v>170</v>
      </c>
      <c r="J34" s="101">
        <v>1</v>
      </c>
      <c r="K34" s="102">
        <v>895500</v>
      </c>
      <c r="L34" s="104">
        <v>3</v>
      </c>
      <c r="M34" s="105">
        <v>2686500</v>
      </c>
    </row>
    <row r="35" spans="1:13" s="90" customFormat="1" ht="16.5" x14ac:dyDescent="0.3">
      <c r="A35" s="191">
        <v>5</v>
      </c>
      <c r="B35" s="206" t="s">
        <v>171</v>
      </c>
      <c r="C35" s="97" t="s">
        <v>172</v>
      </c>
      <c r="D35" s="197">
        <v>2</v>
      </c>
      <c r="E35" s="188">
        <v>533808</v>
      </c>
      <c r="F35" s="97" t="s">
        <v>173</v>
      </c>
      <c r="G35" s="197">
        <v>3</v>
      </c>
      <c r="H35" s="188">
        <v>800712</v>
      </c>
      <c r="I35" s="96" t="s">
        <v>174</v>
      </c>
      <c r="J35" s="197">
        <v>2</v>
      </c>
      <c r="K35" s="188">
        <v>533808</v>
      </c>
      <c r="L35" s="209">
        <v>7</v>
      </c>
      <c r="M35" s="211">
        <v>1868328</v>
      </c>
    </row>
    <row r="36" spans="1:13" s="90" customFormat="1" ht="16.5" x14ac:dyDescent="0.3">
      <c r="A36" s="192"/>
      <c r="B36" s="208"/>
      <c r="C36" s="216" t="s">
        <v>175</v>
      </c>
      <c r="D36" s="198"/>
      <c r="E36" s="189"/>
      <c r="F36" s="97" t="s">
        <v>176</v>
      </c>
      <c r="G36" s="198"/>
      <c r="H36" s="189"/>
      <c r="I36" s="206" t="s">
        <v>177</v>
      </c>
      <c r="J36" s="198"/>
      <c r="K36" s="189"/>
      <c r="L36" s="221"/>
      <c r="M36" s="222"/>
    </row>
    <row r="37" spans="1:13" s="90" customFormat="1" ht="16.5" x14ac:dyDescent="0.3">
      <c r="A37" s="193"/>
      <c r="B37" s="207"/>
      <c r="C37" s="217"/>
      <c r="D37" s="199"/>
      <c r="E37" s="190"/>
      <c r="F37" s="97" t="s">
        <v>178</v>
      </c>
      <c r="G37" s="199"/>
      <c r="H37" s="190"/>
      <c r="I37" s="207"/>
      <c r="J37" s="199"/>
      <c r="K37" s="190"/>
      <c r="L37" s="210"/>
      <c r="M37" s="212"/>
    </row>
    <row r="38" spans="1:13" s="90" customFormat="1" ht="16.5" x14ac:dyDescent="0.3">
      <c r="A38" s="191">
        <v>6</v>
      </c>
      <c r="B38" s="206" t="s">
        <v>179</v>
      </c>
      <c r="C38" s="97" t="s">
        <v>180</v>
      </c>
      <c r="D38" s="197">
        <v>2</v>
      </c>
      <c r="E38" s="188">
        <v>264000</v>
      </c>
      <c r="F38" s="96" t="s">
        <v>181</v>
      </c>
      <c r="G38" s="197">
        <v>3</v>
      </c>
      <c r="H38" s="188">
        <v>396000</v>
      </c>
      <c r="I38" s="97" t="s">
        <v>182</v>
      </c>
      <c r="J38" s="197">
        <v>3</v>
      </c>
      <c r="K38" s="188">
        <v>396000</v>
      </c>
      <c r="L38" s="209">
        <v>8</v>
      </c>
      <c r="M38" s="211">
        <v>1056000</v>
      </c>
    </row>
    <row r="39" spans="1:13" s="90" customFormat="1" ht="33" x14ac:dyDescent="0.3">
      <c r="A39" s="192"/>
      <c r="B39" s="208"/>
      <c r="C39" s="216" t="s">
        <v>183</v>
      </c>
      <c r="D39" s="198"/>
      <c r="E39" s="189"/>
      <c r="F39" s="96" t="s">
        <v>184</v>
      </c>
      <c r="G39" s="198"/>
      <c r="H39" s="189"/>
      <c r="I39" s="97" t="s">
        <v>185</v>
      </c>
      <c r="J39" s="198"/>
      <c r="K39" s="189"/>
      <c r="L39" s="221"/>
      <c r="M39" s="222"/>
    </row>
    <row r="40" spans="1:13" s="90" customFormat="1" ht="16.5" x14ac:dyDescent="0.3">
      <c r="A40" s="193"/>
      <c r="B40" s="207"/>
      <c r="C40" s="217"/>
      <c r="D40" s="199"/>
      <c r="E40" s="190"/>
      <c r="F40" s="96" t="s">
        <v>186</v>
      </c>
      <c r="G40" s="199"/>
      <c r="H40" s="190"/>
      <c r="I40" s="97" t="s">
        <v>187</v>
      </c>
      <c r="J40" s="199"/>
      <c r="K40" s="190"/>
      <c r="L40" s="210"/>
      <c r="M40" s="212"/>
    </row>
    <row r="41" spans="1:13" s="90" customFormat="1" ht="66" x14ac:dyDescent="0.3">
      <c r="A41" s="99">
        <v>7</v>
      </c>
      <c r="B41" s="100" t="s">
        <v>188</v>
      </c>
      <c r="C41" s="96" t="s">
        <v>189</v>
      </c>
      <c r="D41" s="101">
        <v>1</v>
      </c>
      <c r="E41" s="102">
        <v>554550</v>
      </c>
      <c r="F41" s="102"/>
      <c r="G41" s="101"/>
      <c r="H41" s="102"/>
      <c r="I41" s="103" t="s">
        <v>190</v>
      </c>
      <c r="J41" s="101">
        <v>1</v>
      </c>
      <c r="K41" s="102">
        <v>554550</v>
      </c>
      <c r="L41" s="104">
        <v>2</v>
      </c>
      <c r="M41" s="105">
        <v>1109100</v>
      </c>
    </row>
    <row r="42" spans="1:13" s="90" customFormat="1" ht="66" x14ac:dyDescent="0.3">
      <c r="A42" s="99">
        <v>8</v>
      </c>
      <c r="B42" s="100" t="s">
        <v>191</v>
      </c>
      <c r="C42" s="96" t="s">
        <v>192</v>
      </c>
      <c r="D42" s="99">
        <v>1</v>
      </c>
      <c r="E42" s="102">
        <v>554550</v>
      </c>
      <c r="F42" s="102"/>
      <c r="G42" s="101"/>
      <c r="H42" s="102"/>
      <c r="I42" s="103" t="s">
        <v>193</v>
      </c>
      <c r="J42" s="99">
        <v>1</v>
      </c>
      <c r="K42" s="102">
        <v>554550</v>
      </c>
      <c r="L42" s="104">
        <v>2</v>
      </c>
      <c r="M42" s="105">
        <v>1109100</v>
      </c>
    </row>
    <row r="43" spans="1:13" s="90" customFormat="1" ht="33" x14ac:dyDescent="0.3">
      <c r="A43" s="99">
        <v>9</v>
      </c>
      <c r="B43" s="106" t="s">
        <v>194</v>
      </c>
      <c r="C43" s="98" t="s">
        <v>195</v>
      </c>
      <c r="D43" s="101">
        <v>1</v>
      </c>
      <c r="E43" s="102">
        <v>281220</v>
      </c>
      <c r="F43" s="98" t="s">
        <v>196</v>
      </c>
      <c r="G43" s="101">
        <v>1</v>
      </c>
      <c r="H43" s="102">
        <v>281220</v>
      </c>
      <c r="J43" s="101"/>
      <c r="K43" s="102"/>
      <c r="L43" s="104">
        <v>2</v>
      </c>
      <c r="M43" s="105">
        <v>562440</v>
      </c>
    </row>
    <row r="44" spans="1:13" s="90" customFormat="1" ht="49.5" x14ac:dyDescent="0.3">
      <c r="A44" s="99">
        <v>10</v>
      </c>
      <c r="B44" s="106" t="s">
        <v>197</v>
      </c>
      <c r="C44" s="107" t="s">
        <v>198</v>
      </c>
      <c r="D44" s="101">
        <v>1</v>
      </c>
      <c r="E44" s="102">
        <v>37530</v>
      </c>
      <c r="F44" s="107" t="s">
        <v>199</v>
      </c>
      <c r="G44" s="101">
        <v>1</v>
      </c>
      <c r="H44" s="102">
        <v>37530</v>
      </c>
      <c r="I44" s="107" t="s">
        <v>200</v>
      </c>
      <c r="J44" s="101">
        <v>1</v>
      </c>
      <c r="K44" s="102">
        <v>37530</v>
      </c>
      <c r="L44" s="104">
        <v>3</v>
      </c>
      <c r="M44" s="105">
        <v>112590</v>
      </c>
    </row>
    <row r="45" spans="1:13" s="90" customFormat="1" ht="33" x14ac:dyDescent="0.3">
      <c r="A45" s="99">
        <v>11</v>
      </c>
      <c r="B45" s="106" t="s">
        <v>201</v>
      </c>
      <c r="C45" s="107" t="s">
        <v>202</v>
      </c>
      <c r="D45" s="103">
        <v>1</v>
      </c>
      <c r="E45" s="102">
        <v>240240</v>
      </c>
      <c r="F45" s="107" t="s">
        <v>203</v>
      </c>
      <c r="G45" s="103">
        <v>1</v>
      </c>
      <c r="H45" s="102">
        <v>240240</v>
      </c>
      <c r="I45" s="107" t="s">
        <v>204</v>
      </c>
      <c r="J45" s="101">
        <v>1</v>
      </c>
      <c r="K45" s="102">
        <v>240240</v>
      </c>
      <c r="L45" s="104">
        <v>3</v>
      </c>
      <c r="M45" s="105">
        <v>720720</v>
      </c>
    </row>
    <row r="46" spans="1:13" s="90" customFormat="1" ht="33" x14ac:dyDescent="0.3">
      <c r="A46" s="99">
        <v>12</v>
      </c>
      <c r="B46" s="106" t="s">
        <v>205</v>
      </c>
      <c r="C46" s="107" t="s">
        <v>206</v>
      </c>
      <c r="D46" s="103">
        <v>2</v>
      </c>
      <c r="E46" s="102">
        <v>370236</v>
      </c>
      <c r="F46" s="107"/>
      <c r="G46" s="103"/>
      <c r="H46" s="102"/>
      <c r="I46" s="107" t="s">
        <v>207</v>
      </c>
      <c r="J46" s="101">
        <v>1</v>
      </c>
      <c r="K46" s="102">
        <v>185118</v>
      </c>
      <c r="L46" s="104">
        <v>3</v>
      </c>
      <c r="M46" s="105">
        <f>E46+H46+K46</f>
        <v>555354</v>
      </c>
    </row>
    <row r="47" spans="1:13" s="90" customFormat="1" ht="16.5" x14ac:dyDescent="0.3">
      <c r="A47" s="108"/>
      <c r="B47" s="109" t="s">
        <v>11</v>
      </c>
      <c r="C47" s="110"/>
      <c r="D47" s="102"/>
      <c r="E47" s="102">
        <f>8374518+E46</f>
        <v>8744754</v>
      </c>
      <c r="F47" s="102"/>
      <c r="G47" s="102"/>
      <c r="H47" s="102">
        <f>7172874+H46</f>
        <v>7172874</v>
      </c>
      <c r="I47" s="107"/>
      <c r="J47" s="102"/>
      <c r="K47" s="102">
        <f>7509138+K46</f>
        <v>7694256</v>
      </c>
      <c r="L47" s="105"/>
      <c r="M47" s="105">
        <f>23056530+M46</f>
        <v>23611884</v>
      </c>
    </row>
    <row r="48" spans="1:13" s="90" customFormat="1" ht="16.5" x14ac:dyDescent="0.3">
      <c r="A48" s="101"/>
      <c r="B48" s="111"/>
      <c r="C48" s="112"/>
      <c r="D48" s="195" t="s">
        <v>208</v>
      </c>
      <c r="E48" s="195"/>
      <c r="F48" s="195"/>
      <c r="G48" s="195"/>
      <c r="H48" s="195"/>
      <c r="I48" s="195"/>
      <c r="J48" s="195"/>
      <c r="K48" s="195"/>
      <c r="L48" s="195"/>
      <c r="M48" s="196"/>
    </row>
    <row r="49" spans="1:13" s="90" customFormat="1" ht="66" x14ac:dyDescent="0.3">
      <c r="A49" s="101">
        <v>13</v>
      </c>
      <c r="B49" s="100" t="s">
        <v>209</v>
      </c>
      <c r="C49" s="100"/>
      <c r="D49" s="99"/>
      <c r="E49" s="99"/>
      <c r="F49" s="97" t="s">
        <v>210</v>
      </c>
      <c r="G49" s="99">
        <v>1</v>
      </c>
      <c r="H49" s="102">
        <v>276600</v>
      </c>
      <c r="I49" s="102"/>
      <c r="J49" s="99"/>
      <c r="K49" s="97"/>
      <c r="L49" s="104">
        <v>1</v>
      </c>
      <c r="M49" s="105">
        <v>276600</v>
      </c>
    </row>
    <row r="50" spans="1:13" s="90" customFormat="1" ht="33" x14ac:dyDescent="0.3">
      <c r="A50" s="99">
        <v>14</v>
      </c>
      <c r="B50" s="106" t="s">
        <v>194</v>
      </c>
      <c r="C50" s="106"/>
      <c r="D50" s="106"/>
      <c r="E50" s="102"/>
      <c r="F50" s="102"/>
      <c r="G50" s="111"/>
      <c r="H50" s="113"/>
      <c r="I50" s="98" t="s">
        <v>211</v>
      </c>
      <c r="J50" s="99">
        <v>1</v>
      </c>
      <c r="K50" s="102">
        <v>220440</v>
      </c>
      <c r="L50" s="104">
        <v>1</v>
      </c>
      <c r="M50" s="105">
        <v>220440</v>
      </c>
    </row>
    <row r="51" spans="1:13" s="90" customFormat="1" ht="49.5" x14ac:dyDescent="0.3">
      <c r="A51" s="99">
        <v>15</v>
      </c>
      <c r="B51" s="106" t="s">
        <v>212</v>
      </c>
      <c r="C51" s="107" t="s">
        <v>213</v>
      </c>
      <c r="D51" s="103">
        <v>1</v>
      </c>
      <c r="E51" s="102">
        <v>28200</v>
      </c>
      <c r="F51" s="107" t="s">
        <v>214</v>
      </c>
      <c r="G51" s="103">
        <v>1</v>
      </c>
      <c r="H51" s="102">
        <v>28200</v>
      </c>
      <c r="I51" s="99" t="s">
        <v>215</v>
      </c>
      <c r="J51" s="103">
        <v>1</v>
      </c>
      <c r="K51" s="102">
        <v>28200</v>
      </c>
      <c r="L51" s="104">
        <v>3</v>
      </c>
      <c r="M51" s="105">
        <v>84600</v>
      </c>
    </row>
    <row r="52" spans="1:13" s="90" customFormat="1" ht="16.5" x14ac:dyDescent="0.3">
      <c r="A52" s="99"/>
      <c r="B52" s="109" t="s">
        <v>11</v>
      </c>
      <c r="C52" s="109"/>
      <c r="D52" s="106"/>
      <c r="E52" s="105">
        <v>28200</v>
      </c>
      <c r="F52" s="105"/>
      <c r="G52" s="105"/>
      <c r="H52" s="105">
        <v>304800</v>
      </c>
      <c r="I52" s="105"/>
      <c r="J52" s="105"/>
      <c r="K52" s="105">
        <v>248640</v>
      </c>
      <c r="L52" s="102"/>
      <c r="M52" s="105">
        <v>581640</v>
      </c>
    </row>
    <row r="53" spans="1:13" s="90" customFormat="1" ht="16.5" x14ac:dyDescent="0.3">
      <c r="A53" s="99"/>
      <c r="B53" s="114" t="s">
        <v>114</v>
      </c>
      <c r="C53" s="114"/>
      <c r="D53" s="106"/>
      <c r="E53" s="105">
        <f>8402718+E46</f>
        <v>8772954</v>
      </c>
      <c r="F53" s="105"/>
      <c r="G53" s="105"/>
      <c r="H53" s="105">
        <v>7477674</v>
      </c>
      <c r="I53" s="105"/>
      <c r="J53" s="105"/>
      <c r="K53" s="105">
        <f>7757778+K46</f>
        <v>7942896</v>
      </c>
      <c r="L53" s="105"/>
      <c r="M53" s="105">
        <f>23638170+M46</f>
        <v>24193524</v>
      </c>
    </row>
    <row r="54" spans="1:13" s="90" customFormat="1" ht="16.5" x14ac:dyDescent="0.3">
      <c r="A54" s="115"/>
      <c r="B54" s="116"/>
      <c r="C54" s="116"/>
      <c r="D54" s="117"/>
      <c r="E54" s="118"/>
      <c r="F54" s="118"/>
      <c r="G54" s="118"/>
      <c r="H54" s="118"/>
      <c r="I54" s="118"/>
      <c r="J54" s="118"/>
      <c r="K54" s="118"/>
      <c r="L54" s="118"/>
      <c r="M54" s="118"/>
    </row>
    <row r="55" spans="1:13" s="90" customFormat="1" ht="16.5" x14ac:dyDescent="0.3">
      <c r="A55" s="115"/>
      <c r="B55" s="117"/>
      <c r="C55" s="117"/>
      <c r="D55" s="117"/>
      <c r="E55" s="119"/>
      <c r="F55" s="119"/>
      <c r="G55" s="120"/>
      <c r="H55" s="119"/>
      <c r="I55" s="119"/>
      <c r="J55" s="115"/>
      <c r="K55" s="119"/>
      <c r="L55" s="121"/>
      <c r="M55" s="118"/>
    </row>
    <row r="56" spans="1:13" s="90" customFormat="1" ht="16.5" x14ac:dyDescent="0.3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228" t="s">
        <v>35</v>
      </c>
      <c r="M56" s="228"/>
    </row>
    <row r="57" spans="1:13" s="90" customFormat="1" ht="16.5" x14ac:dyDescent="0.3">
      <c r="A57" s="224" t="s">
        <v>216</v>
      </c>
      <c r="B57" s="224"/>
      <c r="C57" s="224"/>
      <c r="D57" s="224"/>
      <c r="E57" s="224"/>
      <c r="F57" s="224"/>
      <c r="G57" s="224"/>
      <c r="H57" s="224"/>
      <c r="I57" s="224"/>
      <c r="J57" s="224"/>
      <c r="K57" s="224"/>
      <c r="L57" s="224"/>
      <c r="M57" s="224"/>
    </row>
    <row r="58" spans="1:13" s="90" customFormat="1" ht="16.5" x14ac:dyDescent="0.3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</row>
    <row r="59" spans="1:13" s="90" customFormat="1" ht="16.5" x14ac:dyDescent="0.3">
      <c r="A59" s="93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225" t="s">
        <v>5</v>
      </c>
      <c r="M59" s="225"/>
    </row>
    <row r="60" spans="1:13" s="90" customFormat="1" ht="16.5" x14ac:dyDescent="0.3">
      <c r="A60" s="209" t="s">
        <v>6</v>
      </c>
      <c r="B60" s="233" t="s">
        <v>7</v>
      </c>
      <c r="C60" s="226" t="s">
        <v>217</v>
      </c>
      <c r="D60" s="194" t="s">
        <v>37</v>
      </c>
      <c r="E60" s="196"/>
      <c r="F60" s="226" t="s">
        <v>217</v>
      </c>
      <c r="G60" s="194" t="s">
        <v>38</v>
      </c>
      <c r="H60" s="196"/>
      <c r="I60" s="226" t="s">
        <v>217</v>
      </c>
      <c r="J60" s="194" t="s">
        <v>39</v>
      </c>
      <c r="K60" s="196"/>
      <c r="L60" s="194" t="s">
        <v>11</v>
      </c>
      <c r="M60" s="196"/>
    </row>
    <row r="61" spans="1:13" s="90" customFormat="1" ht="16.5" x14ac:dyDescent="0.3">
      <c r="A61" s="221"/>
      <c r="B61" s="235"/>
      <c r="C61" s="238"/>
      <c r="D61" s="122" t="s">
        <v>12</v>
      </c>
      <c r="E61" s="123" t="s">
        <v>14</v>
      </c>
      <c r="F61" s="238"/>
      <c r="G61" s="122" t="s">
        <v>12</v>
      </c>
      <c r="H61" s="123" t="s">
        <v>14</v>
      </c>
      <c r="I61" s="238"/>
      <c r="J61" s="122" t="s">
        <v>12</v>
      </c>
      <c r="K61" s="123" t="s">
        <v>14</v>
      </c>
      <c r="L61" s="122" t="s">
        <v>12</v>
      </c>
      <c r="M61" s="123" t="s">
        <v>14</v>
      </c>
    </row>
    <row r="62" spans="1:13" s="90" customFormat="1" ht="16.5" x14ac:dyDescent="0.3">
      <c r="A62" s="210"/>
      <c r="B62" s="234"/>
      <c r="C62" s="223" t="s">
        <v>125</v>
      </c>
      <c r="D62" s="223"/>
      <c r="E62" s="223"/>
      <c r="F62" s="223"/>
      <c r="G62" s="223"/>
      <c r="H62" s="223"/>
      <c r="I62" s="223"/>
      <c r="J62" s="223"/>
      <c r="K62" s="223"/>
      <c r="L62" s="223"/>
      <c r="M62" s="223"/>
    </row>
    <row r="63" spans="1:13" s="90" customFormat="1" ht="49.5" x14ac:dyDescent="0.3">
      <c r="A63" s="99">
        <v>1</v>
      </c>
      <c r="B63" s="100" t="s">
        <v>218</v>
      </c>
      <c r="C63" s="100"/>
      <c r="D63" s="99"/>
      <c r="E63" s="99"/>
      <c r="F63" s="99"/>
      <c r="G63" s="99"/>
      <c r="H63" s="99"/>
      <c r="I63" s="97" t="s">
        <v>219</v>
      </c>
      <c r="J63" s="99">
        <v>1</v>
      </c>
      <c r="K63" s="102">
        <v>620550</v>
      </c>
      <c r="L63" s="104">
        <v>1</v>
      </c>
      <c r="M63" s="105">
        <v>620550</v>
      </c>
    </row>
    <row r="64" spans="1:13" s="90" customFormat="1" ht="16.5" x14ac:dyDescent="0.3">
      <c r="A64" s="191">
        <v>2</v>
      </c>
      <c r="B64" s="206" t="s">
        <v>126</v>
      </c>
      <c r="C64" s="97" t="s">
        <v>220</v>
      </c>
      <c r="D64" s="191">
        <v>7</v>
      </c>
      <c r="E64" s="246">
        <v>4343850</v>
      </c>
      <c r="F64" s="97" t="s">
        <v>221</v>
      </c>
      <c r="G64" s="191">
        <v>6</v>
      </c>
      <c r="H64" s="246">
        <v>3723300</v>
      </c>
      <c r="I64" s="97" t="s">
        <v>222</v>
      </c>
      <c r="J64" s="191">
        <v>4</v>
      </c>
      <c r="K64" s="246">
        <v>2482200</v>
      </c>
      <c r="L64" s="209">
        <v>17</v>
      </c>
      <c r="M64" s="211">
        <v>10549350</v>
      </c>
    </row>
    <row r="65" spans="1:13" s="90" customFormat="1" ht="16.5" x14ac:dyDescent="0.3">
      <c r="A65" s="192"/>
      <c r="B65" s="208"/>
      <c r="C65" s="97" t="s">
        <v>223</v>
      </c>
      <c r="D65" s="192"/>
      <c r="E65" s="247"/>
      <c r="F65" s="97" t="s">
        <v>224</v>
      </c>
      <c r="G65" s="192"/>
      <c r="H65" s="247"/>
      <c r="I65" s="216" t="s">
        <v>225</v>
      </c>
      <c r="J65" s="192"/>
      <c r="K65" s="247"/>
      <c r="L65" s="221"/>
      <c r="M65" s="222"/>
    </row>
    <row r="66" spans="1:13" s="90" customFormat="1" ht="16.5" x14ac:dyDescent="0.3">
      <c r="A66" s="192"/>
      <c r="B66" s="208"/>
      <c r="C66" s="97" t="s">
        <v>226</v>
      </c>
      <c r="D66" s="192"/>
      <c r="E66" s="247"/>
      <c r="F66" s="97" t="s">
        <v>227</v>
      </c>
      <c r="G66" s="192"/>
      <c r="H66" s="247"/>
      <c r="I66" s="217"/>
      <c r="J66" s="192"/>
      <c r="K66" s="247"/>
      <c r="L66" s="221"/>
      <c r="M66" s="222"/>
    </row>
    <row r="67" spans="1:13" s="90" customFormat="1" ht="16.5" x14ac:dyDescent="0.3">
      <c r="A67" s="192"/>
      <c r="B67" s="208"/>
      <c r="C67" s="97" t="s">
        <v>228</v>
      </c>
      <c r="D67" s="192"/>
      <c r="E67" s="247"/>
      <c r="F67" s="97" t="s">
        <v>229</v>
      </c>
      <c r="G67" s="192"/>
      <c r="H67" s="247"/>
      <c r="I67" s="216" t="s">
        <v>230</v>
      </c>
      <c r="J67" s="192"/>
      <c r="K67" s="247"/>
      <c r="L67" s="221"/>
      <c r="M67" s="222"/>
    </row>
    <row r="68" spans="1:13" s="90" customFormat="1" ht="16.5" x14ac:dyDescent="0.3">
      <c r="A68" s="192"/>
      <c r="B68" s="208"/>
      <c r="C68" s="97" t="s">
        <v>231</v>
      </c>
      <c r="D68" s="192"/>
      <c r="E68" s="247"/>
      <c r="F68" s="97" t="s">
        <v>232</v>
      </c>
      <c r="G68" s="192"/>
      <c r="H68" s="247"/>
      <c r="I68" s="217"/>
      <c r="J68" s="192"/>
      <c r="K68" s="247"/>
      <c r="L68" s="221"/>
      <c r="M68" s="222"/>
    </row>
    <row r="69" spans="1:13" s="90" customFormat="1" ht="16.5" x14ac:dyDescent="0.3">
      <c r="A69" s="192"/>
      <c r="B69" s="208"/>
      <c r="C69" s="97" t="s">
        <v>233</v>
      </c>
      <c r="D69" s="192"/>
      <c r="E69" s="247"/>
      <c r="F69" s="216" t="s">
        <v>234</v>
      </c>
      <c r="G69" s="192"/>
      <c r="H69" s="247"/>
      <c r="I69" s="216" t="s">
        <v>235</v>
      </c>
      <c r="J69" s="192"/>
      <c r="K69" s="247"/>
      <c r="L69" s="221"/>
      <c r="M69" s="222"/>
    </row>
    <row r="70" spans="1:13" s="90" customFormat="1" ht="16.5" x14ac:dyDescent="0.3">
      <c r="A70" s="193"/>
      <c r="B70" s="207"/>
      <c r="C70" s="97" t="s">
        <v>236</v>
      </c>
      <c r="D70" s="193"/>
      <c r="E70" s="248"/>
      <c r="F70" s="217"/>
      <c r="G70" s="193"/>
      <c r="H70" s="248"/>
      <c r="I70" s="217"/>
      <c r="J70" s="193"/>
      <c r="K70" s="248"/>
      <c r="L70" s="210"/>
      <c r="M70" s="212"/>
    </row>
    <row r="71" spans="1:13" s="90" customFormat="1" ht="16.5" x14ac:dyDescent="0.3">
      <c r="A71" s="191">
        <v>3</v>
      </c>
      <c r="B71" s="206" t="s">
        <v>146</v>
      </c>
      <c r="C71" s="97" t="s">
        <v>237</v>
      </c>
      <c r="D71" s="191">
        <v>7</v>
      </c>
      <c r="E71" s="246">
        <v>669270</v>
      </c>
      <c r="F71" s="97" t="s">
        <v>238</v>
      </c>
      <c r="G71" s="191">
        <v>6</v>
      </c>
      <c r="H71" s="246">
        <v>573660</v>
      </c>
      <c r="I71" s="97" t="s">
        <v>239</v>
      </c>
      <c r="J71" s="191">
        <v>5</v>
      </c>
      <c r="K71" s="246">
        <v>478050</v>
      </c>
      <c r="L71" s="209">
        <v>18</v>
      </c>
      <c r="M71" s="211">
        <v>1720980</v>
      </c>
    </row>
    <row r="72" spans="1:13" s="90" customFormat="1" ht="16.5" x14ac:dyDescent="0.3">
      <c r="A72" s="249"/>
      <c r="B72" s="208"/>
      <c r="C72" s="97" t="s">
        <v>240</v>
      </c>
      <c r="D72" s="192"/>
      <c r="E72" s="247"/>
      <c r="F72" s="97" t="s">
        <v>241</v>
      </c>
      <c r="G72" s="192"/>
      <c r="H72" s="247"/>
      <c r="I72" s="97" t="s">
        <v>242</v>
      </c>
      <c r="J72" s="192"/>
      <c r="K72" s="247"/>
      <c r="L72" s="221"/>
      <c r="M72" s="222"/>
    </row>
    <row r="73" spans="1:13" s="90" customFormat="1" ht="16.5" x14ac:dyDescent="0.3">
      <c r="A73" s="249"/>
      <c r="B73" s="208"/>
      <c r="C73" s="97" t="s">
        <v>243</v>
      </c>
      <c r="D73" s="192"/>
      <c r="E73" s="247"/>
      <c r="F73" s="97" t="s">
        <v>244</v>
      </c>
      <c r="G73" s="192"/>
      <c r="H73" s="247"/>
      <c r="I73" s="97" t="s">
        <v>245</v>
      </c>
      <c r="J73" s="192"/>
      <c r="K73" s="247"/>
      <c r="L73" s="221"/>
      <c r="M73" s="222"/>
    </row>
    <row r="74" spans="1:13" s="90" customFormat="1" ht="16.5" x14ac:dyDescent="0.3">
      <c r="A74" s="249"/>
      <c r="B74" s="208"/>
      <c r="C74" s="97" t="s">
        <v>246</v>
      </c>
      <c r="D74" s="192"/>
      <c r="E74" s="247"/>
      <c r="F74" s="97" t="s">
        <v>247</v>
      </c>
      <c r="G74" s="192"/>
      <c r="H74" s="247"/>
      <c r="I74" s="216" t="s">
        <v>248</v>
      </c>
      <c r="J74" s="192"/>
      <c r="K74" s="247"/>
      <c r="L74" s="221"/>
      <c r="M74" s="222"/>
    </row>
    <row r="75" spans="1:13" s="90" customFormat="1" ht="16.5" x14ac:dyDescent="0.3">
      <c r="A75" s="249"/>
      <c r="B75" s="208"/>
      <c r="C75" s="97" t="s">
        <v>249</v>
      </c>
      <c r="D75" s="192"/>
      <c r="E75" s="247"/>
      <c r="F75" s="97" t="s">
        <v>250</v>
      </c>
      <c r="G75" s="192"/>
      <c r="H75" s="247"/>
      <c r="I75" s="217"/>
      <c r="J75" s="192"/>
      <c r="K75" s="247"/>
      <c r="L75" s="221"/>
      <c r="M75" s="222"/>
    </row>
    <row r="76" spans="1:13" s="90" customFormat="1" ht="16.5" x14ac:dyDescent="0.3">
      <c r="A76" s="249"/>
      <c r="B76" s="208"/>
      <c r="C76" s="97" t="s">
        <v>251</v>
      </c>
      <c r="D76" s="192"/>
      <c r="E76" s="247"/>
      <c r="F76" s="216" t="s">
        <v>252</v>
      </c>
      <c r="G76" s="192"/>
      <c r="H76" s="247"/>
      <c r="I76" s="216" t="s">
        <v>253</v>
      </c>
      <c r="J76" s="192"/>
      <c r="K76" s="247"/>
      <c r="L76" s="221"/>
      <c r="M76" s="222"/>
    </row>
    <row r="77" spans="1:13" s="90" customFormat="1" ht="16.5" x14ac:dyDescent="0.3">
      <c r="A77" s="250"/>
      <c r="B77" s="207"/>
      <c r="C77" s="97" t="s">
        <v>254</v>
      </c>
      <c r="D77" s="193"/>
      <c r="E77" s="248"/>
      <c r="F77" s="217"/>
      <c r="G77" s="193"/>
      <c r="H77" s="248"/>
      <c r="I77" s="217"/>
      <c r="J77" s="193"/>
      <c r="K77" s="248"/>
      <c r="L77" s="210"/>
      <c r="M77" s="212"/>
    </row>
    <row r="78" spans="1:13" s="90" customFormat="1" ht="16.5" x14ac:dyDescent="0.3">
      <c r="A78" s="191">
        <v>4</v>
      </c>
      <c r="B78" s="206" t="s">
        <v>166</v>
      </c>
      <c r="C78" s="216"/>
      <c r="D78" s="191"/>
      <c r="E78" s="246"/>
      <c r="F78" s="97">
        <v>40045791210</v>
      </c>
      <c r="G78" s="191">
        <v>6</v>
      </c>
      <c r="H78" s="246">
        <v>224712</v>
      </c>
      <c r="I78" s="216"/>
      <c r="J78" s="191"/>
      <c r="K78" s="246"/>
      <c r="L78" s="209">
        <v>6</v>
      </c>
      <c r="M78" s="211">
        <v>224712</v>
      </c>
    </row>
    <row r="79" spans="1:13" s="90" customFormat="1" ht="16.5" x14ac:dyDescent="0.3">
      <c r="A79" s="192"/>
      <c r="B79" s="208"/>
      <c r="C79" s="236"/>
      <c r="D79" s="192"/>
      <c r="E79" s="247"/>
      <c r="F79" s="97">
        <v>40045801210</v>
      </c>
      <c r="G79" s="192"/>
      <c r="H79" s="247"/>
      <c r="I79" s="236"/>
      <c r="J79" s="192"/>
      <c r="K79" s="247"/>
      <c r="L79" s="221"/>
      <c r="M79" s="222"/>
    </row>
    <row r="80" spans="1:13" s="90" customFormat="1" ht="16.5" x14ac:dyDescent="0.3">
      <c r="A80" s="192"/>
      <c r="B80" s="208"/>
      <c r="C80" s="236"/>
      <c r="D80" s="192"/>
      <c r="E80" s="247"/>
      <c r="F80" s="97">
        <v>40045811210</v>
      </c>
      <c r="G80" s="192"/>
      <c r="H80" s="247"/>
      <c r="I80" s="236"/>
      <c r="J80" s="192"/>
      <c r="K80" s="247"/>
      <c r="L80" s="221"/>
      <c r="M80" s="222"/>
    </row>
    <row r="81" spans="1:13" s="90" customFormat="1" ht="16.5" x14ac:dyDescent="0.3">
      <c r="A81" s="192"/>
      <c r="B81" s="208"/>
      <c r="C81" s="236"/>
      <c r="D81" s="192"/>
      <c r="E81" s="247"/>
      <c r="F81" s="97">
        <v>40046001210</v>
      </c>
      <c r="G81" s="192"/>
      <c r="H81" s="247"/>
      <c r="I81" s="236"/>
      <c r="J81" s="192"/>
      <c r="K81" s="247"/>
      <c r="L81" s="221"/>
      <c r="M81" s="222"/>
    </row>
    <row r="82" spans="1:13" s="90" customFormat="1" ht="16.5" x14ac:dyDescent="0.3">
      <c r="A82" s="192"/>
      <c r="B82" s="208"/>
      <c r="C82" s="236"/>
      <c r="D82" s="192"/>
      <c r="E82" s="247"/>
      <c r="F82" s="97">
        <v>40046011210</v>
      </c>
      <c r="G82" s="192"/>
      <c r="H82" s="247"/>
      <c r="I82" s="236"/>
      <c r="J82" s="192"/>
      <c r="K82" s="247"/>
      <c r="L82" s="221"/>
      <c r="M82" s="222"/>
    </row>
    <row r="83" spans="1:13" s="90" customFormat="1" ht="16.5" x14ac:dyDescent="0.3">
      <c r="A83" s="193"/>
      <c r="B83" s="207"/>
      <c r="C83" s="217"/>
      <c r="D83" s="193"/>
      <c r="E83" s="248"/>
      <c r="F83" s="97">
        <v>40046021210</v>
      </c>
      <c r="G83" s="193"/>
      <c r="H83" s="248"/>
      <c r="I83" s="217"/>
      <c r="J83" s="193"/>
      <c r="K83" s="248"/>
      <c r="L83" s="210"/>
      <c r="M83" s="212"/>
    </row>
    <row r="84" spans="1:13" s="90" customFormat="1" ht="49.5" x14ac:dyDescent="0.3">
      <c r="A84" s="99">
        <v>5</v>
      </c>
      <c r="B84" s="100" t="s">
        <v>167</v>
      </c>
      <c r="C84" s="97" t="s">
        <v>255</v>
      </c>
      <c r="D84" s="101">
        <v>1</v>
      </c>
      <c r="E84" s="102">
        <v>895500</v>
      </c>
      <c r="F84" s="124" t="s">
        <v>256</v>
      </c>
      <c r="G84" s="101">
        <v>1</v>
      </c>
      <c r="H84" s="102">
        <v>895500</v>
      </c>
      <c r="I84" s="102"/>
      <c r="J84" s="101"/>
      <c r="K84" s="102"/>
      <c r="L84" s="104">
        <v>2</v>
      </c>
      <c r="M84" s="105">
        <v>1791000</v>
      </c>
    </row>
    <row r="85" spans="1:13" s="90" customFormat="1" ht="16.5" x14ac:dyDescent="0.3">
      <c r="A85" s="191">
        <v>6</v>
      </c>
      <c r="B85" s="206" t="s">
        <v>171</v>
      </c>
      <c r="C85" s="97" t="s">
        <v>257</v>
      </c>
      <c r="D85" s="197">
        <v>3</v>
      </c>
      <c r="E85" s="246">
        <v>800712</v>
      </c>
      <c r="F85" s="216" t="s">
        <v>258</v>
      </c>
      <c r="G85" s="197">
        <v>1</v>
      </c>
      <c r="H85" s="246">
        <v>266904</v>
      </c>
      <c r="I85" s="188" t="s">
        <v>259</v>
      </c>
      <c r="J85" s="197">
        <v>1</v>
      </c>
      <c r="K85" s="246">
        <v>266904</v>
      </c>
      <c r="L85" s="209">
        <v>5</v>
      </c>
      <c r="M85" s="211">
        <v>1334520</v>
      </c>
    </row>
    <row r="86" spans="1:13" s="90" customFormat="1" ht="16.5" x14ac:dyDescent="0.3">
      <c r="A86" s="192"/>
      <c r="B86" s="208"/>
      <c r="C86" s="97" t="s">
        <v>260</v>
      </c>
      <c r="D86" s="198"/>
      <c r="E86" s="247"/>
      <c r="F86" s="236"/>
      <c r="G86" s="198"/>
      <c r="H86" s="247"/>
      <c r="I86" s="189"/>
      <c r="J86" s="198"/>
      <c r="K86" s="247"/>
      <c r="L86" s="221"/>
      <c r="M86" s="222"/>
    </row>
    <row r="87" spans="1:13" s="90" customFormat="1" ht="16.5" x14ac:dyDescent="0.3">
      <c r="A87" s="193"/>
      <c r="B87" s="207"/>
      <c r="C87" s="97" t="s">
        <v>261</v>
      </c>
      <c r="D87" s="199"/>
      <c r="E87" s="248"/>
      <c r="F87" s="217"/>
      <c r="G87" s="199"/>
      <c r="H87" s="248"/>
      <c r="I87" s="190"/>
      <c r="J87" s="199"/>
      <c r="K87" s="248"/>
      <c r="L87" s="210"/>
      <c r="M87" s="212"/>
    </row>
    <row r="88" spans="1:13" s="90" customFormat="1" ht="16.5" x14ac:dyDescent="0.3">
      <c r="A88" s="191">
        <v>7</v>
      </c>
      <c r="B88" s="206" t="s">
        <v>179</v>
      </c>
      <c r="C88" s="216" t="s">
        <v>262</v>
      </c>
      <c r="D88" s="191">
        <v>2</v>
      </c>
      <c r="E88" s="246">
        <v>264000</v>
      </c>
      <c r="F88" s="97" t="s">
        <v>263</v>
      </c>
      <c r="G88" s="197">
        <v>3</v>
      </c>
      <c r="H88" s="246">
        <v>396000</v>
      </c>
      <c r="I88" s="188" t="s">
        <v>264</v>
      </c>
      <c r="J88" s="197">
        <v>2</v>
      </c>
      <c r="K88" s="246">
        <v>264000</v>
      </c>
      <c r="L88" s="209">
        <v>7</v>
      </c>
      <c r="M88" s="211">
        <v>924000</v>
      </c>
    </row>
    <row r="89" spans="1:13" s="90" customFormat="1" ht="16.5" x14ac:dyDescent="0.3">
      <c r="A89" s="192"/>
      <c r="B89" s="208"/>
      <c r="C89" s="217"/>
      <c r="D89" s="192"/>
      <c r="E89" s="247"/>
      <c r="F89" s="97" t="s">
        <v>265</v>
      </c>
      <c r="G89" s="198"/>
      <c r="H89" s="247"/>
      <c r="I89" s="190"/>
      <c r="J89" s="198"/>
      <c r="K89" s="247"/>
      <c r="L89" s="221"/>
      <c r="M89" s="222"/>
    </row>
    <row r="90" spans="1:13" s="90" customFormat="1" ht="33" x14ac:dyDescent="0.3">
      <c r="A90" s="193"/>
      <c r="B90" s="207"/>
      <c r="C90" s="97" t="s">
        <v>266</v>
      </c>
      <c r="D90" s="193"/>
      <c r="E90" s="248"/>
      <c r="F90" s="97" t="s">
        <v>267</v>
      </c>
      <c r="G90" s="199"/>
      <c r="H90" s="248"/>
      <c r="I90" s="97" t="s">
        <v>268</v>
      </c>
      <c r="J90" s="199"/>
      <c r="K90" s="248"/>
      <c r="L90" s="210"/>
      <c r="M90" s="212"/>
    </row>
    <row r="91" spans="1:13" s="90" customFormat="1" ht="66" x14ac:dyDescent="0.3">
      <c r="A91" s="99">
        <v>8</v>
      </c>
      <c r="B91" s="100" t="s">
        <v>188</v>
      </c>
      <c r="C91" s="97" t="s">
        <v>269</v>
      </c>
      <c r="D91" s="99">
        <v>1</v>
      </c>
      <c r="E91" s="125">
        <v>554550</v>
      </c>
      <c r="F91" s="97" t="s">
        <v>270</v>
      </c>
      <c r="G91" s="101">
        <v>1</v>
      </c>
      <c r="H91" s="125">
        <v>554550</v>
      </c>
      <c r="I91" s="97" t="s">
        <v>271</v>
      </c>
      <c r="J91" s="101">
        <v>1</v>
      </c>
      <c r="K91" s="125">
        <v>554550</v>
      </c>
      <c r="L91" s="104">
        <v>3</v>
      </c>
      <c r="M91" s="105">
        <v>1663650</v>
      </c>
    </row>
    <row r="92" spans="1:13" s="90" customFormat="1" ht="66" x14ac:dyDescent="0.3">
      <c r="A92" s="99">
        <v>9</v>
      </c>
      <c r="B92" s="100" t="s">
        <v>191</v>
      </c>
      <c r="C92" s="97" t="s">
        <v>272</v>
      </c>
      <c r="D92" s="99">
        <v>1</v>
      </c>
      <c r="E92" s="102">
        <v>554550</v>
      </c>
      <c r="F92" s="102"/>
      <c r="G92" s="101"/>
      <c r="H92" s="125"/>
      <c r="I92" s="125"/>
      <c r="J92" s="101"/>
      <c r="K92" s="125"/>
      <c r="L92" s="104">
        <v>1</v>
      </c>
      <c r="M92" s="105">
        <v>554550</v>
      </c>
    </row>
    <row r="93" spans="1:13" s="90" customFormat="1" ht="33" x14ac:dyDescent="0.3">
      <c r="A93" s="99">
        <v>10</v>
      </c>
      <c r="B93" s="106" t="s">
        <v>194</v>
      </c>
      <c r="C93" s="113" t="s">
        <v>273</v>
      </c>
      <c r="D93" s="101">
        <v>1</v>
      </c>
      <c r="E93" s="102">
        <v>281220</v>
      </c>
      <c r="F93" s="124" t="s">
        <v>274</v>
      </c>
      <c r="G93" s="101">
        <v>1</v>
      </c>
      <c r="H93" s="102">
        <v>281220</v>
      </c>
      <c r="I93" s="102"/>
      <c r="J93" s="101"/>
      <c r="K93" s="125"/>
      <c r="L93" s="104">
        <v>2</v>
      </c>
      <c r="M93" s="105">
        <v>562440</v>
      </c>
    </row>
    <row r="94" spans="1:13" s="90" customFormat="1" ht="49.5" x14ac:dyDescent="0.3">
      <c r="A94" s="99">
        <v>11</v>
      </c>
      <c r="B94" s="106" t="s">
        <v>197</v>
      </c>
      <c r="C94" s="107" t="s">
        <v>275</v>
      </c>
      <c r="D94" s="101">
        <v>1</v>
      </c>
      <c r="E94" s="102">
        <v>37530</v>
      </c>
      <c r="F94" s="107" t="s">
        <v>276</v>
      </c>
      <c r="G94" s="101">
        <v>1</v>
      </c>
      <c r="H94" s="102">
        <v>37530</v>
      </c>
      <c r="I94" s="107" t="s">
        <v>277</v>
      </c>
      <c r="J94" s="101">
        <v>1</v>
      </c>
      <c r="K94" s="102">
        <v>37530</v>
      </c>
      <c r="L94" s="104">
        <v>3</v>
      </c>
      <c r="M94" s="105">
        <v>112590</v>
      </c>
    </row>
    <row r="95" spans="1:13" s="90" customFormat="1" ht="33" x14ac:dyDescent="0.3">
      <c r="A95" s="99">
        <v>12</v>
      </c>
      <c r="B95" s="106" t="s">
        <v>201</v>
      </c>
      <c r="C95" s="107" t="s">
        <v>278</v>
      </c>
      <c r="D95" s="103">
        <v>1</v>
      </c>
      <c r="E95" s="102">
        <v>240240</v>
      </c>
      <c r="F95" s="107" t="s">
        <v>279</v>
      </c>
      <c r="G95" s="101">
        <v>1</v>
      </c>
      <c r="H95" s="102">
        <v>240240</v>
      </c>
      <c r="I95" s="107" t="s">
        <v>280</v>
      </c>
      <c r="J95" s="101">
        <v>1</v>
      </c>
      <c r="K95" s="102">
        <v>240240</v>
      </c>
      <c r="L95" s="104">
        <v>3</v>
      </c>
      <c r="M95" s="105">
        <v>720720</v>
      </c>
    </row>
    <row r="96" spans="1:13" s="90" customFormat="1" ht="33" x14ac:dyDescent="0.3">
      <c r="A96" s="99">
        <v>13</v>
      </c>
      <c r="B96" s="106" t="s">
        <v>205</v>
      </c>
      <c r="C96" s="107" t="s">
        <v>281</v>
      </c>
      <c r="D96" s="103">
        <v>1</v>
      </c>
      <c r="E96" s="102">
        <v>185118</v>
      </c>
      <c r="F96" s="126" t="s">
        <v>282</v>
      </c>
      <c r="G96" s="101">
        <v>2</v>
      </c>
      <c r="H96" s="102">
        <v>370236</v>
      </c>
      <c r="I96" s="107" t="s">
        <v>283</v>
      </c>
      <c r="J96" s="101">
        <v>1</v>
      </c>
      <c r="K96" s="102">
        <v>185118</v>
      </c>
      <c r="L96" s="104">
        <v>4</v>
      </c>
      <c r="M96" s="105">
        <f>E96+H96+K96</f>
        <v>740472</v>
      </c>
    </row>
    <row r="97" spans="1:13" s="90" customFormat="1" ht="16.5" x14ac:dyDescent="0.3">
      <c r="A97" s="108"/>
      <c r="B97" s="109" t="s">
        <v>11</v>
      </c>
      <c r="C97" s="109"/>
      <c r="D97" s="105"/>
      <c r="E97" s="105">
        <f>8641422+E96</f>
        <v>8826540</v>
      </c>
      <c r="F97" s="105"/>
      <c r="G97" s="105"/>
      <c r="H97" s="105">
        <f>7193616+H96</f>
        <v>7563852</v>
      </c>
      <c r="I97" s="105"/>
      <c r="J97" s="105"/>
      <c r="K97" s="105">
        <f>4944024+K96</f>
        <v>5129142</v>
      </c>
      <c r="L97" s="105"/>
      <c r="M97" s="105">
        <f>20779062+M96</f>
        <v>21519534</v>
      </c>
    </row>
    <row r="98" spans="1:13" s="90" customFormat="1" ht="16.5" x14ac:dyDescent="0.3">
      <c r="A98" s="101"/>
      <c r="B98" s="127"/>
      <c r="C98" s="127"/>
      <c r="D98" s="194" t="s">
        <v>208</v>
      </c>
      <c r="E98" s="195"/>
      <c r="F98" s="195"/>
      <c r="G98" s="195"/>
      <c r="H98" s="195"/>
      <c r="I98" s="195"/>
      <c r="J98" s="195"/>
      <c r="K98" s="195"/>
      <c r="L98" s="195"/>
      <c r="M98" s="196"/>
    </row>
    <row r="99" spans="1:13" s="90" customFormat="1" ht="49.5" x14ac:dyDescent="0.3">
      <c r="A99" s="99">
        <v>14</v>
      </c>
      <c r="B99" s="106" t="s">
        <v>212</v>
      </c>
      <c r="C99" s="107" t="s">
        <v>284</v>
      </c>
      <c r="D99" s="103">
        <v>1</v>
      </c>
      <c r="E99" s="102">
        <v>28200</v>
      </c>
      <c r="F99" s="107" t="s">
        <v>285</v>
      </c>
      <c r="G99" s="103">
        <v>1</v>
      </c>
      <c r="H99" s="102">
        <v>28200</v>
      </c>
      <c r="I99" s="107" t="s">
        <v>286</v>
      </c>
      <c r="J99" s="103">
        <v>1</v>
      </c>
      <c r="K99" s="102">
        <v>28200</v>
      </c>
      <c r="L99" s="104">
        <v>3</v>
      </c>
      <c r="M99" s="105">
        <v>84600</v>
      </c>
    </row>
    <row r="100" spans="1:13" s="90" customFormat="1" ht="16.5" x14ac:dyDescent="0.3">
      <c r="A100" s="99"/>
      <c r="B100" s="109" t="s">
        <v>11</v>
      </c>
      <c r="C100" s="109"/>
      <c r="D100" s="128"/>
      <c r="E100" s="105">
        <v>28200</v>
      </c>
      <c r="F100" s="105"/>
      <c r="G100" s="105"/>
      <c r="H100" s="105">
        <v>28200</v>
      </c>
      <c r="I100" s="105"/>
      <c r="J100" s="105"/>
      <c r="K100" s="105">
        <v>28200</v>
      </c>
      <c r="L100" s="105"/>
      <c r="M100" s="105">
        <v>84600</v>
      </c>
    </row>
    <row r="101" spans="1:13" s="90" customFormat="1" ht="16.5" x14ac:dyDescent="0.3">
      <c r="A101" s="108"/>
      <c r="B101" s="114" t="s">
        <v>114</v>
      </c>
      <c r="C101" s="114"/>
      <c r="D101" s="129"/>
      <c r="E101" s="105">
        <f>8669622+E96</f>
        <v>8854740</v>
      </c>
      <c r="F101" s="105"/>
      <c r="G101" s="105"/>
      <c r="H101" s="105">
        <f>7221816+H96</f>
        <v>7592052</v>
      </c>
      <c r="I101" s="105"/>
      <c r="J101" s="105"/>
      <c r="K101" s="105">
        <f>4972224+K96</f>
        <v>5157342</v>
      </c>
      <c r="L101" s="105"/>
      <c r="M101" s="105">
        <f>20863662+M96</f>
        <v>21604134</v>
      </c>
    </row>
    <row r="102" spans="1:13" s="90" customFormat="1" ht="16.5" x14ac:dyDescent="0.3">
      <c r="A102" s="130"/>
      <c r="B102" s="116"/>
      <c r="C102" s="116"/>
      <c r="D102" s="131"/>
      <c r="E102" s="118"/>
      <c r="F102" s="118"/>
      <c r="G102" s="118"/>
      <c r="H102" s="118"/>
      <c r="I102" s="118"/>
      <c r="J102" s="118"/>
      <c r="K102" s="118"/>
      <c r="L102" s="118"/>
      <c r="M102" s="118"/>
    </row>
    <row r="103" spans="1:13" s="90" customFormat="1" ht="16.5" x14ac:dyDescent="0.3">
      <c r="A103" s="93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</row>
    <row r="104" spans="1:13" s="90" customFormat="1" ht="16.5" x14ac:dyDescent="0.3">
      <c r="A104" s="93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228" t="s">
        <v>41</v>
      </c>
      <c r="M104" s="228"/>
    </row>
    <row r="105" spans="1:13" s="90" customFormat="1" ht="16.5" x14ac:dyDescent="0.3">
      <c r="A105" s="224" t="s">
        <v>287</v>
      </c>
      <c r="B105" s="224"/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</row>
    <row r="106" spans="1:13" s="90" customFormat="1" ht="16.5" x14ac:dyDescent="0.3">
      <c r="A106" s="93"/>
      <c r="B106" s="94"/>
      <c r="C106" s="94"/>
      <c r="D106" s="94"/>
      <c r="E106" s="94"/>
      <c r="F106" s="94"/>
      <c r="G106" s="94"/>
      <c r="H106" s="94"/>
      <c r="I106" s="94"/>
      <c r="J106" s="225" t="s">
        <v>5</v>
      </c>
      <c r="K106" s="225"/>
      <c r="L106" s="94"/>
      <c r="M106" s="94"/>
    </row>
    <row r="107" spans="1:13" s="90" customFormat="1" ht="16.5" x14ac:dyDescent="0.3">
      <c r="A107" s="209" t="s">
        <v>6</v>
      </c>
      <c r="B107" s="233" t="s">
        <v>7</v>
      </c>
      <c r="C107" s="226" t="s">
        <v>217</v>
      </c>
      <c r="D107" s="194" t="s">
        <v>43</v>
      </c>
      <c r="E107" s="196"/>
      <c r="F107" s="226" t="s">
        <v>217</v>
      </c>
      <c r="G107" s="194" t="s">
        <v>44</v>
      </c>
      <c r="H107" s="196"/>
      <c r="I107" s="226" t="s">
        <v>217</v>
      </c>
      <c r="J107" s="194" t="s">
        <v>11</v>
      </c>
      <c r="K107" s="196"/>
      <c r="L107" s="239"/>
      <c r="M107" s="239"/>
    </row>
    <row r="108" spans="1:13" s="90" customFormat="1" ht="16.5" x14ac:dyDescent="0.3">
      <c r="A108" s="221"/>
      <c r="B108" s="235"/>
      <c r="C108" s="238"/>
      <c r="D108" s="122" t="s">
        <v>12</v>
      </c>
      <c r="E108" s="123" t="s">
        <v>14</v>
      </c>
      <c r="F108" s="238"/>
      <c r="G108" s="122" t="s">
        <v>12</v>
      </c>
      <c r="H108" s="123" t="s">
        <v>14</v>
      </c>
      <c r="I108" s="238"/>
      <c r="J108" s="122" t="s">
        <v>12</v>
      </c>
      <c r="K108" s="123" t="s">
        <v>14</v>
      </c>
      <c r="L108" s="132"/>
      <c r="M108" s="133"/>
    </row>
    <row r="109" spans="1:13" s="90" customFormat="1" ht="16.5" x14ac:dyDescent="0.3">
      <c r="A109" s="210"/>
      <c r="B109" s="234"/>
      <c r="C109" s="223" t="s">
        <v>288</v>
      </c>
      <c r="D109" s="223"/>
      <c r="E109" s="223"/>
      <c r="F109" s="223"/>
      <c r="G109" s="223"/>
      <c r="H109" s="223"/>
      <c r="I109" s="223"/>
      <c r="J109" s="223"/>
      <c r="K109" s="223"/>
      <c r="L109" s="134"/>
      <c r="M109" s="134"/>
    </row>
    <row r="110" spans="1:13" s="90" customFormat="1" ht="16.5" x14ac:dyDescent="0.3">
      <c r="A110" s="191">
        <v>1</v>
      </c>
      <c r="B110" s="240" t="s">
        <v>126</v>
      </c>
      <c r="C110" s="97" t="s">
        <v>289</v>
      </c>
      <c r="D110" s="200">
        <v>7</v>
      </c>
      <c r="E110" s="243">
        <v>4343850</v>
      </c>
      <c r="F110" s="97" t="s">
        <v>290</v>
      </c>
      <c r="G110" s="186">
        <v>8</v>
      </c>
      <c r="H110" s="201">
        <v>4964400</v>
      </c>
      <c r="I110" s="191"/>
      <c r="J110" s="202">
        <v>15</v>
      </c>
      <c r="K110" s="203">
        <v>9308250</v>
      </c>
      <c r="L110" s="134"/>
      <c r="M110" s="134"/>
    </row>
    <row r="111" spans="1:13" s="90" customFormat="1" ht="16.5" x14ac:dyDescent="0.3">
      <c r="A111" s="192"/>
      <c r="B111" s="241"/>
      <c r="C111" s="97" t="s">
        <v>291</v>
      </c>
      <c r="D111" s="200"/>
      <c r="E111" s="244"/>
      <c r="F111" s="97" t="s">
        <v>292</v>
      </c>
      <c r="G111" s="186"/>
      <c r="H111" s="201"/>
      <c r="I111" s="192"/>
      <c r="J111" s="202"/>
      <c r="K111" s="203"/>
      <c r="L111" s="134"/>
      <c r="M111" s="134"/>
    </row>
    <row r="112" spans="1:13" s="90" customFormat="1" ht="16.5" x14ac:dyDescent="0.3">
      <c r="A112" s="192"/>
      <c r="B112" s="241"/>
      <c r="C112" s="97" t="s">
        <v>293</v>
      </c>
      <c r="D112" s="200"/>
      <c r="E112" s="244"/>
      <c r="F112" s="97" t="s">
        <v>294</v>
      </c>
      <c r="G112" s="186"/>
      <c r="H112" s="201"/>
      <c r="I112" s="192"/>
      <c r="J112" s="202"/>
      <c r="K112" s="203"/>
      <c r="L112" s="134"/>
      <c r="M112" s="134"/>
    </row>
    <row r="113" spans="1:19" s="90" customFormat="1" ht="16.5" x14ac:dyDescent="0.3">
      <c r="A113" s="192"/>
      <c r="B113" s="241"/>
      <c r="C113" s="97" t="s">
        <v>295</v>
      </c>
      <c r="D113" s="200"/>
      <c r="E113" s="244"/>
      <c r="F113" s="97" t="s">
        <v>296</v>
      </c>
      <c r="G113" s="186"/>
      <c r="H113" s="201"/>
      <c r="I113" s="192"/>
      <c r="J113" s="202"/>
      <c r="K113" s="203"/>
      <c r="L113" s="134"/>
      <c r="M113" s="134"/>
    </row>
    <row r="114" spans="1:19" s="90" customFormat="1" ht="16.5" x14ac:dyDescent="0.3">
      <c r="A114" s="192"/>
      <c r="B114" s="241"/>
      <c r="C114" s="97" t="s">
        <v>297</v>
      </c>
      <c r="D114" s="200"/>
      <c r="E114" s="244"/>
      <c r="F114" s="97" t="s">
        <v>298</v>
      </c>
      <c r="G114" s="186"/>
      <c r="H114" s="201"/>
      <c r="I114" s="192"/>
      <c r="J114" s="202"/>
      <c r="K114" s="203"/>
      <c r="L114" s="134"/>
      <c r="M114" s="134"/>
    </row>
    <row r="115" spans="1:19" s="90" customFormat="1" ht="16.5" x14ac:dyDescent="0.3">
      <c r="A115" s="192"/>
      <c r="B115" s="241"/>
      <c r="C115" s="97" t="s">
        <v>299</v>
      </c>
      <c r="D115" s="200"/>
      <c r="E115" s="244"/>
      <c r="F115" s="97" t="s">
        <v>300</v>
      </c>
      <c r="G115" s="186"/>
      <c r="H115" s="201"/>
      <c r="I115" s="192"/>
      <c r="J115" s="202"/>
      <c r="K115" s="203"/>
      <c r="L115" s="134"/>
      <c r="M115" s="134"/>
    </row>
    <row r="116" spans="1:19" s="90" customFormat="1" ht="16.5" x14ac:dyDescent="0.3">
      <c r="A116" s="192"/>
      <c r="B116" s="241"/>
      <c r="C116" s="216" t="s">
        <v>301</v>
      </c>
      <c r="D116" s="200"/>
      <c r="E116" s="244"/>
      <c r="F116" s="97" t="s">
        <v>302</v>
      </c>
      <c r="G116" s="186"/>
      <c r="H116" s="201"/>
      <c r="I116" s="192"/>
      <c r="J116" s="202"/>
      <c r="K116" s="203"/>
      <c r="L116" s="134"/>
      <c r="M116" s="134"/>
    </row>
    <row r="117" spans="1:19" s="90" customFormat="1" ht="16.5" x14ac:dyDescent="0.3">
      <c r="A117" s="193"/>
      <c r="B117" s="242"/>
      <c r="C117" s="217"/>
      <c r="D117" s="200"/>
      <c r="E117" s="245"/>
      <c r="F117" s="97" t="s">
        <v>303</v>
      </c>
      <c r="G117" s="186"/>
      <c r="H117" s="201"/>
      <c r="I117" s="193"/>
      <c r="J117" s="202"/>
      <c r="K117" s="203"/>
      <c r="L117" s="121"/>
      <c r="M117" s="118"/>
    </row>
    <row r="118" spans="1:19" s="90" customFormat="1" ht="16.5" x14ac:dyDescent="0.3">
      <c r="A118" s="191">
        <v>2</v>
      </c>
      <c r="B118" s="206" t="s">
        <v>146</v>
      </c>
      <c r="C118" s="97" t="s">
        <v>304</v>
      </c>
      <c r="D118" s="191">
        <v>7</v>
      </c>
      <c r="E118" s="188">
        <v>669270</v>
      </c>
      <c r="F118" s="97" t="s">
        <v>305</v>
      </c>
      <c r="G118" s="197">
        <v>8</v>
      </c>
      <c r="H118" s="188">
        <v>764880</v>
      </c>
      <c r="I118" s="188"/>
      <c r="J118" s="209">
        <v>15</v>
      </c>
      <c r="K118" s="211">
        <v>1434150</v>
      </c>
      <c r="L118" s="121"/>
      <c r="M118" s="118"/>
    </row>
    <row r="119" spans="1:19" s="90" customFormat="1" ht="16.5" x14ac:dyDescent="0.3">
      <c r="A119" s="192"/>
      <c r="B119" s="208"/>
      <c r="C119" s="97" t="s">
        <v>306</v>
      </c>
      <c r="D119" s="192"/>
      <c r="E119" s="189"/>
      <c r="F119" s="97" t="s">
        <v>307</v>
      </c>
      <c r="G119" s="198"/>
      <c r="H119" s="189"/>
      <c r="I119" s="189"/>
      <c r="J119" s="221"/>
      <c r="K119" s="222"/>
      <c r="L119" s="121"/>
      <c r="M119" s="118"/>
    </row>
    <row r="120" spans="1:19" s="90" customFormat="1" ht="16.5" x14ac:dyDescent="0.3">
      <c r="A120" s="192"/>
      <c r="B120" s="208"/>
      <c r="C120" s="97" t="s">
        <v>308</v>
      </c>
      <c r="D120" s="192"/>
      <c r="E120" s="189"/>
      <c r="F120" s="97" t="s">
        <v>309</v>
      </c>
      <c r="G120" s="198"/>
      <c r="H120" s="189"/>
      <c r="I120" s="189"/>
      <c r="J120" s="221"/>
      <c r="K120" s="222"/>
      <c r="L120" s="121"/>
      <c r="M120" s="118"/>
    </row>
    <row r="121" spans="1:19" s="90" customFormat="1" ht="16.5" x14ac:dyDescent="0.3">
      <c r="A121" s="192"/>
      <c r="B121" s="208"/>
      <c r="C121" s="97" t="s">
        <v>310</v>
      </c>
      <c r="D121" s="192"/>
      <c r="E121" s="189"/>
      <c r="F121" s="97" t="s">
        <v>311</v>
      </c>
      <c r="G121" s="198"/>
      <c r="H121" s="189"/>
      <c r="I121" s="189"/>
      <c r="J121" s="221"/>
      <c r="K121" s="222"/>
      <c r="L121" s="121"/>
      <c r="M121" s="118"/>
    </row>
    <row r="122" spans="1:19" s="90" customFormat="1" ht="16.5" x14ac:dyDescent="0.3">
      <c r="A122" s="192"/>
      <c r="B122" s="208"/>
      <c r="C122" s="97" t="s">
        <v>312</v>
      </c>
      <c r="D122" s="192"/>
      <c r="E122" s="189"/>
      <c r="F122" s="97" t="s">
        <v>313</v>
      </c>
      <c r="G122" s="198"/>
      <c r="H122" s="189"/>
      <c r="I122" s="189"/>
      <c r="J122" s="221"/>
      <c r="K122" s="222"/>
      <c r="L122" s="121"/>
      <c r="M122" s="118"/>
    </row>
    <row r="123" spans="1:19" s="90" customFormat="1" ht="16.5" x14ac:dyDescent="0.3">
      <c r="A123" s="192"/>
      <c r="B123" s="208"/>
      <c r="C123" s="97" t="s">
        <v>314</v>
      </c>
      <c r="D123" s="192"/>
      <c r="E123" s="189"/>
      <c r="F123" s="97" t="s">
        <v>315</v>
      </c>
      <c r="G123" s="198"/>
      <c r="H123" s="189"/>
      <c r="I123" s="189"/>
      <c r="J123" s="221"/>
      <c r="K123" s="222"/>
      <c r="L123" s="121"/>
      <c r="M123" s="118"/>
    </row>
    <row r="124" spans="1:19" s="90" customFormat="1" ht="16.5" x14ac:dyDescent="0.3">
      <c r="A124" s="192"/>
      <c r="B124" s="208"/>
      <c r="C124" s="216" t="s">
        <v>316</v>
      </c>
      <c r="D124" s="192"/>
      <c r="E124" s="189"/>
      <c r="F124" s="97" t="s">
        <v>317</v>
      </c>
      <c r="G124" s="198"/>
      <c r="H124" s="189"/>
      <c r="I124" s="189"/>
      <c r="J124" s="221"/>
      <c r="K124" s="222"/>
      <c r="L124" s="121"/>
      <c r="M124" s="118"/>
    </row>
    <row r="125" spans="1:19" s="90" customFormat="1" ht="16.5" x14ac:dyDescent="0.3">
      <c r="A125" s="193"/>
      <c r="B125" s="207"/>
      <c r="C125" s="217"/>
      <c r="D125" s="193"/>
      <c r="E125" s="190"/>
      <c r="F125" s="97" t="s">
        <v>318</v>
      </c>
      <c r="G125" s="199"/>
      <c r="H125" s="190"/>
      <c r="I125" s="190"/>
      <c r="J125" s="210"/>
      <c r="K125" s="212"/>
      <c r="L125" s="121"/>
      <c r="M125" s="118"/>
      <c r="P125" s="135"/>
      <c r="Q125" s="135"/>
      <c r="R125" s="135"/>
      <c r="S125" s="135"/>
    </row>
    <row r="126" spans="1:19" s="90" customFormat="1" ht="16.5" x14ac:dyDescent="0.3">
      <c r="A126" s="191">
        <v>3</v>
      </c>
      <c r="B126" s="206" t="s">
        <v>166</v>
      </c>
      <c r="C126" s="97">
        <v>40045851210</v>
      </c>
      <c r="D126" s="191">
        <v>7</v>
      </c>
      <c r="E126" s="188">
        <v>262164</v>
      </c>
      <c r="F126" s="97">
        <v>40006501211</v>
      </c>
      <c r="G126" s="197">
        <v>8</v>
      </c>
      <c r="H126" s="188">
        <v>299616</v>
      </c>
      <c r="I126" s="188"/>
      <c r="J126" s="209">
        <v>15</v>
      </c>
      <c r="K126" s="211">
        <v>561780</v>
      </c>
      <c r="L126" s="121"/>
      <c r="M126" s="118"/>
      <c r="P126" s="135"/>
      <c r="Q126" s="135"/>
      <c r="R126" s="135"/>
      <c r="S126" s="135"/>
    </row>
    <row r="127" spans="1:19" s="90" customFormat="1" ht="16.5" x14ac:dyDescent="0.3">
      <c r="A127" s="192"/>
      <c r="B127" s="208"/>
      <c r="C127" s="97">
        <v>40045861210</v>
      </c>
      <c r="D127" s="192"/>
      <c r="E127" s="189"/>
      <c r="F127" s="97">
        <v>20002881208</v>
      </c>
      <c r="G127" s="198"/>
      <c r="H127" s="189"/>
      <c r="I127" s="189"/>
      <c r="J127" s="221"/>
      <c r="K127" s="222"/>
      <c r="L127" s="121"/>
      <c r="M127" s="118"/>
      <c r="P127" s="135"/>
      <c r="Q127" s="135"/>
      <c r="R127" s="135"/>
      <c r="S127" s="135"/>
    </row>
    <row r="128" spans="1:19" s="90" customFormat="1" ht="16.5" x14ac:dyDescent="0.3">
      <c r="A128" s="192"/>
      <c r="B128" s="208"/>
      <c r="C128" s="97">
        <v>40097961209</v>
      </c>
      <c r="D128" s="192"/>
      <c r="E128" s="189"/>
      <c r="F128" s="97">
        <v>20002891208</v>
      </c>
      <c r="G128" s="198"/>
      <c r="H128" s="189"/>
      <c r="I128" s="189"/>
      <c r="J128" s="221"/>
      <c r="K128" s="222"/>
      <c r="L128" s="121"/>
      <c r="M128" s="118"/>
      <c r="P128" s="135"/>
      <c r="Q128" s="135"/>
      <c r="R128" s="135"/>
      <c r="S128" s="135"/>
    </row>
    <row r="129" spans="1:19" s="90" customFormat="1" ht="16.5" x14ac:dyDescent="0.3">
      <c r="A129" s="192"/>
      <c r="B129" s="208"/>
      <c r="C129" s="97">
        <v>40097971209</v>
      </c>
      <c r="D129" s="192"/>
      <c r="E129" s="189"/>
      <c r="F129" s="97">
        <v>20002901208</v>
      </c>
      <c r="G129" s="198"/>
      <c r="H129" s="189"/>
      <c r="I129" s="189"/>
      <c r="J129" s="221"/>
      <c r="K129" s="222"/>
      <c r="L129" s="121"/>
      <c r="M129" s="118"/>
      <c r="P129" s="135"/>
      <c r="Q129" s="135"/>
      <c r="R129" s="135"/>
      <c r="S129" s="135"/>
    </row>
    <row r="130" spans="1:19" s="90" customFormat="1" ht="16.5" x14ac:dyDescent="0.3">
      <c r="A130" s="192"/>
      <c r="B130" s="208"/>
      <c r="C130" s="97">
        <v>40097981209</v>
      </c>
      <c r="D130" s="192"/>
      <c r="E130" s="189"/>
      <c r="F130" s="97">
        <v>40046151210</v>
      </c>
      <c r="G130" s="198"/>
      <c r="H130" s="189"/>
      <c r="I130" s="189"/>
      <c r="J130" s="221"/>
      <c r="K130" s="222"/>
      <c r="L130" s="121"/>
      <c r="M130" s="118"/>
      <c r="P130" s="135"/>
      <c r="Q130" s="135"/>
      <c r="R130" s="135"/>
      <c r="S130" s="135"/>
    </row>
    <row r="131" spans="1:19" s="90" customFormat="1" ht="16.5" x14ac:dyDescent="0.3">
      <c r="A131" s="192"/>
      <c r="B131" s="208"/>
      <c r="C131" s="97">
        <v>40005781211</v>
      </c>
      <c r="D131" s="192"/>
      <c r="E131" s="189"/>
      <c r="F131" s="97">
        <v>40046161210</v>
      </c>
      <c r="G131" s="198"/>
      <c r="H131" s="189"/>
      <c r="I131" s="189"/>
      <c r="J131" s="221"/>
      <c r="K131" s="222"/>
      <c r="L131" s="121"/>
      <c r="M131" s="118"/>
      <c r="P131" s="135"/>
      <c r="Q131" s="135"/>
      <c r="R131" s="135"/>
      <c r="S131" s="135"/>
    </row>
    <row r="132" spans="1:19" s="90" customFormat="1" ht="16.5" x14ac:dyDescent="0.3">
      <c r="A132" s="192"/>
      <c r="B132" s="208"/>
      <c r="C132" s="216">
        <v>40045871210</v>
      </c>
      <c r="D132" s="192"/>
      <c r="E132" s="189"/>
      <c r="F132" s="97">
        <v>40046171210</v>
      </c>
      <c r="G132" s="198"/>
      <c r="H132" s="189"/>
      <c r="I132" s="189"/>
      <c r="J132" s="221"/>
      <c r="K132" s="222"/>
      <c r="L132" s="121"/>
      <c r="M132" s="118"/>
      <c r="P132" s="135"/>
      <c r="Q132" s="135"/>
      <c r="R132" s="135"/>
      <c r="S132" s="135"/>
    </row>
    <row r="133" spans="1:19" s="90" customFormat="1" ht="16.5" x14ac:dyDescent="0.3">
      <c r="A133" s="193"/>
      <c r="B133" s="207"/>
      <c r="C133" s="217"/>
      <c r="D133" s="193"/>
      <c r="E133" s="190"/>
      <c r="F133" s="97">
        <v>40046081210</v>
      </c>
      <c r="G133" s="199"/>
      <c r="H133" s="190"/>
      <c r="I133" s="190"/>
      <c r="J133" s="210"/>
      <c r="K133" s="212"/>
      <c r="L133" s="121"/>
      <c r="M133" s="118"/>
      <c r="P133" s="135"/>
      <c r="Q133" s="135"/>
      <c r="R133" s="135"/>
      <c r="S133" s="135"/>
    </row>
    <row r="134" spans="1:19" s="90" customFormat="1" ht="49.5" x14ac:dyDescent="0.3">
      <c r="A134" s="99">
        <v>4</v>
      </c>
      <c r="B134" s="100" t="s">
        <v>167</v>
      </c>
      <c r="C134" s="97" t="s">
        <v>319</v>
      </c>
      <c r="D134" s="101">
        <v>1</v>
      </c>
      <c r="E134" s="102">
        <v>895500</v>
      </c>
      <c r="F134" s="97" t="s">
        <v>320</v>
      </c>
      <c r="G134" s="101">
        <v>1</v>
      </c>
      <c r="H134" s="102">
        <v>895500</v>
      </c>
      <c r="I134" s="102"/>
      <c r="J134" s="104">
        <v>2</v>
      </c>
      <c r="K134" s="105">
        <v>1791000</v>
      </c>
      <c r="L134" s="121"/>
      <c r="M134" s="118"/>
      <c r="P134" s="135"/>
      <c r="Q134" s="135"/>
      <c r="R134" s="135"/>
      <c r="S134" s="135"/>
    </row>
    <row r="135" spans="1:19" s="90" customFormat="1" ht="16.5" x14ac:dyDescent="0.3">
      <c r="A135" s="191">
        <v>5</v>
      </c>
      <c r="B135" s="206" t="s">
        <v>171</v>
      </c>
      <c r="C135" s="97" t="s">
        <v>321</v>
      </c>
      <c r="D135" s="191">
        <v>3</v>
      </c>
      <c r="E135" s="188">
        <v>800712</v>
      </c>
      <c r="F135" s="97" t="s">
        <v>322</v>
      </c>
      <c r="G135" s="197">
        <v>4</v>
      </c>
      <c r="H135" s="188">
        <v>1067616</v>
      </c>
      <c r="I135" s="188"/>
      <c r="J135" s="209">
        <v>7</v>
      </c>
      <c r="K135" s="211">
        <v>1868328</v>
      </c>
      <c r="L135" s="121"/>
      <c r="M135" s="118"/>
      <c r="P135" s="135"/>
      <c r="Q135" s="135"/>
      <c r="R135" s="135"/>
      <c r="S135" s="135"/>
    </row>
    <row r="136" spans="1:19" s="90" customFormat="1" ht="16.5" x14ac:dyDescent="0.3">
      <c r="A136" s="192"/>
      <c r="B136" s="208"/>
      <c r="C136" s="97" t="s">
        <v>323</v>
      </c>
      <c r="D136" s="192"/>
      <c r="E136" s="189"/>
      <c r="F136" s="97" t="s">
        <v>324</v>
      </c>
      <c r="G136" s="198"/>
      <c r="H136" s="189"/>
      <c r="I136" s="189"/>
      <c r="J136" s="221"/>
      <c r="K136" s="222"/>
      <c r="L136" s="121"/>
      <c r="M136" s="118"/>
      <c r="P136" s="135"/>
      <c r="Q136" s="135"/>
      <c r="R136" s="135"/>
      <c r="S136" s="135"/>
    </row>
    <row r="137" spans="1:19" s="90" customFormat="1" ht="16.5" x14ac:dyDescent="0.3">
      <c r="A137" s="192"/>
      <c r="B137" s="208"/>
      <c r="C137" s="216" t="s">
        <v>325</v>
      </c>
      <c r="D137" s="192"/>
      <c r="E137" s="189"/>
      <c r="F137" s="97" t="s">
        <v>326</v>
      </c>
      <c r="G137" s="198"/>
      <c r="H137" s="189"/>
      <c r="I137" s="189"/>
      <c r="J137" s="221"/>
      <c r="K137" s="222"/>
      <c r="L137" s="121"/>
      <c r="M137" s="118"/>
      <c r="P137" s="135"/>
      <c r="Q137" s="135"/>
      <c r="R137" s="135"/>
      <c r="S137" s="135"/>
    </row>
    <row r="138" spans="1:19" s="90" customFormat="1" ht="16.5" x14ac:dyDescent="0.3">
      <c r="A138" s="193"/>
      <c r="B138" s="207"/>
      <c r="C138" s="217"/>
      <c r="D138" s="193"/>
      <c r="E138" s="190"/>
      <c r="F138" s="97" t="s">
        <v>327</v>
      </c>
      <c r="G138" s="199"/>
      <c r="H138" s="190"/>
      <c r="I138" s="190"/>
      <c r="J138" s="210"/>
      <c r="K138" s="212"/>
      <c r="L138" s="121"/>
      <c r="M138" s="118"/>
      <c r="P138" s="135"/>
      <c r="Q138" s="135"/>
      <c r="R138" s="135"/>
      <c r="S138" s="135"/>
    </row>
    <row r="139" spans="1:19" s="90" customFormat="1" ht="16.5" x14ac:dyDescent="0.3">
      <c r="A139" s="191">
        <v>6</v>
      </c>
      <c r="B139" s="206" t="s">
        <v>179</v>
      </c>
      <c r="C139" s="97" t="s">
        <v>328</v>
      </c>
      <c r="D139" s="191">
        <v>3</v>
      </c>
      <c r="E139" s="188">
        <v>396000</v>
      </c>
      <c r="F139" s="97" t="s">
        <v>329</v>
      </c>
      <c r="G139" s="197">
        <v>3</v>
      </c>
      <c r="H139" s="188">
        <v>396000</v>
      </c>
      <c r="I139" s="188"/>
      <c r="J139" s="209">
        <v>6</v>
      </c>
      <c r="K139" s="211">
        <v>792000</v>
      </c>
      <c r="L139" s="121"/>
      <c r="M139" s="118"/>
      <c r="P139" s="135"/>
      <c r="Q139" s="135"/>
      <c r="R139" s="135"/>
      <c r="S139" s="135"/>
    </row>
    <row r="140" spans="1:19" s="90" customFormat="1" ht="16.5" x14ac:dyDescent="0.3">
      <c r="A140" s="192"/>
      <c r="B140" s="208"/>
      <c r="C140" s="97" t="s">
        <v>330</v>
      </c>
      <c r="D140" s="192"/>
      <c r="E140" s="189"/>
      <c r="F140" s="97" t="s">
        <v>331</v>
      </c>
      <c r="G140" s="198"/>
      <c r="H140" s="189"/>
      <c r="I140" s="189"/>
      <c r="J140" s="221"/>
      <c r="K140" s="222"/>
      <c r="L140" s="121"/>
      <c r="M140" s="118"/>
      <c r="P140" s="135"/>
      <c r="Q140" s="135"/>
      <c r="R140" s="135"/>
      <c r="S140" s="135"/>
    </row>
    <row r="141" spans="1:19" s="90" customFormat="1" ht="33" x14ac:dyDescent="0.3">
      <c r="A141" s="193"/>
      <c r="B141" s="207"/>
      <c r="C141" s="97" t="s">
        <v>332</v>
      </c>
      <c r="D141" s="193"/>
      <c r="E141" s="190"/>
      <c r="F141" s="97" t="s">
        <v>333</v>
      </c>
      <c r="G141" s="199"/>
      <c r="H141" s="190"/>
      <c r="I141" s="190"/>
      <c r="J141" s="210"/>
      <c r="K141" s="212"/>
      <c r="L141" s="121"/>
      <c r="M141" s="118"/>
      <c r="P141" s="135"/>
      <c r="Q141" s="135"/>
      <c r="R141" s="135"/>
      <c r="S141" s="135"/>
    </row>
    <row r="142" spans="1:19" s="90" customFormat="1" ht="66" x14ac:dyDescent="0.3">
      <c r="A142" s="99">
        <v>7</v>
      </c>
      <c r="B142" s="100" t="s">
        <v>188</v>
      </c>
      <c r="C142" s="100"/>
      <c r="D142" s="99"/>
      <c r="E142" s="102"/>
      <c r="F142" s="97" t="s">
        <v>334</v>
      </c>
      <c r="G142" s="101">
        <v>1</v>
      </c>
      <c r="H142" s="102">
        <v>554550</v>
      </c>
      <c r="I142" s="102"/>
      <c r="J142" s="104">
        <v>1</v>
      </c>
      <c r="K142" s="105">
        <v>554550</v>
      </c>
      <c r="L142" s="121"/>
      <c r="M142" s="118"/>
      <c r="P142" s="135"/>
      <c r="Q142" s="135"/>
      <c r="R142" s="135"/>
      <c r="S142" s="135"/>
    </row>
    <row r="143" spans="1:19" s="90" customFormat="1" ht="66" x14ac:dyDescent="0.3">
      <c r="A143" s="99">
        <v>8</v>
      </c>
      <c r="B143" s="100" t="s">
        <v>191</v>
      </c>
      <c r="C143" s="97" t="s">
        <v>335</v>
      </c>
      <c r="D143" s="99">
        <v>1</v>
      </c>
      <c r="E143" s="102">
        <v>554550</v>
      </c>
      <c r="F143" s="97" t="s">
        <v>336</v>
      </c>
      <c r="G143" s="99">
        <v>1</v>
      </c>
      <c r="H143" s="102">
        <v>554550</v>
      </c>
      <c r="I143" s="102"/>
      <c r="J143" s="104">
        <v>2</v>
      </c>
      <c r="K143" s="105">
        <v>1109100</v>
      </c>
      <c r="L143" s="121"/>
      <c r="M143" s="118"/>
      <c r="P143" s="135"/>
      <c r="Q143" s="135"/>
      <c r="R143" s="135"/>
      <c r="S143" s="135"/>
    </row>
    <row r="144" spans="1:19" s="90" customFormat="1" ht="33" x14ac:dyDescent="0.3">
      <c r="A144" s="99">
        <v>9</v>
      </c>
      <c r="B144" s="106" t="s">
        <v>194</v>
      </c>
      <c r="C144" s="113" t="s">
        <v>337</v>
      </c>
      <c r="D144" s="101">
        <v>1</v>
      </c>
      <c r="E144" s="102">
        <v>281220</v>
      </c>
      <c r="F144" s="124" t="s">
        <v>338</v>
      </c>
      <c r="G144" s="101">
        <v>1</v>
      </c>
      <c r="H144" s="102">
        <v>281220</v>
      </c>
      <c r="I144" s="102"/>
      <c r="J144" s="104">
        <v>2</v>
      </c>
      <c r="K144" s="105">
        <v>562440</v>
      </c>
      <c r="L144" s="121"/>
      <c r="M144" s="118"/>
      <c r="P144" s="135"/>
      <c r="Q144" s="135"/>
      <c r="R144" s="135"/>
      <c r="S144" s="135"/>
    </row>
    <row r="145" spans="1:27" s="90" customFormat="1" ht="49.5" x14ac:dyDescent="0.3">
      <c r="A145" s="99">
        <v>10</v>
      </c>
      <c r="B145" s="106" t="s">
        <v>197</v>
      </c>
      <c r="C145" s="107" t="s">
        <v>339</v>
      </c>
      <c r="D145" s="101">
        <v>1</v>
      </c>
      <c r="E145" s="102">
        <v>37530</v>
      </c>
      <c r="F145" s="107" t="s">
        <v>340</v>
      </c>
      <c r="G145" s="101">
        <v>1</v>
      </c>
      <c r="H145" s="102">
        <v>37530</v>
      </c>
      <c r="I145" s="102"/>
      <c r="J145" s="104">
        <v>2</v>
      </c>
      <c r="K145" s="105">
        <v>75060</v>
      </c>
      <c r="L145" s="121"/>
      <c r="M145" s="118"/>
      <c r="P145" s="135"/>
      <c r="Q145" s="135"/>
      <c r="R145" s="135"/>
      <c r="S145" s="135"/>
    </row>
    <row r="146" spans="1:27" s="90" customFormat="1" ht="33" x14ac:dyDescent="0.3">
      <c r="A146" s="99">
        <v>11</v>
      </c>
      <c r="B146" s="106" t="s">
        <v>201</v>
      </c>
      <c r="C146" s="107" t="s">
        <v>341</v>
      </c>
      <c r="D146" s="101">
        <v>1</v>
      </c>
      <c r="E146" s="102">
        <v>240240</v>
      </c>
      <c r="F146" s="107" t="s">
        <v>342</v>
      </c>
      <c r="G146" s="101">
        <v>1</v>
      </c>
      <c r="H146" s="102">
        <v>240240</v>
      </c>
      <c r="I146" s="102"/>
      <c r="J146" s="104">
        <v>2</v>
      </c>
      <c r="K146" s="105">
        <v>480480</v>
      </c>
      <c r="L146" s="121"/>
      <c r="M146" s="118"/>
      <c r="P146" s="135"/>
      <c r="Q146" s="135"/>
      <c r="R146" s="135"/>
      <c r="S146" s="135"/>
    </row>
    <row r="147" spans="1:27" s="90" customFormat="1" ht="33" x14ac:dyDescent="0.3">
      <c r="A147" s="99">
        <v>12</v>
      </c>
      <c r="B147" s="106" t="s">
        <v>205</v>
      </c>
      <c r="C147" s="107" t="s">
        <v>343</v>
      </c>
      <c r="D147" s="101">
        <v>1</v>
      </c>
      <c r="E147" s="102">
        <v>185118</v>
      </c>
      <c r="F147" s="107" t="s">
        <v>344</v>
      </c>
      <c r="G147" s="101">
        <v>1</v>
      </c>
      <c r="H147" s="102">
        <v>185118</v>
      </c>
      <c r="I147" s="102"/>
      <c r="J147" s="104">
        <v>2</v>
      </c>
      <c r="K147" s="105">
        <f>E147+H147</f>
        <v>370236</v>
      </c>
      <c r="L147" s="121"/>
      <c r="M147" s="118"/>
      <c r="P147" s="135"/>
      <c r="Q147" s="135"/>
      <c r="R147" s="135"/>
      <c r="S147" s="135"/>
    </row>
    <row r="148" spans="1:27" s="90" customFormat="1" ht="16.5" x14ac:dyDescent="0.3">
      <c r="A148" s="108"/>
      <c r="B148" s="109" t="s">
        <v>11</v>
      </c>
      <c r="C148" s="109"/>
      <c r="D148" s="105"/>
      <c r="E148" s="105">
        <f>8481036+E147</f>
        <v>8666154</v>
      </c>
      <c r="F148" s="105"/>
      <c r="G148" s="105"/>
      <c r="H148" s="105">
        <f>10056102+H147</f>
        <v>10241220</v>
      </c>
      <c r="I148" s="105"/>
      <c r="J148" s="105"/>
      <c r="K148" s="105">
        <f>18537138+K147</f>
        <v>18907374</v>
      </c>
      <c r="L148" s="118"/>
      <c r="M148" s="118"/>
    </row>
    <row r="149" spans="1:27" s="90" customFormat="1" ht="16.5" x14ac:dyDescent="0.3">
      <c r="A149" s="101"/>
      <c r="B149" s="127"/>
      <c r="C149" s="136"/>
      <c r="D149" s="194" t="s">
        <v>208</v>
      </c>
      <c r="E149" s="195"/>
      <c r="F149" s="195"/>
      <c r="G149" s="195"/>
      <c r="H149" s="195"/>
      <c r="I149" s="195"/>
      <c r="J149" s="195"/>
      <c r="K149" s="196"/>
      <c r="L149" s="134"/>
      <c r="M149" s="134"/>
    </row>
    <row r="150" spans="1:27" s="90" customFormat="1" ht="66" x14ac:dyDescent="0.3">
      <c r="A150" s="99">
        <v>13</v>
      </c>
      <c r="B150" s="100" t="s">
        <v>209</v>
      </c>
      <c r="C150" s="97" t="s">
        <v>345</v>
      </c>
      <c r="D150" s="101">
        <v>1</v>
      </c>
      <c r="E150" s="102">
        <v>276600</v>
      </c>
      <c r="F150" s="97" t="s">
        <v>346</v>
      </c>
      <c r="G150" s="101">
        <v>1</v>
      </c>
      <c r="H150" s="102">
        <v>276600</v>
      </c>
      <c r="I150" s="102"/>
      <c r="J150" s="104">
        <v>2</v>
      </c>
      <c r="K150" s="105">
        <v>553200</v>
      </c>
      <c r="L150" s="121"/>
      <c r="M150" s="118"/>
    </row>
    <row r="151" spans="1:27" s="90" customFormat="1" ht="49.5" x14ac:dyDescent="0.3">
      <c r="A151" s="99">
        <v>14</v>
      </c>
      <c r="B151" s="106" t="s">
        <v>212</v>
      </c>
      <c r="C151" s="107" t="s">
        <v>347</v>
      </c>
      <c r="D151" s="103">
        <v>1</v>
      </c>
      <c r="E151" s="102">
        <v>28200</v>
      </c>
      <c r="F151" s="107" t="s">
        <v>348</v>
      </c>
      <c r="G151" s="103">
        <v>1</v>
      </c>
      <c r="H151" s="102">
        <v>28200</v>
      </c>
      <c r="I151" s="102"/>
      <c r="J151" s="104">
        <v>2</v>
      </c>
      <c r="K151" s="105">
        <v>56400</v>
      </c>
      <c r="L151" s="121"/>
      <c r="M151" s="118"/>
    </row>
    <row r="152" spans="1:27" s="90" customFormat="1" ht="16.5" x14ac:dyDescent="0.3">
      <c r="A152" s="99"/>
      <c r="B152" s="109" t="s">
        <v>11</v>
      </c>
      <c r="C152" s="109"/>
      <c r="D152" s="103"/>
      <c r="E152" s="105">
        <v>304800</v>
      </c>
      <c r="F152" s="105"/>
      <c r="G152" s="105"/>
      <c r="H152" s="105">
        <v>304800</v>
      </c>
      <c r="I152" s="105"/>
      <c r="J152" s="105"/>
      <c r="K152" s="105">
        <v>609600</v>
      </c>
      <c r="L152" s="121"/>
      <c r="M152" s="118"/>
    </row>
    <row r="153" spans="1:27" s="90" customFormat="1" ht="16.5" x14ac:dyDescent="0.3">
      <c r="A153" s="99"/>
      <c r="B153" s="114" t="s">
        <v>114</v>
      </c>
      <c r="C153" s="114"/>
      <c r="D153" s="103"/>
      <c r="E153" s="105">
        <f>8785836+E147</f>
        <v>8970954</v>
      </c>
      <c r="F153" s="105"/>
      <c r="G153" s="105"/>
      <c r="H153" s="105">
        <f>10360902+H147</f>
        <v>10546020</v>
      </c>
      <c r="I153" s="105"/>
      <c r="J153" s="105"/>
      <c r="K153" s="105">
        <f>19146738+K147</f>
        <v>19516974</v>
      </c>
      <c r="L153" s="121"/>
      <c r="M153" s="118"/>
    </row>
    <row r="154" spans="1:27" s="90" customFormat="1" ht="16.5" x14ac:dyDescent="0.3">
      <c r="A154" s="115"/>
      <c r="B154" s="116"/>
      <c r="C154" s="116"/>
      <c r="D154" s="137"/>
      <c r="E154" s="118"/>
      <c r="F154" s="118"/>
      <c r="G154" s="118"/>
      <c r="H154" s="118"/>
      <c r="I154" s="118"/>
      <c r="J154" s="118"/>
      <c r="K154" s="118"/>
      <c r="L154" s="121"/>
      <c r="M154" s="118"/>
    </row>
    <row r="155" spans="1:27" s="90" customFormat="1" ht="16.5" x14ac:dyDescent="0.3">
      <c r="A155" s="115"/>
      <c r="B155" s="138"/>
      <c r="C155" s="138"/>
      <c r="D155" s="115"/>
      <c r="E155" s="119"/>
      <c r="F155" s="119"/>
      <c r="G155" s="120"/>
      <c r="H155" s="119"/>
      <c r="I155" s="119"/>
      <c r="J155" s="121"/>
      <c r="K155" s="118"/>
      <c r="L155" s="121"/>
      <c r="M155" s="118"/>
    </row>
    <row r="156" spans="1:27" s="90" customFormat="1" ht="16.5" x14ac:dyDescent="0.3">
      <c r="A156" s="93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228" t="s">
        <v>46</v>
      </c>
      <c r="M156" s="228"/>
    </row>
    <row r="157" spans="1:27" s="90" customFormat="1" ht="39" customHeight="1" x14ac:dyDescent="0.3">
      <c r="A157" s="224" t="s">
        <v>349</v>
      </c>
      <c r="B157" s="224"/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R157" s="91"/>
      <c r="Z157" s="237"/>
      <c r="AA157" s="237"/>
    </row>
    <row r="158" spans="1:27" s="90" customFormat="1" ht="18.75" customHeight="1" x14ac:dyDescent="0.3">
      <c r="A158" s="93"/>
      <c r="B158" s="94"/>
      <c r="C158" s="94"/>
      <c r="D158" s="94"/>
      <c r="E158" s="94"/>
      <c r="F158" s="94"/>
      <c r="G158" s="94"/>
      <c r="H158" s="94"/>
      <c r="I158" s="94"/>
      <c r="J158" s="225" t="s">
        <v>5</v>
      </c>
      <c r="K158" s="225"/>
      <c r="L158" s="94"/>
      <c r="M158" s="94"/>
    </row>
    <row r="159" spans="1:27" s="90" customFormat="1" ht="16.5" x14ac:dyDescent="0.3">
      <c r="A159" s="209" t="s">
        <v>6</v>
      </c>
      <c r="B159" s="233" t="s">
        <v>7</v>
      </c>
      <c r="C159" s="226" t="s">
        <v>217</v>
      </c>
      <c r="D159" s="194" t="s">
        <v>48</v>
      </c>
      <c r="E159" s="196"/>
      <c r="F159" s="226" t="s">
        <v>217</v>
      </c>
      <c r="G159" s="194" t="s">
        <v>49</v>
      </c>
      <c r="H159" s="196"/>
      <c r="I159" s="226" t="s">
        <v>217</v>
      </c>
      <c r="J159" s="194" t="s">
        <v>11</v>
      </c>
      <c r="K159" s="196"/>
      <c r="L159" s="239"/>
      <c r="M159" s="239"/>
    </row>
    <row r="160" spans="1:27" s="90" customFormat="1" ht="16.5" x14ac:dyDescent="0.3">
      <c r="A160" s="221"/>
      <c r="B160" s="235"/>
      <c r="C160" s="238"/>
      <c r="D160" s="122" t="s">
        <v>12</v>
      </c>
      <c r="E160" s="123" t="s">
        <v>14</v>
      </c>
      <c r="F160" s="238"/>
      <c r="G160" s="122" t="s">
        <v>12</v>
      </c>
      <c r="H160" s="123" t="s">
        <v>14</v>
      </c>
      <c r="I160" s="238"/>
      <c r="J160" s="122" t="s">
        <v>12</v>
      </c>
      <c r="K160" s="123" t="s">
        <v>14</v>
      </c>
      <c r="L160" s="132"/>
      <c r="M160" s="133"/>
    </row>
    <row r="161" spans="1:13" s="90" customFormat="1" ht="16.5" x14ac:dyDescent="0.3">
      <c r="A161" s="210"/>
      <c r="B161" s="234"/>
      <c r="C161" s="223" t="s">
        <v>350</v>
      </c>
      <c r="D161" s="223"/>
      <c r="E161" s="223"/>
      <c r="F161" s="223"/>
      <c r="G161" s="223"/>
      <c r="H161" s="223"/>
      <c r="I161" s="223"/>
      <c r="J161" s="223"/>
      <c r="K161" s="223"/>
      <c r="L161" s="134"/>
      <c r="M161" s="134"/>
    </row>
    <row r="162" spans="1:13" s="90" customFormat="1" ht="16.5" x14ac:dyDescent="0.3">
      <c r="A162" s="191">
        <v>1</v>
      </c>
      <c r="B162" s="206" t="s">
        <v>126</v>
      </c>
      <c r="C162" s="97" t="s">
        <v>351</v>
      </c>
      <c r="D162" s="200">
        <v>8</v>
      </c>
      <c r="E162" s="201">
        <v>4964400</v>
      </c>
      <c r="F162" s="97" t="s">
        <v>352</v>
      </c>
      <c r="G162" s="186">
        <v>6</v>
      </c>
      <c r="H162" s="201">
        <v>3723300</v>
      </c>
      <c r="I162" s="200"/>
      <c r="J162" s="202">
        <v>14</v>
      </c>
      <c r="K162" s="203">
        <v>8687700</v>
      </c>
      <c r="L162" s="134"/>
      <c r="M162" s="134"/>
    </row>
    <row r="163" spans="1:13" s="90" customFormat="1" ht="16.5" x14ac:dyDescent="0.3">
      <c r="A163" s="192"/>
      <c r="B163" s="208"/>
      <c r="C163" s="97" t="s">
        <v>353</v>
      </c>
      <c r="D163" s="200"/>
      <c r="E163" s="201"/>
      <c r="F163" s="97" t="s">
        <v>354</v>
      </c>
      <c r="G163" s="186"/>
      <c r="H163" s="201"/>
      <c r="I163" s="200"/>
      <c r="J163" s="202"/>
      <c r="K163" s="203"/>
      <c r="L163" s="134"/>
      <c r="M163" s="134"/>
    </row>
    <row r="164" spans="1:13" s="90" customFormat="1" ht="16.5" x14ac:dyDescent="0.3">
      <c r="A164" s="192"/>
      <c r="B164" s="208"/>
      <c r="C164" s="97" t="s">
        <v>355</v>
      </c>
      <c r="D164" s="200"/>
      <c r="E164" s="201"/>
      <c r="F164" s="97" t="s">
        <v>356</v>
      </c>
      <c r="G164" s="186"/>
      <c r="H164" s="201"/>
      <c r="I164" s="200"/>
      <c r="J164" s="202"/>
      <c r="K164" s="203"/>
      <c r="L164" s="134"/>
      <c r="M164" s="134"/>
    </row>
    <row r="165" spans="1:13" s="90" customFormat="1" ht="16.5" x14ac:dyDescent="0.3">
      <c r="A165" s="192"/>
      <c r="B165" s="208"/>
      <c r="C165" s="97" t="s">
        <v>357</v>
      </c>
      <c r="D165" s="200"/>
      <c r="E165" s="201"/>
      <c r="F165" s="97" t="s">
        <v>358</v>
      </c>
      <c r="G165" s="186"/>
      <c r="H165" s="201"/>
      <c r="I165" s="200"/>
      <c r="J165" s="202"/>
      <c r="K165" s="203"/>
      <c r="L165" s="134"/>
      <c r="M165" s="134"/>
    </row>
    <row r="166" spans="1:13" s="90" customFormat="1" ht="16.5" x14ac:dyDescent="0.3">
      <c r="A166" s="192"/>
      <c r="B166" s="208"/>
      <c r="C166" s="97" t="s">
        <v>359</v>
      </c>
      <c r="D166" s="200"/>
      <c r="E166" s="201"/>
      <c r="F166" s="97" t="s">
        <v>360</v>
      </c>
      <c r="G166" s="186"/>
      <c r="H166" s="201"/>
      <c r="I166" s="200"/>
      <c r="J166" s="202"/>
      <c r="K166" s="203"/>
      <c r="L166" s="134"/>
      <c r="M166" s="134"/>
    </row>
    <row r="167" spans="1:13" s="90" customFormat="1" ht="16.5" x14ac:dyDescent="0.3">
      <c r="A167" s="192"/>
      <c r="B167" s="208"/>
      <c r="C167" s="97" t="s">
        <v>361</v>
      </c>
      <c r="D167" s="200"/>
      <c r="E167" s="201"/>
      <c r="F167" s="216" t="s">
        <v>362</v>
      </c>
      <c r="G167" s="186"/>
      <c r="H167" s="201"/>
      <c r="I167" s="200"/>
      <c r="J167" s="202"/>
      <c r="K167" s="203"/>
      <c r="L167" s="134"/>
      <c r="M167" s="134"/>
    </row>
    <row r="168" spans="1:13" s="90" customFormat="1" ht="16.5" x14ac:dyDescent="0.3">
      <c r="A168" s="192"/>
      <c r="B168" s="208"/>
      <c r="C168" s="97" t="s">
        <v>363</v>
      </c>
      <c r="D168" s="200"/>
      <c r="E168" s="201"/>
      <c r="F168" s="236"/>
      <c r="G168" s="186"/>
      <c r="H168" s="201"/>
      <c r="I168" s="200"/>
      <c r="J168" s="202"/>
      <c r="K168" s="203"/>
      <c r="L168" s="134"/>
      <c r="M168" s="134"/>
    </row>
    <row r="169" spans="1:13" s="90" customFormat="1" ht="16.5" x14ac:dyDescent="0.3">
      <c r="A169" s="193"/>
      <c r="B169" s="207"/>
      <c r="C169" s="97" t="s">
        <v>364</v>
      </c>
      <c r="D169" s="200"/>
      <c r="E169" s="201"/>
      <c r="F169" s="217"/>
      <c r="G169" s="186"/>
      <c r="H169" s="201"/>
      <c r="I169" s="200"/>
      <c r="J169" s="202"/>
      <c r="K169" s="203"/>
      <c r="L169" s="121"/>
      <c r="M169" s="118"/>
    </row>
    <row r="170" spans="1:13" s="90" customFormat="1" ht="16.5" x14ac:dyDescent="0.3">
      <c r="A170" s="191">
        <v>2</v>
      </c>
      <c r="B170" s="206" t="s">
        <v>146</v>
      </c>
      <c r="C170" s="97" t="s">
        <v>160</v>
      </c>
      <c r="D170" s="191">
        <v>8</v>
      </c>
      <c r="E170" s="188">
        <v>764880</v>
      </c>
      <c r="F170" s="97" t="s">
        <v>365</v>
      </c>
      <c r="G170" s="197">
        <v>6</v>
      </c>
      <c r="H170" s="188">
        <v>573660</v>
      </c>
      <c r="I170" s="191"/>
      <c r="J170" s="209">
        <v>14</v>
      </c>
      <c r="K170" s="211">
        <v>1338540</v>
      </c>
      <c r="L170" s="121"/>
      <c r="M170" s="118"/>
    </row>
    <row r="171" spans="1:13" s="90" customFormat="1" ht="16.5" x14ac:dyDescent="0.3">
      <c r="A171" s="192"/>
      <c r="B171" s="208"/>
      <c r="C171" s="97" t="s">
        <v>366</v>
      </c>
      <c r="D171" s="192"/>
      <c r="E171" s="189"/>
      <c r="F171" s="97" t="s">
        <v>367</v>
      </c>
      <c r="G171" s="198"/>
      <c r="H171" s="189"/>
      <c r="I171" s="192"/>
      <c r="J171" s="221"/>
      <c r="K171" s="222"/>
      <c r="L171" s="121"/>
      <c r="M171" s="118"/>
    </row>
    <row r="172" spans="1:13" s="90" customFormat="1" ht="16.5" x14ac:dyDescent="0.3">
      <c r="A172" s="192"/>
      <c r="B172" s="208"/>
      <c r="C172" s="97" t="s">
        <v>368</v>
      </c>
      <c r="D172" s="192"/>
      <c r="E172" s="189"/>
      <c r="F172" s="97" t="s">
        <v>369</v>
      </c>
      <c r="G172" s="198"/>
      <c r="H172" s="189"/>
      <c r="I172" s="192"/>
      <c r="J172" s="221"/>
      <c r="K172" s="222"/>
      <c r="L172" s="121"/>
      <c r="M172" s="118"/>
    </row>
    <row r="173" spans="1:13" s="90" customFormat="1" ht="16.5" x14ac:dyDescent="0.3">
      <c r="A173" s="192"/>
      <c r="B173" s="208"/>
      <c r="C173" s="97" t="s">
        <v>370</v>
      </c>
      <c r="D173" s="192"/>
      <c r="E173" s="189"/>
      <c r="F173" s="97" t="s">
        <v>371</v>
      </c>
      <c r="G173" s="198"/>
      <c r="H173" s="189"/>
      <c r="I173" s="192"/>
      <c r="J173" s="221"/>
      <c r="K173" s="222"/>
      <c r="L173" s="121"/>
      <c r="M173" s="118"/>
    </row>
    <row r="174" spans="1:13" s="90" customFormat="1" ht="16.5" x14ac:dyDescent="0.3">
      <c r="A174" s="192"/>
      <c r="B174" s="208"/>
      <c r="C174" s="97" t="s">
        <v>372</v>
      </c>
      <c r="D174" s="192"/>
      <c r="E174" s="189"/>
      <c r="F174" s="97" t="s">
        <v>373</v>
      </c>
      <c r="G174" s="198"/>
      <c r="H174" s="189"/>
      <c r="I174" s="192"/>
      <c r="J174" s="221"/>
      <c r="K174" s="222"/>
      <c r="L174" s="121"/>
      <c r="M174" s="118"/>
    </row>
    <row r="175" spans="1:13" s="90" customFormat="1" ht="16.5" x14ac:dyDescent="0.3">
      <c r="A175" s="192"/>
      <c r="B175" s="208"/>
      <c r="C175" s="97" t="s">
        <v>374</v>
      </c>
      <c r="D175" s="192"/>
      <c r="E175" s="189"/>
      <c r="F175" s="216" t="s">
        <v>375</v>
      </c>
      <c r="G175" s="198"/>
      <c r="H175" s="189"/>
      <c r="I175" s="192"/>
      <c r="J175" s="221"/>
      <c r="K175" s="222"/>
      <c r="L175" s="121"/>
      <c r="M175" s="118"/>
    </row>
    <row r="176" spans="1:13" s="90" customFormat="1" ht="16.5" x14ac:dyDescent="0.3">
      <c r="A176" s="192"/>
      <c r="B176" s="208"/>
      <c r="C176" s="97" t="s">
        <v>376</v>
      </c>
      <c r="D176" s="192"/>
      <c r="E176" s="189"/>
      <c r="F176" s="236"/>
      <c r="G176" s="198"/>
      <c r="H176" s="189"/>
      <c r="I176" s="192"/>
      <c r="J176" s="221"/>
      <c r="K176" s="222"/>
      <c r="L176" s="121"/>
      <c r="M176" s="118"/>
    </row>
    <row r="177" spans="1:13" s="90" customFormat="1" ht="16.5" x14ac:dyDescent="0.3">
      <c r="A177" s="193"/>
      <c r="B177" s="207"/>
      <c r="C177" s="97" t="s">
        <v>377</v>
      </c>
      <c r="D177" s="193"/>
      <c r="E177" s="190"/>
      <c r="F177" s="217"/>
      <c r="G177" s="199"/>
      <c r="H177" s="190"/>
      <c r="I177" s="193"/>
      <c r="J177" s="210"/>
      <c r="K177" s="212"/>
      <c r="L177" s="121"/>
      <c r="M177" s="118"/>
    </row>
    <row r="178" spans="1:13" s="90" customFormat="1" ht="16.5" x14ac:dyDescent="0.3">
      <c r="A178" s="191">
        <v>3</v>
      </c>
      <c r="B178" s="206" t="s">
        <v>166</v>
      </c>
      <c r="C178" s="97">
        <v>40046301210</v>
      </c>
      <c r="D178" s="191">
        <v>8</v>
      </c>
      <c r="E178" s="188">
        <v>299616</v>
      </c>
      <c r="F178" s="97">
        <v>40006711211</v>
      </c>
      <c r="G178" s="197">
        <v>6</v>
      </c>
      <c r="H178" s="188">
        <v>224712</v>
      </c>
      <c r="I178" s="191"/>
      <c r="J178" s="209">
        <v>14</v>
      </c>
      <c r="K178" s="211">
        <v>524328</v>
      </c>
      <c r="L178" s="121"/>
      <c r="M178" s="118"/>
    </row>
    <row r="179" spans="1:13" s="90" customFormat="1" ht="16.5" x14ac:dyDescent="0.3">
      <c r="A179" s="192"/>
      <c r="B179" s="208"/>
      <c r="C179" s="97">
        <v>40046311210</v>
      </c>
      <c r="D179" s="192"/>
      <c r="E179" s="189"/>
      <c r="F179" s="97">
        <v>40006721211</v>
      </c>
      <c r="G179" s="198"/>
      <c r="H179" s="189"/>
      <c r="I179" s="192"/>
      <c r="J179" s="221"/>
      <c r="K179" s="222"/>
      <c r="L179" s="121"/>
      <c r="M179" s="118"/>
    </row>
    <row r="180" spans="1:13" s="90" customFormat="1" ht="16.5" x14ac:dyDescent="0.3">
      <c r="A180" s="192"/>
      <c r="B180" s="208"/>
      <c r="C180" s="97">
        <v>40046321210</v>
      </c>
      <c r="D180" s="192"/>
      <c r="E180" s="189"/>
      <c r="F180" s="97">
        <v>40006731211</v>
      </c>
      <c r="G180" s="198"/>
      <c r="H180" s="189"/>
      <c r="I180" s="192"/>
      <c r="J180" s="221"/>
      <c r="K180" s="222"/>
      <c r="L180" s="121"/>
      <c r="M180" s="118"/>
    </row>
    <row r="181" spans="1:13" s="90" customFormat="1" ht="16.5" x14ac:dyDescent="0.3">
      <c r="A181" s="192"/>
      <c r="B181" s="208"/>
      <c r="C181" s="97">
        <v>20002851208</v>
      </c>
      <c r="D181" s="192"/>
      <c r="E181" s="189"/>
      <c r="F181" s="97">
        <v>40006321211</v>
      </c>
      <c r="G181" s="198"/>
      <c r="H181" s="189"/>
      <c r="I181" s="192"/>
      <c r="J181" s="221"/>
      <c r="K181" s="222"/>
      <c r="L181" s="121"/>
      <c r="M181" s="118"/>
    </row>
    <row r="182" spans="1:13" s="90" customFormat="1" ht="16.5" x14ac:dyDescent="0.3">
      <c r="A182" s="192"/>
      <c r="B182" s="208"/>
      <c r="C182" s="97">
        <v>20002861208</v>
      </c>
      <c r="D182" s="192"/>
      <c r="E182" s="189"/>
      <c r="F182" s="97">
        <v>40006331211</v>
      </c>
      <c r="G182" s="198"/>
      <c r="H182" s="189"/>
      <c r="I182" s="192"/>
      <c r="J182" s="221"/>
      <c r="K182" s="222"/>
      <c r="L182" s="121"/>
      <c r="M182" s="118"/>
    </row>
    <row r="183" spans="1:13" s="90" customFormat="1" ht="16.5" x14ac:dyDescent="0.3">
      <c r="A183" s="192"/>
      <c r="B183" s="208"/>
      <c r="C183" s="97">
        <v>20002871208</v>
      </c>
      <c r="D183" s="192"/>
      <c r="E183" s="189"/>
      <c r="F183" s="216">
        <v>40006341211</v>
      </c>
      <c r="G183" s="198"/>
      <c r="H183" s="189"/>
      <c r="I183" s="192"/>
      <c r="J183" s="221"/>
      <c r="K183" s="222"/>
      <c r="L183" s="121"/>
      <c r="M183" s="118"/>
    </row>
    <row r="184" spans="1:13" s="90" customFormat="1" ht="16.5" x14ac:dyDescent="0.3">
      <c r="A184" s="192"/>
      <c r="B184" s="208"/>
      <c r="C184" s="97">
        <v>40046071210</v>
      </c>
      <c r="D184" s="192"/>
      <c r="E184" s="189"/>
      <c r="F184" s="236"/>
      <c r="G184" s="198"/>
      <c r="H184" s="189"/>
      <c r="I184" s="192"/>
      <c r="J184" s="221"/>
      <c r="K184" s="222"/>
      <c r="L184" s="121"/>
      <c r="M184" s="118"/>
    </row>
    <row r="185" spans="1:13" s="90" customFormat="1" ht="16.5" x14ac:dyDescent="0.3">
      <c r="A185" s="193"/>
      <c r="B185" s="207"/>
      <c r="C185" s="97">
        <v>40046061210</v>
      </c>
      <c r="D185" s="193"/>
      <c r="E185" s="190"/>
      <c r="F185" s="217"/>
      <c r="G185" s="199"/>
      <c r="H185" s="190"/>
      <c r="I185" s="193"/>
      <c r="J185" s="210"/>
      <c r="K185" s="212"/>
      <c r="L185" s="121"/>
      <c r="M185" s="118"/>
    </row>
    <row r="186" spans="1:13" s="90" customFormat="1" ht="49.5" x14ac:dyDescent="0.3">
      <c r="A186" s="99">
        <v>4</v>
      </c>
      <c r="B186" s="100" t="s">
        <v>167</v>
      </c>
      <c r="C186" s="97" t="s">
        <v>378</v>
      </c>
      <c r="D186" s="101">
        <v>1</v>
      </c>
      <c r="E186" s="102">
        <v>895500</v>
      </c>
      <c r="F186" s="97" t="s">
        <v>379</v>
      </c>
      <c r="G186" s="101">
        <v>1</v>
      </c>
      <c r="H186" s="102">
        <v>895500</v>
      </c>
      <c r="I186" s="102"/>
      <c r="J186" s="104">
        <v>2</v>
      </c>
      <c r="K186" s="105">
        <v>1791000</v>
      </c>
      <c r="L186" s="121"/>
      <c r="M186" s="118"/>
    </row>
    <row r="187" spans="1:13" s="90" customFormat="1" ht="16.5" x14ac:dyDescent="0.3">
      <c r="A187" s="191">
        <v>5</v>
      </c>
      <c r="B187" s="206" t="s">
        <v>171</v>
      </c>
      <c r="C187" s="97" t="s">
        <v>380</v>
      </c>
      <c r="D187" s="197">
        <v>4</v>
      </c>
      <c r="E187" s="188">
        <v>1067616</v>
      </c>
      <c r="F187" s="216" t="s">
        <v>381</v>
      </c>
      <c r="G187" s="197">
        <v>2</v>
      </c>
      <c r="H187" s="188">
        <v>533808</v>
      </c>
      <c r="I187" s="188"/>
      <c r="J187" s="209">
        <v>6</v>
      </c>
      <c r="K187" s="211">
        <v>1601424</v>
      </c>
      <c r="L187" s="121"/>
      <c r="M187" s="118"/>
    </row>
    <row r="188" spans="1:13" s="90" customFormat="1" ht="16.5" x14ac:dyDescent="0.3">
      <c r="A188" s="192"/>
      <c r="B188" s="208"/>
      <c r="C188" s="97" t="s">
        <v>382</v>
      </c>
      <c r="D188" s="198"/>
      <c r="E188" s="189"/>
      <c r="F188" s="217"/>
      <c r="G188" s="198"/>
      <c r="H188" s="189"/>
      <c r="I188" s="189"/>
      <c r="J188" s="221"/>
      <c r="K188" s="222"/>
      <c r="L188" s="121"/>
      <c r="M188" s="118"/>
    </row>
    <row r="189" spans="1:13" s="90" customFormat="1" ht="16.5" x14ac:dyDescent="0.3">
      <c r="A189" s="192"/>
      <c r="B189" s="208"/>
      <c r="C189" s="97" t="s">
        <v>383</v>
      </c>
      <c r="D189" s="198"/>
      <c r="E189" s="189"/>
      <c r="F189" s="216" t="s">
        <v>384</v>
      </c>
      <c r="G189" s="198"/>
      <c r="H189" s="189"/>
      <c r="I189" s="189"/>
      <c r="J189" s="221"/>
      <c r="K189" s="222"/>
      <c r="L189" s="121"/>
      <c r="M189" s="118"/>
    </row>
    <row r="190" spans="1:13" s="90" customFormat="1" ht="16.5" x14ac:dyDescent="0.3">
      <c r="A190" s="193"/>
      <c r="B190" s="207"/>
      <c r="C190" s="97" t="s">
        <v>385</v>
      </c>
      <c r="D190" s="199"/>
      <c r="E190" s="190"/>
      <c r="F190" s="217"/>
      <c r="G190" s="199"/>
      <c r="H190" s="190"/>
      <c r="I190" s="190"/>
      <c r="J190" s="210"/>
      <c r="K190" s="212"/>
      <c r="L190" s="121"/>
      <c r="M190" s="118"/>
    </row>
    <row r="191" spans="1:13" s="90" customFormat="1" ht="16.5" x14ac:dyDescent="0.3">
      <c r="A191" s="191">
        <v>6</v>
      </c>
      <c r="B191" s="206" t="s">
        <v>179</v>
      </c>
      <c r="C191" s="97" t="s">
        <v>386</v>
      </c>
      <c r="D191" s="191">
        <v>3</v>
      </c>
      <c r="E191" s="188">
        <v>396000</v>
      </c>
      <c r="F191" s="113" t="s">
        <v>387</v>
      </c>
      <c r="G191" s="197">
        <v>3</v>
      </c>
      <c r="H191" s="188">
        <v>396000</v>
      </c>
      <c r="I191" s="188"/>
      <c r="J191" s="209">
        <v>6</v>
      </c>
      <c r="K191" s="211">
        <v>792000</v>
      </c>
      <c r="L191" s="121"/>
      <c r="M191" s="118"/>
    </row>
    <row r="192" spans="1:13" s="90" customFormat="1" ht="16.5" x14ac:dyDescent="0.3">
      <c r="A192" s="192"/>
      <c r="B192" s="208"/>
      <c r="C192" s="97" t="s">
        <v>388</v>
      </c>
      <c r="D192" s="192"/>
      <c r="E192" s="189"/>
      <c r="F192" s="97" t="s">
        <v>389</v>
      </c>
      <c r="G192" s="198"/>
      <c r="H192" s="189"/>
      <c r="I192" s="189"/>
      <c r="J192" s="221"/>
      <c r="K192" s="222"/>
      <c r="L192" s="121"/>
      <c r="M192" s="118"/>
    </row>
    <row r="193" spans="1:13" s="90" customFormat="1" ht="33" x14ac:dyDescent="0.3">
      <c r="A193" s="193"/>
      <c r="B193" s="207"/>
      <c r="C193" s="97" t="s">
        <v>390</v>
      </c>
      <c r="D193" s="193"/>
      <c r="E193" s="190"/>
      <c r="F193" s="97" t="s">
        <v>391</v>
      </c>
      <c r="G193" s="199"/>
      <c r="H193" s="190"/>
      <c r="I193" s="190"/>
      <c r="J193" s="210"/>
      <c r="K193" s="212"/>
      <c r="L193" s="121"/>
      <c r="M193" s="118"/>
    </row>
    <row r="194" spans="1:13" s="90" customFormat="1" ht="16.5" x14ac:dyDescent="0.3">
      <c r="A194" s="191">
        <v>7</v>
      </c>
      <c r="B194" s="206" t="s">
        <v>392</v>
      </c>
      <c r="C194" s="97" t="s">
        <v>393</v>
      </c>
      <c r="D194" s="191">
        <v>2</v>
      </c>
      <c r="E194" s="188">
        <v>1109100</v>
      </c>
      <c r="F194" s="216"/>
      <c r="G194" s="197"/>
      <c r="H194" s="188"/>
      <c r="I194" s="188"/>
      <c r="J194" s="209">
        <v>2</v>
      </c>
      <c r="K194" s="211">
        <v>1109100</v>
      </c>
      <c r="L194" s="121"/>
      <c r="M194" s="118"/>
    </row>
    <row r="195" spans="1:13" s="90" customFormat="1" ht="38.25" customHeight="1" x14ac:dyDescent="0.3">
      <c r="A195" s="193"/>
      <c r="B195" s="207"/>
      <c r="C195" s="97" t="s">
        <v>394</v>
      </c>
      <c r="D195" s="193"/>
      <c r="E195" s="190"/>
      <c r="F195" s="217"/>
      <c r="G195" s="199"/>
      <c r="H195" s="190"/>
      <c r="I195" s="190"/>
      <c r="J195" s="210"/>
      <c r="K195" s="212"/>
      <c r="L195" s="121"/>
      <c r="M195" s="118"/>
    </row>
    <row r="196" spans="1:13" s="90" customFormat="1" ht="66" x14ac:dyDescent="0.3">
      <c r="A196" s="99">
        <v>8</v>
      </c>
      <c r="B196" s="100" t="s">
        <v>395</v>
      </c>
      <c r="C196" s="97" t="s">
        <v>396</v>
      </c>
      <c r="D196" s="99">
        <v>1</v>
      </c>
      <c r="E196" s="102">
        <v>554550</v>
      </c>
      <c r="F196" s="97" t="s">
        <v>397</v>
      </c>
      <c r="G196" s="99">
        <v>1</v>
      </c>
      <c r="H196" s="102">
        <v>554550</v>
      </c>
      <c r="I196" s="102"/>
      <c r="J196" s="104">
        <v>2</v>
      </c>
      <c r="K196" s="105">
        <v>1109100</v>
      </c>
      <c r="L196" s="121"/>
      <c r="M196" s="118"/>
    </row>
    <row r="197" spans="1:13" s="90" customFormat="1" ht="33" x14ac:dyDescent="0.3">
      <c r="A197" s="99">
        <v>9</v>
      </c>
      <c r="B197" s="106" t="s">
        <v>194</v>
      </c>
      <c r="C197" s="113" t="s">
        <v>398</v>
      </c>
      <c r="D197" s="101">
        <v>1</v>
      </c>
      <c r="E197" s="102">
        <v>281220</v>
      </c>
      <c r="F197" s="97" t="s">
        <v>399</v>
      </c>
      <c r="G197" s="101">
        <v>1</v>
      </c>
      <c r="H197" s="102">
        <v>281220</v>
      </c>
      <c r="I197" s="102"/>
      <c r="J197" s="104">
        <v>2</v>
      </c>
      <c r="K197" s="105">
        <v>562440</v>
      </c>
      <c r="L197" s="121"/>
      <c r="M197" s="118"/>
    </row>
    <row r="198" spans="1:13" s="90" customFormat="1" ht="49.5" x14ac:dyDescent="0.3">
      <c r="A198" s="99">
        <v>10</v>
      </c>
      <c r="B198" s="106" t="s">
        <v>197</v>
      </c>
      <c r="C198" s="107" t="s">
        <v>400</v>
      </c>
      <c r="D198" s="101">
        <v>1</v>
      </c>
      <c r="E198" s="102">
        <v>37530</v>
      </c>
      <c r="F198" s="97" t="s">
        <v>401</v>
      </c>
      <c r="G198" s="101">
        <v>1</v>
      </c>
      <c r="H198" s="102">
        <v>37530</v>
      </c>
      <c r="I198" s="102"/>
      <c r="J198" s="104">
        <v>2</v>
      </c>
      <c r="K198" s="105">
        <v>75060</v>
      </c>
      <c r="L198" s="121"/>
      <c r="M198" s="118"/>
    </row>
    <row r="199" spans="1:13" s="90" customFormat="1" ht="33" x14ac:dyDescent="0.3">
      <c r="A199" s="99">
        <v>11</v>
      </c>
      <c r="B199" s="106" t="s">
        <v>201</v>
      </c>
      <c r="C199" s="107" t="s">
        <v>402</v>
      </c>
      <c r="D199" s="101">
        <v>1</v>
      </c>
      <c r="E199" s="102">
        <v>240240</v>
      </c>
      <c r="F199" s="107" t="s">
        <v>403</v>
      </c>
      <c r="G199" s="101">
        <v>1</v>
      </c>
      <c r="H199" s="102">
        <v>240240</v>
      </c>
      <c r="I199" s="102"/>
      <c r="J199" s="104">
        <v>2</v>
      </c>
      <c r="K199" s="105">
        <v>480480</v>
      </c>
      <c r="L199" s="121"/>
      <c r="M199" s="118"/>
    </row>
    <row r="200" spans="1:13" s="90" customFormat="1" ht="33" x14ac:dyDescent="0.3">
      <c r="A200" s="99">
        <v>12</v>
      </c>
      <c r="B200" s="106" t="s">
        <v>205</v>
      </c>
      <c r="C200" s="107" t="s">
        <v>404</v>
      </c>
      <c r="D200" s="101">
        <v>1</v>
      </c>
      <c r="E200" s="102">
        <v>185118</v>
      </c>
      <c r="F200" s="107" t="s">
        <v>405</v>
      </c>
      <c r="G200" s="101">
        <v>1</v>
      </c>
      <c r="H200" s="102">
        <v>185118</v>
      </c>
      <c r="I200" s="102"/>
      <c r="J200" s="104">
        <v>2</v>
      </c>
      <c r="K200" s="105">
        <f>E200+H200</f>
        <v>370236</v>
      </c>
      <c r="L200" s="121"/>
      <c r="M200" s="118"/>
    </row>
    <row r="201" spans="1:13" s="90" customFormat="1" ht="16.5" x14ac:dyDescent="0.3">
      <c r="A201" s="108"/>
      <c r="B201" s="109" t="s">
        <v>11</v>
      </c>
      <c r="C201" s="109"/>
      <c r="D201" s="105"/>
      <c r="E201" s="105">
        <f>10610652+E200</f>
        <v>10795770</v>
      </c>
      <c r="F201" s="105"/>
      <c r="G201" s="105"/>
      <c r="H201" s="105">
        <f>7460520+H200</f>
        <v>7645638</v>
      </c>
      <c r="I201" s="105"/>
      <c r="J201" s="105"/>
      <c r="K201" s="105">
        <f>18071172+K200</f>
        <v>18441408</v>
      </c>
      <c r="L201" s="118"/>
      <c r="M201" s="118"/>
    </row>
    <row r="202" spans="1:13" s="90" customFormat="1" ht="16.5" x14ac:dyDescent="0.3">
      <c r="A202" s="101"/>
      <c r="B202" s="127"/>
      <c r="C202" s="136"/>
      <c r="D202" s="194" t="s">
        <v>406</v>
      </c>
      <c r="E202" s="195"/>
      <c r="F202" s="195"/>
      <c r="G202" s="195"/>
      <c r="H202" s="195"/>
      <c r="I202" s="195"/>
      <c r="J202" s="195"/>
      <c r="K202" s="196"/>
      <c r="L202" s="134"/>
      <c r="M202" s="134"/>
    </row>
    <row r="203" spans="1:13" s="90" customFormat="1" ht="66" x14ac:dyDescent="0.3">
      <c r="A203" s="99">
        <v>14</v>
      </c>
      <c r="B203" s="100" t="s">
        <v>407</v>
      </c>
      <c r="C203" s="100"/>
      <c r="D203" s="99"/>
      <c r="E203" s="102"/>
      <c r="F203" s="97" t="s">
        <v>408</v>
      </c>
      <c r="G203" s="101">
        <v>1</v>
      </c>
      <c r="H203" s="102">
        <v>276600</v>
      </c>
      <c r="I203" s="102"/>
      <c r="J203" s="104">
        <v>1</v>
      </c>
      <c r="K203" s="105">
        <v>276600</v>
      </c>
      <c r="L203" s="121"/>
      <c r="M203" s="118"/>
    </row>
    <row r="204" spans="1:13" s="90" customFormat="1" ht="49.5" x14ac:dyDescent="0.3">
      <c r="A204" s="99">
        <v>15</v>
      </c>
      <c r="B204" s="106" t="s">
        <v>409</v>
      </c>
      <c r="C204" s="107" t="s">
        <v>410</v>
      </c>
      <c r="D204" s="103">
        <v>1</v>
      </c>
      <c r="E204" s="102">
        <v>28200</v>
      </c>
      <c r="F204" s="107" t="s">
        <v>411</v>
      </c>
      <c r="G204" s="103">
        <v>1</v>
      </c>
      <c r="H204" s="102">
        <v>28200</v>
      </c>
      <c r="I204" s="102"/>
      <c r="J204" s="104">
        <v>2</v>
      </c>
      <c r="K204" s="105">
        <v>56400</v>
      </c>
      <c r="L204" s="121"/>
      <c r="M204" s="118"/>
    </row>
    <row r="205" spans="1:13" s="90" customFormat="1" ht="16.5" x14ac:dyDescent="0.3">
      <c r="A205" s="99"/>
      <c r="B205" s="109" t="s">
        <v>11</v>
      </c>
      <c r="C205" s="109"/>
      <c r="D205" s="139"/>
      <c r="E205" s="105">
        <v>28200</v>
      </c>
      <c r="F205" s="105"/>
      <c r="G205" s="105"/>
      <c r="H205" s="105">
        <v>304800</v>
      </c>
      <c r="I205" s="105"/>
      <c r="J205" s="105"/>
      <c r="K205" s="105">
        <v>333000</v>
      </c>
      <c r="L205" s="121"/>
      <c r="M205" s="118"/>
    </row>
    <row r="206" spans="1:13" s="90" customFormat="1" ht="16.5" x14ac:dyDescent="0.3">
      <c r="A206" s="99"/>
      <c r="B206" s="140" t="s">
        <v>114</v>
      </c>
      <c r="C206" s="114"/>
      <c r="D206" s="139"/>
      <c r="E206" s="105">
        <f>10638852+E200</f>
        <v>10823970</v>
      </c>
      <c r="F206" s="105"/>
      <c r="G206" s="105"/>
      <c r="H206" s="105">
        <f>7765320+H200</f>
        <v>7950438</v>
      </c>
      <c r="I206" s="105"/>
      <c r="J206" s="105"/>
      <c r="K206" s="105">
        <f>18404172+K200</f>
        <v>18774408</v>
      </c>
      <c r="L206" s="121"/>
      <c r="M206" s="118"/>
    </row>
    <row r="207" spans="1:13" s="90" customFormat="1" ht="16.5" x14ac:dyDescent="0.3">
      <c r="A207" s="115"/>
      <c r="B207" s="141"/>
      <c r="C207" s="116"/>
      <c r="D207" s="132"/>
      <c r="E207" s="118"/>
      <c r="F207" s="118"/>
      <c r="G207" s="118"/>
      <c r="H207" s="118"/>
      <c r="I207" s="118"/>
      <c r="J207" s="118"/>
      <c r="K207" s="118"/>
      <c r="L207" s="121"/>
      <c r="M207" s="118"/>
    </row>
    <row r="208" spans="1:13" s="90" customFormat="1" ht="16.5" x14ac:dyDescent="0.3">
      <c r="A208" s="115"/>
      <c r="B208" s="117"/>
      <c r="C208" s="117"/>
      <c r="D208" s="137"/>
      <c r="E208" s="119"/>
      <c r="F208" s="119"/>
      <c r="G208" s="137"/>
      <c r="H208" s="119"/>
      <c r="I208" s="119"/>
      <c r="J208" s="121"/>
      <c r="K208" s="118"/>
      <c r="L208" s="121"/>
      <c r="M208" s="118"/>
    </row>
    <row r="209" spans="1:13" s="90" customFormat="1" ht="16.5" x14ac:dyDescent="0.3">
      <c r="A209" s="115"/>
      <c r="B209" s="117"/>
      <c r="C209" s="117"/>
      <c r="D209" s="137"/>
      <c r="E209" s="119"/>
      <c r="F209" s="119"/>
      <c r="G209" s="137"/>
      <c r="H209" s="119"/>
      <c r="I209" s="119"/>
      <c r="J209" s="121"/>
      <c r="K209" s="118"/>
      <c r="L209" s="121"/>
      <c r="M209" s="118"/>
    </row>
    <row r="210" spans="1:13" s="90" customFormat="1" ht="16.5" x14ac:dyDescent="0.3">
      <c r="A210" s="93"/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228" t="s">
        <v>51</v>
      </c>
      <c r="M210" s="228"/>
    </row>
    <row r="211" spans="1:13" s="90" customFormat="1" ht="16.5" x14ac:dyDescent="0.3">
      <c r="A211" s="224" t="s">
        <v>412</v>
      </c>
      <c r="B211" s="224"/>
      <c r="C211" s="224"/>
      <c r="D211" s="224"/>
      <c r="E211" s="224"/>
      <c r="F211" s="224"/>
      <c r="G211" s="224"/>
      <c r="H211" s="224"/>
      <c r="I211" s="224"/>
      <c r="J211" s="224"/>
      <c r="K211" s="224"/>
      <c r="L211" s="224"/>
      <c r="M211" s="224"/>
    </row>
    <row r="212" spans="1:13" s="90" customFormat="1" ht="16.5" x14ac:dyDescent="0.3">
      <c r="A212" s="95"/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</row>
    <row r="213" spans="1:13" s="90" customFormat="1" ht="16.5" x14ac:dyDescent="0.3">
      <c r="A213" s="93"/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225" t="s">
        <v>5</v>
      </c>
      <c r="M213" s="225"/>
    </row>
    <row r="214" spans="1:13" s="90" customFormat="1" ht="16.5" x14ac:dyDescent="0.3">
      <c r="A214" s="202" t="s">
        <v>6</v>
      </c>
      <c r="B214" s="223" t="s">
        <v>7</v>
      </c>
      <c r="C214" s="233" t="s">
        <v>217</v>
      </c>
      <c r="D214" s="223" t="s">
        <v>53</v>
      </c>
      <c r="E214" s="223"/>
      <c r="F214" s="226" t="s">
        <v>217</v>
      </c>
      <c r="G214" s="223" t="s">
        <v>54</v>
      </c>
      <c r="H214" s="223"/>
      <c r="I214" s="233" t="s">
        <v>217</v>
      </c>
      <c r="J214" s="223" t="s">
        <v>55</v>
      </c>
      <c r="K214" s="223"/>
      <c r="L214" s="223" t="s">
        <v>11</v>
      </c>
      <c r="M214" s="223"/>
    </row>
    <row r="215" spans="1:13" s="90" customFormat="1" ht="16.5" x14ac:dyDescent="0.3">
      <c r="A215" s="202"/>
      <c r="B215" s="223"/>
      <c r="C215" s="235"/>
      <c r="D215" s="122" t="s">
        <v>12</v>
      </c>
      <c r="E215" s="123" t="s">
        <v>14</v>
      </c>
      <c r="F215" s="227"/>
      <c r="G215" s="122" t="s">
        <v>12</v>
      </c>
      <c r="H215" s="123" t="s">
        <v>14</v>
      </c>
      <c r="I215" s="235"/>
      <c r="J215" s="122" t="s">
        <v>12</v>
      </c>
      <c r="K215" s="123" t="s">
        <v>14</v>
      </c>
      <c r="L215" s="122" t="s">
        <v>12</v>
      </c>
      <c r="M215" s="123" t="s">
        <v>14</v>
      </c>
    </row>
    <row r="216" spans="1:13" s="90" customFormat="1" ht="16.5" x14ac:dyDescent="0.3">
      <c r="A216" s="202"/>
      <c r="B216" s="223"/>
      <c r="C216" s="194" t="s">
        <v>288</v>
      </c>
      <c r="D216" s="195"/>
      <c r="E216" s="195"/>
      <c r="F216" s="195"/>
      <c r="G216" s="195"/>
      <c r="H216" s="195"/>
      <c r="I216" s="195"/>
      <c r="J216" s="195"/>
      <c r="K216" s="195"/>
      <c r="L216" s="195"/>
      <c r="M216" s="196"/>
    </row>
    <row r="217" spans="1:13" s="90" customFormat="1" ht="16.5" x14ac:dyDescent="0.3">
      <c r="A217" s="191">
        <v>1</v>
      </c>
      <c r="B217" s="206" t="s">
        <v>126</v>
      </c>
      <c r="C217" s="191"/>
      <c r="D217" s="191"/>
      <c r="E217" s="191"/>
      <c r="F217" s="97" t="s">
        <v>413</v>
      </c>
      <c r="G217" s="197">
        <v>6</v>
      </c>
      <c r="H217" s="188">
        <v>3723300</v>
      </c>
      <c r="I217" s="97" t="s">
        <v>414</v>
      </c>
      <c r="J217" s="197">
        <v>6</v>
      </c>
      <c r="K217" s="188">
        <v>3723300</v>
      </c>
      <c r="L217" s="209">
        <v>12</v>
      </c>
      <c r="M217" s="211">
        <v>7446600</v>
      </c>
    </row>
    <row r="218" spans="1:13" s="90" customFormat="1" ht="16.5" x14ac:dyDescent="0.3">
      <c r="A218" s="192"/>
      <c r="B218" s="208"/>
      <c r="C218" s="192"/>
      <c r="D218" s="192"/>
      <c r="E218" s="192"/>
      <c r="F218" s="97" t="s">
        <v>415</v>
      </c>
      <c r="G218" s="198"/>
      <c r="H218" s="189"/>
      <c r="I218" s="97" t="s">
        <v>416</v>
      </c>
      <c r="J218" s="198"/>
      <c r="K218" s="189"/>
      <c r="L218" s="221"/>
      <c r="M218" s="222"/>
    </row>
    <row r="219" spans="1:13" s="90" customFormat="1" ht="16.5" x14ac:dyDescent="0.3">
      <c r="A219" s="192"/>
      <c r="B219" s="208"/>
      <c r="C219" s="192"/>
      <c r="D219" s="192"/>
      <c r="E219" s="192"/>
      <c r="F219" s="97" t="s">
        <v>417</v>
      </c>
      <c r="G219" s="198"/>
      <c r="H219" s="189"/>
      <c r="I219" s="97" t="s">
        <v>418</v>
      </c>
      <c r="J219" s="198"/>
      <c r="K219" s="189"/>
      <c r="L219" s="221"/>
      <c r="M219" s="222"/>
    </row>
    <row r="220" spans="1:13" s="90" customFormat="1" ht="16.5" x14ac:dyDescent="0.3">
      <c r="A220" s="192"/>
      <c r="B220" s="208"/>
      <c r="C220" s="192"/>
      <c r="D220" s="192"/>
      <c r="E220" s="192"/>
      <c r="F220" s="97" t="s">
        <v>419</v>
      </c>
      <c r="G220" s="198"/>
      <c r="H220" s="189"/>
      <c r="I220" s="97" t="s">
        <v>420</v>
      </c>
      <c r="J220" s="198"/>
      <c r="K220" s="189"/>
      <c r="L220" s="221"/>
      <c r="M220" s="222"/>
    </row>
    <row r="221" spans="1:13" s="90" customFormat="1" ht="16.5" x14ac:dyDescent="0.3">
      <c r="A221" s="192"/>
      <c r="B221" s="208"/>
      <c r="C221" s="192"/>
      <c r="D221" s="192"/>
      <c r="E221" s="192"/>
      <c r="F221" s="97" t="s">
        <v>421</v>
      </c>
      <c r="G221" s="198"/>
      <c r="H221" s="189"/>
      <c r="I221" s="97" t="s">
        <v>422</v>
      </c>
      <c r="J221" s="198"/>
      <c r="K221" s="189"/>
      <c r="L221" s="221"/>
      <c r="M221" s="222"/>
    </row>
    <row r="222" spans="1:13" s="90" customFormat="1" ht="16.5" x14ac:dyDescent="0.3">
      <c r="A222" s="193"/>
      <c r="B222" s="207"/>
      <c r="C222" s="193"/>
      <c r="D222" s="193"/>
      <c r="E222" s="193"/>
      <c r="F222" s="97" t="s">
        <v>423</v>
      </c>
      <c r="G222" s="199"/>
      <c r="H222" s="190"/>
      <c r="I222" s="97" t="s">
        <v>424</v>
      </c>
      <c r="J222" s="199"/>
      <c r="K222" s="190"/>
      <c r="L222" s="210"/>
      <c r="M222" s="212"/>
    </row>
    <row r="223" spans="1:13" s="90" customFormat="1" ht="16.5" x14ac:dyDescent="0.3">
      <c r="A223" s="191">
        <v>2</v>
      </c>
      <c r="B223" s="206" t="s">
        <v>146</v>
      </c>
      <c r="C223" s="206"/>
      <c r="D223" s="191"/>
      <c r="E223" s="188"/>
      <c r="F223" s="97" t="s">
        <v>425</v>
      </c>
      <c r="G223" s="197">
        <v>6</v>
      </c>
      <c r="H223" s="188">
        <v>573660</v>
      </c>
      <c r="I223" s="97" t="s">
        <v>426</v>
      </c>
      <c r="J223" s="197">
        <v>6</v>
      </c>
      <c r="K223" s="188">
        <v>573660</v>
      </c>
      <c r="L223" s="209">
        <v>12</v>
      </c>
      <c r="M223" s="211">
        <v>1147320</v>
      </c>
    </row>
    <row r="224" spans="1:13" s="90" customFormat="1" ht="16.5" x14ac:dyDescent="0.3">
      <c r="A224" s="192"/>
      <c r="B224" s="208"/>
      <c r="C224" s="208"/>
      <c r="D224" s="192"/>
      <c r="E224" s="189"/>
      <c r="F224" s="97" t="s">
        <v>427</v>
      </c>
      <c r="G224" s="198"/>
      <c r="H224" s="189"/>
      <c r="I224" s="97" t="s">
        <v>428</v>
      </c>
      <c r="J224" s="198"/>
      <c r="K224" s="189"/>
      <c r="L224" s="221"/>
      <c r="M224" s="222"/>
    </row>
    <row r="225" spans="1:13" s="90" customFormat="1" ht="16.5" x14ac:dyDescent="0.3">
      <c r="A225" s="192"/>
      <c r="B225" s="208"/>
      <c r="C225" s="208"/>
      <c r="D225" s="192"/>
      <c r="E225" s="189"/>
      <c r="F225" s="97" t="s">
        <v>429</v>
      </c>
      <c r="G225" s="198"/>
      <c r="H225" s="189"/>
      <c r="I225" s="97" t="s">
        <v>430</v>
      </c>
      <c r="J225" s="198"/>
      <c r="K225" s="189"/>
      <c r="L225" s="221"/>
      <c r="M225" s="222"/>
    </row>
    <row r="226" spans="1:13" s="90" customFormat="1" ht="16.5" x14ac:dyDescent="0.3">
      <c r="A226" s="192"/>
      <c r="B226" s="208"/>
      <c r="C226" s="208"/>
      <c r="D226" s="192"/>
      <c r="E226" s="189"/>
      <c r="F226" s="97" t="s">
        <v>431</v>
      </c>
      <c r="G226" s="198"/>
      <c r="H226" s="189"/>
      <c r="I226" s="97" t="s">
        <v>432</v>
      </c>
      <c r="J226" s="198"/>
      <c r="K226" s="189"/>
      <c r="L226" s="221"/>
      <c r="M226" s="222"/>
    </row>
    <row r="227" spans="1:13" s="90" customFormat="1" ht="16.5" x14ac:dyDescent="0.3">
      <c r="A227" s="192"/>
      <c r="B227" s="208"/>
      <c r="C227" s="208"/>
      <c r="D227" s="192"/>
      <c r="E227" s="189"/>
      <c r="F227" s="97" t="s">
        <v>433</v>
      </c>
      <c r="G227" s="198"/>
      <c r="H227" s="189"/>
      <c r="I227" s="97" t="s">
        <v>434</v>
      </c>
      <c r="J227" s="198"/>
      <c r="K227" s="189"/>
      <c r="L227" s="221"/>
      <c r="M227" s="222"/>
    </row>
    <row r="228" spans="1:13" s="90" customFormat="1" ht="16.5" x14ac:dyDescent="0.3">
      <c r="A228" s="193"/>
      <c r="B228" s="207"/>
      <c r="C228" s="207"/>
      <c r="D228" s="193"/>
      <c r="E228" s="190"/>
      <c r="F228" s="97" t="s">
        <v>435</v>
      </c>
      <c r="G228" s="199"/>
      <c r="H228" s="190"/>
      <c r="I228" s="97" t="s">
        <v>436</v>
      </c>
      <c r="J228" s="199"/>
      <c r="K228" s="190"/>
      <c r="L228" s="210"/>
      <c r="M228" s="212"/>
    </row>
    <row r="229" spans="1:13" s="90" customFormat="1" ht="16.5" x14ac:dyDescent="0.3">
      <c r="A229" s="191">
        <v>3</v>
      </c>
      <c r="B229" s="206" t="s">
        <v>166</v>
      </c>
      <c r="C229" s="206"/>
      <c r="D229" s="191"/>
      <c r="E229" s="188"/>
      <c r="F229" s="97">
        <v>40046121210</v>
      </c>
      <c r="G229" s="197">
        <v>6</v>
      </c>
      <c r="H229" s="188">
        <v>224712</v>
      </c>
      <c r="I229" s="97">
        <v>40046181210</v>
      </c>
      <c r="J229" s="197">
        <v>6</v>
      </c>
      <c r="K229" s="188">
        <v>224712</v>
      </c>
      <c r="L229" s="209">
        <v>12</v>
      </c>
      <c r="M229" s="211">
        <v>449424</v>
      </c>
    </row>
    <row r="230" spans="1:13" s="90" customFormat="1" ht="16.5" x14ac:dyDescent="0.3">
      <c r="A230" s="192"/>
      <c r="B230" s="208"/>
      <c r="C230" s="208"/>
      <c r="D230" s="192"/>
      <c r="E230" s="189"/>
      <c r="F230" s="97">
        <v>40046131210</v>
      </c>
      <c r="G230" s="198"/>
      <c r="H230" s="189"/>
      <c r="I230" s="97">
        <v>40046191210</v>
      </c>
      <c r="J230" s="198"/>
      <c r="K230" s="189"/>
      <c r="L230" s="221"/>
      <c r="M230" s="222"/>
    </row>
    <row r="231" spans="1:13" s="90" customFormat="1" ht="16.5" x14ac:dyDescent="0.3">
      <c r="A231" s="192"/>
      <c r="B231" s="208"/>
      <c r="C231" s="208"/>
      <c r="D231" s="192"/>
      <c r="E231" s="189"/>
      <c r="F231" s="97">
        <v>40046141210</v>
      </c>
      <c r="G231" s="198"/>
      <c r="H231" s="189"/>
      <c r="I231" s="97">
        <v>40046201210</v>
      </c>
      <c r="J231" s="198"/>
      <c r="K231" s="189"/>
      <c r="L231" s="221"/>
      <c r="M231" s="222"/>
    </row>
    <row r="232" spans="1:13" s="90" customFormat="1" ht="16.5" x14ac:dyDescent="0.3">
      <c r="A232" s="192"/>
      <c r="B232" s="208"/>
      <c r="C232" s="208"/>
      <c r="D232" s="192"/>
      <c r="E232" s="189"/>
      <c r="F232" s="97">
        <v>20002311208</v>
      </c>
      <c r="G232" s="198"/>
      <c r="H232" s="189"/>
      <c r="I232" s="97">
        <v>20002071208</v>
      </c>
      <c r="J232" s="198"/>
      <c r="K232" s="189"/>
      <c r="L232" s="221"/>
      <c r="M232" s="222"/>
    </row>
    <row r="233" spans="1:13" s="90" customFormat="1" ht="16.5" x14ac:dyDescent="0.3">
      <c r="A233" s="192"/>
      <c r="B233" s="208"/>
      <c r="C233" s="208"/>
      <c r="D233" s="192"/>
      <c r="E233" s="189"/>
      <c r="F233" s="97">
        <v>20002321208</v>
      </c>
      <c r="G233" s="198"/>
      <c r="H233" s="189"/>
      <c r="I233" s="97">
        <v>20002081208</v>
      </c>
      <c r="J233" s="198"/>
      <c r="K233" s="189"/>
      <c r="L233" s="221"/>
      <c r="M233" s="222"/>
    </row>
    <row r="234" spans="1:13" s="90" customFormat="1" ht="16.5" x14ac:dyDescent="0.3">
      <c r="A234" s="193"/>
      <c r="B234" s="207"/>
      <c r="C234" s="207"/>
      <c r="D234" s="193"/>
      <c r="E234" s="190"/>
      <c r="F234" s="97">
        <v>20002331208</v>
      </c>
      <c r="G234" s="199"/>
      <c r="H234" s="190"/>
      <c r="I234" s="97">
        <v>20002091208</v>
      </c>
      <c r="J234" s="199"/>
      <c r="K234" s="190"/>
      <c r="L234" s="210"/>
      <c r="M234" s="212"/>
    </row>
    <row r="235" spans="1:13" s="90" customFormat="1" ht="49.5" x14ac:dyDescent="0.3">
      <c r="A235" s="99">
        <v>4</v>
      </c>
      <c r="B235" s="100" t="s">
        <v>167</v>
      </c>
      <c r="C235" s="100"/>
      <c r="D235" s="101"/>
      <c r="E235" s="102"/>
      <c r="F235" s="97" t="s">
        <v>437</v>
      </c>
      <c r="G235" s="101">
        <v>1</v>
      </c>
      <c r="H235" s="102">
        <v>895500</v>
      </c>
      <c r="I235" s="102"/>
      <c r="J235" s="101"/>
      <c r="K235" s="102"/>
      <c r="L235" s="104">
        <v>1</v>
      </c>
      <c r="M235" s="105">
        <v>895500</v>
      </c>
    </row>
    <row r="236" spans="1:13" s="90" customFormat="1" ht="16.5" x14ac:dyDescent="0.3">
      <c r="A236" s="191">
        <v>5</v>
      </c>
      <c r="B236" s="206" t="s">
        <v>171</v>
      </c>
      <c r="C236" s="206"/>
      <c r="D236" s="197"/>
      <c r="E236" s="188"/>
      <c r="F236" s="142" t="s">
        <v>438</v>
      </c>
      <c r="G236" s="197">
        <v>2</v>
      </c>
      <c r="H236" s="188">
        <v>533808</v>
      </c>
      <c r="I236" s="188" t="s">
        <v>439</v>
      </c>
      <c r="J236" s="197">
        <v>1</v>
      </c>
      <c r="K236" s="188">
        <v>266904</v>
      </c>
      <c r="L236" s="209">
        <v>3</v>
      </c>
      <c r="M236" s="211">
        <v>800712</v>
      </c>
    </row>
    <row r="237" spans="1:13" s="90" customFormat="1" ht="16.5" x14ac:dyDescent="0.3">
      <c r="A237" s="193"/>
      <c r="B237" s="207"/>
      <c r="C237" s="207"/>
      <c r="D237" s="199"/>
      <c r="E237" s="190"/>
      <c r="F237" s="97" t="s">
        <v>440</v>
      </c>
      <c r="G237" s="199"/>
      <c r="H237" s="190"/>
      <c r="I237" s="190"/>
      <c r="J237" s="199"/>
      <c r="K237" s="190"/>
      <c r="L237" s="210"/>
      <c r="M237" s="212"/>
    </row>
    <row r="238" spans="1:13" s="90" customFormat="1" ht="16.5" x14ac:dyDescent="0.3">
      <c r="A238" s="191">
        <v>6</v>
      </c>
      <c r="B238" s="206" t="s">
        <v>179</v>
      </c>
      <c r="C238" s="206" t="s">
        <v>441</v>
      </c>
      <c r="D238" s="191">
        <v>1</v>
      </c>
      <c r="E238" s="188">
        <v>132000</v>
      </c>
      <c r="F238" s="97" t="s">
        <v>442</v>
      </c>
      <c r="G238" s="197">
        <v>3</v>
      </c>
      <c r="H238" s="188">
        <v>396000</v>
      </c>
      <c r="I238" s="188" t="s">
        <v>443</v>
      </c>
      <c r="J238" s="197">
        <v>2</v>
      </c>
      <c r="K238" s="188">
        <v>264000</v>
      </c>
      <c r="L238" s="209">
        <v>6</v>
      </c>
      <c r="M238" s="211">
        <v>792000</v>
      </c>
    </row>
    <row r="239" spans="1:13" s="90" customFormat="1" ht="16.5" x14ac:dyDescent="0.3">
      <c r="A239" s="192"/>
      <c r="B239" s="208"/>
      <c r="C239" s="208"/>
      <c r="D239" s="192"/>
      <c r="E239" s="189"/>
      <c r="F239" s="97" t="s">
        <v>444</v>
      </c>
      <c r="G239" s="198"/>
      <c r="H239" s="189"/>
      <c r="I239" s="190"/>
      <c r="J239" s="198"/>
      <c r="K239" s="189"/>
      <c r="L239" s="221"/>
      <c r="M239" s="222"/>
    </row>
    <row r="240" spans="1:13" s="90" customFormat="1" ht="33" x14ac:dyDescent="0.3">
      <c r="A240" s="193"/>
      <c r="B240" s="207"/>
      <c r="C240" s="207"/>
      <c r="D240" s="193"/>
      <c r="E240" s="190"/>
      <c r="F240" s="97" t="s">
        <v>445</v>
      </c>
      <c r="G240" s="199"/>
      <c r="H240" s="190"/>
      <c r="I240" s="97" t="s">
        <v>446</v>
      </c>
      <c r="J240" s="199"/>
      <c r="K240" s="190"/>
      <c r="L240" s="210"/>
      <c r="M240" s="212"/>
    </row>
    <row r="241" spans="1:13" s="90" customFormat="1" ht="66" x14ac:dyDescent="0.3">
      <c r="A241" s="99">
        <v>7</v>
      </c>
      <c r="B241" s="100" t="s">
        <v>188</v>
      </c>
      <c r="C241" s="100"/>
      <c r="D241" s="99"/>
      <c r="E241" s="102"/>
      <c r="F241" s="97" t="s">
        <v>447</v>
      </c>
      <c r="G241" s="101">
        <v>1</v>
      </c>
      <c r="H241" s="102">
        <v>554550</v>
      </c>
      <c r="I241" s="102"/>
      <c r="J241" s="101"/>
      <c r="K241" s="102"/>
      <c r="L241" s="104">
        <v>1</v>
      </c>
      <c r="M241" s="105">
        <v>554550</v>
      </c>
    </row>
    <row r="242" spans="1:13" s="90" customFormat="1" ht="33" x14ac:dyDescent="0.3">
      <c r="A242" s="99">
        <v>8</v>
      </c>
      <c r="B242" s="106" t="s">
        <v>194</v>
      </c>
      <c r="C242" s="106"/>
      <c r="D242" s="111"/>
      <c r="E242" s="111"/>
      <c r="F242" s="124" t="s">
        <v>448</v>
      </c>
      <c r="G242" s="101">
        <v>1</v>
      </c>
      <c r="H242" s="102">
        <v>281220</v>
      </c>
      <c r="I242" s="102"/>
      <c r="J242" s="101"/>
      <c r="K242" s="102"/>
      <c r="L242" s="104">
        <v>1</v>
      </c>
      <c r="M242" s="105">
        <v>281220</v>
      </c>
    </row>
    <row r="243" spans="1:13" s="90" customFormat="1" ht="49.5" x14ac:dyDescent="0.3">
      <c r="A243" s="99">
        <v>9</v>
      </c>
      <c r="B243" s="106" t="s">
        <v>197</v>
      </c>
      <c r="C243" s="107" t="s">
        <v>449</v>
      </c>
      <c r="D243" s="101">
        <v>1</v>
      </c>
      <c r="E243" s="102">
        <v>37530</v>
      </c>
      <c r="F243" s="107" t="s">
        <v>450</v>
      </c>
      <c r="G243" s="101">
        <v>1</v>
      </c>
      <c r="H243" s="102">
        <v>37530</v>
      </c>
      <c r="I243" s="107" t="s">
        <v>451</v>
      </c>
      <c r="J243" s="101">
        <v>1</v>
      </c>
      <c r="K243" s="102">
        <v>37530</v>
      </c>
      <c r="L243" s="104">
        <v>3</v>
      </c>
      <c r="M243" s="105">
        <v>112590</v>
      </c>
    </row>
    <row r="244" spans="1:13" s="90" customFormat="1" ht="33" x14ac:dyDescent="0.3">
      <c r="A244" s="99">
        <v>10</v>
      </c>
      <c r="B244" s="106" t="s">
        <v>201</v>
      </c>
      <c r="C244" s="107" t="s">
        <v>452</v>
      </c>
      <c r="D244" s="101">
        <v>1</v>
      </c>
      <c r="E244" s="102">
        <v>240240</v>
      </c>
      <c r="F244" s="107" t="s">
        <v>453</v>
      </c>
      <c r="G244" s="101">
        <v>1</v>
      </c>
      <c r="H244" s="102">
        <v>240240</v>
      </c>
      <c r="I244" s="107" t="s">
        <v>454</v>
      </c>
      <c r="J244" s="101">
        <v>1</v>
      </c>
      <c r="K244" s="102">
        <v>240240</v>
      </c>
      <c r="L244" s="104">
        <v>3</v>
      </c>
      <c r="M244" s="105">
        <v>720720</v>
      </c>
    </row>
    <row r="245" spans="1:13" s="90" customFormat="1" ht="33" x14ac:dyDescent="0.3">
      <c r="A245" s="99">
        <v>11</v>
      </c>
      <c r="B245" s="106" t="s">
        <v>205</v>
      </c>
      <c r="C245" s="107"/>
      <c r="D245" s="101"/>
      <c r="E245" s="102"/>
      <c r="F245" s="107"/>
      <c r="G245" s="101"/>
      <c r="H245" s="102"/>
      <c r="I245" s="107" t="s">
        <v>455</v>
      </c>
      <c r="J245" s="101">
        <v>1</v>
      </c>
      <c r="K245" s="102">
        <v>185118</v>
      </c>
      <c r="L245" s="104">
        <v>1</v>
      </c>
      <c r="M245" s="105">
        <f>K245</f>
        <v>185118</v>
      </c>
    </row>
    <row r="246" spans="1:13" s="90" customFormat="1" ht="16.5" x14ac:dyDescent="0.3">
      <c r="A246" s="108"/>
      <c r="B246" s="109" t="s">
        <v>11</v>
      </c>
      <c r="C246" s="109"/>
      <c r="D246" s="105"/>
      <c r="E246" s="105">
        <v>409770</v>
      </c>
      <c r="F246" s="105"/>
      <c r="G246" s="105"/>
      <c r="H246" s="105">
        <v>7460520</v>
      </c>
      <c r="I246" s="105"/>
      <c r="J246" s="105"/>
      <c r="K246" s="105">
        <f>5330346+K245</f>
        <v>5515464</v>
      </c>
      <c r="L246" s="105"/>
      <c r="M246" s="105">
        <f>13200636+M245</f>
        <v>13385754</v>
      </c>
    </row>
    <row r="247" spans="1:13" s="90" customFormat="1" ht="16.5" x14ac:dyDescent="0.3">
      <c r="A247" s="101"/>
      <c r="B247" s="111"/>
      <c r="C247" s="112"/>
      <c r="D247" s="195" t="s">
        <v>208</v>
      </c>
      <c r="E247" s="195"/>
      <c r="F247" s="195"/>
      <c r="G247" s="195"/>
      <c r="H247" s="195"/>
      <c r="I247" s="195"/>
      <c r="J247" s="195"/>
      <c r="K247" s="195"/>
      <c r="L247" s="195"/>
      <c r="M247" s="196"/>
    </row>
    <row r="248" spans="1:13" s="90" customFormat="1" ht="66" x14ac:dyDescent="0.3">
      <c r="A248" s="101">
        <v>12</v>
      </c>
      <c r="B248" s="100" t="s">
        <v>209</v>
      </c>
      <c r="C248" s="100"/>
      <c r="D248" s="99"/>
      <c r="E248" s="99"/>
      <c r="F248" s="99"/>
      <c r="G248" s="99"/>
      <c r="H248" s="102"/>
      <c r="I248" s="97" t="s">
        <v>456</v>
      </c>
      <c r="J248" s="99">
        <v>1</v>
      </c>
      <c r="K248" s="102">
        <v>276600</v>
      </c>
      <c r="L248" s="104">
        <v>1</v>
      </c>
      <c r="M248" s="105">
        <v>276600</v>
      </c>
    </row>
    <row r="249" spans="1:13" s="90" customFormat="1" ht="49.5" x14ac:dyDescent="0.3">
      <c r="A249" s="99">
        <v>13</v>
      </c>
      <c r="B249" s="106" t="s">
        <v>212</v>
      </c>
      <c r="C249" s="107" t="s">
        <v>457</v>
      </c>
      <c r="D249" s="103">
        <v>1</v>
      </c>
      <c r="E249" s="102">
        <v>28200</v>
      </c>
      <c r="F249" s="107" t="s">
        <v>458</v>
      </c>
      <c r="G249" s="103">
        <v>1</v>
      </c>
      <c r="H249" s="102">
        <v>28200</v>
      </c>
      <c r="I249" s="107" t="s">
        <v>459</v>
      </c>
      <c r="J249" s="103">
        <v>1</v>
      </c>
      <c r="K249" s="102">
        <v>28200</v>
      </c>
      <c r="L249" s="104">
        <v>3</v>
      </c>
      <c r="M249" s="105">
        <v>84600</v>
      </c>
    </row>
    <row r="250" spans="1:13" s="90" customFormat="1" ht="16.5" x14ac:dyDescent="0.3">
      <c r="A250" s="99"/>
      <c r="B250" s="109" t="s">
        <v>11</v>
      </c>
      <c r="C250" s="109"/>
      <c r="D250" s="128"/>
      <c r="E250" s="105">
        <v>28200</v>
      </c>
      <c r="F250" s="105"/>
      <c r="G250" s="105"/>
      <c r="H250" s="105">
        <v>28200</v>
      </c>
      <c r="I250" s="105"/>
      <c r="J250" s="105"/>
      <c r="K250" s="105">
        <v>304800</v>
      </c>
      <c r="L250" s="105"/>
      <c r="M250" s="105">
        <v>361200</v>
      </c>
    </row>
    <row r="251" spans="1:13" s="90" customFormat="1" ht="16.5" x14ac:dyDescent="0.3">
      <c r="A251" s="108"/>
      <c r="B251" s="114" t="s">
        <v>114</v>
      </c>
      <c r="C251" s="114"/>
      <c r="D251" s="129"/>
      <c r="E251" s="105">
        <v>437970</v>
      </c>
      <c r="F251" s="105"/>
      <c r="G251" s="105"/>
      <c r="H251" s="105">
        <v>7488720</v>
      </c>
      <c r="I251" s="105"/>
      <c r="J251" s="105"/>
      <c r="K251" s="105">
        <f>5635146+K245</f>
        <v>5820264</v>
      </c>
      <c r="L251" s="105"/>
      <c r="M251" s="105">
        <f>13561836+M245</f>
        <v>13746954</v>
      </c>
    </row>
    <row r="252" spans="1:13" s="90" customFormat="1" ht="16.5" x14ac:dyDescent="0.3">
      <c r="A252" s="93"/>
      <c r="B252" s="94"/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4"/>
    </row>
    <row r="253" spans="1:13" s="90" customFormat="1" ht="16.5" x14ac:dyDescent="0.3">
      <c r="A253" s="93"/>
      <c r="B253" s="94"/>
      <c r="C253" s="94"/>
      <c r="D253" s="94"/>
      <c r="E253" s="94"/>
      <c r="F253" s="94"/>
      <c r="G253" s="94"/>
      <c r="H253" s="94"/>
      <c r="I253" s="94"/>
      <c r="J253" s="94"/>
      <c r="K253" s="94"/>
      <c r="L253" s="94"/>
      <c r="M253" s="94"/>
    </row>
    <row r="254" spans="1:13" s="90" customFormat="1" ht="16.5" x14ac:dyDescent="0.3">
      <c r="A254" s="93"/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228" t="s">
        <v>57</v>
      </c>
      <c r="M254" s="228"/>
    </row>
    <row r="255" spans="1:13" s="90" customFormat="1" ht="16.5" x14ac:dyDescent="0.3">
      <c r="A255" s="224" t="s">
        <v>460</v>
      </c>
      <c r="B255" s="224"/>
      <c r="C255" s="224"/>
      <c r="D255" s="224"/>
      <c r="E255" s="224"/>
      <c r="F255" s="224"/>
      <c r="G255" s="224"/>
      <c r="H255" s="224"/>
      <c r="I255" s="224"/>
      <c r="J255" s="224"/>
      <c r="K255" s="224"/>
      <c r="L255" s="224"/>
      <c r="M255" s="224"/>
    </row>
    <row r="256" spans="1:13" s="90" customFormat="1" ht="16.5" x14ac:dyDescent="0.3">
      <c r="A256" s="93"/>
      <c r="B256" s="94"/>
      <c r="C256" s="94"/>
      <c r="D256" s="94"/>
      <c r="E256" s="94"/>
      <c r="F256" s="94"/>
      <c r="G256" s="94"/>
      <c r="H256" s="94"/>
      <c r="I256" s="94"/>
      <c r="J256" s="94"/>
      <c r="K256" s="94"/>
      <c r="L256" s="225" t="s">
        <v>5</v>
      </c>
      <c r="M256" s="225"/>
    </row>
    <row r="257" spans="1:13" s="90" customFormat="1" ht="16.5" x14ac:dyDescent="0.3">
      <c r="A257" s="202" t="s">
        <v>6</v>
      </c>
      <c r="B257" s="223" t="s">
        <v>7</v>
      </c>
      <c r="C257" s="233" t="s">
        <v>217</v>
      </c>
      <c r="D257" s="223" t="s">
        <v>59</v>
      </c>
      <c r="E257" s="223"/>
      <c r="F257" s="226" t="s">
        <v>217</v>
      </c>
      <c r="G257" s="223" t="s">
        <v>60</v>
      </c>
      <c r="H257" s="223"/>
      <c r="I257" s="233" t="s">
        <v>217</v>
      </c>
      <c r="J257" s="223" t="s">
        <v>61</v>
      </c>
      <c r="K257" s="223"/>
      <c r="L257" s="223" t="s">
        <v>11</v>
      </c>
      <c r="M257" s="223"/>
    </row>
    <row r="258" spans="1:13" s="90" customFormat="1" ht="16.5" x14ac:dyDescent="0.3">
      <c r="A258" s="202"/>
      <c r="B258" s="223"/>
      <c r="C258" s="234"/>
      <c r="D258" s="139" t="s">
        <v>12</v>
      </c>
      <c r="E258" s="143" t="s">
        <v>14</v>
      </c>
      <c r="F258" s="227"/>
      <c r="G258" s="139" t="s">
        <v>12</v>
      </c>
      <c r="H258" s="143" t="s">
        <v>14</v>
      </c>
      <c r="I258" s="234"/>
      <c r="J258" s="139" t="s">
        <v>12</v>
      </c>
      <c r="K258" s="143" t="s">
        <v>14</v>
      </c>
      <c r="L258" s="139" t="s">
        <v>12</v>
      </c>
      <c r="M258" s="143" t="s">
        <v>14</v>
      </c>
    </row>
    <row r="259" spans="1:13" s="90" customFormat="1" ht="16.5" x14ac:dyDescent="0.3">
      <c r="A259" s="202"/>
      <c r="B259" s="223"/>
      <c r="C259" s="194" t="s">
        <v>125</v>
      </c>
      <c r="D259" s="195"/>
      <c r="E259" s="195"/>
      <c r="F259" s="195"/>
      <c r="G259" s="195"/>
      <c r="H259" s="195"/>
      <c r="I259" s="195"/>
      <c r="J259" s="195"/>
      <c r="K259" s="195"/>
      <c r="L259" s="195"/>
      <c r="M259" s="196"/>
    </row>
    <row r="260" spans="1:13" s="90" customFormat="1" ht="16.5" x14ac:dyDescent="0.3">
      <c r="A260" s="186">
        <v>1</v>
      </c>
      <c r="B260" s="187" t="s">
        <v>126</v>
      </c>
      <c r="C260" s="97" t="s">
        <v>461</v>
      </c>
      <c r="D260" s="187">
        <v>6</v>
      </c>
      <c r="E260" s="201">
        <v>3723300</v>
      </c>
      <c r="F260" s="97" t="s">
        <v>462</v>
      </c>
      <c r="G260" s="229">
        <v>7</v>
      </c>
      <c r="H260" s="188">
        <v>4343850</v>
      </c>
      <c r="I260" s="97" t="s">
        <v>463</v>
      </c>
      <c r="J260" s="232">
        <v>7</v>
      </c>
      <c r="K260" s="201">
        <v>4343850</v>
      </c>
      <c r="L260" s="202">
        <v>20</v>
      </c>
      <c r="M260" s="203">
        <v>12411000</v>
      </c>
    </row>
    <row r="261" spans="1:13" s="90" customFormat="1" ht="16.5" x14ac:dyDescent="0.3">
      <c r="A261" s="186"/>
      <c r="B261" s="187"/>
      <c r="C261" s="97" t="s">
        <v>464</v>
      </c>
      <c r="D261" s="187"/>
      <c r="E261" s="201"/>
      <c r="F261" s="97" t="s">
        <v>465</v>
      </c>
      <c r="G261" s="230"/>
      <c r="H261" s="189"/>
      <c r="I261" s="97" t="s">
        <v>466</v>
      </c>
      <c r="J261" s="232"/>
      <c r="K261" s="201"/>
      <c r="L261" s="202"/>
      <c r="M261" s="203"/>
    </row>
    <row r="262" spans="1:13" s="90" customFormat="1" ht="16.5" x14ac:dyDescent="0.3">
      <c r="A262" s="186"/>
      <c r="B262" s="187"/>
      <c r="C262" s="97" t="s">
        <v>467</v>
      </c>
      <c r="D262" s="187"/>
      <c r="E262" s="201"/>
      <c r="F262" s="97" t="s">
        <v>468</v>
      </c>
      <c r="G262" s="230"/>
      <c r="H262" s="189"/>
      <c r="I262" s="97" t="s">
        <v>469</v>
      </c>
      <c r="J262" s="232"/>
      <c r="K262" s="201"/>
      <c r="L262" s="202"/>
      <c r="M262" s="203"/>
    </row>
    <row r="263" spans="1:13" s="90" customFormat="1" ht="16.5" x14ac:dyDescent="0.3">
      <c r="A263" s="186"/>
      <c r="B263" s="187"/>
      <c r="C263" s="97" t="s">
        <v>470</v>
      </c>
      <c r="D263" s="187"/>
      <c r="E263" s="201"/>
      <c r="F263" s="97" t="s">
        <v>471</v>
      </c>
      <c r="G263" s="230"/>
      <c r="H263" s="189"/>
      <c r="I263" s="97" t="s">
        <v>472</v>
      </c>
      <c r="J263" s="232"/>
      <c r="K263" s="201"/>
      <c r="L263" s="202"/>
      <c r="M263" s="203"/>
    </row>
    <row r="264" spans="1:13" s="90" customFormat="1" ht="16.5" x14ac:dyDescent="0.3">
      <c r="A264" s="186"/>
      <c r="B264" s="187"/>
      <c r="C264" s="97" t="s">
        <v>473</v>
      </c>
      <c r="D264" s="187"/>
      <c r="E264" s="201"/>
      <c r="F264" s="97" t="s">
        <v>474</v>
      </c>
      <c r="G264" s="230"/>
      <c r="H264" s="189"/>
      <c r="I264" s="97" t="s">
        <v>475</v>
      </c>
      <c r="J264" s="232"/>
      <c r="K264" s="201"/>
      <c r="L264" s="202"/>
      <c r="M264" s="203"/>
    </row>
    <row r="265" spans="1:13" s="90" customFormat="1" ht="16.5" x14ac:dyDescent="0.3">
      <c r="A265" s="186"/>
      <c r="B265" s="187"/>
      <c r="C265" s="216" t="s">
        <v>476</v>
      </c>
      <c r="D265" s="187"/>
      <c r="E265" s="201"/>
      <c r="F265" s="97" t="s">
        <v>477</v>
      </c>
      <c r="G265" s="230"/>
      <c r="H265" s="189"/>
      <c r="I265" s="97" t="s">
        <v>478</v>
      </c>
      <c r="J265" s="232"/>
      <c r="K265" s="201"/>
      <c r="L265" s="202"/>
      <c r="M265" s="203"/>
    </row>
    <row r="266" spans="1:13" s="90" customFormat="1" ht="16.5" x14ac:dyDescent="0.3">
      <c r="A266" s="186"/>
      <c r="B266" s="187"/>
      <c r="C266" s="217"/>
      <c r="D266" s="187"/>
      <c r="E266" s="201"/>
      <c r="F266" s="97" t="s">
        <v>479</v>
      </c>
      <c r="G266" s="231"/>
      <c r="H266" s="190"/>
      <c r="I266" s="97" t="s">
        <v>480</v>
      </c>
      <c r="J266" s="232"/>
      <c r="K266" s="201"/>
      <c r="L266" s="202"/>
      <c r="M266" s="203"/>
    </row>
    <row r="267" spans="1:13" s="90" customFormat="1" ht="16.5" x14ac:dyDescent="0.3">
      <c r="A267" s="186">
        <v>2</v>
      </c>
      <c r="B267" s="187" t="s">
        <v>146</v>
      </c>
      <c r="C267" s="97" t="s">
        <v>481</v>
      </c>
      <c r="D267" s="187">
        <v>6</v>
      </c>
      <c r="E267" s="201">
        <v>573660</v>
      </c>
      <c r="F267" s="97" t="s">
        <v>482</v>
      </c>
      <c r="G267" s="229">
        <v>7</v>
      </c>
      <c r="H267" s="188">
        <v>669270</v>
      </c>
      <c r="I267" s="97" t="s">
        <v>483</v>
      </c>
      <c r="J267" s="232">
        <v>7</v>
      </c>
      <c r="K267" s="201">
        <v>669270</v>
      </c>
      <c r="L267" s="202">
        <v>20</v>
      </c>
      <c r="M267" s="203">
        <v>1912200</v>
      </c>
    </row>
    <row r="268" spans="1:13" s="90" customFormat="1" ht="16.5" x14ac:dyDescent="0.3">
      <c r="A268" s="186"/>
      <c r="B268" s="187"/>
      <c r="C268" s="97" t="s">
        <v>484</v>
      </c>
      <c r="D268" s="187"/>
      <c r="E268" s="201"/>
      <c r="F268" s="97" t="s">
        <v>485</v>
      </c>
      <c r="G268" s="230"/>
      <c r="H268" s="189"/>
      <c r="I268" s="97" t="s">
        <v>486</v>
      </c>
      <c r="J268" s="232"/>
      <c r="K268" s="201"/>
      <c r="L268" s="202"/>
      <c r="M268" s="203"/>
    </row>
    <row r="269" spans="1:13" s="90" customFormat="1" ht="16.5" x14ac:dyDescent="0.3">
      <c r="A269" s="186"/>
      <c r="B269" s="187"/>
      <c r="C269" s="97" t="s">
        <v>487</v>
      </c>
      <c r="D269" s="187"/>
      <c r="E269" s="201"/>
      <c r="F269" s="97" t="s">
        <v>488</v>
      </c>
      <c r="G269" s="230"/>
      <c r="H269" s="189"/>
      <c r="I269" s="97" t="s">
        <v>489</v>
      </c>
      <c r="J269" s="232"/>
      <c r="K269" s="201"/>
      <c r="L269" s="202"/>
      <c r="M269" s="203"/>
    </row>
    <row r="270" spans="1:13" s="90" customFormat="1" ht="16.5" x14ac:dyDescent="0.3">
      <c r="A270" s="186"/>
      <c r="B270" s="187"/>
      <c r="C270" s="97" t="s">
        <v>490</v>
      </c>
      <c r="D270" s="187"/>
      <c r="E270" s="201"/>
      <c r="F270" s="97" t="s">
        <v>491</v>
      </c>
      <c r="G270" s="230"/>
      <c r="H270" s="189"/>
      <c r="I270" s="97" t="s">
        <v>492</v>
      </c>
      <c r="J270" s="232"/>
      <c r="K270" s="201"/>
      <c r="L270" s="202"/>
      <c r="M270" s="203"/>
    </row>
    <row r="271" spans="1:13" s="90" customFormat="1" ht="16.5" x14ac:dyDescent="0.3">
      <c r="A271" s="186"/>
      <c r="B271" s="187"/>
      <c r="C271" s="97" t="s">
        <v>493</v>
      </c>
      <c r="D271" s="187"/>
      <c r="E271" s="201"/>
      <c r="F271" s="97" t="s">
        <v>494</v>
      </c>
      <c r="G271" s="230"/>
      <c r="H271" s="189"/>
      <c r="I271" s="97" t="s">
        <v>495</v>
      </c>
      <c r="J271" s="232"/>
      <c r="K271" s="201"/>
      <c r="L271" s="202"/>
      <c r="M271" s="203"/>
    </row>
    <row r="272" spans="1:13" s="90" customFormat="1" ht="16.5" x14ac:dyDescent="0.3">
      <c r="A272" s="186"/>
      <c r="B272" s="187"/>
      <c r="C272" s="216" t="s">
        <v>496</v>
      </c>
      <c r="D272" s="187"/>
      <c r="E272" s="201"/>
      <c r="F272" s="97" t="s">
        <v>497</v>
      </c>
      <c r="G272" s="230"/>
      <c r="H272" s="189"/>
      <c r="I272" s="97" t="s">
        <v>498</v>
      </c>
      <c r="J272" s="232"/>
      <c r="K272" s="201"/>
      <c r="L272" s="202"/>
      <c r="M272" s="203"/>
    </row>
    <row r="273" spans="1:13" s="90" customFormat="1" ht="16.5" x14ac:dyDescent="0.3">
      <c r="A273" s="186"/>
      <c r="B273" s="187"/>
      <c r="C273" s="217"/>
      <c r="D273" s="187"/>
      <c r="E273" s="201"/>
      <c r="F273" s="97" t="s">
        <v>499</v>
      </c>
      <c r="G273" s="231"/>
      <c r="H273" s="190"/>
      <c r="I273" s="97" t="s">
        <v>500</v>
      </c>
      <c r="J273" s="232"/>
      <c r="K273" s="201"/>
      <c r="L273" s="202"/>
      <c r="M273" s="203"/>
    </row>
    <row r="274" spans="1:13" s="90" customFormat="1" ht="16.5" x14ac:dyDescent="0.3">
      <c r="A274" s="197">
        <v>3</v>
      </c>
      <c r="B274" s="206" t="s">
        <v>166</v>
      </c>
      <c r="C274" s="97">
        <v>40045941210</v>
      </c>
      <c r="D274" s="191">
        <v>6</v>
      </c>
      <c r="E274" s="188">
        <v>224712</v>
      </c>
      <c r="F274" s="97">
        <v>4006241211</v>
      </c>
      <c r="G274" s="191">
        <v>7</v>
      </c>
      <c r="H274" s="188">
        <v>262164</v>
      </c>
      <c r="I274" s="97">
        <v>40045881210</v>
      </c>
      <c r="J274" s="200">
        <v>7</v>
      </c>
      <c r="K274" s="201">
        <v>262164</v>
      </c>
      <c r="L274" s="202">
        <v>20</v>
      </c>
      <c r="M274" s="203">
        <v>749040</v>
      </c>
    </row>
    <row r="275" spans="1:13" s="90" customFormat="1" ht="16.5" x14ac:dyDescent="0.3">
      <c r="A275" s="198"/>
      <c r="B275" s="208"/>
      <c r="C275" s="97">
        <v>40045951210</v>
      </c>
      <c r="D275" s="192"/>
      <c r="E275" s="189"/>
      <c r="F275" s="97">
        <v>4006131211</v>
      </c>
      <c r="G275" s="192"/>
      <c r="H275" s="189"/>
      <c r="I275" s="97">
        <v>40045891210</v>
      </c>
      <c r="J275" s="200"/>
      <c r="K275" s="201"/>
      <c r="L275" s="202"/>
      <c r="M275" s="203"/>
    </row>
    <row r="276" spans="1:13" s="90" customFormat="1" ht="16.5" x14ac:dyDescent="0.3">
      <c r="A276" s="198"/>
      <c r="B276" s="208"/>
      <c r="C276" s="97">
        <v>40045961210</v>
      </c>
      <c r="D276" s="192"/>
      <c r="E276" s="189"/>
      <c r="F276" s="97">
        <v>4006231211</v>
      </c>
      <c r="G276" s="192"/>
      <c r="H276" s="189"/>
      <c r="I276" s="97">
        <v>40045901210</v>
      </c>
      <c r="J276" s="200"/>
      <c r="K276" s="201"/>
      <c r="L276" s="202"/>
      <c r="M276" s="203"/>
    </row>
    <row r="277" spans="1:13" s="90" customFormat="1" ht="16.5" x14ac:dyDescent="0.3">
      <c r="A277" s="198"/>
      <c r="B277" s="208"/>
      <c r="C277" s="97">
        <v>40046751210</v>
      </c>
      <c r="D277" s="192"/>
      <c r="E277" s="189"/>
      <c r="F277" s="97">
        <v>4005141211</v>
      </c>
      <c r="G277" s="192"/>
      <c r="H277" s="189"/>
      <c r="I277" s="97">
        <v>20002011208</v>
      </c>
      <c r="J277" s="200"/>
      <c r="K277" s="201"/>
      <c r="L277" s="202"/>
      <c r="M277" s="203"/>
    </row>
    <row r="278" spans="1:13" s="90" customFormat="1" ht="16.5" x14ac:dyDescent="0.3">
      <c r="A278" s="198"/>
      <c r="B278" s="208"/>
      <c r="C278" s="97">
        <v>40046761210</v>
      </c>
      <c r="D278" s="192"/>
      <c r="E278" s="189"/>
      <c r="F278" s="97">
        <v>4006251211</v>
      </c>
      <c r="G278" s="192"/>
      <c r="H278" s="189"/>
      <c r="I278" s="97">
        <v>20002021208</v>
      </c>
      <c r="J278" s="200"/>
      <c r="K278" s="201"/>
      <c r="L278" s="202"/>
      <c r="M278" s="203"/>
    </row>
    <row r="279" spans="1:13" s="90" customFormat="1" ht="16.5" x14ac:dyDescent="0.3">
      <c r="A279" s="198"/>
      <c r="B279" s="208"/>
      <c r="C279" s="216">
        <v>40046771210</v>
      </c>
      <c r="D279" s="192"/>
      <c r="E279" s="189"/>
      <c r="F279" s="97">
        <v>4006871211</v>
      </c>
      <c r="G279" s="192"/>
      <c r="H279" s="189"/>
      <c r="I279" s="97">
        <v>20002031208</v>
      </c>
      <c r="J279" s="200"/>
      <c r="K279" s="201"/>
      <c r="L279" s="202"/>
      <c r="M279" s="203"/>
    </row>
    <row r="280" spans="1:13" s="90" customFormat="1" ht="16.5" x14ac:dyDescent="0.3">
      <c r="A280" s="199"/>
      <c r="B280" s="207"/>
      <c r="C280" s="217"/>
      <c r="D280" s="193"/>
      <c r="E280" s="190"/>
      <c r="F280" s="97">
        <v>4006511211</v>
      </c>
      <c r="G280" s="193"/>
      <c r="H280" s="190"/>
      <c r="I280" s="97">
        <v>40006521211</v>
      </c>
      <c r="J280" s="200"/>
      <c r="K280" s="201"/>
      <c r="L280" s="202"/>
      <c r="M280" s="203"/>
    </row>
    <row r="281" spans="1:13" s="90" customFormat="1" ht="49.5" x14ac:dyDescent="0.3">
      <c r="A281" s="101">
        <v>4</v>
      </c>
      <c r="B281" s="100" t="s">
        <v>167</v>
      </c>
      <c r="C281" s="97" t="s">
        <v>501</v>
      </c>
      <c r="D281" s="101">
        <v>1</v>
      </c>
      <c r="E281" s="102">
        <v>895500</v>
      </c>
      <c r="F281" s="97" t="s">
        <v>502</v>
      </c>
      <c r="G281" s="101">
        <v>1</v>
      </c>
      <c r="H281" s="102">
        <v>895500</v>
      </c>
      <c r="I281" s="97" t="s">
        <v>503</v>
      </c>
      <c r="J281" s="99">
        <v>1</v>
      </c>
      <c r="K281" s="102">
        <v>895500</v>
      </c>
      <c r="L281" s="104">
        <v>3</v>
      </c>
      <c r="M281" s="105">
        <v>2686500</v>
      </c>
    </row>
    <row r="282" spans="1:13" s="90" customFormat="1" ht="16.5" x14ac:dyDescent="0.3">
      <c r="A282" s="197">
        <v>5</v>
      </c>
      <c r="B282" s="206" t="s">
        <v>171</v>
      </c>
      <c r="C282" s="97" t="s">
        <v>504</v>
      </c>
      <c r="D282" s="191">
        <v>2</v>
      </c>
      <c r="E282" s="188">
        <v>533808</v>
      </c>
      <c r="F282" s="97" t="s">
        <v>505</v>
      </c>
      <c r="G282" s="191">
        <v>2</v>
      </c>
      <c r="H282" s="188">
        <v>533808</v>
      </c>
      <c r="I282" s="97" t="s">
        <v>506</v>
      </c>
      <c r="J282" s="191">
        <v>3</v>
      </c>
      <c r="K282" s="188">
        <v>800712</v>
      </c>
      <c r="L282" s="209">
        <v>7</v>
      </c>
      <c r="M282" s="211">
        <v>1868328</v>
      </c>
    </row>
    <row r="283" spans="1:13" s="90" customFormat="1" ht="16.5" x14ac:dyDescent="0.3">
      <c r="A283" s="198"/>
      <c r="B283" s="208"/>
      <c r="C283" s="216" t="s">
        <v>507</v>
      </c>
      <c r="D283" s="192"/>
      <c r="E283" s="189"/>
      <c r="F283" s="216" t="s">
        <v>508</v>
      </c>
      <c r="G283" s="192"/>
      <c r="H283" s="189"/>
      <c r="I283" s="97" t="s">
        <v>509</v>
      </c>
      <c r="J283" s="192"/>
      <c r="K283" s="189"/>
      <c r="L283" s="221"/>
      <c r="M283" s="222"/>
    </row>
    <row r="284" spans="1:13" s="90" customFormat="1" ht="16.5" x14ac:dyDescent="0.3">
      <c r="A284" s="199"/>
      <c r="B284" s="207"/>
      <c r="C284" s="217"/>
      <c r="D284" s="193"/>
      <c r="E284" s="190"/>
      <c r="F284" s="217"/>
      <c r="G284" s="193"/>
      <c r="H284" s="190"/>
      <c r="I284" s="97" t="s">
        <v>510</v>
      </c>
      <c r="J284" s="193"/>
      <c r="K284" s="190"/>
      <c r="L284" s="210"/>
      <c r="M284" s="212"/>
    </row>
    <row r="285" spans="1:13" s="90" customFormat="1" ht="16.5" x14ac:dyDescent="0.3">
      <c r="A285" s="197">
        <v>6</v>
      </c>
      <c r="B285" s="206" t="s">
        <v>179</v>
      </c>
      <c r="C285" s="97" t="s">
        <v>511</v>
      </c>
      <c r="D285" s="191">
        <v>3</v>
      </c>
      <c r="E285" s="188">
        <v>396000</v>
      </c>
      <c r="F285" s="97" t="s">
        <v>512</v>
      </c>
      <c r="G285" s="191">
        <v>3</v>
      </c>
      <c r="H285" s="188">
        <v>396000</v>
      </c>
      <c r="I285" s="97" t="s">
        <v>513</v>
      </c>
      <c r="J285" s="191">
        <v>3</v>
      </c>
      <c r="K285" s="188">
        <v>396000</v>
      </c>
      <c r="L285" s="209">
        <v>9</v>
      </c>
      <c r="M285" s="211">
        <v>1188000</v>
      </c>
    </row>
    <row r="286" spans="1:13" s="90" customFormat="1" ht="16.5" x14ac:dyDescent="0.3">
      <c r="A286" s="198"/>
      <c r="B286" s="208"/>
      <c r="C286" s="97" t="s">
        <v>514</v>
      </c>
      <c r="D286" s="192"/>
      <c r="E286" s="189"/>
      <c r="F286" s="97" t="s">
        <v>515</v>
      </c>
      <c r="G286" s="192"/>
      <c r="H286" s="189"/>
      <c r="I286" s="97" t="s">
        <v>516</v>
      </c>
      <c r="J286" s="192"/>
      <c r="K286" s="189"/>
      <c r="L286" s="221"/>
      <c r="M286" s="222"/>
    </row>
    <row r="287" spans="1:13" s="90" customFormat="1" ht="33" x14ac:dyDescent="0.3">
      <c r="A287" s="199"/>
      <c r="B287" s="207"/>
      <c r="C287" s="97" t="s">
        <v>517</v>
      </c>
      <c r="D287" s="193"/>
      <c r="E287" s="190"/>
      <c r="F287" s="97" t="s">
        <v>518</v>
      </c>
      <c r="G287" s="193"/>
      <c r="H287" s="190"/>
      <c r="I287" s="97" t="s">
        <v>519</v>
      </c>
      <c r="J287" s="193"/>
      <c r="K287" s="190"/>
      <c r="L287" s="210"/>
      <c r="M287" s="212"/>
    </row>
    <row r="288" spans="1:13" s="90" customFormat="1" ht="66" x14ac:dyDescent="0.3">
      <c r="A288" s="101">
        <v>7</v>
      </c>
      <c r="B288" s="100" t="s">
        <v>188</v>
      </c>
      <c r="C288" s="97" t="s">
        <v>520</v>
      </c>
      <c r="D288" s="99">
        <v>1</v>
      </c>
      <c r="E288" s="102">
        <v>554550</v>
      </c>
      <c r="F288" s="102"/>
      <c r="G288" s="99"/>
      <c r="H288" s="102"/>
      <c r="I288" s="102"/>
      <c r="J288" s="99"/>
      <c r="K288" s="102"/>
      <c r="L288" s="104">
        <v>1</v>
      </c>
      <c r="M288" s="105">
        <v>554550</v>
      </c>
    </row>
    <row r="289" spans="1:15" s="90" customFormat="1" ht="66" x14ac:dyDescent="0.3">
      <c r="A289" s="101">
        <v>8</v>
      </c>
      <c r="B289" s="100" t="s">
        <v>191</v>
      </c>
      <c r="C289" s="100"/>
      <c r="D289" s="111"/>
      <c r="E289" s="111"/>
      <c r="F289" s="111"/>
      <c r="G289" s="99"/>
      <c r="H289" s="102"/>
      <c r="I289" s="97" t="s">
        <v>521</v>
      </c>
      <c r="J289" s="99">
        <v>1</v>
      </c>
      <c r="K289" s="102">
        <v>554550</v>
      </c>
      <c r="L289" s="104">
        <v>1</v>
      </c>
      <c r="M289" s="105">
        <v>554550</v>
      </c>
    </row>
    <row r="290" spans="1:15" s="90" customFormat="1" ht="33" x14ac:dyDescent="0.3">
      <c r="A290" s="101">
        <v>9</v>
      </c>
      <c r="B290" s="106" t="s">
        <v>194</v>
      </c>
      <c r="C290" s="113" t="s">
        <v>522</v>
      </c>
      <c r="D290" s="101">
        <v>1</v>
      </c>
      <c r="E290" s="102">
        <v>281220</v>
      </c>
      <c r="F290" s="113" t="s">
        <v>523</v>
      </c>
      <c r="G290" s="101">
        <v>1</v>
      </c>
      <c r="H290" s="102">
        <v>281220</v>
      </c>
      <c r="I290" s="97" t="s">
        <v>524</v>
      </c>
      <c r="J290" s="101">
        <v>1</v>
      </c>
      <c r="K290" s="102">
        <v>281220</v>
      </c>
      <c r="L290" s="104">
        <v>3</v>
      </c>
      <c r="M290" s="105">
        <v>843660</v>
      </c>
    </row>
    <row r="291" spans="1:15" s="90" customFormat="1" ht="49.5" x14ac:dyDescent="0.3">
      <c r="A291" s="101">
        <v>10</v>
      </c>
      <c r="B291" s="106" t="s">
        <v>197</v>
      </c>
      <c r="C291" s="107" t="s">
        <v>525</v>
      </c>
      <c r="D291" s="101">
        <v>1</v>
      </c>
      <c r="E291" s="102">
        <v>37530</v>
      </c>
      <c r="F291" s="107" t="s">
        <v>526</v>
      </c>
      <c r="G291" s="101">
        <v>1</v>
      </c>
      <c r="H291" s="102">
        <v>37530</v>
      </c>
      <c r="I291" s="107" t="s">
        <v>527</v>
      </c>
      <c r="J291" s="101">
        <v>1</v>
      </c>
      <c r="K291" s="102">
        <v>37530</v>
      </c>
      <c r="L291" s="104">
        <v>3</v>
      </c>
      <c r="M291" s="105">
        <v>112590</v>
      </c>
    </row>
    <row r="292" spans="1:15" s="90" customFormat="1" ht="33" x14ac:dyDescent="0.3">
      <c r="A292" s="101">
        <v>11</v>
      </c>
      <c r="B292" s="106" t="s">
        <v>201</v>
      </c>
      <c r="C292" s="106"/>
      <c r="D292" s="101"/>
      <c r="E292" s="102"/>
      <c r="F292" s="107" t="s">
        <v>528</v>
      </c>
      <c r="G292" s="101">
        <v>1</v>
      </c>
      <c r="H292" s="102">
        <v>240240</v>
      </c>
      <c r="I292" s="107" t="s">
        <v>529</v>
      </c>
      <c r="J292" s="101">
        <v>1</v>
      </c>
      <c r="K292" s="102">
        <v>240240</v>
      </c>
      <c r="L292" s="104">
        <v>2</v>
      </c>
      <c r="M292" s="105">
        <v>480480</v>
      </c>
    </row>
    <row r="293" spans="1:15" s="90" customFormat="1" ht="33" x14ac:dyDescent="0.3">
      <c r="A293" s="101">
        <v>12</v>
      </c>
      <c r="B293" s="106" t="s">
        <v>205</v>
      </c>
      <c r="C293" s="107" t="s">
        <v>530</v>
      </c>
      <c r="D293" s="101">
        <v>1</v>
      </c>
      <c r="E293" s="102">
        <v>185118</v>
      </c>
      <c r="F293" s="107" t="s">
        <v>531</v>
      </c>
      <c r="G293" s="101">
        <v>1</v>
      </c>
      <c r="H293" s="102">
        <v>185118</v>
      </c>
      <c r="I293" s="107" t="s">
        <v>532</v>
      </c>
      <c r="J293" s="101">
        <v>1</v>
      </c>
      <c r="K293" s="102">
        <v>185118</v>
      </c>
      <c r="L293" s="104">
        <v>3</v>
      </c>
      <c r="M293" s="105">
        <f>E293+H293+K293</f>
        <v>555354</v>
      </c>
    </row>
    <row r="294" spans="1:15" s="90" customFormat="1" ht="16.5" x14ac:dyDescent="0.3">
      <c r="A294" s="108"/>
      <c r="B294" s="109" t="s">
        <v>11</v>
      </c>
      <c r="C294" s="109"/>
      <c r="D294" s="105"/>
      <c r="E294" s="105">
        <f>7220280+E293</f>
        <v>7405398</v>
      </c>
      <c r="F294" s="105"/>
      <c r="G294" s="105"/>
      <c r="H294" s="105">
        <f>7659582+H293</f>
        <v>7844700</v>
      </c>
      <c r="I294" s="105"/>
      <c r="J294" s="105"/>
      <c r="K294" s="105">
        <f>8481036+K293</f>
        <v>8666154</v>
      </c>
      <c r="L294" s="105"/>
      <c r="M294" s="105">
        <f>23360898+M293</f>
        <v>23916252</v>
      </c>
      <c r="O294" s="144"/>
    </row>
    <row r="295" spans="1:15" s="90" customFormat="1" ht="16.5" x14ac:dyDescent="0.3">
      <c r="A295" s="101"/>
      <c r="B295" s="127"/>
      <c r="C295" s="127"/>
      <c r="D295" s="194" t="s">
        <v>208</v>
      </c>
      <c r="E295" s="195"/>
      <c r="F295" s="195"/>
      <c r="G295" s="195"/>
      <c r="H295" s="195"/>
      <c r="I295" s="195"/>
      <c r="J295" s="195"/>
      <c r="K295" s="195"/>
      <c r="L295" s="195"/>
      <c r="M295" s="196"/>
    </row>
    <row r="296" spans="1:15" s="90" customFormat="1" ht="66" x14ac:dyDescent="0.3">
      <c r="A296" s="99">
        <v>13</v>
      </c>
      <c r="B296" s="100" t="s">
        <v>407</v>
      </c>
      <c r="C296" s="100"/>
      <c r="D296" s="99"/>
      <c r="E296" s="102"/>
      <c r="F296" s="102"/>
      <c r="G296" s="101"/>
      <c r="H296" s="102"/>
      <c r="I296" s="97" t="s">
        <v>533</v>
      </c>
      <c r="J296" s="99">
        <v>1</v>
      </c>
      <c r="K296" s="102">
        <v>276600</v>
      </c>
      <c r="L296" s="104">
        <v>1</v>
      </c>
      <c r="M296" s="105">
        <v>276600</v>
      </c>
    </row>
    <row r="297" spans="1:15" s="90" customFormat="1" ht="66" x14ac:dyDescent="0.3">
      <c r="A297" s="99">
        <v>14</v>
      </c>
      <c r="B297" s="100" t="s">
        <v>209</v>
      </c>
      <c r="C297" s="100"/>
      <c r="D297" s="99"/>
      <c r="E297" s="102"/>
      <c r="F297" s="97" t="s">
        <v>534</v>
      </c>
      <c r="G297" s="101">
        <v>1</v>
      </c>
      <c r="H297" s="102">
        <v>276600</v>
      </c>
      <c r="I297" s="102"/>
      <c r="J297" s="99"/>
      <c r="K297" s="102"/>
      <c r="L297" s="104">
        <v>1</v>
      </c>
      <c r="M297" s="105">
        <v>276600</v>
      </c>
    </row>
    <row r="298" spans="1:15" s="90" customFormat="1" ht="49.5" x14ac:dyDescent="0.3">
      <c r="A298" s="99">
        <v>15</v>
      </c>
      <c r="B298" s="106" t="s">
        <v>212</v>
      </c>
      <c r="C298" s="107" t="s">
        <v>535</v>
      </c>
      <c r="D298" s="103">
        <v>1</v>
      </c>
      <c r="E298" s="102">
        <v>28200</v>
      </c>
      <c r="F298" s="107" t="s">
        <v>536</v>
      </c>
      <c r="G298" s="103">
        <v>1</v>
      </c>
      <c r="H298" s="102">
        <v>28200</v>
      </c>
      <c r="I298" s="107" t="s">
        <v>537</v>
      </c>
      <c r="J298" s="103">
        <v>1</v>
      </c>
      <c r="K298" s="102">
        <v>28200</v>
      </c>
      <c r="L298" s="104">
        <v>3</v>
      </c>
      <c r="M298" s="105">
        <v>84600</v>
      </c>
    </row>
    <row r="299" spans="1:15" s="90" customFormat="1" ht="49.5" x14ac:dyDescent="0.3">
      <c r="A299" s="99">
        <v>16</v>
      </c>
      <c r="B299" s="106" t="s">
        <v>538</v>
      </c>
      <c r="C299" s="107" t="s">
        <v>539</v>
      </c>
      <c r="D299" s="103">
        <v>1</v>
      </c>
      <c r="E299" s="102">
        <v>129480</v>
      </c>
      <c r="F299" s="102"/>
      <c r="G299" s="103"/>
      <c r="H299" s="102"/>
      <c r="I299" s="102"/>
      <c r="J299" s="103"/>
      <c r="K299" s="102"/>
      <c r="L299" s="104">
        <v>1</v>
      </c>
      <c r="M299" s="105">
        <v>129480</v>
      </c>
    </row>
    <row r="300" spans="1:15" s="90" customFormat="1" ht="16.5" x14ac:dyDescent="0.3">
      <c r="A300" s="99"/>
      <c r="B300" s="109" t="s">
        <v>11</v>
      </c>
      <c r="C300" s="109"/>
      <c r="D300" s="105"/>
      <c r="E300" s="105">
        <v>157680</v>
      </c>
      <c r="F300" s="105"/>
      <c r="G300" s="105"/>
      <c r="H300" s="105">
        <v>304800</v>
      </c>
      <c r="I300" s="105"/>
      <c r="J300" s="105"/>
      <c r="K300" s="105">
        <v>304800</v>
      </c>
      <c r="L300" s="105"/>
      <c r="M300" s="105">
        <v>767280</v>
      </c>
    </row>
    <row r="301" spans="1:15" s="90" customFormat="1" ht="16.5" x14ac:dyDescent="0.3">
      <c r="A301" s="99"/>
      <c r="B301" s="114" t="s">
        <v>114</v>
      </c>
      <c r="C301" s="114"/>
      <c r="D301" s="105"/>
      <c r="E301" s="105">
        <f>7377960+E293</f>
        <v>7563078</v>
      </c>
      <c r="F301" s="105"/>
      <c r="G301" s="105"/>
      <c r="H301" s="105">
        <f>7964382+H293</f>
        <v>8149500</v>
      </c>
      <c r="I301" s="105"/>
      <c r="J301" s="105"/>
      <c r="K301" s="105">
        <f>8785836+K293</f>
        <v>8970954</v>
      </c>
      <c r="L301" s="105"/>
      <c r="M301" s="105">
        <f>24128178+M293</f>
        <v>24683532</v>
      </c>
    </row>
    <row r="302" spans="1:15" s="90" customFormat="1" ht="16.5" x14ac:dyDescent="0.3">
      <c r="A302" s="115"/>
      <c r="B302" s="116"/>
      <c r="C302" s="116"/>
      <c r="D302" s="118"/>
      <c r="E302" s="118"/>
      <c r="F302" s="118"/>
      <c r="G302" s="118"/>
      <c r="H302" s="118"/>
      <c r="I302" s="118"/>
      <c r="J302" s="118"/>
      <c r="K302" s="118"/>
      <c r="L302" s="118"/>
      <c r="M302" s="118"/>
    </row>
    <row r="303" spans="1:15" s="90" customFormat="1" ht="16.5" x14ac:dyDescent="0.3">
      <c r="A303" s="115"/>
      <c r="B303" s="138"/>
      <c r="C303" s="138"/>
      <c r="D303" s="115"/>
      <c r="E303" s="119"/>
      <c r="F303" s="119"/>
      <c r="G303" s="120"/>
      <c r="H303" s="119"/>
      <c r="I303" s="119"/>
      <c r="J303" s="115"/>
      <c r="K303" s="119"/>
      <c r="L303" s="121"/>
      <c r="M303" s="118"/>
    </row>
    <row r="304" spans="1:15" s="90" customFormat="1" ht="16.5" x14ac:dyDescent="0.3">
      <c r="A304" s="93"/>
      <c r="B304" s="94"/>
      <c r="C304" s="94"/>
      <c r="D304" s="94"/>
      <c r="E304" s="94"/>
      <c r="F304" s="94"/>
      <c r="G304" s="94"/>
      <c r="H304" s="94"/>
      <c r="I304" s="94"/>
      <c r="J304" s="94"/>
      <c r="K304" s="94"/>
      <c r="L304" s="228" t="s">
        <v>64</v>
      </c>
      <c r="M304" s="228"/>
    </row>
    <row r="305" spans="1:13" s="90" customFormat="1" ht="16.5" x14ac:dyDescent="0.3">
      <c r="A305" s="224" t="s">
        <v>540</v>
      </c>
      <c r="B305" s="224"/>
      <c r="C305" s="224"/>
      <c r="D305" s="224"/>
      <c r="E305" s="224"/>
      <c r="F305" s="224"/>
      <c r="G305" s="224"/>
      <c r="H305" s="224"/>
      <c r="I305" s="224"/>
      <c r="J305" s="224"/>
      <c r="K305" s="224"/>
      <c r="L305" s="224"/>
      <c r="M305" s="224"/>
    </row>
    <row r="306" spans="1:13" s="90" customFormat="1" ht="16.5" x14ac:dyDescent="0.3">
      <c r="A306" s="95"/>
      <c r="B306" s="95"/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</row>
    <row r="307" spans="1:13" s="90" customFormat="1" ht="16.5" x14ac:dyDescent="0.3">
      <c r="A307" s="93"/>
      <c r="B307" s="94"/>
      <c r="C307" s="94"/>
      <c r="D307" s="94"/>
      <c r="E307" s="94"/>
      <c r="F307" s="94"/>
      <c r="G307" s="94"/>
      <c r="H307" s="94"/>
      <c r="I307" s="94"/>
      <c r="J307" s="94"/>
      <c r="K307" s="94"/>
      <c r="L307" s="225" t="s">
        <v>5</v>
      </c>
      <c r="M307" s="225"/>
    </row>
    <row r="308" spans="1:13" s="90" customFormat="1" ht="16.5" x14ac:dyDescent="0.3">
      <c r="A308" s="202" t="s">
        <v>6</v>
      </c>
      <c r="B308" s="223" t="s">
        <v>7</v>
      </c>
      <c r="C308" s="226" t="s">
        <v>217</v>
      </c>
      <c r="D308" s="223" t="s">
        <v>66</v>
      </c>
      <c r="E308" s="223"/>
      <c r="F308" s="226" t="s">
        <v>217</v>
      </c>
      <c r="G308" s="223" t="s">
        <v>67</v>
      </c>
      <c r="H308" s="223"/>
      <c r="I308" s="226" t="s">
        <v>217</v>
      </c>
      <c r="J308" s="223" t="s">
        <v>68</v>
      </c>
      <c r="K308" s="223"/>
      <c r="L308" s="223" t="s">
        <v>11</v>
      </c>
      <c r="M308" s="223"/>
    </row>
    <row r="309" spans="1:13" s="90" customFormat="1" ht="16.5" x14ac:dyDescent="0.3">
      <c r="A309" s="202"/>
      <c r="B309" s="223"/>
      <c r="C309" s="227"/>
      <c r="D309" s="139" t="s">
        <v>12</v>
      </c>
      <c r="E309" s="143" t="s">
        <v>14</v>
      </c>
      <c r="F309" s="227"/>
      <c r="G309" s="139" t="s">
        <v>12</v>
      </c>
      <c r="H309" s="143" t="s">
        <v>14</v>
      </c>
      <c r="I309" s="227"/>
      <c r="J309" s="139" t="s">
        <v>12</v>
      </c>
      <c r="K309" s="143" t="s">
        <v>14</v>
      </c>
      <c r="L309" s="139" t="s">
        <v>12</v>
      </c>
      <c r="M309" s="143" t="s">
        <v>14</v>
      </c>
    </row>
    <row r="310" spans="1:13" s="90" customFormat="1" ht="16.5" x14ac:dyDescent="0.3">
      <c r="A310" s="202"/>
      <c r="B310" s="223"/>
      <c r="C310" s="223" t="s">
        <v>541</v>
      </c>
      <c r="D310" s="223"/>
      <c r="E310" s="223"/>
      <c r="F310" s="223"/>
      <c r="G310" s="223"/>
      <c r="H310" s="223"/>
      <c r="I310" s="223"/>
      <c r="J310" s="223"/>
      <c r="K310" s="223"/>
      <c r="L310" s="223"/>
      <c r="M310" s="223"/>
    </row>
    <row r="311" spans="1:13" s="90" customFormat="1" ht="16.5" x14ac:dyDescent="0.3">
      <c r="A311" s="200">
        <v>1</v>
      </c>
      <c r="B311" s="187" t="s">
        <v>542</v>
      </c>
      <c r="C311" s="99" t="s">
        <v>543</v>
      </c>
      <c r="D311" s="206">
        <v>4</v>
      </c>
      <c r="E311" s="188">
        <v>1749216</v>
      </c>
      <c r="F311" s="99" t="s">
        <v>544</v>
      </c>
      <c r="G311" s="197">
        <v>8</v>
      </c>
      <c r="H311" s="188">
        <v>3498432</v>
      </c>
      <c r="I311" s="191"/>
      <c r="J311" s="191"/>
      <c r="K311" s="191"/>
      <c r="L311" s="197">
        <v>12</v>
      </c>
      <c r="M311" s="188">
        <v>5247648</v>
      </c>
    </row>
    <row r="312" spans="1:13" s="90" customFormat="1" ht="16.5" x14ac:dyDescent="0.3">
      <c r="A312" s="200"/>
      <c r="B312" s="187"/>
      <c r="C312" s="99" t="s">
        <v>545</v>
      </c>
      <c r="D312" s="208"/>
      <c r="E312" s="189"/>
      <c r="F312" s="99" t="s">
        <v>546</v>
      </c>
      <c r="G312" s="198"/>
      <c r="H312" s="189"/>
      <c r="I312" s="192"/>
      <c r="J312" s="192"/>
      <c r="K312" s="192"/>
      <c r="L312" s="198"/>
      <c r="M312" s="189"/>
    </row>
    <row r="313" spans="1:13" s="90" customFormat="1" ht="16.5" x14ac:dyDescent="0.3">
      <c r="A313" s="200"/>
      <c r="B313" s="187"/>
      <c r="C313" s="99" t="s">
        <v>547</v>
      </c>
      <c r="D313" s="208"/>
      <c r="E313" s="189"/>
      <c r="F313" s="99" t="s">
        <v>548</v>
      </c>
      <c r="G313" s="198"/>
      <c r="H313" s="189"/>
      <c r="I313" s="192"/>
      <c r="J313" s="192"/>
      <c r="K313" s="192"/>
      <c r="L313" s="198"/>
      <c r="M313" s="189"/>
    </row>
    <row r="314" spans="1:13" s="90" customFormat="1" ht="16.5" x14ac:dyDescent="0.3">
      <c r="A314" s="200"/>
      <c r="B314" s="187"/>
      <c r="C314" s="191" t="s">
        <v>549</v>
      </c>
      <c r="D314" s="208"/>
      <c r="E314" s="189"/>
      <c r="F314" s="99" t="s">
        <v>550</v>
      </c>
      <c r="G314" s="198"/>
      <c r="H314" s="189"/>
      <c r="I314" s="192"/>
      <c r="J314" s="192"/>
      <c r="K314" s="192"/>
      <c r="L314" s="198"/>
      <c r="M314" s="189"/>
    </row>
    <row r="315" spans="1:13" s="90" customFormat="1" ht="16.5" x14ac:dyDescent="0.3">
      <c r="A315" s="200"/>
      <c r="B315" s="187"/>
      <c r="C315" s="192"/>
      <c r="D315" s="208"/>
      <c r="E315" s="189"/>
      <c r="F315" s="99" t="s">
        <v>551</v>
      </c>
      <c r="G315" s="198"/>
      <c r="H315" s="189"/>
      <c r="I315" s="192"/>
      <c r="J315" s="192"/>
      <c r="K315" s="192"/>
      <c r="L315" s="198"/>
      <c r="M315" s="189"/>
    </row>
    <row r="316" spans="1:13" s="90" customFormat="1" ht="16.5" x14ac:dyDescent="0.3">
      <c r="A316" s="200"/>
      <c r="B316" s="187"/>
      <c r="C316" s="192"/>
      <c r="D316" s="208"/>
      <c r="E316" s="189"/>
      <c r="F316" s="99" t="s">
        <v>552</v>
      </c>
      <c r="G316" s="198"/>
      <c r="H316" s="189"/>
      <c r="I316" s="192"/>
      <c r="J316" s="192"/>
      <c r="K316" s="192"/>
      <c r="L316" s="198"/>
      <c r="M316" s="189"/>
    </row>
    <row r="317" spans="1:13" s="90" customFormat="1" ht="16.5" x14ac:dyDescent="0.3">
      <c r="A317" s="200"/>
      <c r="B317" s="187"/>
      <c r="C317" s="192"/>
      <c r="D317" s="208"/>
      <c r="E317" s="189"/>
      <c r="F317" s="99" t="s">
        <v>553</v>
      </c>
      <c r="G317" s="198"/>
      <c r="H317" s="189"/>
      <c r="I317" s="192"/>
      <c r="J317" s="192"/>
      <c r="K317" s="192"/>
      <c r="L317" s="198"/>
      <c r="M317" s="189"/>
    </row>
    <row r="318" spans="1:13" s="90" customFormat="1" ht="16.5" x14ac:dyDescent="0.3">
      <c r="A318" s="200"/>
      <c r="B318" s="187"/>
      <c r="C318" s="193"/>
      <c r="D318" s="207"/>
      <c r="E318" s="190"/>
      <c r="F318" s="99" t="s">
        <v>554</v>
      </c>
      <c r="G318" s="199"/>
      <c r="H318" s="190"/>
      <c r="I318" s="193"/>
      <c r="J318" s="193"/>
      <c r="K318" s="193"/>
      <c r="L318" s="199"/>
      <c r="M318" s="190"/>
    </row>
    <row r="319" spans="1:13" s="90" customFormat="1" ht="16.5" customHeight="1" x14ac:dyDescent="0.3">
      <c r="A319" s="191">
        <v>2</v>
      </c>
      <c r="B319" s="206" t="s">
        <v>555</v>
      </c>
      <c r="C319" s="103" t="s">
        <v>556</v>
      </c>
      <c r="D319" s="206">
        <v>4</v>
      </c>
      <c r="E319" s="188">
        <v>271104</v>
      </c>
      <c r="F319" s="102" t="s">
        <v>557</v>
      </c>
      <c r="G319" s="197">
        <v>8</v>
      </c>
      <c r="H319" s="188">
        <v>542208</v>
      </c>
      <c r="I319" s="188"/>
      <c r="J319" s="188"/>
      <c r="K319" s="188"/>
      <c r="L319" s="197">
        <v>12</v>
      </c>
      <c r="M319" s="188">
        <v>813312</v>
      </c>
    </row>
    <row r="320" spans="1:13" s="90" customFormat="1" ht="16.5" x14ac:dyDescent="0.3">
      <c r="A320" s="192"/>
      <c r="B320" s="208"/>
      <c r="C320" s="103" t="s">
        <v>558</v>
      </c>
      <c r="D320" s="208"/>
      <c r="E320" s="189"/>
      <c r="F320" s="102" t="s">
        <v>559</v>
      </c>
      <c r="G320" s="198"/>
      <c r="H320" s="189"/>
      <c r="I320" s="189"/>
      <c r="J320" s="189"/>
      <c r="K320" s="189"/>
      <c r="L320" s="198"/>
      <c r="M320" s="189"/>
    </row>
    <row r="321" spans="1:13" s="90" customFormat="1" ht="16.5" x14ac:dyDescent="0.3">
      <c r="A321" s="192"/>
      <c r="B321" s="208"/>
      <c r="C321" s="103" t="s">
        <v>560</v>
      </c>
      <c r="D321" s="208"/>
      <c r="E321" s="189"/>
      <c r="F321" s="102" t="s">
        <v>561</v>
      </c>
      <c r="G321" s="198"/>
      <c r="H321" s="189"/>
      <c r="I321" s="189"/>
      <c r="J321" s="189"/>
      <c r="K321" s="189"/>
      <c r="L321" s="198"/>
      <c r="M321" s="189"/>
    </row>
    <row r="322" spans="1:13" s="90" customFormat="1" ht="16.5" x14ac:dyDescent="0.3">
      <c r="A322" s="192"/>
      <c r="B322" s="208"/>
      <c r="C322" s="206" t="s">
        <v>562</v>
      </c>
      <c r="D322" s="208"/>
      <c r="E322" s="189"/>
      <c r="F322" s="102" t="s">
        <v>563</v>
      </c>
      <c r="G322" s="198"/>
      <c r="H322" s="189"/>
      <c r="I322" s="189"/>
      <c r="J322" s="189"/>
      <c r="K322" s="189"/>
      <c r="L322" s="198"/>
      <c r="M322" s="189"/>
    </row>
    <row r="323" spans="1:13" s="90" customFormat="1" ht="16.5" x14ac:dyDescent="0.3">
      <c r="A323" s="192"/>
      <c r="B323" s="208"/>
      <c r="C323" s="208"/>
      <c r="D323" s="208"/>
      <c r="E323" s="189"/>
      <c r="F323" s="102" t="s">
        <v>564</v>
      </c>
      <c r="G323" s="198"/>
      <c r="H323" s="189"/>
      <c r="I323" s="189"/>
      <c r="J323" s="189"/>
      <c r="K323" s="189"/>
      <c r="L323" s="198"/>
      <c r="M323" s="189"/>
    </row>
    <row r="324" spans="1:13" s="90" customFormat="1" ht="16.5" x14ac:dyDescent="0.3">
      <c r="A324" s="192"/>
      <c r="B324" s="208"/>
      <c r="C324" s="208"/>
      <c r="D324" s="208"/>
      <c r="E324" s="189"/>
      <c r="F324" s="102" t="s">
        <v>565</v>
      </c>
      <c r="G324" s="198"/>
      <c r="H324" s="189"/>
      <c r="I324" s="189"/>
      <c r="J324" s="189"/>
      <c r="K324" s="189"/>
      <c r="L324" s="198"/>
      <c r="M324" s="189"/>
    </row>
    <row r="325" spans="1:13" s="90" customFormat="1" ht="16.5" x14ac:dyDescent="0.3">
      <c r="A325" s="192"/>
      <c r="B325" s="208"/>
      <c r="C325" s="208"/>
      <c r="D325" s="208"/>
      <c r="E325" s="189"/>
      <c r="F325" s="102" t="s">
        <v>566</v>
      </c>
      <c r="G325" s="198"/>
      <c r="H325" s="189"/>
      <c r="I325" s="189"/>
      <c r="J325" s="189"/>
      <c r="K325" s="189"/>
      <c r="L325" s="198"/>
      <c r="M325" s="189"/>
    </row>
    <row r="326" spans="1:13" s="90" customFormat="1" ht="16.5" x14ac:dyDescent="0.3">
      <c r="A326" s="193"/>
      <c r="B326" s="207"/>
      <c r="C326" s="207"/>
      <c r="D326" s="207"/>
      <c r="E326" s="190"/>
      <c r="F326" s="102" t="s">
        <v>567</v>
      </c>
      <c r="G326" s="199"/>
      <c r="H326" s="190"/>
      <c r="I326" s="190"/>
      <c r="J326" s="190"/>
      <c r="K326" s="190"/>
      <c r="L326" s="199"/>
      <c r="M326" s="190"/>
    </row>
    <row r="327" spans="1:13" s="90" customFormat="1" ht="16.5" x14ac:dyDescent="0.3">
      <c r="A327" s="191">
        <v>3</v>
      </c>
      <c r="B327" s="206" t="s">
        <v>179</v>
      </c>
      <c r="C327" s="206" t="s">
        <v>568</v>
      </c>
      <c r="D327" s="206">
        <v>1</v>
      </c>
      <c r="E327" s="188">
        <v>214500</v>
      </c>
      <c r="F327" s="102" t="s">
        <v>569</v>
      </c>
      <c r="G327" s="197">
        <v>2</v>
      </c>
      <c r="H327" s="188">
        <v>429000</v>
      </c>
      <c r="I327" s="188"/>
      <c r="J327" s="197"/>
      <c r="K327" s="188"/>
      <c r="L327" s="197">
        <v>3</v>
      </c>
      <c r="M327" s="188">
        <v>643500</v>
      </c>
    </row>
    <row r="328" spans="1:13" s="90" customFormat="1" ht="33.75" customHeight="1" x14ac:dyDescent="0.3">
      <c r="A328" s="193"/>
      <c r="B328" s="207"/>
      <c r="C328" s="207"/>
      <c r="D328" s="207"/>
      <c r="E328" s="190"/>
      <c r="F328" s="102" t="s">
        <v>570</v>
      </c>
      <c r="G328" s="199"/>
      <c r="H328" s="190"/>
      <c r="I328" s="190"/>
      <c r="J328" s="199"/>
      <c r="K328" s="190"/>
      <c r="L328" s="199"/>
      <c r="M328" s="190"/>
    </row>
    <row r="329" spans="1:13" s="90" customFormat="1" ht="16.5" x14ac:dyDescent="0.3">
      <c r="A329" s="99"/>
      <c r="B329" s="145" t="s">
        <v>11</v>
      </c>
      <c r="C329" s="145"/>
      <c r="D329" s="139"/>
      <c r="E329" s="105">
        <v>2234820</v>
      </c>
      <c r="F329" s="105"/>
      <c r="G329" s="105"/>
      <c r="H329" s="105">
        <v>4469640</v>
      </c>
      <c r="I329" s="105"/>
      <c r="J329" s="105"/>
      <c r="K329" s="105">
        <v>0</v>
      </c>
      <c r="L329" s="105"/>
      <c r="M329" s="105">
        <v>6704460</v>
      </c>
    </row>
    <row r="330" spans="1:13" s="90" customFormat="1" ht="16.5" x14ac:dyDescent="0.3">
      <c r="A330" s="219"/>
      <c r="B330" s="220"/>
      <c r="C330" s="146"/>
      <c r="D330" s="194" t="s">
        <v>125</v>
      </c>
      <c r="E330" s="195"/>
      <c r="F330" s="195"/>
      <c r="G330" s="195"/>
      <c r="H330" s="195"/>
      <c r="I330" s="195"/>
      <c r="J330" s="195"/>
      <c r="K330" s="195"/>
      <c r="L330" s="195"/>
      <c r="M330" s="196"/>
    </row>
    <row r="331" spans="1:13" s="90" customFormat="1" ht="49.5" x14ac:dyDescent="0.3">
      <c r="A331" s="99">
        <v>4</v>
      </c>
      <c r="B331" s="100" t="s">
        <v>167</v>
      </c>
      <c r="C331" s="100"/>
      <c r="D331" s="101"/>
      <c r="E331" s="102"/>
      <c r="F331" s="124" t="s">
        <v>571</v>
      </c>
      <c r="G331" s="101">
        <v>1</v>
      </c>
      <c r="H331" s="102">
        <v>895500</v>
      </c>
      <c r="I331" s="97" t="s">
        <v>572</v>
      </c>
      <c r="J331" s="101">
        <v>1</v>
      </c>
      <c r="K331" s="102">
        <v>895500</v>
      </c>
      <c r="L331" s="104">
        <v>2</v>
      </c>
      <c r="M331" s="105">
        <v>1791000</v>
      </c>
    </row>
    <row r="332" spans="1:13" s="90" customFormat="1" ht="16.5" x14ac:dyDescent="0.3">
      <c r="A332" s="197">
        <v>5</v>
      </c>
      <c r="B332" s="206" t="s">
        <v>171</v>
      </c>
      <c r="C332" s="206"/>
      <c r="D332" s="197"/>
      <c r="E332" s="188"/>
      <c r="F332" s="216"/>
      <c r="G332" s="197"/>
      <c r="H332" s="188"/>
      <c r="I332" s="97" t="s">
        <v>573</v>
      </c>
      <c r="J332" s="191">
        <v>2</v>
      </c>
      <c r="K332" s="188">
        <v>533808</v>
      </c>
      <c r="L332" s="209">
        <v>2</v>
      </c>
      <c r="M332" s="211">
        <v>533808</v>
      </c>
    </row>
    <row r="333" spans="1:13" s="90" customFormat="1" ht="38.25" customHeight="1" x14ac:dyDescent="0.3">
      <c r="A333" s="199"/>
      <c r="B333" s="207"/>
      <c r="C333" s="207"/>
      <c r="D333" s="199"/>
      <c r="E333" s="190"/>
      <c r="F333" s="217"/>
      <c r="G333" s="199"/>
      <c r="H333" s="190"/>
      <c r="I333" s="97" t="s">
        <v>574</v>
      </c>
      <c r="J333" s="193"/>
      <c r="K333" s="190"/>
      <c r="L333" s="210"/>
      <c r="M333" s="212"/>
    </row>
    <row r="334" spans="1:13" s="90" customFormat="1" ht="16.5" x14ac:dyDescent="0.3">
      <c r="A334" s="191">
        <v>6</v>
      </c>
      <c r="B334" s="187" t="s">
        <v>179</v>
      </c>
      <c r="C334" s="218" t="s">
        <v>575</v>
      </c>
      <c r="D334" s="187">
        <v>1</v>
      </c>
      <c r="E334" s="201">
        <v>132000</v>
      </c>
      <c r="F334" s="218" t="s">
        <v>576</v>
      </c>
      <c r="G334" s="186">
        <v>1</v>
      </c>
      <c r="H334" s="201">
        <v>132000</v>
      </c>
      <c r="I334" s="97" t="s">
        <v>577</v>
      </c>
      <c r="J334" s="197">
        <v>3</v>
      </c>
      <c r="K334" s="188">
        <v>396000</v>
      </c>
      <c r="L334" s="209">
        <v>5</v>
      </c>
      <c r="M334" s="211">
        <v>660000</v>
      </c>
    </row>
    <row r="335" spans="1:13" s="90" customFormat="1" ht="16.5" x14ac:dyDescent="0.3">
      <c r="A335" s="192"/>
      <c r="B335" s="187"/>
      <c r="C335" s="218"/>
      <c r="D335" s="187"/>
      <c r="E335" s="201"/>
      <c r="F335" s="218"/>
      <c r="G335" s="186"/>
      <c r="H335" s="201"/>
      <c r="I335" s="97" t="s">
        <v>578</v>
      </c>
      <c r="J335" s="198"/>
      <c r="K335" s="189"/>
      <c r="L335" s="221"/>
      <c r="M335" s="222"/>
    </row>
    <row r="336" spans="1:13" s="90" customFormat="1" ht="33" x14ac:dyDescent="0.3">
      <c r="A336" s="193"/>
      <c r="B336" s="187"/>
      <c r="C336" s="218"/>
      <c r="D336" s="187"/>
      <c r="E336" s="201"/>
      <c r="F336" s="218"/>
      <c r="G336" s="186"/>
      <c r="H336" s="201"/>
      <c r="I336" s="97" t="s">
        <v>579</v>
      </c>
      <c r="J336" s="199"/>
      <c r="K336" s="190"/>
      <c r="L336" s="210"/>
      <c r="M336" s="212"/>
    </row>
    <row r="337" spans="1:13" s="90" customFormat="1" ht="16.5" x14ac:dyDescent="0.3">
      <c r="A337" s="191">
        <v>7</v>
      </c>
      <c r="B337" s="187" t="s">
        <v>395</v>
      </c>
      <c r="C337" s="216"/>
      <c r="D337" s="206"/>
      <c r="E337" s="188"/>
      <c r="F337" s="216"/>
      <c r="G337" s="197"/>
      <c r="H337" s="188"/>
      <c r="I337" s="97" t="s">
        <v>580</v>
      </c>
      <c r="J337" s="191">
        <v>2</v>
      </c>
      <c r="K337" s="188">
        <v>1109100</v>
      </c>
      <c r="L337" s="209">
        <v>2</v>
      </c>
      <c r="M337" s="211">
        <v>1109100</v>
      </c>
    </row>
    <row r="338" spans="1:13" s="90" customFormat="1" ht="36" customHeight="1" x14ac:dyDescent="0.3">
      <c r="A338" s="193"/>
      <c r="B338" s="187"/>
      <c r="C338" s="217"/>
      <c r="D338" s="207"/>
      <c r="E338" s="190"/>
      <c r="F338" s="217"/>
      <c r="G338" s="199"/>
      <c r="H338" s="190"/>
      <c r="I338" s="97" t="s">
        <v>581</v>
      </c>
      <c r="J338" s="193"/>
      <c r="K338" s="190"/>
      <c r="L338" s="210"/>
      <c r="M338" s="212"/>
    </row>
    <row r="339" spans="1:13" s="90" customFormat="1" ht="33" x14ac:dyDescent="0.3">
      <c r="A339" s="99">
        <v>8</v>
      </c>
      <c r="B339" s="106" t="s">
        <v>194</v>
      </c>
      <c r="C339" s="106"/>
      <c r="D339" s="111"/>
      <c r="E339" s="111"/>
      <c r="F339" s="124" t="s">
        <v>582</v>
      </c>
      <c r="G339" s="101">
        <v>1</v>
      </c>
      <c r="H339" s="102">
        <v>281220</v>
      </c>
      <c r="I339" s="97" t="s">
        <v>583</v>
      </c>
      <c r="J339" s="101">
        <v>1</v>
      </c>
      <c r="K339" s="102">
        <v>281220</v>
      </c>
      <c r="L339" s="104">
        <v>2</v>
      </c>
      <c r="M339" s="105">
        <v>562440</v>
      </c>
    </row>
    <row r="340" spans="1:13" s="90" customFormat="1" ht="16.5" x14ac:dyDescent="0.3">
      <c r="A340" s="191">
        <v>9</v>
      </c>
      <c r="B340" s="213" t="s">
        <v>197</v>
      </c>
      <c r="C340" s="215" t="s">
        <v>584</v>
      </c>
      <c r="D340" s="186">
        <v>1</v>
      </c>
      <c r="E340" s="201">
        <v>37530</v>
      </c>
      <c r="F340" s="215" t="s">
        <v>585</v>
      </c>
      <c r="G340" s="186">
        <v>1</v>
      </c>
      <c r="H340" s="201">
        <v>37530</v>
      </c>
      <c r="I340" s="107" t="s">
        <v>586</v>
      </c>
      <c r="J340" s="197">
        <v>2</v>
      </c>
      <c r="K340" s="188">
        <v>75060</v>
      </c>
      <c r="L340" s="209">
        <v>4</v>
      </c>
      <c r="M340" s="211">
        <v>150120</v>
      </c>
    </row>
    <row r="341" spans="1:13" s="90" customFormat="1" ht="37.5" customHeight="1" x14ac:dyDescent="0.3">
      <c r="A341" s="193"/>
      <c r="B341" s="214"/>
      <c r="C341" s="215"/>
      <c r="D341" s="186"/>
      <c r="E341" s="201"/>
      <c r="F341" s="215"/>
      <c r="G341" s="186"/>
      <c r="H341" s="201"/>
      <c r="I341" s="107" t="s">
        <v>587</v>
      </c>
      <c r="J341" s="199"/>
      <c r="K341" s="190"/>
      <c r="L341" s="210"/>
      <c r="M341" s="212"/>
    </row>
    <row r="342" spans="1:13" s="90" customFormat="1" ht="33" x14ac:dyDescent="0.3">
      <c r="A342" s="99">
        <v>10</v>
      </c>
      <c r="B342" s="106" t="s">
        <v>201</v>
      </c>
      <c r="C342" s="107" t="s">
        <v>588</v>
      </c>
      <c r="D342" s="101">
        <v>1</v>
      </c>
      <c r="E342" s="102">
        <v>240240</v>
      </c>
      <c r="F342" s="107" t="s">
        <v>589</v>
      </c>
      <c r="G342" s="101">
        <v>1</v>
      </c>
      <c r="H342" s="102">
        <v>240240</v>
      </c>
      <c r="I342" s="102"/>
      <c r="J342" s="101"/>
      <c r="K342" s="102"/>
      <c r="L342" s="104">
        <v>2</v>
      </c>
      <c r="M342" s="105">
        <v>480480</v>
      </c>
    </row>
    <row r="343" spans="1:13" s="90" customFormat="1" ht="33" x14ac:dyDescent="0.3">
      <c r="A343" s="99">
        <v>11</v>
      </c>
      <c r="B343" s="106" t="s">
        <v>205</v>
      </c>
      <c r="C343" s="107" t="s">
        <v>590</v>
      </c>
      <c r="D343" s="101">
        <v>1</v>
      </c>
      <c r="E343" s="102">
        <v>185118</v>
      </c>
      <c r="F343" s="107"/>
      <c r="G343" s="101"/>
      <c r="H343" s="102"/>
      <c r="I343" s="107" t="s">
        <v>591</v>
      </c>
      <c r="J343" s="101">
        <v>2</v>
      </c>
      <c r="K343" s="102">
        <v>370236</v>
      </c>
      <c r="L343" s="104">
        <v>3</v>
      </c>
      <c r="M343" s="105">
        <f>E343+K343</f>
        <v>555354</v>
      </c>
    </row>
    <row r="344" spans="1:13" s="90" customFormat="1" ht="16.5" x14ac:dyDescent="0.3">
      <c r="A344" s="99"/>
      <c r="B344" s="145" t="s">
        <v>11</v>
      </c>
      <c r="C344" s="145"/>
      <c r="D344" s="103"/>
      <c r="E344" s="105">
        <f>409770+E343</f>
        <v>594888</v>
      </c>
      <c r="F344" s="105"/>
      <c r="G344" s="105"/>
      <c r="H344" s="105">
        <v>1586490</v>
      </c>
      <c r="I344" s="105"/>
      <c r="J344" s="105"/>
      <c r="K344" s="105">
        <f>3290688+K343</f>
        <v>3660924</v>
      </c>
      <c r="L344" s="105"/>
      <c r="M344" s="105">
        <f>5286948+M343</f>
        <v>5842302</v>
      </c>
    </row>
    <row r="345" spans="1:13" s="90" customFormat="1" ht="16.5" x14ac:dyDescent="0.3">
      <c r="A345" s="101"/>
      <c r="B345" s="127"/>
      <c r="C345" s="136"/>
      <c r="D345" s="194" t="s">
        <v>592</v>
      </c>
      <c r="E345" s="195"/>
      <c r="F345" s="195"/>
      <c r="G345" s="195"/>
      <c r="H345" s="195"/>
      <c r="I345" s="195"/>
      <c r="J345" s="195"/>
      <c r="K345" s="195"/>
      <c r="L345" s="195"/>
      <c r="M345" s="196"/>
    </row>
    <row r="346" spans="1:13" s="90" customFormat="1" ht="16.5" x14ac:dyDescent="0.3">
      <c r="A346" s="191">
        <v>11</v>
      </c>
      <c r="B346" s="206" t="s">
        <v>593</v>
      </c>
      <c r="C346" s="206"/>
      <c r="D346" s="206"/>
      <c r="E346" s="188"/>
      <c r="F346" s="102" t="s">
        <v>594</v>
      </c>
      <c r="G346" s="197">
        <v>4</v>
      </c>
      <c r="H346" s="188">
        <v>317616</v>
      </c>
      <c r="I346" s="188"/>
      <c r="J346" s="197"/>
      <c r="K346" s="188"/>
      <c r="L346" s="197">
        <v>4</v>
      </c>
      <c r="M346" s="188">
        <v>317616</v>
      </c>
    </row>
    <row r="347" spans="1:13" s="90" customFormat="1" ht="16.5" x14ac:dyDescent="0.3">
      <c r="A347" s="192"/>
      <c r="B347" s="208"/>
      <c r="C347" s="208"/>
      <c r="D347" s="208"/>
      <c r="E347" s="189"/>
      <c r="F347" s="102" t="s">
        <v>595</v>
      </c>
      <c r="G347" s="198"/>
      <c r="H347" s="189"/>
      <c r="I347" s="189"/>
      <c r="J347" s="198"/>
      <c r="K347" s="189"/>
      <c r="L347" s="198"/>
      <c r="M347" s="189"/>
    </row>
    <row r="348" spans="1:13" s="90" customFormat="1" ht="16.5" x14ac:dyDescent="0.3">
      <c r="A348" s="192"/>
      <c r="B348" s="208"/>
      <c r="C348" s="208"/>
      <c r="D348" s="208"/>
      <c r="E348" s="189"/>
      <c r="F348" s="102" t="s">
        <v>596</v>
      </c>
      <c r="G348" s="198"/>
      <c r="H348" s="189"/>
      <c r="I348" s="189"/>
      <c r="J348" s="198"/>
      <c r="K348" s="189"/>
      <c r="L348" s="198"/>
      <c r="M348" s="189"/>
    </row>
    <row r="349" spans="1:13" s="90" customFormat="1" ht="16.5" x14ac:dyDescent="0.3">
      <c r="A349" s="193"/>
      <c r="B349" s="207"/>
      <c r="C349" s="207"/>
      <c r="D349" s="207"/>
      <c r="E349" s="190"/>
      <c r="F349" s="102" t="s">
        <v>597</v>
      </c>
      <c r="G349" s="199"/>
      <c r="H349" s="190"/>
      <c r="I349" s="190"/>
      <c r="J349" s="199"/>
      <c r="K349" s="190"/>
      <c r="L349" s="199"/>
      <c r="M349" s="190"/>
    </row>
    <row r="350" spans="1:13" s="90" customFormat="1" ht="16.5" x14ac:dyDescent="0.3">
      <c r="A350" s="191">
        <v>12</v>
      </c>
      <c r="B350" s="204" t="s">
        <v>598</v>
      </c>
      <c r="C350" s="204"/>
      <c r="D350" s="206"/>
      <c r="E350" s="188"/>
      <c r="F350" s="102" t="s">
        <v>599</v>
      </c>
      <c r="G350" s="197">
        <v>2</v>
      </c>
      <c r="H350" s="188">
        <v>703836</v>
      </c>
      <c r="I350" s="188"/>
      <c r="J350" s="197"/>
      <c r="K350" s="188"/>
      <c r="L350" s="197">
        <v>2</v>
      </c>
      <c r="M350" s="188">
        <v>703836</v>
      </c>
    </row>
    <row r="351" spans="1:13" s="90" customFormat="1" ht="16.5" x14ac:dyDescent="0.3">
      <c r="A351" s="193"/>
      <c r="B351" s="205"/>
      <c r="C351" s="205"/>
      <c r="D351" s="207"/>
      <c r="E351" s="190"/>
      <c r="F351" s="102" t="s">
        <v>600</v>
      </c>
      <c r="G351" s="199"/>
      <c r="H351" s="190"/>
      <c r="I351" s="190"/>
      <c r="J351" s="199"/>
      <c r="K351" s="190"/>
      <c r="L351" s="199"/>
      <c r="M351" s="190"/>
    </row>
    <row r="352" spans="1:13" s="90" customFormat="1" ht="16.5" x14ac:dyDescent="0.3">
      <c r="A352" s="108"/>
      <c r="B352" s="109" t="s">
        <v>11</v>
      </c>
      <c r="C352" s="109"/>
      <c r="D352" s="105"/>
      <c r="E352" s="105">
        <v>0</v>
      </c>
      <c r="F352" s="105"/>
      <c r="G352" s="105"/>
      <c r="H352" s="105">
        <v>1021452</v>
      </c>
      <c r="I352" s="105"/>
      <c r="J352" s="105"/>
      <c r="K352" s="105">
        <v>0</v>
      </c>
      <c r="L352" s="105"/>
      <c r="M352" s="105">
        <v>1021452</v>
      </c>
    </row>
    <row r="353" spans="1:13" s="90" customFormat="1" ht="16.5" x14ac:dyDescent="0.3">
      <c r="A353" s="108"/>
      <c r="B353" s="109"/>
      <c r="C353" s="109"/>
      <c r="D353" s="194" t="s">
        <v>208</v>
      </c>
      <c r="E353" s="195"/>
      <c r="F353" s="195"/>
      <c r="G353" s="195"/>
      <c r="H353" s="195"/>
      <c r="I353" s="195"/>
      <c r="J353" s="195"/>
      <c r="K353" s="195"/>
      <c r="L353" s="195"/>
      <c r="M353" s="196"/>
    </row>
    <row r="354" spans="1:13" s="90" customFormat="1" ht="16.5" x14ac:dyDescent="0.3">
      <c r="A354" s="186">
        <v>13</v>
      </c>
      <c r="B354" s="187" t="s">
        <v>601</v>
      </c>
      <c r="C354" s="188"/>
      <c r="D354" s="191"/>
      <c r="E354" s="191"/>
      <c r="F354" s="191"/>
      <c r="G354" s="191"/>
      <c r="H354" s="191"/>
      <c r="I354" s="142" t="s">
        <v>602</v>
      </c>
      <c r="J354" s="200">
        <v>7</v>
      </c>
      <c r="K354" s="201">
        <v>4011000</v>
      </c>
      <c r="L354" s="202">
        <v>7</v>
      </c>
      <c r="M354" s="203">
        <v>4011000</v>
      </c>
    </row>
    <row r="355" spans="1:13" s="90" customFormat="1" ht="16.5" x14ac:dyDescent="0.3">
      <c r="A355" s="186"/>
      <c r="B355" s="187"/>
      <c r="C355" s="189"/>
      <c r="D355" s="192"/>
      <c r="E355" s="192"/>
      <c r="F355" s="192"/>
      <c r="G355" s="192"/>
      <c r="H355" s="192"/>
      <c r="I355" s="97" t="s">
        <v>603</v>
      </c>
      <c r="J355" s="200"/>
      <c r="K355" s="201"/>
      <c r="L355" s="202"/>
      <c r="M355" s="203"/>
    </row>
    <row r="356" spans="1:13" s="90" customFormat="1" ht="16.5" x14ac:dyDescent="0.3">
      <c r="A356" s="186"/>
      <c r="B356" s="187"/>
      <c r="C356" s="189"/>
      <c r="D356" s="192"/>
      <c r="E356" s="192"/>
      <c r="F356" s="192"/>
      <c r="G356" s="192"/>
      <c r="H356" s="192"/>
      <c r="I356" s="97" t="s">
        <v>604</v>
      </c>
      <c r="J356" s="200"/>
      <c r="K356" s="201"/>
      <c r="L356" s="202"/>
      <c r="M356" s="203"/>
    </row>
    <row r="357" spans="1:13" s="90" customFormat="1" ht="16.5" x14ac:dyDescent="0.3">
      <c r="A357" s="186"/>
      <c r="B357" s="187"/>
      <c r="C357" s="189"/>
      <c r="D357" s="192"/>
      <c r="E357" s="192"/>
      <c r="F357" s="192"/>
      <c r="G357" s="192"/>
      <c r="H357" s="192"/>
      <c r="I357" s="97" t="s">
        <v>605</v>
      </c>
      <c r="J357" s="200"/>
      <c r="K357" s="201"/>
      <c r="L357" s="202"/>
      <c r="M357" s="203"/>
    </row>
    <row r="358" spans="1:13" s="90" customFormat="1" ht="16.5" x14ac:dyDescent="0.3">
      <c r="A358" s="186"/>
      <c r="B358" s="187"/>
      <c r="C358" s="189"/>
      <c r="D358" s="192"/>
      <c r="E358" s="192"/>
      <c r="F358" s="192"/>
      <c r="G358" s="192"/>
      <c r="H358" s="192"/>
      <c r="I358" s="97" t="s">
        <v>606</v>
      </c>
      <c r="J358" s="200"/>
      <c r="K358" s="201"/>
      <c r="L358" s="202"/>
      <c r="M358" s="203"/>
    </row>
    <row r="359" spans="1:13" s="90" customFormat="1" ht="16.5" x14ac:dyDescent="0.3">
      <c r="A359" s="186"/>
      <c r="B359" s="187"/>
      <c r="C359" s="189"/>
      <c r="D359" s="192"/>
      <c r="E359" s="192"/>
      <c r="F359" s="192"/>
      <c r="G359" s="192"/>
      <c r="H359" s="192"/>
      <c r="I359" s="97" t="s">
        <v>607</v>
      </c>
      <c r="J359" s="200"/>
      <c r="K359" s="201"/>
      <c r="L359" s="202"/>
      <c r="M359" s="203"/>
    </row>
    <row r="360" spans="1:13" s="90" customFormat="1" ht="16.5" x14ac:dyDescent="0.3">
      <c r="A360" s="186"/>
      <c r="B360" s="187"/>
      <c r="C360" s="190"/>
      <c r="D360" s="193"/>
      <c r="E360" s="193"/>
      <c r="F360" s="193"/>
      <c r="G360" s="193"/>
      <c r="H360" s="193"/>
      <c r="I360" s="97" t="s">
        <v>608</v>
      </c>
      <c r="J360" s="200"/>
      <c r="K360" s="201"/>
      <c r="L360" s="202"/>
      <c r="M360" s="203"/>
    </row>
    <row r="361" spans="1:13" s="90" customFormat="1" ht="49.5" x14ac:dyDescent="0.3">
      <c r="A361" s="99">
        <v>14</v>
      </c>
      <c r="B361" s="106" t="s">
        <v>212</v>
      </c>
      <c r="C361" s="107" t="s">
        <v>609</v>
      </c>
      <c r="D361" s="103">
        <v>1</v>
      </c>
      <c r="E361" s="102">
        <v>28200</v>
      </c>
      <c r="F361" s="107" t="s">
        <v>610</v>
      </c>
      <c r="G361" s="103">
        <v>1</v>
      </c>
      <c r="H361" s="102">
        <v>28200</v>
      </c>
      <c r="I361" s="102"/>
      <c r="J361" s="101"/>
      <c r="K361" s="102"/>
      <c r="L361" s="104">
        <v>2</v>
      </c>
      <c r="M361" s="105">
        <v>56400</v>
      </c>
    </row>
    <row r="362" spans="1:13" s="90" customFormat="1" ht="49.5" x14ac:dyDescent="0.3">
      <c r="A362" s="99">
        <v>15</v>
      </c>
      <c r="B362" s="106" t="s">
        <v>538</v>
      </c>
      <c r="C362" s="106"/>
      <c r="D362" s="106"/>
      <c r="E362" s="102"/>
      <c r="F362" s="102"/>
      <c r="G362" s="103"/>
      <c r="H362" s="102"/>
      <c r="I362" s="107" t="s">
        <v>611</v>
      </c>
      <c r="J362" s="101">
        <v>1</v>
      </c>
      <c r="K362" s="102">
        <v>129480</v>
      </c>
      <c r="L362" s="104">
        <v>1</v>
      </c>
      <c r="M362" s="105">
        <v>129480</v>
      </c>
    </row>
    <row r="363" spans="1:13" s="90" customFormat="1" ht="16.5" x14ac:dyDescent="0.3">
      <c r="A363" s="108"/>
      <c r="B363" s="109" t="s">
        <v>11</v>
      </c>
      <c r="C363" s="109"/>
      <c r="D363" s="105"/>
      <c r="E363" s="105">
        <v>28200</v>
      </c>
      <c r="F363" s="105"/>
      <c r="G363" s="105"/>
      <c r="H363" s="105">
        <v>28200</v>
      </c>
      <c r="I363" s="105"/>
      <c r="J363" s="105"/>
      <c r="K363" s="105">
        <v>4140480</v>
      </c>
      <c r="L363" s="105"/>
      <c r="M363" s="105">
        <v>4196880</v>
      </c>
    </row>
    <row r="364" spans="1:13" s="90" customFormat="1" ht="16.5" x14ac:dyDescent="0.3">
      <c r="A364" s="147"/>
      <c r="B364" s="114" t="s">
        <v>114</v>
      </c>
      <c r="C364" s="114"/>
      <c r="D364" s="143"/>
      <c r="E364" s="105">
        <f>2672790+185118</f>
        <v>2857908</v>
      </c>
      <c r="F364" s="105"/>
      <c r="G364" s="105"/>
      <c r="H364" s="105">
        <v>7105782</v>
      </c>
      <c r="I364" s="105"/>
      <c r="J364" s="105"/>
      <c r="K364" s="105">
        <f>7431168+370236</f>
        <v>7801404</v>
      </c>
      <c r="L364" s="105"/>
      <c r="M364" s="105">
        <f>17209740+555354</f>
        <v>17765094</v>
      </c>
    </row>
    <row r="365" spans="1:13" s="90" customFormat="1" ht="16.5" x14ac:dyDescent="0.3">
      <c r="A365" s="148"/>
      <c r="B365" s="116"/>
      <c r="C365" s="116"/>
      <c r="D365" s="133"/>
      <c r="E365" s="118"/>
      <c r="F365" s="118"/>
      <c r="G365" s="118"/>
      <c r="H365" s="118"/>
      <c r="I365" s="118"/>
      <c r="J365" s="118"/>
      <c r="K365" s="118"/>
      <c r="L365" s="118"/>
      <c r="M365" s="118"/>
    </row>
    <row r="366" spans="1:13" s="151" customFormat="1" ht="16.5" x14ac:dyDescent="0.3">
      <c r="A366" s="129"/>
      <c r="B366" s="149" t="s">
        <v>70</v>
      </c>
      <c r="C366" s="129"/>
      <c r="D366" s="129"/>
      <c r="E366" s="129"/>
      <c r="F366" s="129"/>
      <c r="G366" s="129"/>
      <c r="H366" s="129"/>
      <c r="I366" s="129"/>
      <c r="J366" s="129"/>
      <c r="K366" s="129"/>
      <c r="L366" s="129"/>
      <c r="M366" s="150">
        <f>M53+M101+K153+K206+M251+M301+M364</f>
        <v>140284620</v>
      </c>
    </row>
    <row r="367" spans="1:13" s="90" customFormat="1" ht="16.5" x14ac:dyDescent="0.3">
      <c r="F367" s="144"/>
    </row>
  </sheetData>
  <mergeCells count="576">
    <mergeCell ref="C10:E10"/>
    <mergeCell ref="F10:H10"/>
    <mergeCell ref="I10:K10"/>
    <mergeCell ref="L10:M10"/>
    <mergeCell ref="C11:C12"/>
    <mergeCell ref="D11:D12"/>
    <mergeCell ref="E11:E12"/>
    <mergeCell ref="F11:F12"/>
    <mergeCell ref="K1:M1"/>
    <mergeCell ref="A4:M4"/>
    <mergeCell ref="A5:M5"/>
    <mergeCell ref="L6:M6"/>
    <mergeCell ref="A7:M7"/>
    <mergeCell ref="L9:M9"/>
    <mergeCell ref="A21:A27"/>
    <mergeCell ref="B21:B27"/>
    <mergeCell ref="D21:D27"/>
    <mergeCell ref="E21:E27"/>
    <mergeCell ref="G21:G27"/>
    <mergeCell ref="H21:H27"/>
    <mergeCell ref="M11:M12"/>
    <mergeCell ref="C13:M13"/>
    <mergeCell ref="A14:A20"/>
    <mergeCell ref="B14:B20"/>
    <mergeCell ref="D14:D20"/>
    <mergeCell ref="E14:E20"/>
    <mergeCell ref="G14:G20"/>
    <mergeCell ref="H14:H20"/>
    <mergeCell ref="J14:J20"/>
    <mergeCell ref="K14:K20"/>
    <mergeCell ref="G11:G12"/>
    <mergeCell ref="H11:H12"/>
    <mergeCell ref="I11:I12"/>
    <mergeCell ref="J11:J12"/>
    <mergeCell ref="K11:K12"/>
    <mergeCell ref="L11:L12"/>
    <mergeCell ref="A10:A13"/>
    <mergeCell ref="B10:B13"/>
    <mergeCell ref="J21:J27"/>
    <mergeCell ref="K21:K27"/>
    <mergeCell ref="L21:L27"/>
    <mergeCell ref="M21:M27"/>
    <mergeCell ref="F26:F27"/>
    <mergeCell ref="I26:I27"/>
    <mergeCell ref="L14:L20"/>
    <mergeCell ref="M14:M20"/>
    <mergeCell ref="F19:F20"/>
    <mergeCell ref="I19:I20"/>
    <mergeCell ref="H28:H33"/>
    <mergeCell ref="I28:I33"/>
    <mergeCell ref="J28:J33"/>
    <mergeCell ref="K28:K33"/>
    <mergeCell ref="L28:L33"/>
    <mergeCell ref="M28:M33"/>
    <mergeCell ref="A28:A33"/>
    <mergeCell ref="B28:B33"/>
    <mergeCell ref="C28:C33"/>
    <mergeCell ref="D28:D33"/>
    <mergeCell ref="E28:E33"/>
    <mergeCell ref="G28:G33"/>
    <mergeCell ref="J35:J37"/>
    <mergeCell ref="K35:K37"/>
    <mergeCell ref="L35:L37"/>
    <mergeCell ref="M35:M37"/>
    <mergeCell ref="C36:C37"/>
    <mergeCell ref="I36:I37"/>
    <mergeCell ref="A35:A37"/>
    <mergeCell ref="B35:B37"/>
    <mergeCell ref="D35:D37"/>
    <mergeCell ref="E35:E37"/>
    <mergeCell ref="G35:G37"/>
    <mergeCell ref="H35:H37"/>
    <mergeCell ref="J38:J40"/>
    <mergeCell ref="K38:K40"/>
    <mergeCell ref="L38:L40"/>
    <mergeCell ref="M38:M40"/>
    <mergeCell ref="C39:C40"/>
    <mergeCell ref="D48:M48"/>
    <mergeCell ref="A38:A40"/>
    <mergeCell ref="B38:B40"/>
    <mergeCell ref="D38:D40"/>
    <mergeCell ref="E38:E40"/>
    <mergeCell ref="G38:G40"/>
    <mergeCell ref="H38:H40"/>
    <mergeCell ref="A64:A70"/>
    <mergeCell ref="B64:B70"/>
    <mergeCell ref="D64:D70"/>
    <mergeCell ref="E64:E70"/>
    <mergeCell ref="G64:G70"/>
    <mergeCell ref="H64:H70"/>
    <mergeCell ref="J64:J70"/>
    <mergeCell ref="L56:M56"/>
    <mergeCell ref="A57:M57"/>
    <mergeCell ref="L59:M59"/>
    <mergeCell ref="A60:A62"/>
    <mergeCell ref="B60:B62"/>
    <mergeCell ref="C60:C61"/>
    <mergeCell ref="D60:E60"/>
    <mergeCell ref="F60:F61"/>
    <mergeCell ref="G60:H60"/>
    <mergeCell ref="I60:I61"/>
    <mergeCell ref="K64:K70"/>
    <mergeCell ref="L64:L70"/>
    <mergeCell ref="M64:M70"/>
    <mergeCell ref="I65:I66"/>
    <mergeCell ref="I67:I68"/>
    <mergeCell ref="F69:F70"/>
    <mergeCell ref="I69:I70"/>
    <mergeCell ref="J60:K60"/>
    <mergeCell ref="L60:M60"/>
    <mergeCell ref="C62:M62"/>
    <mergeCell ref="J71:J77"/>
    <mergeCell ref="K71:K77"/>
    <mergeCell ref="L71:L77"/>
    <mergeCell ref="M71:M77"/>
    <mergeCell ref="I74:I75"/>
    <mergeCell ref="F76:F77"/>
    <mergeCell ref="I76:I77"/>
    <mergeCell ref="A71:A77"/>
    <mergeCell ref="B71:B77"/>
    <mergeCell ref="D71:D77"/>
    <mergeCell ref="E71:E77"/>
    <mergeCell ref="G71:G77"/>
    <mergeCell ref="H71:H77"/>
    <mergeCell ref="H78:H83"/>
    <mergeCell ref="I78:I83"/>
    <mergeCell ref="J78:J83"/>
    <mergeCell ref="K78:K83"/>
    <mergeCell ref="L78:L83"/>
    <mergeCell ref="M78:M83"/>
    <mergeCell ref="A78:A83"/>
    <mergeCell ref="B78:B83"/>
    <mergeCell ref="C78:C83"/>
    <mergeCell ref="D78:D83"/>
    <mergeCell ref="E78:E83"/>
    <mergeCell ref="G78:G83"/>
    <mergeCell ref="H85:H87"/>
    <mergeCell ref="I85:I87"/>
    <mergeCell ref="J85:J87"/>
    <mergeCell ref="K85:K87"/>
    <mergeCell ref="L85:L87"/>
    <mergeCell ref="M85:M87"/>
    <mergeCell ref="A85:A87"/>
    <mergeCell ref="B85:B87"/>
    <mergeCell ref="D85:D87"/>
    <mergeCell ref="E85:E87"/>
    <mergeCell ref="F85:F87"/>
    <mergeCell ref="G85:G87"/>
    <mergeCell ref="H88:H90"/>
    <mergeCell ref="I88:I89"/>
    <mergeCell ref="J88:J90"/>
    <mergeCell ref="K88:K90"/>
    <mergeCell ref="L88:L90"/>
    <mergeCell ref="M88:M90"/>
    <mergeCell ref="A88:A90"/>
    <mergeCell ref="B88:B90"/>
    <mergeCell ref="C88:C89"/>
    <mergeCell ref="D88:D90"/>
    <mergeCell ref="E88:E90"/>
    <mergeCell ref="G88:G90"/>
    <mergeCell ref="D98:M98"/>
    <mergeCell ref="L104:M104"/>
    <mergeCell ref="A105:M105"/>
    <mergeCell ref="J106:K106"/>
    <mergeCell ref="A107:A109"/>
    <mergeCell ref="B107:B109"/>
    <mergeCell ref="C107:C108"/>
    <mergeCell ref="D107:E107"/>
    <mergeCell ref="F107:F108"/>
    <mergeCell ref="G107:H107"/>
    <mergeCell ref="I107:I108"/>
    <mergeCell ref="J107:K107"/>
    <mergeCell ref="L107:M107"/>
    <mergeCell ref="C109:K109"/>
    <mergeCell ref="A110:A117"/>
    <mergeCell ref="B110:B117"/>
    <mergeCell ref="D110:D117"/>
    <mergeCell ref="E110:E117"/>
    <mergeCell ref="G110:G117"/>
    <mergeCell ref="H110:H117"/>
    <mergeCell ref="I110:I117"/>
    <mergeCell ref="J110:J117"/>
    <mergeCell ref="K110:K117"/>
    <mergeCell ref="C116:C117"/>
    <mergeCell ref="A118:A125"/>
    <mergeCell ref="B118:B125"/>
    <mergeCell ref="D118:D125"/>
    <mergeCell ref="E118:E125"/>
    <mergeCell ref="G118:G125"/>
    <mergeCell ref="H118:H125"/>
    <mergeCell ref="I118:I125"/>
    <mergeCell ref="J118:J125"/>
    <mergeCell ref="K118:K125"/>
    <mergeCell ref="C124:C125"/>
    <mergeCell ref="A126:A133"/>
    <mergeCell ref="B126:B133"/>
    <mergeCell ref="D126:D133"/>
    <mergeCell ref="E126:E133"/>
    <mergeCell ref="G126:G133"/>
    <mergeCell ref="H126:H133"/>
    <mergeCell ref="I126:I133"/>
    <mergeCell ref="J126:J133"/>
    <mergeCell ref="K126:K133"/>
    <mergeCell ref="C132:C133"/>
    <mergeCell ref="D149:K149"/>
    <mergeCell ref="L156:M156"/>
    <mergeCell ref="A157:M157"/>
    <mergeCell ref="I135:I138"/>
    <mergeCell ref="J135:J138"/>
    <mergeCell ref="K135:K138"/>
    <mergeCell ref="C137:C138"/>
    <mergeCell ref="A139:A141"/>
    <mergeCell ref="B139:B141"/>
    <mergeCell ref="D139:D141"/>
    <mergeCell ref="E139:E141"/>
    <mergeCell ref="G139:G141"/>
    <mergeCell ref="H139:H141"/>
    <mergeCell ref="A135:A138"/>
    <mergeCell ref="B135:B138"/>
    <mergeCell ref="D135:D138"/>
    <mergeCell ref="E135:E138"/>
    <mergeCell ref="G135:G138"/>
    <mergeCell ref="H135:H138"/>
    <mergeCell ref="I139:I141"/>
    <mergeCell ref="J139:J141"/>
    <mergeCell ref="K139:K141"/>
    <mergeCell ref="Z157:AA157"/>
    <mergeCell ref="J158:K158"/>
    <mergeCell ref="A159:A161"/>
    <mergeCell ref="B159:B161"/>
    <mergeCell ref="C159:C160"/>
    <mergeCell ref="D159:E159"/>
    <mergeCell ref="F159:F160"/>
    <mergeCell ref="G159:H159"/>
    <mergeCell ref="I159:I160"/>
    <mergeCell ref="J159:K159"/>
    <mergeCell ref="L159:M159"/>
    <mergeCell ref="C161:K161"/>
    <mergeCell ref="A162:A169"/>
    <mergeCell ref="B162:B169"/>
    <mergeCell ref="D162:D169"/>
    <mergeCell ref="E162:E169"/>
    <mergeCell ref="G162:G169"/>
    <mergeCell ref="H162:H169"/>
    <mergeCell ref="I162:I169"/>
    <mergeCell ref="J162:J169"/>
    <mergeCell ref="K162:K169"/>
    <mergeCell ref="F167:F169"/>
    <mergeCell ref="A170:A177"/>
    <mergeCell ref="B170:B177"/>
    <mergeCell ref="D170:D177"/>
    <mergeCell ref="E170:E177"/>
    <mergeCell ref="G170:G177"/>
    <mergeCell ref="H170:H177"/>
    <mergeCell ref="I170:I177"/>
    <mergeCell ref="J170:J177"/>
    <mergeCell ref="K170:K177"/>
    <mergeCell ref="F175:F177"/>
    <mergeCell ref="A178:A185"/>
    <mergeCell ref="B178:B185"/>
    <mergeCell ref="D178:D185"/>
    <mergeCell ref="E178:E185"/>
    <mergeCell ref="G178:G185"/>
    <mergeCell ref="H178:H185"/>
    <mergeCell ref="I178:I185"/>
    <mergeCell ref="J178:J185"/>
    <mergeCell ref="K178:K185"/>
    <mergeCell ref="F183:F185"/>
    <mergeCell ref="K187:K190"/>
    <mergeCell ref="F189:F190"/>
    <mergeCell ref="A191:A193"/>
    <mergeCell ref="B191:B193"/>
    <mergeCell ref="D191:D193"/>
    <mergeCell ref="E191:E193"/>
    <mergeCell ref="G191:G193"/>
    <mergeCell ref="H191:H193"/>
    <mergeCell ref="I191:I193"/>
    <mergeCell ref="A187:A190"/>
    <mergeCell ref="B187:B190"/>
    <mergeCell ref="D187:D190"/>
    <mergeCell ref="E187:E190"/>
    <mergeCell ref="F187:F188"/>
    <mergeCell ref="G187:G190"/>
    <mergeCell ref="H187:H190"/>
    <mergeCell ref="I187:I190"/>
    <mergeCell ref="J187:J190"/>
    <mergeCell ref="J194:J195"/>
    <mergeCell ref="K194:K195"/>
    <mergeCell ref="D202:K202"/>
    <mergeCell ref="L210:M210"/>
    <mergeCell ref="A211:M211"/>
    <mergeCell ref="L213:M213"/>
    <mergeCell ref="J191:J193"/>
    <mergeCell ref="K191:K193"/>
    <mergeCell ref="A194:A195"/>
    <mergeCell ref="B194:B195"/>
    <mergeCell ref="D194:D195"/>
    <mergeCell ref="E194:E195"/>
    <mergeCell ref="F194:F195"/>
    <mergeCell ref="G194:G195"/>
    <mergeCell ref="H194:H195"/>
    <mergeCell ref="I194:I195"/>
    <mergeCell ref="A223:A228"/>
    <mergeCell ref="B223:B228"/>
    <mergeCell ref="C223:C228"/>
    <mergeCell ref="D223:D228"/>
    <mergeCell ref="E223:E228"/>
    <mergeCell ref="I214:I215"/>
    <mergeCell ref="J214:K214"/>
    <mergeCell ref="L214:M214"/>
    <mergeCell ref="C216:M216"/>
    <mergeCell ref="A217:A222"/>
    <mergeCell ref="B217:B222"/>
    <mergeCell ref="C217:C222"/>
    <mergeCell ref="D217:D222"/>
    <mergeCell ref="E217:E222"/>
    <mergeCell ref="G217:G222"/>
    <mergeCell ref="A214:A216"/>
    <mergeCell ref="B214:B216"/>
    <mergeCell ref="C214:C215"/>
    <mergeCell ref="D214:E214"/>
    <mergeCell ref="F214:F215"/>
    <mergeCell ref="G214:H214"/>
    <mergeCell ref="G223:G228"/>
    <mergeCell ref="H223:H228"/>
    <mergeCell ref="J223:J228"/>
    <mergeCell ref="K223:K228"/>
    <mergeCell ref="L223:L228"/>
    <mergeCell ref="M223:M228"/>
    <mergeCell ref="H217:H222"/>
    <mergeCell ref="J217:J222"/>
    <mergeCell ref="K217:K222"/>
    <mergeCell ref="L217:L222"/>
    <mergeCell ref="M217:M222"/>
    <mergeCell ref="H229:H234"/>
    <mergeCell ref="J229:J234"/>
    <mergeCell ref="K229:K234"/>
    <mergeCell ref="L229:L234"/>
    <mergeCell ref="M229:M234"/>
    <mergeCell ref="B236:B237"/>
    <mergeCell ref="C236:C237"/>
    <mergeCell ref="D236:D237"/>
    <mergeCell ref="E236:E237"/>
    <mergeCell ref="A229:A234"/>
    <mergeCell ref="B229:B234"/>
    <mergeCell ref="C229:C234"/>
    <mergeCell ref="D229:D234"/>
    <mergeCell ref="E229:E234"/>
    <mergeCell ref="G229:G234"/>
    <mergeCell ref="K238:K240"/>
    <mergeCell ref="L238:L240"/>
    <mergeCell ref="M238:M240"/>
    <mergeCell ref="D247:M247"/>
    <mergeCell ref="L254:M254"/>
    <mergeCell ref="A255:M255"/>
    <mergeCell ref="M236:M237"/>
    <mergeCell ref="A238:A240"/>
    <mergeCell ref="B238:B240"/>
    <mergeCell ref="C238:C240"/>
    <mergeCell ref="D238:D240"/>
    <mergeCell ref="E238:E240"/>
    <mergeCell ref="G238:G240"/>
    <mergeCell ref="H238:H240"/>
    <mergeCell ref="I238:I239"/>
    <mergeCell ref="J238:J240"/>
    <mergeCell ref="G236:G237"/>
    <mergeCell ref="H236:H237"/>
    <mergeCell ref="I236:I237"/>
    <mergeCell ref="J236:J237"/>
    <mergeCell ref="K236:K237"/>
    <mergeCell ref="L236:L237"/>
    <mergeCell ref="A236:A237"/>
    <mergeCell ref="L256:M256"/>
    <mergeCell ref="A257:A259"/>
    <mergeCell ref="B257:B259"/>
    <mergeCell ref="C257:C258"/>
    <mergeCell ref="D257:E257"/>
    <mergeCell ref="F257:F258"/>
    <mergeCell ref="G257:H257"/>
    <mergeCell ref="I257:I258"/>
    <mergeCell ref="J257:K257"/>
    <mergeCell ref="L257:M257"/>
    <mergeCell ref="C259:M259"/>
    <mergeCell ref="C283:C284"/>
    <mergeCell ref="F283:F284"/>
    <mergeCell ref="K274:K280"/>
    <mergeCell ref="L274:L280"/>
    <mergeCell ref="M260:M266"/>
    <mergeCell ref="C265:C266"/>
    <mergeCell ref="A267:A273"/>
    <mergeCell ref="B267:B273"/>
    <mergeCell ref="D267:D273"/>
    <mergeCell ref="E267:E273"/>
    <mergeCell ref="G267:G273"/>
    <mergeCell ref="H267:H273"/>
    <mergeCell ref="J267:J273"/>
    <mergeCell ref="K267:K273"/>
    <mergeCell ref="A260:A266"/>
    <mergeCell ref="B260:B266"/>
    <mergeCell ref="D260:D266"/>
    <mergeCell ref="E260:E266"/>
    <mergeCell ref="G260:G266"/>
    <mergeCell ref="H260:H266"/>
    <mergeCell ref="J260:J266"/>
    <mergeCell ref="K260:K266"/>
    <mergeCell ref="L260:L266"/>
    <mergeCell ref="L267:L273"/>
    <mergeCell ref="M267:M273"/>
    <mergeCell ref="C272:C273"/>
    <mergeCell ref="A274:A280"/>
    <mergeCell ref="B274:B280"/>
    <mergeCell ref="D274:D280"/>
    <mergeCell ref="E274:E280"/>
    <mergeCell ref="G274:G280"/>
    <mergeCell ref="H274:H280"/>
    <mergeCell ref="J274:J280"/>
    <mergeCell ref="M274:M280"/>
    <mergeCell ref="C279:C280"/>
    <mergeCell ref="J285:J287"/>
    <mergeCell ref="K285:K287"/>
    <mergeCell ref="L285:L287"/>
    <mergeCell ref="M285:M287"/>
    <mergeCell ref="D295:M295"/>
    <mergeCell ref="L304:M304"/>
    <mergeCell ref="A285:A287"/>
    <mergeCell ref="B285:B287"/>
    <mergeCell ref="D285:D287"/>
    <mergeCell ref="E285:E287"/>
    <mergeCell ref="G285:G287"/>
    <mergeCell ref="H285:H287"/>
    <mergeCell ref="A282:A284"/>
    <mergeCell ref="B282:B284"/>
    <mergeCell ref="D282:D284"/>
    <mergeCell ref="E282:E284"/>
    <mergeCell ref="G282:G284"/>
    <mergeCell ref="H282:H284"/>
    <mergeCell ref="J282:J284"/>
    <mergeCell ref="K282:K284"/>
    <mergeCell ref="L282:L284"/>
    <mergeCell ref="M282:M284"/>
    <mergeCell ref="M319:M326"/>
    <mergeCell ref="C322:C326"/>
    <mergeCell ref="K311:K318"/>
    <mergeCell ref="L311:L318"/>
    <mergeCell ref="A305:M305"/>
    <mergeCell ref="L307:M307"/>
    <mergeCell ref="A308:A310"/>
    <mergeCell ref="B308:B310"/>
    <mergeCell ref="C308:C309"/>
    <mergeCell ref="D308:E308"/>
    <mergeCell ref="F308:F309"/>
    <mergeCell ref="G308:H308"/>
    <mergeCell ref="I308:I309"/>
    <mergeCell ref="J308:K308"/>
    <mergeCell ref="L308:M308"/>
    <mergeCell ref="C310:M310"/>
    <mergeCell ref="A311:A318"/>
    <mergeCell ref="B311:B318"/>
    <mergeCell ref="D311:D318"/>
    <mergeCell ref="E311:E318"/>
    <mergeCell ref="G311:G318"/>
    <mergeCell ref="H311:H318"/>
    <mergeCell ref="I311:I318"/>
    <mergeCell ref="J311:J318"/>
    <mergeCell ref="M311:M318"/>
    <mergeCell ref="C314:C318"/>
    <mergeCell ref="H327:H328"/>
    <mergeCell ref="I327:I328"/>
    <mergeCell ref="J327:J328"/>
    <mergeCell ref="K327:K328"/>
    <mergeCell ref="L327:L328"/>
    <mergeCell ref="M327:M328"/>
    <mergeCell ref="A327:A328"/>
    <mergeCell ref="B327:B328"/>
    <mergeCell ref="C327:C328"/>
    <mergeCell ref="D327:D328"/>
    <mergeCell ref="E327:E328"/>
    <mergeCell ref="G327:G328"/>
    <mergeCell ref="A319:A326"/>
    <mergeCell ref="B319:B326"/>
    <mergeCell ref="D319:D326"/>
    <mergeCell ref="E319:E326"/>
    <mergeCell ref="G319:G326"/>
    <mergeCell ref="H319:H326"/>
    <mergeCell ref="I319:I326"/>
    <mergeCell ref="J319:J326"/>
    <mergeCell ref="K319:K326"/>
    <mergeCell ref="L319:L326"/>
    <mergeCell ref="E334:E336"/>
    <mergeCell ref="F334:F336"/>
    <mergeCell ref="A330:B330"/>
    <mergeCell ref="D330:M330"/>
    <mergeCell ref="A332:A333"/>
    <mergeCell ref="B332:B333"/>
    <mergeCell ref="C332:C333"/>
    <mergeCell ref="D332:D333"/>
    <mergeCell ref="E332:E333"/>
    <mergeCell ref="F332:F333"/>
    <mergeCell ref="G332:G333"/>
    <mergeCell ref="H332:H333"/>
    <mergeCell ref="G334:G336"/>
    <mergeCell ref="H334:H336"/>
    <mergeCell ref="J334:J336"/>
    <mergeCell ref="K334:K336"/>
    <mergeCell ref="L334:L336"/>
    <mergeCell ref="M334:M336"/>
    <mergeCell ref="J332:J333"/>
    <mergeCell ref="K332:K333"/>
    <mergeCell ref="A340:A341"/>
    <mergeCell ref="B340:B341"/>
    <mergeCell ref="C340:C341"/>
    <mergeCell ref="D340:D341"/>
    <mergeCell ref="E340:E341"/>
    <mergeCell ref="F340:F341"/>
    <mergeCell ref="L332:L333"/>
    <mergeCell ref="M332:M333"/>
    <mergeCell ref="G337:G338"/>
    <mergeCell ref="H337:H338"/>
    <mergeCell ref="J337:J338"/>
    <mergeCell ref="K337:K338"/>
    <mergeCell ref="L337:L338"/>
    <mergeCell ref="M337:M338"/>
    <mergeCell ref="A337:A338"/>
    <mergeCell ref="B337:B338"/>
    <mergeCell ref="C337:C338"/>
    <mergeCell ref="D337:D338"/>
    <mergeCell ref="E337:E338"/>
    <mergeCell ref="F337:F338"/>
    <mergeCell ref="A334:A336"/>
    <mergeCell ref="B334:B336"/>
    <mergeCell ref="C334:C336"/>
    <mergeCell ref="D334:D336"/>
    <mergeCell ref="J350:J351"/>
    <mergeCell ref="K350:K351"/>
    <mergeCell ref="L350:L351"/>
    <mergeCell ref="M350:M351"/>
    <mergeCell ref="G340:G341"/>
    <mergeCell ref="H340:H341"/>
    <mergeCell ref="J340:J341"/>
    <mergeCell ref="K340:K341"/>
    <mergeCell ref="L340:L341"/>
    <mergeCell ref="M340:M341"/>
    <mergeCell ref="D345:M345"/>
    <mergeCell ref="A346:A349"/>
    <mergeCell ref="B346:B349"/>
    <mergeCell ref="C346:C349"/>
    <mergeCell ref="D346:D349"/>
    <mergeCell ref="E346:E349"/>
    <mergeCell ref="G346:G349"/>
    <mergeCell ref="H346:H349"/>
    <mergeCell ref="I346:I349"/>
    <mergeCell ref="J346:J349"/>
    <mergeCell ref="A354:A360"/>
    <mergeCell ref="B354:B360"/>
    <mergeCell ref="C354:C360"/>
    <mergeCell ref="D354:D360"/>
    <mergeCell ref="E354:E360"/>
    <mergeCell ref="F354:F360"/>
    <mergeCell ref="D353:M353"/>
    <mergeCell ref="K346:K349"/>
    <mergeCell ref="L346:L349"/>
    <mergeCell ref="M346:M349"/>
    <mergeCell ref="G354:G360"/>
    <mergeCell ref="H354:H360"/>
    <mergeCell ref="J354:J360"/>
    <mergeCell ref="K354:K360"/>
    <mergeCell ref="L354:L360"/>
    <mergeCell ref="M354:M360"/>
    <mergeCell ref="A350:A351"/>
    <mergeCell ref="B350:B351"/>
    <mergeCell ref="C350:C351"/>
    <mergeCell ref="D350:D351"/>
    <mergeCell ref="E350:E351"/>
    <mergeCell ref="G350:G351"/>
    <mergeCell ref="H350:H351"/>
    <mergeCell ref="I350:I351"/>
  </mergeCells>
  <pageMargins left="0" right="0" top="0" bottom="0" header="0" footer="0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Havelvac3</vt:lpstr>
      <vt:lpstr>Havelvac 1</vt:lpstr>
      <vt:lpstr>Havelvac 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2017-03-28T11:35:38Z</dcterms:modified>
</cp:coreProperties>
</file>