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arikS\Desktop\ջրային 1 մլրդ վերաբաշխ\"/>
    </mc:Choice>
  </mc:AlternateContent>
  <bookViews>
    <workbookView xWindow="0" yWindow="0" windowWidth="28800" windowHeight="12330" firstSheet="5" activeTab="5"/>
  </bookViews>
  <sheets>
    <sheet name="Sheet5" sheetId="24" state="hidden" r:id="rId1"/>
    <sheet name="Sheet4" sheetId="23" state="hidden" r:id="rId2"/>
    <sheet name="Sheet3" sheetId="22" state="hidden" r:id="rId3"/>
    <sheet name="Sheet2" sheetId="21" state="hidden" r:id="rId4"/>
    <sheet name="Sheet1" sheetId="20" state="hidden" r:id="rId5"/>
    <sheet name="Հավելված 1" sheetId="16" r:id="rId6"/>
    <sheet name="Հավելված 2" sheetId="26" r:id="rId7"/>
    <sheet name="Հավելված 3" sheetId="10" r:id="rId8"/>
    <sheet name="N 2.2 " sheetId="19" state="hidden" r:id="rId9"/>
    <sheet name="Հավելված 4" sheetId="27" r:id="rId10"/>
    <sheet name="Հավելված 5 աղ. 1" sheetId="14" r:id="rId11"/>
    <sheet name="Հավելված 5 աղ․ 2" sheetId="25" r:id="rId12"/>
    <sheet name="N 3.2" sheetId="15" state="hidden" r:id="rId13"/>
  </sheets>
  <externalReferences>
    <externalReference r:id="rId14"/>
    <externalReference r:id="rId15"/>
    <externalReference r:id="rId16"/>
  </externalReferences>
  <definedNames>
    <definedName name="_xlnm.Print_Area" localSheetId="8">'N 2.2 '!$A$1:$M$55</definedName>
    <definedName name="_xlnm.Print_Area" localSheetId="12">'N 3.2'!$A$1:$E$90</definedName>
    <definedName name="_xlnm.Print_Area" localSheetId="5">'Հավելված 1'!$A$2:$F$91</definedName>
    <definedName name="_xlnm.Print_Area" localSheetId="6">'Հավելված 2'!$A$2:$J$74</definedName>
    <definedName name="_xlnm.Print_Area" localSheetId="7">'Հավելված 3'!$A$1:$L$68</definedName>
    <definedName name="_xlnm.Print_Area" localSheetId="9">'Հավելված 4'!$A$1:$L$36</definedName>
    <definedName name="_xlnm.Print_Area" localSheetId="10">'Հավելված 5 աղ. 1'!$A$1:$E$145</definedName>
    <definedName name="_xlnm.Print_Area" localSheetId="11">'Հավելված 5 աղ․ 2'!$A$1:$F$144</definedName>
    <definedName name="_xlnm.Print_Titles" localSheetId="8">'N 2.2 '!$6:$8</definedName>
    <definedName name="_xlnm.Print_Titles" localSheetId="5">'Հավելված 1'!$8:$10</definedName>
    <definedName name="_xlnm.Print_Titles" localSheetId="6">'Հավելված 2'!$8:$10</definedName>
    <definedName name="_xlnm.Print_Titles" localSheetId="7">'Հավելված 3'!$8:$12</definedName>
    <definedName name="_xlnm.Print_Titles" localSheetId="9">'Հավելված 4'!$8:$12</definedName>
  </definedNames>
  <calcPr calcId="162913"/>
  <customWorkbookViews>
    <customWorkbookView name="Hayser Gasparyan - Personal View" guid="{F0F134FE-9C18-4748-B429-D21757D5744A}" mergeInterval="0" personalView="1" maximized="1" windowWidth="1916" windowHeight="781" activeSheetId="2"/>
    <customWorkbookView name="Anna Ohanyan - Personal View" guid="{13F83A3E-B6D8-42AC-B920-567484E5956F}" mergeInterval="0" personalView="1" maximized="1" windowWidth="1436" windowHeight="651" activeSheetId="6"/>
    <customWorkbookView name="Yelena_Khachatryan - Personal View" guid="{589C3EF7-5104-4F1D-ABB4-6DEBF1D5DD19}" mergeInterval="0" personalView="1" maximized="1" xWindow="1" yWindow="1" windowWidth="1280" windowHeight="728" activeSheetId="4"/>
    <customWorkbookView name="Evelina.Grigoryan - Personal View" guid="{6E1D33A1-9AEB-4C8B-97E5-3DA8F987F057}" mergeInterval="0" personalView="1" maximized="1" windowWidth="1436" windowHeight="736" activeSheetId="4"/>
    <customWorkbookView name="HVahag - Personal View" guid="{93977DF1-9257-46C1-B7FD-F00030EC9C9B}" mergeInterval="0" personalView="1" maximized="1" windowWidth="1020" windowHeight="592" tabRatio="837" activeSheetId="1"/>
    <customWorkbookView name="Annao - Personal View" guid="{5C721925-9BB2-4481-82DF-CF89B1EE6F99}" mergeInterval="0" personalView="1" maximized="1" windowWidth="796" windowHeight="402" tabRatio="840" activeSheetId="4"/>
    <customWorkbookView name="agrigor - Personal View" guid="{894C4CF8-E322-4B2B-B587-240EABA25548}" mergeInterval="0" personalView="1" maximized="1" windowWidth="1436" windowHeight="754" tabRatio="865" activeSheetId="1"/>
    <customWorkbookView name="msuzana - Personal View" guid="{BF30329F-7100-4B05-BF66-6F828BC87560}" mergeInterval="0" personalView="1" maximized="1" windowWidth="1276" windowHeight="859" tabRatio="837" activeSheetId="1"/>
    <customWorkbookView name="SArpi - Personal View" guid="{2345E28A-6285-4154-A5CF-6D585E461BD6}" mergeInterval="0" personalView="1" maximized="1" windowWidth="1020" windowHeight="596" activeSheetId="1"/>
    <customWorkbookView name="MNaira - Personal View" guid="{2DE5A455-A485-495A-8DB0-667144F0C1F8}" mergeInterval="0" personalView="1" maximized="1" windowWidth="1020" windowHeight="543" tabRatio="842" activeSheetId="1"/>
    <customWorkbookView name="ghayser - Personal View" guid="{A6B5AF61-3216-4B91-8050-F59FEA595D5A}" mergeInterval="0" personalView="1" maximized="1" windowWidth="1436" windowHeight="754" tabRatio="837" activeSheetId="1"/>
    <customWorkbookView name="anna.ohanyan - Personal View" guid="{73AE7F0F-2263-4309-B8BF-1CE4EEECA809}" mergeInterval="0" personalView="1" maximized="1" windowWidth="1020" windowHeight="596" tabRatio="654" activeSheetId="5"/>
    <customWorkbookView name="Ani.Khanaghyan - Personal View" guid="{F88E1BEB-04FA-4FE4-87E9-D00EB46CAB62}" mergeInterval="0" personalView="1" maximized="1" xWindow="1" yWindow="1" windowWidth="1280" windowHeight="776" activeSheetId="4"/>
    <customWorkbookView name="Arpenik Sahradyan - Personal View" guid="{2886B1C7-7EFC-4B79-86A0-EA37786F19B2}" mergeInterval="0" personalView="1" maximized="1" windowWidth="1276" windowHeight="814" activeSheetId="6"/>
  </customWorkbookViews>
  <fileRecoveryPr autoRecover="0"/>
</workbook>
</file>

<file path=xl/calcChain.xml><?xml version="1.0" encoding="utf-8"?>
<calcChain xmlns="http://schemas.openxmlformats.org/spreadsheetml/2006/main">
  <c r="C46" i="25" l="1"/>
  <c r="G34" i="26"/>
  <c r="G31" i="26" s="1"/>
  <c r="G32" i="26" s="1"/>
  <c r="O36" i="10"/>
  <c r="N36" i="10"/>
  <c r="I35" i="10"/>
  <c r="H35" i="10"/>
  <c r="D36" i="10"/>
  <c r="C47" i="14"/>
  <c r="F35" i="10"/>
  <c r="E35" i="10"/>
  <c r="E33" i="10"/>
  <c r="E31" i="10"/>
  <c r="H42" i="10"/>
  <c r="N42" i="10"/>
  <c r="F132" i="14"/>
  <c r="G133" i="14"/>
  <c r="C144" i="14"/>
  <c r="D144" i="14"/>
  <c r="E144" i="14"/>
  <c r="E143" i="14"/>
  <c r="D143" i="14"/>
  <c r="C143" i="14"/>
  <c r="C131" i="14"/>
  <c r="O42" i="10"/>
  <c r="E49" i="10"/>
  <c r="E47" i="10" s="1"/>
  <c r="F49" i="10"/>
  <c r="F47" i="10" s="1"/>
  <c r="F45" i="10" s="1"/>
  <c r="K49" i="10"/>
  <c r="K47" i="10" s="1"/>
  <c r="K45" i="10" s="1"/>
  <c r="L49" i="10"/>
  <c r="D50" i="10"/>
  <c r="C97" i="14" s="1"/>
  <c r="D96" i="25" s="1"/>
  <c r="H50" i="10"/>
  <c r="H49" i="10" s="1"/>
  <c r="I50" i="10"/>
  <c r="I49" i="10" s="1"/>
  <c r="I47" i="10" s="1"/>
  <c r="I45" i="10" s="1"/>
  <c r="J50" i="10"/>
  <c r="E97" i="14"/>
  <c r="F96" i="25" s="1"/>
  <c r="F27" i="26"/>
  <c r="H144" i="25"/>
  <c r="C144" i="25"/>
  <c r="G143" i="25"/>
  <c r="H143" i="25"/>
  <c r="H132" i="25"/>
  <c r="C132" i="25"/>
  <c r="G131" i="25"/>
  <c r="F131" i="25"/>
  <c r="E131" i="25"/>
  <c r="D131" i="25"/>
  <c r="H131" i="25" s="1"/>
  <c r="F130" i="25"/>
  <c r="E130" i="25"/>
  <c r="D130" i="25"/>
  <c r="C120" i="25"/>
  <c r="C108" i="25"/>
  <c r="C96" i="25"/>
  <c r="C85" i="25"/>
  <c r="C74" i="25"/>
  <c r="C58" i="25"/>
  <c r="C36" i="25"/>
  <c r="C25" i="25"/>
  <c r="E132" i="14"/>
  <c r="D132" i="14"/>
  <c r="C132" i="14"/>
  <c r="G132" i="14" s="1"/>
  <c r="D49" i="10"/>
  <c r="L47" i="10"/>
  <c r="L45" i="10" s="1"/>
  <c r="E68" i="10"/>
  <c r="D68" i="10" s="1"/>
  <c r="F55" i="26"/>
  <c r="G58" i="26"/>
  <c r="G55" i="26" s="1"/>
  <c r="G56" i="26" s="1"/>
  <c r="I30" i="27"/>
  <c r="H30" i="27"/>
  <c r="H29" i="27"/>
  <c r="I24" i="10"/>
  <c r="L24" i="10" s="1"/>
  <c r="L23" i="10" s="1"/>
  <c r="L14" i="10" s="1"/>
  <c r="H24" i="10"/>
  <c r="I42" i="10"/>
  <c r="L42" i="10" s="1"/>
  <c r="G145" i="14"/>
  <c r="F144" i="14"/>
  <c r="G144" i="14"/>
  <c r="E131" i="14"/>
  <c r="D131" i="14"/>
  <c r="G74" i="26"/>
  <c r="G71" i="26" s="1"/>
  <c r="G72" i="26" s="1"/>
  <c r="G66" i="26"/>
  <c r="G63" i="26" s="1"/>
  <c r="G64" i="26" s="1"/>
  <c r="G62" i="26"/>
  <c r="G59" i="26" s="1"/>
  <c r="G60" i="26" s="1"/>
  <c r="G54" i="26"/>
  <c r="G51" i="26"/>
  <c r="G52" i="26" s="1"/>
  <c r="E27" i="26"/>
  <c r="E23" i="26"/>
  <c r="F23" i="26"/>
  <c r="H36" i="27"/>
  <c r="K42" i="10"/>
  <c r="H68" i="10"/>
  <c r="K68" i="10" s="1"/>
  <c r="K67" i="10" s="1"/>
  <c r="I68" i="10"/>
  <c r="L68" i="10"/>
  <c r="L67" i="10" s="1"/>
  <c r="I30" i="10"/>
  <c r="H30" i="10"/>
  <c r="K30" i="10" s="1"/>
  <c r="I24" i="27"/>
  <c r="H24" i="27"/>
  <c r="F36" i="27"/>
  <c r="F35" i="27"/>
  <c r="E35" i="27"/>
  <c r="D24" i="27"/>
  <c r="H50" i="26" s="1"/>
  <c r="H47" i="26" s="1"/>
  <c r="I23" i="27"/>
  <c r="I21" i="27" s="1"/>
  <c r="I19" i="27"/>
  <c r="F23" i="27"/>
  <c r="F21" i="27" s="1"/>
  <c r="F19" i="27"/>
  <c r="E23" i="27"/>
  <c r="E21" i="27"/>
  <c r="D21" i="27" s="1"/>
  <c r="I56" i="10"/>
  <c r="I62" i="10"/>
  <c r="G62" i="10" s="1"/>
  <c r="J56" i="10"/>
  <c r="J62" i="26"/>
  <c r="J59" i="26" s="1"/>
  <c r="J60" i="26" s="1"/>
  <c r="G56" i="10"/>
  <c r="I62" i="26" s="1"/>
  <c r="I59" i="26" s="1"/>
  <c r="I60" i="26" s="1"/>
  <c r="D56" i="10"/>
  <c r="H62" i="26"/>
  <c r="H59" i="26" s="1"/>
  <c r="H60" i="26" s="1"/>
  <c r="L55" i="10"/>
  <c r="K55" i="10"/>
  <c r="I55" i="10"/>
  <c r="I53" i="10"/>
  <c r="I51" i="10" s="1"/>
  <c r="H55" i="10"/>
  <c r="H53" i="10" s="1"/>
  <c r="H51" i="10" s="1"/>
  <c r="F55" i="10"/>
  <c r="E55" i="10"/>
  <c r="E53" i="10" s="1"/>
  <c r="E51" i="10"/>
  <c r="J62" i="10"/>
  <c r="J66" i="26"/>
  <c r="J63" i="26" s="1"/>
  <c r="J64" i="26" s="1"/>
  <c r="I66" i="26"/>
  <c r="I63" i="26" s="1"/>
  <c r="D62" i="10"/>
  <c r="H66" i="26"/>
  <c r="H63" i="26" s="1"/>
  <c r="H64" i="26" s="1"/>
  <c r="L61" i="10"/>
  <c r="L59" i="10"/>
  <c r="L57" i="10" s="1"/>
  <c r="K61" i="10"/>
  <c r="K59" i="10" s="1"/>
  <c r="I61" i="10"/>
  <c r="I59" i="10" s="1"/>
  <c r="I57" i="10"/>
  <c r="H61" i="10"/>
  <c r="H59" i="10"/>
  <c r="H57" i="10" s="1"/>
  <c r="G57" i="10" s="1"/>
  <c r="F61" i="10"/>
  <c r="F59" i="10"/>
  <c r="E61" i="10"/>
  <c r="D61" i="10"/>
  <c r="E59" i="10"/>
  <c r="E57" i="10" s="1"/>
  <c r="K53" i="10"/>
  <c r="K51" i="10" s="1"/>
  <c r="G55" i="10"/>
  <c r="F70" i="26"/>
  <c r="F67" i="26"/>
  <c r="E67" i="26"/>
  <c r="K41" i="10"/>
  <c r="K39" i="10" s="1"/>
  <c r="K37" i="10" s="1"/>
  <c r="E41" i="10"/>
  <c r="E39" i="10"/>
  <c r="E23" i="10"/>
  <c r="E14" i="10" s="1"/>
  <c r="D14" i="10" s="1"/>
  <c r="F23" i="10"/>
  <c r="F14" i="10" s="1"/>
  <c r="I23" i="10"/>
  <c r="I14" i="10" s="1"/>
  <c r="D24" i="10"/>
  <c r="H26" i="26" s="1"/>
  <c r="H23" i="26"/>
  <c r="E29" i="10"/>
  <c r="E15" i="10" s="1"/>
  <c r="F29" i="10"/>
  <c r="D30" i="10"/>
  <c r="D25" i="16" s="1"/>
  <c r="E67" i="10"/>
  <c r="G38" i="26"/>
  <c r="G35" i="26" s="1"/>
  <c r="G36" i="26" s="1"/>
  <c r="I41" i="10"/>
  <c r="I39" i="10" s="1"/>
  <c r="F41" i="10"/>
  <c r="F67" i="10"/>
  <c r="F65" i="10"/>
  <c r="E157" i="14"/>
  <c r="C157" i="14"/>
  <c r="G47" i="19"/>
  <c r="M32" i="19"/>
  <c r="L32" i="19"/>
  <c r="J32" i="19"/>
  <c r="H32" i="19"/>
  <c r="I32" i="19"/>
  <c r="I31" i="19"/>
  <c r="M29" i="19"/>
  <c r="M47" i="19"/>
  <c r="L29" i="19"/>
  <c r="J29" i="19"/>
  <c r="J28" i="19" s="1"/>
  <c r="J27" i="19" s="1"/>
  <c r="I29" i="19"/>
  <c r="F29" i="19"/>
  <c r="O32" i="19"/>
  <c r="E32" i="19"/>
  <c r="M31" i="19"/>
  <c r="M30" i="19"/>
  <c r="J31" i="19"/>
  <c r="G31" i="19"/>
  <c r="G30" i="19" s="1"/>
  <c r="F31" i="19"/>
  <c r="F30" i="19" s="1"/>
  <c r="P30" i="19"/>
  <c r="J30" i="19"/>
  <c r="J25" i="19"/>
  <c r="M28" i="19"/>
  <c r="M27" i="19"/>
  <c r="I28" i="19"/>
  <c r="G28" i="19"/>
  <c r="G27" i="19"/>
  <c r="P22" i="19"/>
  <c r="O33" i="19"/>
  <c r="P33" i="19" s="1"/>
  <c r="N23" i="19"/>
  <c r="O24" i="19"/>
  <c r="D18" i="23"/>
  <c r="D16" i="23"/>
  <c r="D14" i="23" s="1"/>
  <c r="D10" i="23"/>
  <c r="D8" i="23"/>
  <c r="D6" i="23" s="1"/>
  <c r="C18" i="23"/>
  <c r="C16" i="23"/>
  <c r="C14" i="23" s="1"/>
  <c r="C6" i="23" s="1"/>
  <c r="B18" i="23"/>
  <c r="B16" i="23"/>
  <c r="B14" i="23" s="1"/>
  <c r="C10" i="23"/>
  <c r="C8" i="23" s="1"/>
  <c r="B10" i="23"/>
  <c r="B8" i="23" s="1"/>
  <c r="C12" i="22"/>
  <c r="B12" i="22"/>
  <c r="C11" i="22"/>
  <c r="B11" i="22"/>
  <c r="B9" i="22" s="1"/>
  <c r="F47" i="21"/>
  <c r="F46" i="21"/>
  <c r="F44" i="21" s="1"/>
  <c r="E47" i="21"/>
  <c r="E46" i="21" s="1"/>
  <c r="E44" i="21"/>
  <c r="F43" i="21"/>
  <c r="F42" i="21"/>
  <c r="F40" i="21" s="1"/>
  <c r="E43" i="21"/>
  <c r="E42" i="21" s="1"/>
  <c r="E40" i="21"/>
  <c r="F39" i="21"/>
  <c r="F38" i="21"/>
  <c r="F36" i="21" s="1"/>
  <c r="E39" i="21"/>
  <c r="E38" i="21" s="1"/>
  <c r="E36" i="21" s="1"/>
  <c r="F35" i="21"/>
  <c r="F34" i="21"/>
  <c r="E35" i="21"/>
  <c r="E34" i="21"/>
  <c r="E32" i="21" s="1"/>
  <c r="F32" i="21"/>
  <c r="F31" i="21"/>
  <c r="F29" i="21"/>
  <c r="F27" i="21" s="1"/>
  <c r="E31" i="21"/>
  <c r="E29" i="21" s="1"/>
  <c r="E27" i="21" s="1"/>
  <c r="F26" i="21"/>
  <c r="F25" i="21"/>
  <c r="E26" i="21"/>
  <c r="E25" i="21"/>
  <c r="F24" i="21"/>
  <c r="F23" i="21"/>
  <c r="E24" i="21"/>
  <c r="E23" i="21"/>
  <c r="F22" i="21"/>
  <c r="E22" i="21"/>
  <c r="F21" i="21"/>
  <c r="F20" i="21"/>
  <c r="E21" i="21"/>
  <c r="E20" i="21"/>
  <c r="F19" i="21"/>
  <c r="E19" i="21"/>
  <c r="F18" i="21"/>
  <c r="F17" i="21" s="1"/>
  <c r="E18" i="21"/>
  <c r="E17" i="21" s="1"/>
  <c r="F15" i="21"/>
  <c r="F14" i="21"/>
  <c r="F13" i="21" s="1"/>
  <c r="E14" i="21"/>
  <c r="E13" i="21" s="1"/>
  <c r="E11" i="21" s="1"/>
  <c r="F11" i="21"/>
  <c r="C36" i="20"/>
  <c r="B36" i="20"/>
  <c r="C35" i="20"/>
  <c r="B35" i="20"/>
  <c r="B33" i="20" s="1"/>
  <c r="C32" i="20"/>
  <c r="B32" i="20"/>
  <c r="C31" i="20"/>
  <c r="B31" i="20"/>
  <c r="C28" i="20"/>
  <c r="B28" i="20"/>
  <c r="C27" i="20"/>
  <c r="C26" i="20"/>
  <c r="B27" i="20"/>
  <c r="B26" i="20"/>
  <c r="C19" i="20"/>
  <c r="B19" i="20"/>
  <c r="C18" i="20"/>
  <c r="C16" i="20" s="1"/>
  <c r="B18" i="20"/>
  <c r="B16" i="20" s="1"/>
  <c r="C15" i="20"/>
  <c r="C13" i="20" s="1"/>
  <c r="B15" i="20"/>
  <c r="B13" i="20" s="1"/>
  <c r="G23" i="19"/>
  <c r="G22" i="19" s="1"/>
  <c r="F23" i="19"/>
  <c r="F22" i="19" s="1"/>
  <c r="F42" i="19"/>
  <c r="F41" i="19" s="1"/>
  <c r="F40" i="19" s="1"/>
  <c r="K43" i="19"/>
  <c r="K42" i="19" s="1"/>
  <c r="K41" i="19" s="1"/>
  <c r="K40" i="19" s="1"/>
  <c r="H43" i="19"/>
  <c r="H42" i="19"/>
  <c r="H41" i="19" s="1"/>
  <c r="H40" i="19" s="1"/>
  <c r="E43" i="19"/>
  <c r="E42" i="19" s="1"/>
  <c r="E41" i="19" s="1"/>
  <c r="M42" i="19"/>
  <c r="M41" i="19"/>
  <c r="L42" i="19"/>
  <c r="L41" i="19"/>
  <c r="L40" i="19" s="1"/>
  <c r="L39" i="19" s="1"/>
  <c r="J42" i="19"/>
  <c r="J41" i="19" s="1"/>
  <c r="I42" i="19"/>
  <c r="I41" i="19"/>
  <c r="I40" i="19" s="1"/>
  <c r="I39" i="19" s="1"/>
  <c r="G42" i="19"/>
  <c r="G41" i="19"/>
  <c r="G40" i="19" s="1"/>
  <c r="G39" i="19" s="1"/>
  <c r="M40" i="19"/>
  <c r="M39" i="19" s="1"/>
  <c r="M23" i="19"/>
  <c r="M22" i="19" s="1"/>
  <c r="M20" i="19"/>
  <c r="J23" i="19"/>
  <c r="J22" i="19"/>
  <c r="J20" i="19"/>
  <c r="I23" i="19"/>
  <c r="I22" i="19" s="1"/>
  <c r="L23" i="19"/>
  <c r="L22" i="19" s="1"/>
  <c r="K21" i="19"/>
  <c r="H21" i="19"/>
  <c r="E21" i="19"/>
  <c r="L20" i="19"/>
  <c r="L19" i="19"/>
  <c r="I20" i="19"/>
  <c r="G20" i="19"/>
  <c r="G19" i="19" s="1"/>
  <c r="G10" i="19" s="1"/>
  <c r="F20" i="19"/>
  <c r="K24" i="19"/>
  <c r="H24" i="19"/>
  <c r="E24" i="19"/>
  <c r="K16" i="19"/>
  <c r="H16" i="19"/>
  <c r="E16" i="19"/>
  <c r="M15" i="19"/>
  <c r="M14" i="19" s="1"/>
  <c r="M13" i="19" s="1"/>
  <c r="M12" i="19" s="1"/>
  <c r="L15" i="19"/>
  <c r="L14" i="19" s="1"/>
  <c r="J15" i="19"/>
  <c r="J14" i="19"/>
  <c r="I15" i="19"/>
  <c r="H15" i="19"/>
  <c r="G15" i="19"/>
  <c r="F15" i="19"/>
  <c r="F14" i="19" s="1"/>
  <c r="E38" i="19"/>
  <c r="G37" i="19"/>
  <c r="F37" i="19"/>
  <c r="H38" i="19"/>
  <c r="J37" i="19"/>
  <c r="J36" i="19" s="1"/>
  <c r="I37" i="19"/>
  <c r="H37" i="19"/>
  <c r="K38" i="19"/>
  <c r="M37" i="19"/>
  <c r="M36" i="19" s="1"/>
  <c r="M35" i="19" s="1"/>
  <c r="M33" i="19" s="1"/>
  <c r="M34" i="19" s="1"/>
  <c r="L37" i="19"/>
  <c r="K37" i="19" s="1"/>
  <c r="G36" i="19"/>
  <c r="G35" i="19" s="1"/>
  <c r="G33" i="19" s="1"/>
  <c r="G34" i="19" s="1"/>
  <c r="K23" i="19"/>
  <c r="I19" i="19"/>
  <c r="K15" i="19"/>
  <c r="I14" i="19"/>
  <c r="H14" i="19" s="1"/>
  <c r="H23" i="19"/>
  <c r="I36" i="19"/>
  <c r="E23" i="19"/>
  <c r="I35" i="19"/>
  <c r="J13" i="19"/>
  <c r="J12" i="19" s="1"/>
  <c r="E73" i="15"/>
  <c r="K32" i="19"/>
  <c r="L31" i="19"/>
  <c r="J26" i="19"/>
  <c r="E31" i="19"/>
  <c r="E43" i="15"/>
  <c r="L30" i="19"/>
  <c r="K30" i="19"/>
  <c r="K31" i="19"/>
  <c r="E59" i="15"/>
  <c r="E80" i="15"/>
  <c r="E38" i="15"/>
  <c r="K29" i="19"/>
  <c r="I13" i="19"/>
  <c r="E48" i="15"/>
  <c r="K47" i="19"/>
  <c r="E66" i="15"/>
  <c r="I12" i="19"/>
  <c r="H12" i="19" s="1"/>
  <c r="H67" i="10"/>
  <c r="H65" i="10" s="1"/>
  <c r="H63" i="10" s="1"/>
  <c r="D42" i="10"/>
  <c r="C59" i="14"/>
  <c r="C167" i="14"/>
  <c r="E167" i="14"/>
  <c r="D29" i="10"/>
  <c r="E25" i="10"/>
  <c r="H41" i="10"/>
  <c r="D167" i="14"/>
  <c r="I33" i="19"/>
  <c r="H13" i="19"/>
  <c r="E15" i="19"/>
  <c r="G14" i="19"/>
  <c r="K20" i="19"/>
  <c r="M19" i="19"/>
  <c r="H29" i="19"/>
  <c r="H47" i="19" s="1"/>
  <c r="N31" i="19"/>
  <c r="I47" i="19"/>
  <c r="I30" i="19"/>
  <c r="H31" i="19"/>
  <c r="D157" i="14"/>
  <c r="H28" i="19"/>
  <c r="I27" i="19"/>
  <c r="H27" i="19"/>
  <c r="E20" i="19"/>
  <c r="F19" i="19"/>
  <c r="H20" i="19"/>
  <c r="J19" i="19"/>
  <c r="J17" i="19"/>
  <c r="J18" i="19" s="1"/>
  <c r="E30" i="19"/>
  <c r="M25" i="19"/>
  <c r="M26" i="19"/>
  <c r="B6" i="23"/>
  <c r="G25" i="19"/>
  <c r="G26" i="19" s="1"/>
  <c r="L28" i="19"/>
  <c r="L47" i="19"/>
  <c r="E37" i="19"/>
  <c r="F36" i="19"/>
  <c r="H39" i="10"/>
  <c r="H37" i="10" s="1"/>
  <c r="L27" i="19"/>
  <c r="K28" i="19"/>
  <c r="K19" i="19"/>
  <c r="I10" i="19"/>
  <c r="F35" i="19"/>
  <c r="E36" i="19"/>
  <c r="I34" i="19"/>
  <c r="H19" i="19"/>
  <c r="H30" i="19"/>
  <c r="I25" i="19"/>
  <c r="I26" i="19" s="1"/>
  <c r="H26" i="19" s="1"/>
  <c r="G13" i="19"/>
  <c r="K27" i="19"/>
  <c r="L10" i="19"/>
  <c r="L25" i="19"/>
  <c r="H25" i="19"/>
  <c r="G12" i="19"/>
  <c r="F33" i="19"/>
  <c r="F11" i="19"/>
  <c r="L26" i="19"/>
  <c r="K26" i="19"/>
  <c r="K25" i="19"/>
  <c r="E33" i="19"/>
  <c r="F34" i="19"/>
  <c r="E34" i="19"/>
  <c r="L19" i="10"/>
  <c r="G26" i="26"/>
  <c r="G23" i="26" s="1"/>
  <c r="G30" i="26"/>
  <c r="G27" i="26" s="1"/>
  <c r="G28" i="26" s="1"/>
  <c r="G50" i="26"/>
  <c r="G47" i="26" s="1"/>
  <c r="G70" i="26"/>
  <c r="G67" i="26" s="1"/>
  <c r="G68" i="26" s="1"/>
  <c r="G24" i="26"/>
  <c r="F57" i="10"/>
  <c r="F53" i="10"/>
  <c r="D53" i="10" s="1"/>
  <c r="D55" i="10"/>
  <c r="G53" i="10"/>
  <c r="E19" i="10"/>
  <c r="E21" i="10"/>
  <c r="B29" i="20"/>
  <c r="F51" i="10"/>
  <c r="F43" i="10" s="1"/>
  <c r="D51" i="10"/>
  <c r="C109" i="14" s="1"/>
  <c r="G42" i="10"/>
  <c r="D59" i="14"/>
  <c r="E58" i="25" s="1"/>
  <c r="E33" i="27"/>
  <c r="D36" i="27"/>
  <c r="H74" i="26" s="1"/>
  <c r="H71" i="26" s="1"/>
  <c r="H72" i="26" s="1"/>
  <c r="C26" i="14"/>
  <c r="D25" i="25" s="1"/>
  <c r="H70" i="26"/>
  <c r="H67" i="26" s="1"/>
  <c r="H68" i="26" s="1"/>
  <c r="E65" i="10"/>
  <c r="E63" i="10" s="1"/>
  <c r="G41" i="10"/>
  <c r="F39" i="10"/>
  <c r="F37" i="10"/>
  <c r="H30" i="26"/>
  <c r="H27" i="26"/>
  <c r="H28" i="26" s="1"/>
  <c r="G30" i="10"/>
  <c r="I30" i="26"/>
  <c r="I27" i="26" s="1"/>
  <c r="H29" i="10"/>
  <c r="K29" i="10"/>
  <c r="H25" i="10"/>
  <c r="E25" i="16"/>
  <c r="C11" i="20"/>
  <c r="C29" i="20"/>
  <c r="C24" i="20" s="1"/>
  <c r="C22" i="20" s="1"/>
  <c r="C20" i="20" s="1"/>
  <c r="C9" i="20" s="1"/>
  <c r="C33" i="20"/>
  <c r="C9" i="22"/>
  <c r="F9" i="21"/>
  <c r="B11" i="20"/>
  <c r="B24" i="20"/>
  <c r="B22" i="20" s="1"/>
  <c r="B20" i="20"/>
  <c r="E15" i="21"/>
  <c r="E9" i="21"/>
  <c r="D30" i="27"/>
  <c r="H54" i="26"/>
  <c r="H51" i="26" s="1"/>
  <c r="H52" i="26" s="1"/>
  <c r="E29" i="27"/>
  <c r="D23" i="27"/>
  <c r="F29" i="27"/>
  <c r="F27" i="27"/>
  <c r="F25" i="27" s="1"/>
  <c r="F38" i="27" s="1"/>
  <c r="E74" i="16"/>
  <c r="D121" i="14"/>
  <c r="E120" i="25"/>
  <c r="G51" i="10"/>
  <c r="L21" i="10"/>
  <c r="D57" i="10"/>
  <c r="G30" i="27"/>
  <c r="I54" i="26" s="1"/>
  <c r="I51" i="26" s="1"/>
  <c r="I52" i="26" s="1"/>
  <c r="L30" i="27"/>
  <c r="I29" i="27"/>
  <c r="I14" i="27" s="1"/>
  <c r="G68" i="10"/>
  <c r="I70" i="26"/>
  <c r="I67" i="26" s="1"/>
  <c r="I68" i="26" s="1"/>
  <c r="K25" i="10"/>
  <c r="K27" i="10"/>
  <c r="D68" i="16"/>
  <c r="D108" i="25"/>
  <c r="F25" i="10"/>
  <c r="D25" i="10"/>
  <c r="C37" i="14" s="1"/>
  <c r="D36" i="25"/>
  <c r="H24" i="26"/>
  <c r="E15" i="27"/>
  <c r="K36" i="27"/>
  <c r="H35" i="27"/>
  <c r="H15" i="27" s="1"/>
  <c r="J61" i="10"/>
  <c r="L53" i="10"/>
  <c r="J53" i="10" s="1"/>
  <c r="L24" i="27"/>
  <c r="L23" i="27" s="1"/>
  <c r="G24" i="27"/>
  <c r="I50" i="26" s="1"/>
  <c r="I47" i="26" s="1"/>
  <c r="I48" i="26" s="1"/>
  <c r="K65" i="10"/>
  <c r="K63" i="10" s="1"/>
  <c r="E27" i="10"/>
  <c r="I19" i="10"/>
  <c r="D23" i="10"/>
  <c r="F19" i="10"/>
  <c r="D59" i="10"/>
  <c r="J59" i="10"/>
  <c r="K57" i="10"/>
  <c r="J57" i="10"/>
  <c r="F74" i="16" s="1"/>
  <c r="G61" i="10"/>
  <c r="I21" i="10"/>
  <c r="D19" i="10"/>
  <c r="D74" i="16"/>
  <c r="C121" i="14"/>
  <c r="D120" i="25" s="1"/>
  <c r="I27" i="27"/>
  <c r="I25" i="27" s="1"/>
  <c r="D109" i="14"/>
  <c r="E108" i="25" s="1"/>
  <c r="E68" i="16"/>
  <c r="L29" i="27"/>
  <c r="L14" i="27"/>
  <c r="L21" i="27"/>
  <c r="L19" i="27" s="1"/>
  <c r="K35" i="27"/>
  <c r="K33" i="27" s="1"/>
  <c r="F27" i="10"/>
  <c r="D27" i="10"/>
  <c r="L27" i="27"/>
  <c r="K15" i="27"/>
  <c r="I38" i="27"/>
  <c r="K31" i="27"/>
  <c r="L25" i="27"/>
  <c r="L38" i="27"/>
  <c r="I67" i="10"/>
  <c r="I38" i="26"/>
  <c r="I35" i="26" s="1"/>
  <c r="I36" i="26" s="1"/>
  <c r="L35" i="10"/>
  <c r="G36" i="10"/>
  <c r="D35" i="10"/>
  <c r="D46" i="25" s="1"/>
  <c r="D65" i="10"/>
  <c r="F63" i="10"/>
  <c r="J67" i="10"/>
  <c r="L65" i="10"/>
  <c r="D67" i="10"/>
  <c r="J68" i="10"/>
  <c r="J70" i="26" s="1"/>
  <c r="J67" i="26" s="1"/>
  <c r="J68" i="26" s="1"/>
  <c r="I37" i="10"/>
  <c r="G37" i="10" s="1"/>
  <c r="G39" i="10"/>
  <c r="L41" i="10"/>
  <c r="L39" i="10" s="1"/>
  <c r="J39" i="10" s="1"/>
  <c r="J42" i="10"/>
  <c r="F70" i="10"/>
  <c r="I28" i="26"/>
  <c r="D58" i="25"/>
  <c r="E37" i="10"/>
  <c r="D37" i="10" s="1"/>
  <c r="D70" i="10" s="1"/>
  <c r="D39" i="10"/>
  <c r="D41" i="10"/>
  <c r="H38" i="26"/>
  <c r="H35" i="26"/>
  <c r="H21" i="26" s="1"/>
  <c r="H19" i="26" s="1"/>
  <c r="H17" i="26" s="1"/>
  <c r="H15" i="26" s="1"/>
  <c r="H13" i="26" s="1"/>
  <c r="J36" i="10"/>
  <c r="E47" i="14"/>
  <c r="K35" i="10"/>
  <c r="J65" i="10"/>
  <c r="L63" i="10"/>
  <c r="D63" i="10"/>
  <c r="D80" i="16" s="1"/>
  <c r="J41" i="10"/>
  <c r="J38" i="26"/>
  <c r="J35" i="26"/>
  <c r="J36" i="26" s="1"/>
  <c r="E59" i="14"/>
  <c r="F58" i="25"/>
  <c r="H36" i="26"/>
  <c r="K33" i="10"/>
  <c r="J63" i="10"/>
  <c r="F80" i="16" s="1"/>
  <c r="C133" i="14"/>
  <c r="D132" i="25" s="1"/>
  <c r="E37" i="16"/>
  <c r="L37" i="10"/>
  <c r="D37" i="16"/>
  <c r="J37" i="10"/>
  <c r="F37" i="16" s="1"/>
  <c r="F31" i="16"/>
  <c r="J34" i="26"/>
  <c r="J31" i="26"/>
  <c r="J32" i="26" s="1"/>
  <c r="E13" i="10"/>
  <c r="I33" i="10"/>
  <c r="I31" i="10" s="1"/>
  <c r="G35" i="10"/>
  <c r="E46" i="25" s="1"/>
  <c r="H33" i="10"/>
  <c r="D31" i="16"/>
  <c r="F33" i="10"/>
  <c r="I34" i="26"/>
  <c r="I31" i="26" s="1"/>
  <c r="I32" i="26" s="1"/>
  <c r="H34" i="26"/>
  <c r="H31" i="26" s="1"/>
  <c r="H32" i="26" s="1"/>
  <c r="F31" i="10"/>
  <c r="D31" i="10"/>
  <c r="D33" i="10"/>
  <c r="H31" i="10"/>
  <c r="G31" i="10" s="1"/>
  <c r="G33" i="10"/>
  <c r="D29" i="27"/>
  <c r="I36" i="27"/>
  <c r="F14" i="27"/>
  <c r="F13" i="27" s="1"/>
  <c r="F39" i="27" s="1"/>
  <c r="D35" i="27"/>
  <c r="F33" i="27"/>
  <c r="F31" i="27" s="1"/>
  <c r="F17" i="27" s="1"/>
  <c r="F16" i="27" s="1"/>
  <c r="F15" i="27"/>
  <c r="D15" i="27"/>
  <c r="H27" i="27"/>
  <c r="G27" i="27" s="1"/>
  <c r="G29" i="27"/>
  <c r="K30" i="27"/>
  <c r="L36" i="27"/>
  <c r="G36" i="27"/>
  <c r="I74" i="26" s="1"/>
  <c r="I71" i="26" s="1"/>
  <c r="I72" i="26" s="1"/>
  <c r="I35" i="27"/>
  <c r="I33" i="27" s="1"/>
  <c r="I31" i="27" s="1"/>
  <c r="I17" i="27" s="1"/>
  <c r="I16" i="27" s="1"/>
  <c r="H25" i="27"/>
  <c r="H38" i="27" s="1"/>
  <c r="G35" i="27"/>
  <c r="L35" i="27"/>
  <c r="J36" i="27"/>
  <c r="J74" i="26" s="1"/>
  <c r="J71" i="26" s="1"/>
  <c r="J72" i="26" s="1"/>
  <c r="L15" i="27"/>
  <c r="L13" i="27" s="1"/>
  <c r="L39" i="27" s="1"/>
  <c r="J35" i="27"/>
  <c r="L33" i="27"/>
  <c r="L31" i="27" s="1"/>
  <c r="J33" i="27"/>
  <c r="J31" i="27" l="1"/>
  <c r="L17" i="27"/>
  <c r="L16" i="27" s="1"/>
  <c r="J15" i="27"/>
  <c r="G25" i="27"/>
  <c r="I15" i="27"/>
  <c r="J30" i="27"/>
  <c r="J54" i="26" s="1"/>
  <c r="J51" i="26" s="1"/>
  <c r="K29" i="27"/>
  <c r="E133" i="14"/>
  <c r="E17" i="10"/>
  <c r="L33" i="10"/>
  <c r="L31" i="10" s="1"/>
  <c r="J35" i="10"/>
  <c r="F46" i="25" s="1"/>
  <c r="I65" i="10"/>
  <c r="G67" i="10"/>
  <c r="H33" i="27"/>
  <c r="E121" i="14"/>
  <c r="L51" i="10"/>
  <c r="E27" i="27"/>
  <c r="E14" i="27"/>
  <c r="H15" i="10"/>
  <c r="E70" i="10"/>
  <c r="E71" i="10" s="1"/>
  <c r="E31" i="27"/>
  <c r="D31" i="27" s="1"/>
  <c r="D33" i="27"/>
  <c r="K31" i="10"/>
  <c r="J31" i="10" s="1"/>
  <c r="J33" i="10"/>
  <c r="D47" i="14"/>
  <c r="E31" i="16"/>
  <c r="D19" i="16"/>
  <c r="D12" i="16" s="1"/>
  <c r="D17" i="10"/>
  <c r="F21" i="10"/>
  <c r="D21" i="10" s="1"/>
  <c r="F17" i="10"/>
  <c r="F16" i="10" s="1"/>
  <c r="B9" i="20"/>
  <c r="H27" i="10"/>
  <c r="E35" i="19"/>
  <c r="M10" i="19"/>
  <c r="E19" i="19"/>
  <c r="E14" i="19"/>
  <c r="F13" i="19"/>
  <c r="K14" i="19"/>
  <c r="L13" i="19"/>
  <c r="K22" i="19"/>
  <c r="L17" i="19"/>
  <c r="M11" i="19"/>
  <c r="M17" i="19"/>
  <c r="M18" i="19" s="1"/>
  <c r="J40" i="19"/>
  <c r="J39" i="19" s="1"/>
  <c r="H39" i="19" s="1"/>
  <c r="J10" i="19"/>
  <c r="E22" i="19"/>
  <c r="F17" i="19"/>
  <c r="K15" i="10"/>
  <c r="G21" i="26"/>
  <c r="G19" i="26" s="1"/>
  <c r="G17" i="26" s="1"/>
  <c r="G15" i="26" s="1"/>
  <c r="G13" i="26" s="1"/>
  <c r="J35" i="19"/>
  <c r="H36" i="19"/>
  <c r="H22" i="19"/>
  <c r="I11" i="19"/>
  <c r="I17" i="19"/>
  <c r="K39" i="19"/>
  <c r="F39" i="19"/>
  <c r="E40" i="19"/>
  <c r="E39" i="19" s="1"/>
  <c r="G17" i="19"/>
  <c r="G18" i="19" s="1"/>
  <c r="G11" i="19"/>
  <c r="G9" i="19" s="1"/>
  <c r="L36" i="19"/>
  <c r="F47" i="19"/>
  <c r="E29" i="19"/>
  <c r="E47" i="19" s="1"/>
  <c r="J47" i="19"/>
  <c r="G59" i="10"/>
  <c r="J55" i="10"/>
  <c r="E19" i="27"/>
  <c r="H23" i="10"/>
  <c r="G24" i="10"/>
  <c r="K24" i="10"/>
  <c r="G49" i="10"/>
  <c r="H47" i="10"/>
  <c r="F28" i="19"/>
  <c r="F15" i="10"/>
  <c r="D15" i="10" s="1"/>
  <c r="K43" i="10"/>
  <c r="K24" i="27"/>
  <c r="H23" i="27"/>
  <c r="L30" i="10"/>
  <c r="I29" i="10"/>
  <c r="G29" i="10" s="1"/>
  <c r="J47" i="10"/>
  <c r="J45" i="10"/>
  <c r="E45" i="10"/>
  <c r="D45" i="10" s="1"/>
  <c r="D47" i="10"/>
  <c r="G50" i="10"/>
  <c r="D97" i="14" s="1"/>
  <c r="E96" i="25" s="1"/>
  <c r="J49" i="10"/>
  <c r="I64" i="26"/>
  <c r="J52" i="26"/>
  <c r="G45" i="26"/>
  <c r="G43" i="26" s="1"/>
  <c r="G41" i="26" s="1"/>
  <c r="G39" i="26" s="1"/>
  <c r="G11" i="26" s="1"/>
  <c r="G48" i="26"/>
  <c r="H48" i="26"/>
  <c r="H58" i="26" l="1"/>
  <c r="H55" i="26" s="1"/>
  <c r="D62" i="16"/>
  <c r="L29" i="10"/>
  <c r="J30" i="10"/>
  <c r="K23" i="27"/>
  <c r="J24" i="27"/>
  <c r="J50" i="26" s="1"/>
  <c r="J47" i="26" s="1"/>
  <c r="H45" i="10"/>
  <c r="G47" i="10"/>
  <c r="K23" i="10"/>
  <c r="J24" i="10"/>
  <c r="H14" i="10"/>
  <c r="H19" i="10"/>
  <c r="G23" i="10"/>
  <c r="H17" i="19"/>
  <c r="I18" i="19"/>
  <c r="H18" i="19" s="1"/>
  <c r="H35" i="19"/>
  <c r="J33" i="19"/>
  <c r="J11" i="19"/>
  <c r="E17" i="19"/>
  <c r="F18" i="19"/>
  <c r="E18" i="19" s="1"/>
  <c r="J9" i="19"/>
  <c r="H10" i="19"/>
  <c r="L12" i="19"/>
  <c r="K12" i="19" s="1"/>
  <c r="E21" i="15" s="1"/>
  <c r="E14" i="15" s="1"/>
  <c r="K13" i="19"/>
  <c r="F12" i="19"/>
  <c r="E12" i="19" s="1"/>
  <c r="E13" i="19"/>
  <c r="E11" i="19"/>
  <c r="D27" i="27"/>
  <c r="E25" i="27"/>
  <c r="J51" i="10"/>
  <c r="L43" i="10"/>
  <c r="J43" i="10" s="1"/>
  <c r="G33" i="27"/>
  <c r="H31" i="27"/>
  <c r="G31" i="27" s="1"/>
  <c r="I63" i="10"/>
  <c r="G65" i="10"/>
  <c r="F132" i="25"/>
  <c r="E56" i="16"/>
  <c r="D86" i="14"/>
  <c r="E85" i="25" s="1"/>
  <c r="G38" i="27"/>
  <c r="J58" i="26"/>
  <c r="J55" i="26" s="1"/>
  <c r="J56" i="26" s="1"/>
  <c r="F62" i="16"/>
  <c r="I25" i="10"/>
  <c r="I15" i="10"/>
  <c r="I13" i="10" s="1"/>
  <c r="H21" i="27"/>
  <c r="H14" i="27"/>
  <c r="G23" i="27"/>
  <c r="E43" i="10"/>
  <c r="D43" i="10" s="1"/>
  <c r="D16" i="10" s="1"/>
  <c r="F13" i="10"/>
  <c r="F27" i="19"/>
  <c r="E28" i="19"/>
  <c r="D26" i="14"/>
  <c r="E25" i="25" s="1"/>
  <c r="I26" i="26"/>
  <c r="D19" i="27"/>
  <c r="E17" i="27"/>
  <c r="K36" i="19"/>
  <c r="L35" i="19"/>
  <c r="H11" i="19"/>
  <c r="I9" i="19"/>
  <c r="L18" i="19"/>
  <c r="K18" i="19" s="1"/>
  <c r="K17" i="19"/>
  <c r="M9" i="19"/>
  <c r="K10" i="19"/>
  <c r="C145" i="14"/>
  <c r="D86" i="16"/>
  <c r="G15" i="10"/>
  <c r="E13" i="27"/>
  <c r="D14" i="27"/>
  <c r="F120" i="25"/>
  <c r="N17" i="10"/>
  <c r="K27" i="27"/>
  <c r="J29" i="27"/>
  <c r="I13" i="27"/>
  <c r="I39" i="27" s="1"/>
  <c r="G15" i="27"/>
  <c r="F86" i="16"/>
  <c r="E145" i="14"/>
  <c r="F144" i="25" s="1"/>
  <c r="D144" i="25" l="1"/>
  <c r="D50" i="16"/>
  <c r="C75" i="14"/>
  <c r="F25" i="19"/>
  <c r="E27" i="19"/>
  <c r="F10" i="19"/>
  <c r="H13" i="27"/>
  <c r="G14" i="27"/>
  <c r="G63" i="10"/>
  <c r="I43" i="10"/>
  <c r="I70" i="10"/>
  <c r="I71" i="10" s="1"/>
  <c r="E109" i="14"/>
  <c r="F68" i="16"/>
  <c r="J34" i="19"/>
  <c r="H34" i="19" s="1"/>
  <c r="H33" i="19"/>
  <c r="G14" i="10"/>
  <c r="H13" i="10"/>
  <c r="K14" i="10"/>
  <c r="K19" i="10"/>
  <c r="J23" i="10"/>
  <c r="G45" i="10"/>
  <c r="H43" i="10"/>
  <c r="G43" i="10" s="1"/>
  <c r="J48" i="26"/>
  <c r="J45" i="26"/>
  <c r="J43" i="26" s="1"/>
  <c r="J41" i="26" s="1"/>
  <c r="J39" i="26" s="1"/>
  <c r="J30" i="26"/>
  <c r="J27" i="26" s="1"/>
  <c r="J28" i="26" s="1"/>
  <c r="F25" i="16"/>
  <c r="E33" i="15"/>
  <c r="J27" i="27"/>
  <c r="K25" i="27"/>
  <c r="E16" i="10"/>
  <c r="D13" i="27"/>
  <c r="H9" i="19"/>
  <c r="L33" i="19"/>
  <c r="K35" i="19"/>
  <c r="L11" i="19"/>
  <c r="E16" i="27"/>
  <c r="D17" i="27"/>
  <c r="D16" i="27" s="1"/>
  <c r="I24" i="26"/>
  <c r="I23" i="26"/>
  <c r="I21" i="26" s="1"/>
  <c r="I19" i="26" s="1"/>
  <c r="I17" i="26" s="1"/>
  <c r="I15" i="26" s="1"/>
  <c r="I13" i="26" s="1"/>
  <c r="F71" i="10"/>
  <c r="D13" i="10"/>
  <c r="D71" i="10" s="1"/>
  <c r="H19" i="27"/>
  <c r="G21" i="27"/>
  <c r="I27" i="10"/>
  <c r="G27" i="10" s="1"/>
  <c r="G25" i="10"/>
  <c r="D37" i="14" s="1"/>
  <c r="E36" i="25" s="1"/>
  <c r="I17" i="10"/>
  <c r="I16" i="10" s="1"/>
  <c r="D145" i="14"/>
  <c r="E86" i="16"/>
  <c r="E38" i="27"/>
  <c r="E39" i="27" s="1"/>
  <c r="D25" i="27"/>
  <c r="H21" i="10"/>
  <c r="G21" i="10" s="1"/>
  <c r="G19" i="10"/>
  <c r="H17" i="10"/>
  <c r="H16" i="10" s="1"/>
  <c r="H70" i="10"/>
  <c r="E26" i="14"/>
  <c r="F25" i="25" s="1"/>
  <c r="J26" i="26"/>
  <c r="J23" i="27"/>
  <c r="K21" i="27"/>
  <c r="K14" i="27"/>
  <c r="J29" i="10"/>
  <c r="L25" i="10"/>
  <c r="L15" i="10"/>
  <c r="H56" i="26"/>
  <c r="H45" i="26"/>
  <c r="H43" i="26" s="1"/>
  <c r="H41" i="26" s="1"/>
  <c r="H39" i="26" s="1"/>
  <c r="H11" i="26" s="1"/>
  <c r="J25" i="10" l="1"/>
  <c r="L27" i="10"/>
  <c r="J27" i="10" s="1"/>
  <c r="L17" i="10"/>
  <c r="L16" i="10" s="1"/>
  <c r="L70" i="10"/>
  <c r="E144" i="25"/>
  <c r="J14" i="27"/>
  <c r="K13" i="27"/>
  <c r="K11" i="19"/>
  <c r="L9" i="19"/>
  <c r="K9" i="19" s="1"/>
  <c r="K33" i="19"/>
  <c r="E88" i="15" s="1"/>
  <c r="E93" i="15" s="1"/>
  <c r="L34" i="19"/>
  <c r="K34" i="19" s="1"/>
  <c r="D39" i="27"/>
  <c r="J25" i="27"/>
  <c r="K38" i="27"/>
  <c r="E62" i="16"/>
  <c r="I58" i="26"/>
  <c r="I55" i="26" s="1"/>
  <c r="K17" i="10"/>
  <c r="K16" i="10" s="1"/>
  <c r="J19" i="10"/>
  <c r="K70" i="10"/>
  <c r="K21" i="10"/>
  <c r="J21" i="10" s="1"/>
  <c r="H71" i="10"/>
  <c r="G13" i="10"/>
  <c r="E80" i="16"/>
  <c r="G70" i="10"/>
  <c r="D133" i="14"/>
  <c r="E10" i="19"/>
  <c r="F9" i="19"/>
  <c r="E9" i="19" s="1"/>
  <c r="F26" i="19"/>
  <c r="E26" i="19" s="1"/>
  <c r="E25" i="19"/>
  <c r="L13" i="10"/>
  <c r="J15" i="10"/>
  <c r="K19" i="27"/>
  <c r="J21" i="27"/>
  <c r="J23" i="26"/>
  <c r="J21" i="26" s="1"/>
  <c r="J19" i="26" s="1"/>
  <c r="J17" i="26" s="1"/>
  <c r="J15" i="26" s="1"/>
  <c r="J13" i="26" s="1"/>
  <c r="J11" i="26" s="1"/>
  <c r="J24" i="26"/>
  <c r="E19" i="16"/>
  <c r="E12" i="16" s="1"/>
  <c r="G17" i="10"/>
  <c r="G16" i="10" s="1"/>
  <c r="D38" i="27"/>
  <c r="D56" i="16"/>
  <c r="D43" i="16" s="1"/>
  <c r="D11" i="16" s="1"/>
  <c r="C86" i="14"/>
  <c r="G19" i="27"/>
  <c r="H17" i="27"/>
  <c r="J14" i="10"/>
  <c r="K13" i="10"/>
  <c r="F108" i="25"/>
  <c r="H39" i="27"/>
  <c r="G13" i="27"/>
  <c r="G39" i="27" s="1"/>
  <c r="D74" i="25"/>
  <c r="C169" i="14"/>
  <c r="D75" i="14" l="1"/>
  <c r="E50" i="16"/>
  <c r="E43" i="16" s="1"/>
  <c r="F19" i="16"/>
  <c r="F12" i="16" s="1"/>
  <c r="J17" i="10"/>
  <c r="J16" i="10" s="1"/>
  <c r="G71" i="10"/>
  <c r="I56" i="26"/>
  <c r="I45" i="26"/>
  <c r="I43" i="26" s="1"/>
  <c r="I41" i="26" s="1"/>
  <c r="I39" i="26" s="1"/>
  <c r="I11" i="26" s="1"/>
  <c r="K71" i="10"/>
  <c r="J13" i="10"/>
  <c r="J71" i="10" s="1"/>
  <c r="H16" i="27"/>
  <c r="G17" i="27"/>
  <c r="G16" i="27" s="1"/>
  <c r="D85" i="25"/>
  <c r="D146" i="25" s="1"/>
  <c r="C147" i="14"/>
  <c r="E11" i="16"/>
  <c r="J19" i="27"/>
  <c r="K17" i="27"/>
  <c r="L71" i="10"/>
  <c r="E132" i="25"/>
  <c r="D169" i="14"/>
  <c r="F56" i="16"/>
  <c r="J38" i="27"/>
  <c r="E86" i="14"/>
  <c r="J13" i="27"/>
  <c r="J39" i="27" s="1"/>
  <c r="K39" i="27"/>
  <c r="E27" i="15"/>
  <c r="E37" i="14"/>
  <c r="F36" i="25" s="1"/>
  <c r="J70" i="10"/>
  <c r="F50" i="16" l="1"/>
  <c r="E75" i="14"/>
  <c r="E74" i="25"/>
  <c r="E146" i="25" s="1"/>
  <c r="D147" i="14"/>
  <c r="F85" i="25"/>
  <c r="E147" i="14"/>
  <c r="F43" i="16"/>
  <c r="F11" i="16" s="1"/>
  <c r="K16" i="27"/>
  <c r="J17" i="27"/>
  <c r="J16" i="27" s="1"/>
  <c r="F74" i="25" l="1"/>
  <c r="E169" i="14"/>
  <c r="F146" i="25"/>
</calcChain>
</file>

<file path=xl/sharedStrings.xml><?xml version="1.0" encoding="utf-8"?>
<sst xmlns="http://schemas.openxmlformats.org/spreadsheetml/2006/main" count="1152" uniqueCount="346">
  <si>
    <t>ԱՅԼ ԾԱԽՍԵՐ, այդ թվում`</t>
  </si>
  <si>
    <t>ՀԻՄՆԱԿԱՆ ՄԻՋՈՑՆԵՐ, այդ թվում`</t>
  </si>
  <si>
    <t>ՇԵՆՔԵՐ ԵՎ ՇԻՆՈՒԹՅՈՒՆՆԵՐ, այդ թվում`</t>
  </si>
  <si>
    <t>Շենքերի և շինությունների կապիտալ վերանորոգում</t>
  </si>
  <si>
    <t>Այլ ծախսեր</t>
  </si>
  <si>
    <t>01</t>
  </si>
  <si>
    <t>03</t>
  </si>
  <si>
    <t>04</t>
  </si>
  <si>
    <t>06</t>
  </si>
  <si>
    <t>02</t>
  </si>
  <si>
    <t>Բաժին</t>
  </si>
  <si>
    <t>Խումբ</t>
  </si>
  <si>
    <t>Դաս</t>
  </si>
  <si>
    <t xml:space="preserve"> Ընդամենը </t>
  </si>
  <si>
    <t xml:space="preserve"> այդ թվում </t>
  </si>
  <si>
    <t xml:space="preserve"> Համաֆինան_x000D_
սավորում </t>
  </si>
  <si>
    <t xml:space="preserve"> ԸՆԴԱՄԵՆԸ ԾՐԱԳՐԵՐՈՎ,
 այդ թվում` </t>
  </si>
  <si>
    <t xml:space="preserve"> - ԸՆԹԱՑԻԿ ԾԱԽՍԵՐ </t>
  </si>
  <si>
    <t xml:space="preserve"> - ՈՉ ՖԻՆԱՆՍԱԿԱՆ ԱԿՏԻՎՆԵՐԻ ԳԾՈՎ ԾԱԽՍԵՐ </t>
  </si>
  <si>
    <t>ԸՆԹԱՑԻԿ ԾԱԽՍԵՐ</t>
  </si>
  <si>
    <t>ՈՉ ՖԻՆԱՆՍԱԿԱՆ ԱԿՏԻՎՆԵՐԻ ԳԾՈՎ ԾԱԽՍԵՐ</t>
  </si>
  <si>
    <t xml:space="preserve"> այդ թվում` ՀՀ էներգետիկ ենթակառուցվածքների և բնական պաշարների նախարարության ջրային տնտեսության պետական կոմիտե </t>
  </si>
  <si>
    <t>Տարի</t>
  </si>
  <si>
    <t>ԸՆԴԱՄԵՆԸ ԾԱԽՍԵՐ</t>
  </si>
  <si>
    <t>Բյուջետային ծախսերի գործառական դասակարգման բաժինների, խմբերի և դասերի  անվանումները</t>
  </si>
  <si>
    <t>այդ թվում`</t>
  </si>
  <si>
    <t>Աղյուսակ N 1</t>
  </si>
  <si>
    <t xml:space="preserve">այդ թվում՝ </t>
  </si>
  <si>
    <t>որից`</t>
  </si>
  <si>
    <t>Գյուղատնտեսություն, անտառային տնտեսություն, ձկնորսություն և որսորդություն</t>
  </si>
  <si>
    <t>Ոռոգում</t>
  </si>
  <si>
    <t>ԲՆԱԿԱՐԱՆԱՅԻՆ ՇԻՆԱՐԱՐՈՒԹՅՈՒՆ ԵՎ ԿՈՄՈՒՆԱԼ ԾԱՌԱՅՈՒԹՅՈՒՆՆԵՐ</t>
  </si>
  <si>
    <t>Ջրամատակարարում</t>
  </si>
  <si>
    <t>Աղյուսակ N 2</t>
  </si>
  <si>
    <t>հազար դրամ</t>
  </si>
  <si>
    <t>ՏՆՏԵՍԱԿԱՆ ՀԱՐԱԲԵՐՈՒԹՅՈՒՆՆԵՐ</t>
  </si>
  <si>
    <t>Ծրագրային դասիչը</t>
  </si>
  <si>
    <t>Ակտիվն օգտագործող կազմակերպության անվանումը</t>
  </si>
  <si>
    <t>Բաժին 2.</t>
  </si>
  <si>
    <t>Գերատեսչության կողմից իրականացվող քաղաքականության միջոցառումների ծրագրային խմբավորումը</t>
  </si>
  <si>
    <t>Գործառական դասիչը</t>
  </si>
  <si>
    <t>Ծրագիրը/քաղաքականության միջոցառումը</t>
  </si>
  <si>
    <t>(հազ. դրամ)</t>
  </si>
  <si>
    <t>ծրագիրը</t>
  </si>
  <si>
    <t>միջոցառումը</t>
  </si>
  <si>
    <t>(բաժինը/խումբը/դասը)</t>
  </si>
  <si>
    <t>ԾՐԱԳԻՐ</t>
  </si>
  <si>
    <t>Ծրագրի նկարագրությունը</t>
  </si>
  <si>
    <t>Քաղաքականության միջոցառումներ. Ծառայություններ</t>
  </si>
  <si>
    <t>04.02.04</t>
  </si>
  <si>
    <t>Մատուցվող ծառայության նկարագրությունը</t>
  </si>
  <si>
    <t>Ծառայություն մատուցողի անվանումը</t>
  </si>
  <si>
    <t>Ակտիվի նկարագրությունը</t>
  </si>
  <si>
    <t>Ծրագիրը (ծրագրերը), որին (որոնց) առնչվում է ակտիվը</t>
  </si>
  <si>
    <t>ԱՏ 05</t>
  </si>
  <si>
    <t>Վերջնական արդյունքի նկարագրությունը</t>
  </si>
  <si>
    <t>Աջակցություն խմելու ջրի մատակարարման և ջրահեռացման
ծառայություններին</t>
  </si>
  <si>
    <t>Խմելու ջուր մատակարարող ընկերությունների սուբսիդավորում</t>
  </si>
  <si>
    <t>Ջրամատակարարման ծառայությունների հասանելիության և մատչելիության ապահովում</t>
  </si>
  <si>
    <t>Տրանսֆերտի նկարագրությունը</t>
  </si>
  <si>
    <t>06.03.01</t>
  </si>
  <si>
    <r>
      <rPr>
        <sz val="10"/>
        <rFont val="Arial Unicode"/>
        <family val="2"/>
      </rPr>
      <t>«</t>
    </r>
    <r>
      <rPr>
        <sz val="10"/>
        <rFont val="GHEA Grapalat"/>
        <family val="3"/>
      </rPr>
      <t>Ջրային տնտեսության ծրագրերի իրականացման գրասենյակ</t>
    </r>
    <r>
      <rPr>
        <sz val="10"/>
        <rFont val="Arial Unicode"/>
        <family val="2"/>
      </rPr>
      <t>»</t>
    </r>
    <r>
      <rPr>
        <sz val="10"/>
        <rFont val="GHEA Grapalat"/>
        <family val="3"/>
      </rPr>
      <t xml:space="preserve"> ՊՀ</t>
    </r>
  </si>
  <si>
    <t>Ջրային տնտեսության այլ ենթակառուցվածքների համակարգում և ղեկավարում</t>
  </si>
  <si>
    <t>«Ջրային տնտեսության ծրագրերի իրականացման գրասենյակ»  ՊՀ</t>
  </si>
  <si>
    <t>ԱԾ03</t>
  </si>
  <si>
    <t>ՀԱՎԵԼՎԱԾ N 1</t>
  </si>
  <si>
    <t>N 11 հավելվածի N 12 աղյուսակում ՀՀ կառավարության աշխատակազմի</t>
  </si>
  <si>
    <t xml:space="preserve">  մասով կատարվող փոփոխություններ և լրացումները</t>
  </si>
  <si>
    <t xml:space="preserve">ՈՉ ՖԻՆԱՆՍԱԿԱՆ ԱԿՏԻՎՆԵՐԻ ԳԾՈՎ ԾԱԽՍԵՐ </t>
  </si>
  <si>
    <t xml:space="preserve"> Դրամաշնորհային միջոցներ </t>
  </si>
  <si>
    <t xml:space="preserve">ԴՐԱՄԱՇՆՈՐՀԱՅԻՆ ԾՐԱԳՐԵՐԻ, ԴՐԱՆՔ ԻՐԱԿԱՆԱՑՆՈՂ ՄԱՐՄԻՆՆԵՐԻ ԵՎ ԲՅՈՒՋԵՏԱՅԻՆ ԾԱԽՍԵՐԻ ՏՆՏԵՍԱԳԻՏԱԿԱՆ ԴԱՍԱԿԱՐԳՄԱՆ ՀՈԴՎԱԾՆԵՐԻ ԱՆՎԱՆՈՒՄՆԵՐԸ </t>
  </si>
  <si>
    <t>«ՀԱՅԱUՏԱՆԻ ՀԱՆՐԱՊԵՏՈՒԹՅԱՆ 2018 ԹՎԱԿԱՆԻ ՊԵՏԱԿԱՆ ԲՅՈՒՋԵԻ ՄԱUԻՆ» ՀԱՅԱUՏԱՆԻ ՀԱՆՐԱՊԵՏՈՒԹՅԱՆ OՐԵՆՔԻ  N1 ՀԱՎԵԼՎԱԾԻ  N 15 ԱՂՅՈՒՍԱԿՈՒՄ ԵՎ ՀԱՅԱUՏԱՆԻ ՀԱՆՐԱՊԵՏՈՒԹՅԱՆ ԿԱՌԱՎԱՐՈՒԹՅԱՆ 2017 ԹՎԱԿԱՆԻ ԴԵԿՏԵՄԲԵՐԻ 28-Ի  N 1717-Ն ՈՐՈՇՄԱՆ  N 5 ՀԱՎԵԼՎԱԾԻ N 14 ԱՂՅՈՒՍԱԿՈՒՄ  ԿԱՏԱՐՎՈՂ ՓՈՓՈԽՈՒԹՅՈՒՆՆԵՐԸ ԵՎ ԼՐԱՑՈՒՄՆԵՐԸ</t>
  </si>
  <si>
    <t>06. Վերակառուցման և զարգացման եվրոպական բանկի աջակցությամբ իրականացվող ջրամատակարարման բարելավման դրամաշնորհային ծրագիր</t>
  </si>
  <si>
    <t>10. Համաշխարհային բանկի աջակցությամբ իրականացվող Մաստարայի ջրամբարի նախապատրաստման դրամաշնորհային ծրագիր</t>
  </si>
  <si>
    <t>Ինն ամիս</t>
  </si>
  <si>
    <t>Առաջին կիսամյակ</t>
  </si>
  <si>
    <t>Դրամաշնորհային միջոցներ</t>
  </si>
  <si>
    <t>ԱՅԼ ՀԻՄՆԱԿԱՆ ՄԻՋՈՑՆԵՐ, այդ թվում`</t>
  </si>
  <si>
    <t>Նախագծահետազոտական ծախսեր</t>
  </si>
  <si>
    <t xml:space="preserve">09. Գերմանիայի զարգացման վարկերի բանկի և Եվրոպական միության Հարևանության ներդրումային գործիքի աջակցությամբ  իրականացվող ջրամատակարարման և ջրահեռացման ենթակառուցվածքների վերականգման դրամաշնորհային ծրագրի երրորդ փուլ </t>
  </si>
  <si>
    <t>Շենքերի և շինությունների շինարարություն</t>
  </si>
  <si>
    <t>ԱԾ09</t>
  </si>
  <si>
    <t>ԱԾ01</t>
  </si>
  <si>
    <t>Վերակառուցման և զարգացման Եվրոպական բանկի աջակցությամբ իրականացվող Երևանի ջրամատակարարման բարելավման ծրագիր</t>
  </si>
  <si>
    <t>Վերակառուցման և զարգացման Եվրոպական բանկի աջակցությամբ իրականացվող Երևանի ջրամատակարարման բարելավման ծրագրի համակարգում և ղեկավարում</t>
  </si>
  <si>
    <t>Եվրոպական ներդրումային բանկի աջակցությամբ իրականացվող Երևանի ջրամատակարարման բարելավման ծրագրի համակարգում և ղեկավարում</t>
  </si>
  <si>
    <t>Եվրոպական ներդրումային բանկի աջակցությամբ իրականացվող Երևանի ջրամատակարարման բարելավման ծրագիր</t>
  </si>
  <si>
    <t>ԱԾ04</t>
  </si>
  <si>
    <t>Վերակառուցման և զարգացման Եվրոպական բանկի աջակցությամբ իրականացվող Երևանի ջրամատակարարման բարելավման դրամաշնորհային ծրագիր</t>
  </si>
  <si>
    <t>Վերակառուցման և զարգացման Եվրոպական բանկի աջակցությամբ իրականացվող Երևանի ջրամատակարարման բարելավման ծրագրի աջակցություն</t>
  </si>
  <si>
    <t>Ջրամատակարար ընկերությունների կողմից չսպասարկվող համայնքներին տրանսֆերտների տրամադրում (Գերմանիայի զարգացման և Եվրոպական միության Հարևանության ներդրումային բանկի ջրամատակարարման և ջրահեռացման ենթակառուցվածքների դրամաշնորհային ծրագիր՝ երրորդ փուլի շրջանակներում)</t>
  </si>
  <si>
    <t>560 գյուղական բնակավայրերից ընտրված որոշ համայնքների ջրամատակարարման և ջրահեռացման համակարգերի հատվածների հրատապ վերականգման աշխատանքների իրականացում, ինչպես նաև՝ Արմավիրի կեղտաջրերի մաքրման կայանի կառուցում</t>
  </si>
  <si>
    <t>Ջրամատակարարման և ջրահեռացման ենթակառուցվածքների հիմնանորոգում (Վերակառուցման և զարգացման եվրոպական բանկի աջակցությամբ իրականացվող Երևանի ջրամատակարարման բարելավման ծրագրի շրջանակներում)</t>
  </si>
  <si>
    <t>/1072/ Խմելու ջրի մատակարարման և ջրահեռացման ծառայություններ</t>
  </si>
  <si>
    <t>Ջրամատակարարման և ջրահեռացման ենթակառուցվածքների հիմնանորոգում (Եվրոպական ներդրումային բանկի աջակցությամբ իրականացվող Երևանի ջրամատակարարման բարելավման ծրագրի շրջանակներում)</t>
  </si>
  <si>
    <t>Համաշխարհային բանկի աջակցությամբ իրականացվող Մաստարայի ջրամբարի նախապատրաստման դրամաշնորհային ծրագիր</t>
  </si>
  <si>
    <t>ՀՀ ԿԱՌԱՎԱՐՈՒԹՅԱՆ 2017 ԹՎԱԿԱՆԻ ԴԵԿՏԵՄԲԵՐԻ 28-Ի N 1717-Ն ՈՐՈՇՄԱՆ N 11 ՀԱՎԵԼՎԱԾԻ N 12 ԱՂՅՈՒՍԱԿՈՒՄ՝ ՀՀ ԷՆԵՐԳԵՏԻԿ ԵՆԹԱԿԱՌՈՒՑՎԱԾՔՆԵՐԻ և  ԲՆԱԿԱՆ ՊԱՇԱՐՆԵՐԻ ՆԱԽԱՐԱՐՈՒԹՅԱՆ ՋՐԱՅԻՆ ՏՆՏԵՍՈՒԹՅԱՆ ՊԵՏԱԿԱՆ ԿՈՄԻՏԵԻ ՄԱՍՈՎ ԿԱՏԱՐՎՈՂ ՓՈՓՈԽՈՒԹՅՈՒՆՆԵՐԸ</t>
  </si>
  <si>
    <t>ՀՀ 2018 թ. բյուջե</t>
  </si>
  <si>
    <t>Այլ կազմակերպությանը տրամադրված ակտիվներ</t>
  </si>
  <si>
    <t>ԱՏ 03</t>
  </si>
  <si>
    <t>Երևանի ջրամատակարարման ցանցի բարելավման աշխատանքներ</t>
  </si>
  <si>
    <t>«Վեոլիա-Ջուր»  ՓԲԸ</t>
  </si>
  <si>
    <t>ԱՏ 04</t>
  </si>
  <si>
    <t>06.03.01.</t>
  </si>
  <si>
    <t>Քաղաքականության միջոցառումներ. Տրանսֆերտներ</t>
  </si>
  <si>
    <t>ԾՏ 01</t>
  </si>
  <si>
    <t>Ջրամատակարարման և ջրահեռացման ենթակառուցվածքների հիմնանորոգում (Վերակառուցման և զարգացման եվրոպական բանկի աջակցությամբ իրականացվող Երևանի ջրամատակարարման բարելավման  դրամաշնորհային ծրագրի շրջանակներում)</t>
  </si>
  <si>
    <t>Այլ  ծախսեր</t>
  </si>
  <si>
    <t xml:space="preserve">Հայաստանի Հանրապետության կառավարության 2017 թվականի դեկտեմբերի 28-ի N 1717-Ն որոշման </t>
  </si>
  <si>
    <t xml:space="preserve">11. Գերմանիայի զարգացման վարկերի բանկի աջակցությամբ իրականացվող ուղեկցող միջոցառում Համայնքային ենթակառուցվածքների երկրորդ ծրագրի երրորդ փուլ դրամաշնորհային  ծրագրի </t>
  </si>
  <si>
    <t>ԱՅԼ ԾԱԽՍԵՐ, այդ թվում</t>
  </si>
  <si>
    <t>Խորհրդատվական ծառայություններ</t>
  </si>
  <si>
    <t>ՀՀ ԷԵԲՊՆ ջրային տնտեսության պետական կոմիտե</t>
  </si>
  <si>
    <t xml:space="preserve">Գերմանիայի զարգացման վարկերի բանկի աջակցությամբ իրականացվող ուղեկցող միջոցառում Համայնքային ենթակառուցվածքների երկրորդ ծրագրի երրորդ փուլ դրամաշնորհային  ծրագրի </t>
  </si>
  <si>
    <t>Կոլեկտորադրենաժային ծառայություններ</t>
  </si>
  <si>
    <t xml:space="preserve">Ծրագրի նկարագրությունը </t>
  </si>
  <si>
    <t>Գրունտային ջրերի մոնիտերինգի հիման վրա կոլեկտորադրենաժային ցանցի միջոցով գրունտային ջրերի հեռացում</t>
  </si>
  <si>
    <t>Հավանական գերխոնավ տարածքներում մշակելի հողատարածքների ապահովում</t>
  </si>
  <si>
    <t>ՀԱՎԵԼՎԱԾ N 2</t>
  </si>
  <si>
    <t>Հավելված N 3</t>
  </si>
  <si>
    <t>ՀԱՎԵԼՎԱԾ N 5</t>
  </si>
  <si>
    <t xml:space="preserve"> «ՀԱՅԱՍՏԱՆԻ ՀԱՆՐԱՊԵՏՈՒԹՅԱՆ 2015 ԹՎԱԿԱՆԻ ՊԵՏԱԿԱՆ ԲՅՈՒՋԵԻ ՄԱՍԻՆ »  ՀՀ ՕՐԵՆՔԻ 8-ՐԴ ՀՈԴՎԱԾԻ ԱՂՅՈՒՍԱԿԻ, ԻՆՉՊԵՍ ՆԱԵՎ  ՀՀ ԿԱՌԱՎԱՐՈՒԹՅԱՆ  2014 ԹՎԱԿԱՆԻ ԴԵԿՏԵՄԲԵՐԻ 18-Ի  N 1515-Ն ՈՐՈՇՄԱՆ N 4 ՀԱՎԵԼՎԱԾԻ ՑՈՒՑԱՆԻՇՆԵՐՈՒՄ ԿԱՏԱՐՎՈՂ ՓՈՓՈԽՈՒԹՅՈՒՆՆԵՐԸ  
</t>
  </si>
  <si>
    <t>(հազար դրամներով)</t>
  </si>
  <si>
    <t>Բյուջետային ծախսերի տնտեսագիտական դասակարգման հոդվածների անվանումները</t>
  </si>
  <si>
    <t>Ցուցանիշների փոփոխություն (ավելացումները նշված են դրական նշանով, իսկ նվազեցումները՝ փակագծերում)</t>
  </si>
  <si>
    <t xml:space="preserve">Տարի </t>
  </si>
  <si>
    <t>այդ թվում</t>
  </si>
  <si>
    <t xml:space="preserve">ԸՆԹԱՑԻԿ ԾԱԽՍԵՐ </t>
  </si>
  <si>
    <t>ԾԱՌԱՅՈՒԹՅՈՒՆՆԵՐԻ ԵՎ ԱՊՐԱՆՔՆԵՐԻ ՁԵՌՔ ԲԵՐՈՒՄ</t>
  </si>
  <si>
    <t>Ընդհանուր բնույթի այլ ծառայություններ</t>
  </si>
  <si>
    <t>ԱՅԼ ԾԱԽՍԵՐ</t>
  </si>
  <si>
    <t>- Այլ ծախսեր</t>
  </si>
  <si>
    <t>-Պահուստային միջոցներ</t>
  </si>
  <si>
    <t>ՈՉ ՖԻՆԱՆՍԱԿԱՆ ԱԿՏԻՎՆԵՐԻ ՀԵՏ ԳՈՐԾԱՌՆՈՒԹՅՈՒՆՆԵՐ</t>
  </si>
  <si>
    <t>ՀԻՄՆԱԿԱՆ ՄԻՋՈՑՆԵՐ</t>
  </si>
  <si>
    <t>ՇԵՆՔԵՐ ԵՎ ՇԻՆՈՒԹՅՈՒՆՆԵՐ</t>
  </si>
  <si>
    <t>- Շենքերի և շինությունների շինարարություն</t>
  </si>
  <si>
    <t>- Շենքերի և շինությունների կապիտալ վերանորոգում</t>
  </si>
  <si>
    <t>ՄԵՔԵՆԱՆԵՐԻ ԵՎ ՍԱՐՔԱՎՈՐՈՒՄՆԵՐԻ ՁԵՌՔԲԵՐՈՒՄ,ՊԱՀՊԱՆՈՒՄ ԵՎ ՀԻՄՆԱՆՈՐՈԳՈՒՄ</t>
  </si>
  <si>
    <t>- Վարչական սարքավորումներ</t>
  </si>
  <si>
    <t>- Այլ մեքենաներ և սարքավորումներ</t>
  </si>
  <si>
    <t xml:space="preserve"> ԱՅԼ ՀԻՄՆԱԿԱՆ ՄԻՋՈՑՆԵՐ</t>
  </si>
  <si>
    <t>-Ոչ նյութական հիմնական միջոցներ</t>
  </si>
  <si>
    <t>- Նախագծահետազոտական ծախսեր</t>
  </si>
  <si>
    <t>ՀԱՎԵԼՎԱԾ N 4</t>
  </si>
  <si>
    <t xml:space="preserve"> «ՀԱՅԱՍՏԱՆԻ ՀԱՆՐԱՊԵՏՈՒԹՅԱՆ 2015 ԹՎԱԿԱՆԻ ՊԵՏԱԿԱՆ ԲՅՈՒՋԵԻ ՄԱՍԻՆ »  ՀՀ ՕՐԵՆՔԻ 7-ՐԴ ՀՈԴՎԱԾԻ ԱՂՅՈՒՍԱԿԻ, ԻՆՉՊԵՍ ՆԱԵՎ  ՀՀ ԿԱՌԱՎԱՐՈՒԹՅԱՆ  2014 ԹՎԱԿԱՆԻ ԴԵԿՏԵՄԲԵՐԻ 18-Ի  N 1515-Ն ՈՐՈՇՄԱՆ    N 3 ՀԱՎԵԼՎԱԾԻ ՑՈՒՑԱՆԻՇՆԵՐՈՒՄ ԿԱՏԱՐՎՈՂ ՓՈՓՈԽՈՒԹՅՈՒՆՆԵՐԸ  
</t>
  </si>
  <si>
    <t>ԸՆԴՀԱՆՈՒՐ ԲՆՈՒՅԹԻ ՀԱՆՐԱՅԻՆ ԾԱՌԱՅՈՒԹՅՈՒՆՆԵՐ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</si>
  <si>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</si>
  <si>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Ֆինանսական և հարկաբյուջետային հարաբերություններ</t>
  </si>
  <si>
    <t xml:space="preserve">ՏՆՏԵՍԱԿԱՆ ՀԱՐԱԲԵՐՈՒԹՅՈՒՆՆԵՐ
</t>
  </si>
  <si>
    <t>Գյուղատնտեսություն</t>
  </si>
  <si>
    <t xml:space="preserve">Վառելիք և էներգետիկա
</t>
  </si>
  <si>
    <t>Վառելիքի այլ տեսակներ</t>
  </si>
  <si>
    <t>05</t>
  </si>
  <si>
    <t>Էլեկտրաէներգիա</t>
  </si>
  <si>
    <t xml:space="preserve">Տրանսպորտ
</t>
  </si>
  <si>
    <t>Ճանապարհային տրանսպորտ</t>
  </si>
  <si>
    <t>09</t>
  </si>
  <si>
    <t xml:space="preserve">Տնտեսական հարաբերություններ (այլ դասերին չպատկանող)
</t>
  </si>
  <si>
    <t>ՇՐՋԱԿԱ ՄԻՋԱՎԱՅՐԻ ՊԱՇՏՊԱՆՈՒԹՅՈՒՆ</t>
  </si>
  <si>
    <t>Կենսաբազմազանության և բնության պաշտպանություն</t>
  </si>
  <si>
    <t>07</t>
  </si>
  <si>
    <t>ԱՌՈՂՋԱՊԱՀՈՒԹՅՈՒՆ</t>
  </si>
  <si>
    <t>Առողջապահություն (այլ դասերին չպատկանող)</t>
  </si>
  <si>
    <t>Առողջապահական հարակից ծառայություններ և ծրագրեր</t>
  </si>
  <si>
    <t>08</t>
  </si>
  <si>
    <t>ՀԱՆԳԻՍՏ, ՄՇԱԿՈՒՅԹ ԵՎ ԿՐՈՆ</t>
  </si>
  <si>
    <t>Մշակութային ծառայություններ</t>
  </si>
  <si>
    <t>Արվեստ</t>
  </si>
  <si>
    <t>11</t>
  </si>
  <si>
    <t>ՀԻՄՆԱԿԱՆ ԲԱԺԻՆՆԵՐԻՆ ՉԴԱՍՎՈՂ ՊԱՀՈՒՍՏԱՅԻՆ ՖՈՆԴԵՐ</t>
  </si>
  <si>
    <t>ՀՀ կառավարության և համայնքների պահուստային  ֆոնդ</t>
  </si>
  <si>
    <t>ՀՀ կառավարության պահուստային ֆոնդ</t>
  </si>
  <si>
    <t>ՀԱՎԵԼՎԱԾ N 3</t>
  </si>
  <si>
    <t xml:space="preserve">«ՀԱՅԱՍՏԱՆԻ ՀԱՆՐԱՊԵՏՈՒԹՅԱՆ  2015 ԹՎԱԿԱՆԻ ՊԵՏԱԿԱՆ ԲՅՈՒՋԵԻ ՄԱՍԻՆ» ՀՀ ՕՐԵՆՔԻ  6-ՐԴ ՀՈԴՎԱԾԻ ԱՂՅՈՒՍԱԿԻ ԵՎ  ՀՀ ԿԱՌԱՎԱՐՈՒԹՅԱՆ 2014 ԹՎԱԿԱՆԻ ԴԵԿՏԵՄԲԵՐԻ 18-ի  N 1515-Ն ՈՐՈՇՄԱՆ N 2 ՀԱՎԵԼՎԱԾԻ ՑՈՒՑԱՆԻՇՆԵՐՈՒՄ ԿԱՏԱՐՎՈՂ ՓՈՓՈԽՈՒԹՅՈՒՆՆԵՐԸ  </t>
  </si>
  <si>
    <t>Պետական բյուջեի եկամուտներ</t>
  </si>
  <si>
    <t>Ցուցանիշների փոփոխություն (ավելացումները նշված են դրական նշանով)</t>
  </si>
  <si>
    <t>ԸՆԴԱՄԵՆԸ</t>
  </si>
  <si>
    <t>Հարկային եկամուտներ և պետական  տուրքեր</t>
  </si>
  <si>
    <t>Պաշտոնական դրամաշնորհներ</t>
  </si>
  <si>
    <t>«ՀԱՅԱՍՏԱՆԻ ՀԱՆՐԱՊԵՏՈՒԹՅԱՆ 2015 ԹՎԱԿԱՆԻ ՊԵՏԱԿԱՆ ԲՅՈՒՋԵԻ ՄԱՍԻՆ» ՀԱՅԱՍՏԱՆԻ ՀԱՆՐԱՊԵՏՈՒԹՅԱՆ ՕՐԵՆՔԻ 3-ՐԴ  ՀՈԴՎԱԾԻ ԱՂՅՈՒՍԱԿՈՒՄ ԵՎ ՀԱՅԱՍՏԱՆԻ ՀԱՆՐԱՊԵՏՈՒԹՅԱՆ ԿԱՌԱՎԱՐՈՒԹՅԱՆ 2014 ԹՎԱԿԱՆԻ ԴԵԿՏԵՄԲԵՐԻ 18-Ի N1515-Ն ՈՐՈՇՄԱՆ N 1 ՀԱՎԵԼՎԱԾԻ  N 1 ԱՂՅՈՒՍԱԿՈՒՄ ԿԱՏԱՐՎՈՂ ՓՈՓՈԽՈՒԹՅՈՒՆՆԵՐԸ</t>
  </si>
  <si>
    <t>Պետական բյուջեի դեֆիցիտի ֆինանսավորման աղբյուրներն ու դրանց տարրերի անվանումները</t>
  </si>
  <si>
    <t xml:space="preserve">Ինն ամիս </t>
  </si>
  <si>
    <t xml:space="preserve">այդ թվում` </t>
  </si>
  <si>
    <t>Ա.ՆԵՐՔԻՆ ԱՂԲՅՈՒՐՆԵՐ</t>
  </si>
  <si>
    <t>2.Ֆինանսական զուտ ակտիվներ</t>
  </si>
  <si>
    <t>2.3 Ելքերի ֆինանսավորմանն ուղղվող ՀՀ 2015 թվականի պետական բյուջեի տարեսկզբի ազատ մնացորդի միջոցներ</t>
  </si>
  <si>
    <t>.</t>
  </si>
  <si>
    <t>Բ.ԱՐՏԱՔԻՆ ԱՂԲՅՈՒՐՆԵՐ</t>
  </si>
  <si>
    <t>1.Փոխառու զուտ  միջոցներ</t>
  </si>
  <si>
    <t>1.1.Վարկերի և փոխատվությունների ստացում</t>
  </si>
  <si>
    <t xml:space="preserve">«ՀԱՅԱՍՏԱՆԻ ՀԱՆՐԱՊԵՏՈՒԹՅԱՆ 2015 ԹՎԱԿԱՆԻ ՊԵՏԱԿԱՆ ԲՅՈՒՋԵԻ ՄԱՍԻՆ»  ՀԱՅԱՍՏԱՆԻ ՀԱՆՐԱՊԵՏՈՒԹՅԱՆ ՕՐԵՆՔԻ 2-ՐԴ ՀՈԴՎԱԾԻ ԱՂՅՈՒՍԱԿՈՒՄ ԿԱՏԱՐՎՈՂ ՓՈՓՈԽՈՒԹՅՈՒՆՆԵՐԸ </t>
  </si>
  <si>
    <t xml:space="preserve"> (հազար դրամներով)</t>
  </si>
  <si>
    <t>Եկամուտների գծով</t>
  </si>
  <si>
    <t>Ծախսերի գծով</t>
  </si>
  <si>
    <t>Դեֆիցիտը (պակասուրդը)</t>
  </si>
  <si>
    <t xml:space="preserve"> </t>
  </si>
  <si>
    <t>03. Եվրոպական միության հարևանության ներդրումային ծրագրի աջակցությամբ իրականացվող Երևանի ջրամատակարարման բարելավման դրամաշնորհային ծրագիր</t>
  </si>
  <si>
    <t>ԱՏ 06</t>
  </si>
  <si>
    <t>Ջրամատակարարման և ջրահեռացման ենթակառուցվածքների հիմնանորոգում (Եվրոպական միության հարևանության ներդրումային ծրագրի աջակցությամբ իրականացվող Երևանի ջրամատակարարման բարելավման դրամաշնորհային ծրագրի շրջանակներում)</t>
  </si>
  <si>
    <t>ԱԾ05</t>
  </si>
  <si>
    <t>Եվրոպական միության հարևանության ներդրումային ծրագրի աջակցությամբ իրականացվող Երևանի ջրամատակարարման բարելավման դրամաշնորհային ծրագիր</t>
  </si>
  <si>
    <t>Գործառնական դասիչը</t>
  </si>
  <si>
    <t xml:space="preserve"> այդ թվում` ՀՀ էներգետիկ ենթակառուցվածքների և բնական պաշարների նախարարության ջրային  կոմիտե </t>
  </si>
  <si>
    <t>Առաջին եռամսյակ</t>
  </si>
  <si>
    <t>1004</t>
  </si>
  <si>
    <t>Եվրասիական զարգացման բանկի աջակցությամբ իրականացվող ոռոգման համակարգերի_x000D_ զարգացման ծրագրի շրջանակներում ջրային տնտեսության ենթակառուցվածքների հիմնանորոգում</t>
  </si>
  <si>
    <t>Բյուջետային հատկացումների գլխավոր կարգադրիչների, ծրագրերի, միջոցառումների և միջոցառումները կատարող պետական մարմինների անվանումները</t>
  </si>
  <si>
    <t>այդ թվում` բյուջետային ծախսերի տնտեսագիտական դասակարգման հոդվածներ</t>
  </si>
  <si>
    <t>այդ թվում` ըստ կատարողների</t>
  </si>
  <si>
    <t xml:space="preserve">ՀՀ էներգետիկ ենթակառուցվածքների և բնական պաշարների նախարարության ջրային կոմիտե </t>
  </si>
  <si>
    <t xml:space="preserve"> Միջոցառման անվանումը` </t>
  </si>
  <si>
    <t xml:space="preserve"> Գերմանիայի զարգացման վարկերի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 </t>
  </si>
  <si>
    <t xml:space="preserve"> Նկարագրությունը` </t>
  </si>
  <si>
    <t xml:space="preserve"> 6 քաղաքների և 37 գյուղական բնակավայրերի ջրամատակարարման և ջրահեռացման համակարգերի հատվածների հրատապ (մասնակի) վերականգնման աշխատանքներ </t>
  </si>
  <si>
    <t xml:space="preserve"> Միջոցառման տեսակը` </t>
  </si>
  <si>
    <t xml:space="preserve"> Պետական մարմինների կողմից օգտագործվող ոչ ֆինանսական ակտիվների հետ գործառնություններ </t>
  </si>
  <si>
    <t xml:space="preserve"> Ակտիվն օգտագործող կազմակերպության(ների) անվանում(ները)՛ </t>
  </si>
  <si>
    <t xml:space="preserve"> Մասնագիտացված միավոր </t>
  </si>
  <si>
    <t xml:space="preserve"> Արդյունքի չափորոշիչներ </t>
  </si>
  <si>
    <t xml:space="preserve"> Նորոգվող ջրագծերի երկարություն, կմ </t>
  </si>
  <si>
    <t xml:space="preserve"> 13 </t>
  </si>
  <si>
    <t xml:space="preserve"> Նորոգվող կոյուղագծերի երկարություն, կմ </t>
  </si>
  <si>
    <t xml:space="preserve"> 0.87 </t>
  </si>
  <si>
    <t xml:space="preserve"> Նորոգվող տնային միացումներ, հատ </t>
  </si>
  <si>
    <t xml:space="preserve"> 645 </t>
  </si>
  <si>
    <t xml:space="preserve"> Միջոցառման վրա կատարվող ծախսը (հազար դրամ) </t>
  </si>
  <si>
    <t xml:space="preserve"> Ծրագրի դասիչը` </t>
  </si>
  <si>
    <t xml:space="preserve"> 1072 </t>
  </si>
  <si>
    <t xml:space="preserve"> Ցուցանիշներ </t>
  </si>
  <si>
    <t xml:space="preserve"> Միջոցառման դասիչը` </t>
  </si>
  <si>
    <t xml:space="preserve"> 31001 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</si>
  <si>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</si>
  <si>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</si>
  <si>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</si>
  <si>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</si>
  <si>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 xml:space="preserve"> 31002 </t>
  </si>
  <si>
    <t xml:space="preserve"> Եվրոպական ներդրումային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 </t>
  </si>
  <si>
    <t xml:space="preserve"> 12.15 </t>
  </si>
  <si>
    <t xml:space="preserve"> 0.81 </t>
  </si>
  <si>
    <t xml:space="preserve"> 604 </t>
  </si>
  <si>
    <t xml:space="preserve"> 31003 </t>
  </si>
  <si>
    <t xml:space="preserve"> Եվրոպակական ներդրումային բանկի աջակցությամբ իրականացվող Երևանի ջրամատակարարման բարելավման ծրագրի շրջանակներում ջրամատակարարման և ջրահեռացման ենթակառուցվածքների հիմնանորոգում </t>
  </si>
  <si>
    <t xml:space="preserve"> Երևանի ջրամատակարարման ցանցի բարելավման աշխատանքներ </t>
  </si>
  <si>
    <t xml:space="preserve"> 31005 </t>
  </si>
  <si>
    <t xml:space="preserve"> Գերմանիայի զարգացման վարկերի բանկի աջակցությամբ իրականացվող Լոռու (Վանաձորի) մարզի ջրամատակարարման և ջրահեռացման համակարգերի վերականգնման ծրագիր՛ երկրորդ փուլ </t>
  </si>
  <si>
    <t xml:space="preserve"> Վանաձորի ջրամատակարարման և ջրահեռացման համակարգերի մասնակի վերականգնում </t>
  </si>
  <si>
    <t xml:space="preserve"> Նորոգվող ջրամբարների քանակ,հատ </t>
  </si>
  <si>
    <t xml:space="preserve"> 2 </t>
  </si>
  <si>
    <t xml:space="preserve"> 3 </t>
  </si>
  <si>
    <t xml:space="preserve"> 4 </t>
  </si>
  <si>
    <t xml:space="preserve"> 31006 </t>
  </si>
  <si>
    <t xml:space="preserve"> Գերմանիայի զարգացման վարկերի բանկի աջակցությամբ իրականացվող Շիրակի (Գյումրու) մարզի ջրամատակարարման և ջրահեռացման համակարգերի վերականգնման ծրագիր՛ երկրորդ փուլ </t>
  </si>
  <si>
    <t xml:space="preserve"> Գյումրու ջրամատակարարման և ջրահեռացման համակարգերի մասնակի վերականգնում </t>
  </si>
  <si>
    <t xml:space="preserve"> 1004 </t>
  </si>
  <si>
    <t xml:space="preserve"> Նոր կառուցվող ոռոգմանցանցերի երկարություն, կմ </t>
  </si>
  <si>
    <t xml:space="preserve"> 21.6 </t>
  </si>
  <si>
    <t xml:space="preserve"> Եվրասիական զարգացման բանկի աջակցությամբ իրականացվող ոռոգման համակարգերի զարգացման ծրագրի շրջանակներում ջրային տնտեսության ենթակառուցվածքների հիմնանորոգում </t>
  </si>
  <si>
    <t xml:space="preserve"> Եվրասիական զարգացման բանկի աջակցությամբ իրականացվող ոռոգման համակարգերի զարգացման ծրագիր </t>
  </si>
  <si>
    <t xml:space="preserve"> Հիմնանորոգվող ոռոգման ցանցերի երկարություն, կմ </t>
  </si>
  <si>
    <t xml:space="preserve"> Ծառայությունների մատուցում </t>
  </si>
  <si>
    <t xml:space="preserve"> Կառավարվող/վերահսկվող պայմանագրերի քանակ, հատ </t>
  </si>
  <si>
    <t xml:space="preserve">  </t>
  </si>
  <si>
    <t xml:space="preserve"> ՄԱՍ 2. ՊԵՏԱԿԱՆ ՄԱՐՄՆԻ ԳԾՈՎ ԱՐԴՅՈՒՆՔԱՅԻՆ (ԿԱՏԱՐՈՂԱԿԱՆ) ՑՈՒՑԱՆԻՇՆԵՐԸ </t>
  </si>
  <si>
    <t>Հավելված 3</t>
  </si>
  <si>
    <t xml:space="preserve">ՀՀ կառավարության  2019 թվականի </t>
  </si>
  <si>
    <t>______________ ի    ___Ն որոշման</t>
  </si>
  <si>
    <t>Ծրագրի դասիչը</t>
  </si>
  <si>
    <t>Ծրագրի անվանումը</t>
  </si>
  <si>
    <t>Ծրագրի միջոցառումները</t>
  </si>
  <si>
    <t>Ոռոգման համակարգի առողջացում</t>
  </si>
  <si>
    <t>Ջրամատակարարաման և ջրահեռացման բարելավում</t>
  </si>
  <si>
    <t>Հավելված 4</t>
  </si>
  <si>
    <t>Հավելված 1</t>
  </si>
  <si>
    <t xml:space="preserve">ԲՆԱԿԱՐԱՆԱՅԻՆ ՇԻՆԱՐԱՐՈՒԹՅՈՒՆ ԵՎ ԿՈՄՈՒՆԱԼ ԾԱՌԱՅՈՒԹՅՈՒՆՆԵՐ </t>
  </si>
  <si>
    <t>ՀԱՅԱՍՏԱՆԻ ՀԱՆՐԱՊԵՏՈՒԹՅԱՆ ԿԱՌԱՎԱՐՈՒԹՅԱՆ 2018ԹՎԱԿԱՆԻ ԴԵԿՏԵՄԲԵՐԻ 27-Ի ԹԻՎ 1515-Ն ՈՐՈՇՄԱՆ N11.1 ՀԱՎԵԼՎԱԾԻ  11.1.31  ԱՂՅՈՒՍԱԿՈՒՄ ԿԱՏԱՐՎՈՂ ՓՈՓՈԽՈՒԹՅՈՒՆՆԵՐԸ</t>
  </si>
  <si>
    <t>ՀԱՅԱՍՏԱՆԻ ՀԱՆՐԱՊԵՏՈՒԹՅԱՆ ԿԱՌԱՎԱՐՈՒԹՅԱՆ 2018 ԹՎԱԿԱՆԻ ԴԵԿՏԵՄԲԵՐԻ 27-Ի ԹԻՎ 1515-Ն ՈՐՈՇՄԱՆ N11 ՀԱՎԵԼՎԱԾԻ  11.15 ԱՂՅՈՒՍԱԿՈՒՄ ԿԱՏԱՐՎՈՂ ՓՈՓՈԽՈՒԹՅՈՒՆՆԵՐԸ</t>
  </si>
  <si>
    <t>Հավելված 2</t>
  </si>
  <si>
    <t>ՀՀ էներգետիկ ենթակառուցվածքների և բնական պաշարների նախարարություն</t>
  </si>
  <si>
    <t>Եվրոպական ներդրումային բանկի աջակցությամբ իրականացվող Երևանի ջրամատակարարման բարելավման ծրագրի շրջանակներում ջրամատակարարման և ջրահեռացման ենթակառուցվածքների հիմնանորոգում</t>
  </si>
  <si>
    <t>______________ ի    ___Ն  որոշման</t>
  </si>
  <si>
    <t>Բյուջետային հատկացումների գլխավոր կարգադրիչների, ծրագրերի և միջոցառումների անվանումները</t>
  </si>
  <si>
    <t>Ծրագրի նպատակը</t>
  </si>
  <si>
    <t>Ոռոգման ծառայությունների հասանելիության և մատչելիության ապահովում</t>
  </si>
  <si>
    <t>Ոռոգման ջրի մատակարարման արդյունավետության և հասանելիության բարելավում՝ կորուստների կրճատում</t>
  </si>
  <si>
    <t>Ծրագրի միջոցառումներ</t>
  </si>
  <si>
    <t>Միջոցառման անվանումը</t>
  </si>
  <si>
    <t>Միջոցառման նկարագրությունը</t>
  </si>
  <si>
    <t>Միջոցառման տեսակը</t>
  </si>
  <si>
    <t>Ծառայությունների մատուցում</t>
  </si>
  <si>
    <t>Եվրասիական զարգացման բանկի աջակցությամբ իրականացվող ոռոգման համակարգերի զարգացման  ծրագիր</t>
  </si>
  <si>
    <t>Պետական մարմինների կողմից օգտագործվող ոչ ֆինանսական ակտիվների հետ գործառնություններ</t>
  </si>
  <si>
    <t>Ջրամատակարարման և ջրահեռացման բարելավում</t>
  </si>
  <si>
    <t>բաժինը</t>
  </si>
  <si>
    <t>խումբը</t>
  </si>
  <si>
    <t>դասը</t>
  </si>
  <si>
    <t>Բյուջետային ծախսերի գործառական դասակարգման բաժինների, խմբերի և դասերի, բյուջետային ծրագերի միջոցառումների, բյուջետային հատկացումների գլխավոր կարգադրիչների  և բյուջետային տնտեսագիտական դասակարգման հոդվածների անվանումները</t>
  </si>
  <si>
    <t>ԸՆԴԱՄԵՆԸ՝ ԾԱԽՍԵՐ</t>
  </si>
  <si>
    <t xml:space="preserve">Ցուցանիշների փոփոխությունը
 (ավելացումները նշված են դրական նշանով, իսկ նվազեցումները` փակագծերում)          </t>
  </si>
  <si>
    <t>ՀՀ ԷՆԵՐԳԵՏԻԿ ԵՆԹԱԿԱՌՈՒՑՎԱԾՔՆԵՐԻ ԵՎ ԲՆԱԿԱՆ ՊԱՇԱՐՆԵՐԻ ՆԱԽԱՐԱՐՈՒԹՅՈՒՆ</t>
  </si>
  <si>
    <t xml:space="preserve"> «ՀԱՅԱՍՏԱՆԻ ՀԱՆՐԱՊԵՏՈՒԹՅԱՆ 2019 ԹՎԱԿԱՆԻ ՊԵՏԱԿԱՆ ԲՅՈՒՋԵԻ ՄԱՍԻՆ» ՀԱՅԱՍՏԱՆԻ ՀԱՆՐԱՊԵՏՈՒԹՅԱՆ ՕՐԵՆՔԻ N 1 ՀԱՎԵԼՎԱԾԻ N 4 ԱՂՅՈՒՍԱԿՈՒՄ ԵՎ ՀԱՅԱՍՏԱՆԻ ՀԱՆՐԱՊԵՏՈՒԹՅԱՆ ԿԱՌԱՎԱՐՈՒԹՅԱՆ 2018 ԹՎԱԿԱՆԻ ԴԵԿՏԵՄԲԵՐԻ 27-Ի N 1515-Ն ՈՐՈՇՄԱՆ N5 ՀԱՎԵԼՎԱԾԻ N 3 ԱՂՅՈՒՍԱԿՈՒՄ ԿԱՏԱՐՎՈՂ ՓՈՓՈԽՈՒԹՅՈՒՆՆԵՐԸ</t>
  </si>
  <si>
    <t>տարի</t>
  </si>
  <si>
    <t>ինն ամիս</t>
  </si>
  <si>
    <t>առաջին կիսամյակ</t>
  </si>
  <si>
    <t xml:space="preserve">Ցուցանիշների փոփոխությունը
 (ավելացումները նշված են դրական նշանով, իսկ նվազեցումները` փակագծերում) </t>
  </si>
  <si>
    <t xml:space="preserve"> ընդամենը </t>
  </si>
  <si>
    <t xml:space="preserve"> այդ թվում՝ </t>
  </si>
  <si>
    <t xml:space="preserve"> վարկային միջոցներ </t>
  </si>
  <si>
    <t xml:space="preserve"> համաֆինան_x000D_
սավորում </t>
  </si>
  <si>
    <t>ՀՀ ԷՆԵՐԳԵՏԻԿ ԵՆԹԱԿԱՌՈՒՑՎԱԾՔՆԵՐԻ ԵՎ ԲՆԱԿԱՆ ՊԱՇԱՐՆԵՐԻ ՆԱԽԱՐԱՐՈՒԹՅՈՒՆ
այդ թվում՝</t>
  </si>
  <si>
    <t>այդ թվում՝</t>
  </si>
  <si>
    <t xml:space="preserve"> Ակտիվն օգտագործող կազմակերպության
(կազմակերպությունների) անվանում (անվանումները)՛ </t>
  </si>
  <si>
    <t xml:space="preserve"> Միջոցառման վրա կատարվող ծախսը (հազ. դրամ) </t>
  </si>
  <si>
    <t>Աղյուսակ  N1</t>
  </si>
  <si>
    <t>Աղյուսակ  N2</t>
  </si>
  <si>
    <t>«ՀԱՅԱUՏԱՆԻ ՀԱՆՐԱՊԵՏՈՒԹՅԱՆ 2019 ԹՎԱԿԱՆԻ ՊԵՏԱԿԱՆ ԲՅՈՒՋԵԻ ՄԱUԻՆ» ՀԱՅԱUՏԱՆԻ ՀԱՆՐԱՊԵՏՈՒԹՅԱՆ OՐԵՆՔԻ N 1 ՀԱՎԵԼՎԱԾԻ N 2 ԱՂՅՈՒՍԱԿՈՒՄ ԵՎ ՀԱՅԱՍՏԱՆԻ ՀԱՆՐԱՊԵՏՈՒԹՅԱՆ ԿԱՌԱՎԱՐՈՒԹՅԱՆ 2018 ԹՎԱԿԱՆԻ ԴԵԿՏԵՄԲԵՐԻ 27-Ի N 1515-Ն ՈՐՈՇՄԱՆ N5 ՀԱՎԵԼՎԱԾԻ N1 ԱՂՅՈՒՍԱԿՈՒՄ ԿԱՏԱՐՎՈՂ  ՓՈՓՈԽՈՒԹՅՈՒՆՆԵՐԸ</t>
  </si>
  <si>
    <t>ՀԱՅԱՍՏԱՆԻ ՀԱՆՐԱՊԵՏՈՒԹՅԱՆ ԿԱՌԱՎԱՐՈՒԹՅԱՆ 2018 ԹՎԱԿԱՆԻ ԴԵԿՏԵՄԲԵՐԻ 27-Ի N 1515-Ն ՈՐՈՇՄԱՆ NN 3 ԵՎ 4 ՀԱՎԵԼՎԱԾՆԵՐՈՒՄ ԿԱՏԱՐՎՈՂ  ՓՈՓՈԽՈՒԹՅՈՒՆՆԵՐԸ</t>
  </si>
  <si>
    <t>Գերմանիայի զարգացման վարկերի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</t>
  </si>
  <si>
    <t>Եվրոպական ներդրումային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</t>
  </si>
  <si>
    <t>Եվրոպական միության հարևանության ներդրումային ծրագրի աջակցությամբ իրականացվող_x000D_ Երևանի ջրամատակարարման բարելավման դրամաշնորհային ծրագիր</t>
  </si>
  <si>
    <t xml:space="preserve"> - Այլ ծախսեր</t>
  </si>
  <si>
    <t>Վերակառուցման և զարգացման եվրոպական բանկի աջակցությամբ իրականացվող Երևանի ջրամատակարարման բարելավման դրամաշնորհային ծրագիր</t>
  </si>
  <si>
    <t>Եվրոպական միության հարևանության ներդրումային ծրագրի աջակցությամբ իրականացվող_x000D_ Երևանի ջրամատակարարման բարելավման դրամաշնորհային ծրագրի շրջանակներում Ջրամատակարարման և ջրահեռացման ենթակառուցվածքների հիմնանորոգում</t>
  </si>
  <si>
    <t>Ֆրանսիայի Հանրապետության կառավարության աջակցությամբ իրականացվող Վեդու ջրամբարի կառուցման ծրագրի խորհրդատվություն և կառավարում</t>
  </si>
  <si>
    <t>Ֆրանսիայի Հանրապետության կառավարության աջակցությամբ իրականացվող Վեդու ջրամբարի կառուցում</t>
  </si>
  <si>
    <t>Ֆրանսիայի Հանրապետության կառավարության աջակցությամբ իրականացվող Վեդու ջրամբարի կառուցման ծրագրի համակարգում և կառավարում</t>
  </si>
  <si>
    <t>Ֆրանսիայի Հանրապետության կառավարության աջակցությամբ իրականացվող Վեդու ջրամբարի կառուցման ծրագիր</t>
  </si>
  <si>
    <t xml:space="preserve"> Երևանի ջրամատակարարման բարելավման ծրագրի խորհրդատվական աշխատանքների իրականացում</t>
  </si>
  <si>
    <t>6 քաղաքների և 37 գյուղական բնակավայրերի ջրամատակարարման և ջրահեռացման համակարգերի հատվածների հրատապ (մասնակի) վերականգման աշխատանքներ</t>
  </si>
  <si>
    <t xml:space="preserve"> «ՀԱՅԱՍՏԱՆԻ ՀԱՆՐԱՊԵՏՈՒԹՅԱՆ 2019 ԹՎԱԿԱՆԻ ՊԵՏԱԿԱՆ ԲՅՈՒՋԵԻ ՄԱՍԻՆ» ՀԱՅԱՍՏԱՆԻ ՀԱՆՐԱՊԵՏՈՒԹՅԱՆ ՕՐԵՆՔԻ N 1 ՀԱՎԵԼՎԱԾԻ N 5 ԱՂՅՈՒՍԱԿՈՒՄ ԵՎ ՀԱՅԱՍՏԱՆԻ ՀԱՆՐԱՊԵՏՈՒԹՅԱՆ ԿԱՌԱՎԱՐՈՒԹՅԱՆ 2018 ԹՎԱԿԱՆԻ ԴԵԿՏԵՄԲԵՐԻ 27-Ի N 1515-Ն ՈՐՈՇՄԱՆ N5 ՀԱՎԵԼՎԱԾԻ N 4 ԱՂՅՈՒՍԱԿՈՒՄ ԿԱՏԱՐՎՈՂ ՓՈՓՈԽՈՒԹՅՈՒՆՆԵՐԸ</t>
  </si>
  <si>
    <t>Պատվարի կառուցում</t>
  </si>
  <si>
    <t>Ոռոգման ներտնտեսային ցանցի կառուցում, կմ</t>
  </si>
  <si>
    <t xml:space="preserve">դրամաշնոր-
հային միջոցներ </t>
  </si>
  <si>
    <t xml:space="preserve"> Երևանի ջրամատակարարման բարելավման ծրագրի խորհրդատվական աշխատանքների և աուդիտի իրականացում</t>
  </si>
  <si>
    <t>Հավելված 5</t>
  </si>
  <si>
    <t>Ցուցանիշների փոփոխությունը
(ավելացումները նշված են դրական նշանով, իսկ նվազեցումները՝ փակագծերում)</t>
  </si>
  <si>
    <t>Խմելու ջրի մատակարարման և ջրահեռացման համակարգերի բարելավում՝ կորուստների կրճատում</t>
  </si>
  <si>
    <t>Երևանի ջրամատակարարման բարելավման աշխատանքների իրականացում</t>
  </si>
  <si>
    <t>Եվրոպական միության հարևանության ներդրումային ծրագրի աջակցությամբ իրականացվող Երևանի ջրամատակարարման բարելավման դրամաշնորհային ծրագրի շրջանակներում Ջրամատակարարման և ջրահեռացման ենթակառուցվածքների հիմնանորոգում</t>
  </si>
  <si>
    <t xml:space="preserve"> առաջին կիսամյակ </t>
  </si>
  <si>
    <t xml:space="preserve">ինն ամիս </t>
  </si>
  <si>
    <t xml:space="preserve"> տարի </t>
  </si>
  <si>
    <t>Գերմանիայի զարգացման բանկի աջակցությամբ իրականացվող Ախուրյան գետի ջրային ռեսուրսների ինտեգրված կառավարման ծրագրի շրջանակներում ջրային տնտեսության ենթակառուցվածքների հիմնանորոգում</t>
  </si>
  <si>
    <t>Գերմանիայի զարգացման բանկի աջակցությամբ իրականացվող Ախուրյան գետի ջրային ռեսուրսների ինտեգրված կառավարման ծրագրի շրջանակներում ջրային տնտեսության  ենթակառուցվածքների հիմնանորոգում</t>
  </si>
  <si>
    <t>Գերմանիայի զարգացման բանկի աջակցությամբ իրականացվող Ախուրյան գետի ջրային ռեսուրսների ինտեգրված կառավարման ծրագիր</t>
  </si>
  <si>
    <t>Նոր կառուցվող պատվարի երկարություն, 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</si>
</sst>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(* #,##0.00_);_(* \(#,##0.00\);_(* &quot;-&quot;??_);_(@_)"/>
    <numFmt numFmtId="164" formatCode="_-* #,##0.00\ _դ_ր_._-;\-* #,##0.00\ _դ_ր_._-;_-* &quot;-&quot;??\ _դ_ր_._-;_-@_-"/>
    <numFmt numFmtId="165" formatCode="_-* #,##0.00_-;\-* #,##0.00_-;_-* &quot;-&quot;??_-;_-@_-"/>
    <numFmt numFmtId="166" formatCode="_(* #,##0.0_);_(* \(#,##0.0\);_(* &quot;-&quot;??_);_(@_)"/>
    <numFmt numFmtId="167" formatCode="_(* #,##0.0_);_(* \(#,##0.0\);_(* &quot;-&quot;?_);_(@_)"/>
    <numFmt numFmtId="168" formatCode="_(* #,##0.00_);_(* \(#,##0.00\);_(* &quot;-&quot;?_);_(@_)"/>
    <numFmt numFmtId="169" formatCode="#,##0.0_);\(#,##0.0\)"/>
    <numFmt numFmtId="170" formatCode="_-* #,##0.0_р_._-;\-* #,##0.0_р_._-;_-* &quot;-&quot;??_р_._-;_-@_-"/>
    <numFmt numFmtId="171" formatCode="#,##0.0"/>
    <numFmt numFmtId="172" formatCode="_(* #,##0.000_);_(* \(#,##0.000\);_(* &quot;-&quot;??_);_(@_)"/>
    <numFmt numFmtId="173" formatCode="_(* #,##0.000_);_(* \(#,##0.000\);_(* &quot;-&quot;?_);_(@_)"/>
    <numFmt numFmtId="174" formatCode="_ * #,##0.00_)_ _ ;_ * \(#,##0.00\)_ _ ;_ * &quot;-&quot;??_)_ _ ;_ @_ "/>
    <numFmt numFmtId="175" formatCode="_-* #,##0.0\ _դ_ր_._-;\-* #,##0.0\ _դ_ր_._-;_-* &quot;-&quot;??\ _դ_ր_._-;_-@_-"/>
    <numFmt numFmtId="176" formatCode="_-* #,##0.0_р_._-;\-* #,##0.0_р_._-;_-* &quot;-&quot;?_р_._-;_-@_-"/>
    <numFmt numFmtId="177" formatCode="_(* #,##0.0000_);_(* \(#,##0.0000\);_(* &quot;-&quot;??_);_(@_)"/>
    <numFmt numFmtId="178" formatCode="_(* #,##0_);_(* \(#,##0\);_(* &quot;-&quot;??_);_(@_)"/>
    <numFmt numFmtId="179" formatCode="##,##0.0;\(##,##0.0\);\-"/>
    <numFmt numFmtId="180" formatCode="_-* #,##0.0_-;\-* #,##0.0_-;_-* &quot;-&quot;??_-;_-@_-"/>
  </numFmts>
  <fonts count="58">
    <font>
      <sz val="10"/>
      <name val="Times Armenian"/>
    </font>
    <font>
      <sz val="10"/>
      <name val="Times Armenian"/>
    </font>
    <font>
      <sz val="11"/>
      <name val="Times Armenian"/>
      <family val="1"/>
    </font>
    <font>
      <sz val="10"/>
      <name val="GHEA Grapalat"/>
      <family val="3"/>
    </font>
    <font>
      <b/>
      <sz val="10"/>
      <name val="GHEA Grapalat"/>
      <family val="3"/>
    </font>
    <font>
      <b/>
      <sz val="9"/>
      <name val="GHEA Grapalat"/>
      <family val="3"/>
    </font>
    <font>
      <sz val="9"/>
      <name val="GHEA Grapalat"/>
      <family val="3"/>
    </font>
    <font>
      <sz val="10"/>
      <color indexed="10"/>
      <name val="GHEA Grapalat"/>
      <family val="3"/>
    </font>
    <font>
      <sz val="10"/>
      <name val="Times Armenian"/>
      <family val="1"/>
    </font>
    <font>
      <i/>
      <sz val="9"/>
      <name val="GHEA Grapalat"/>
      <family val="3"/>
    </font>
    <font>
      <b/>
      <sz val="12"/>
      <name val="GHEA Grapalat"/>
      <family val="3"/>
    </font>
    <font>
      <b/>
      <i/>
      <sz val="12"/>
      <name val="GHEA Grapalat"/>
      <family val="3"/>
    </font>
    <font>
      <b/>
      <sz val="10"/>
      <color indexed="8"/>
      <name val="GHEA Grapalat"/>
      <family val="3"/>
    </font>
    <font>
      <sz val="12"/>
      <name val="GHEA Grapalat"/>
      <family val="3"/>
    </font>
    <font>
      <sz val="11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sz val="8"/>
      <name val="GHEA Grapalat"/>
      <family val="3"/>
    </font>
    <font>
      <b/>
      <sz val="11"/>
      <name val="GHEA Grapalat"/>
      <family val="3"/>
    </font>
    <font>
      <i/>
      <sz val="11"/>
      <name val="GHEA Grapalat"/>
      <family val="3"/>
    </font>
    <font>
      <sz val="8"/>
      <name val="Times Armenian"/>
      <family val="1"/>
    </font>
    <font>
      <sz val="12"/>
      <color indexed="8"/>
      <name val="Times Armenian"/>
      <family val="2"/>
    </font>
    <font>
      <u/>
      <sz val="10"/>
      <name val="GHEA Grapalat"/>
      <family val="3"/>
    </font>
    <font>
      <sz val="10"/>
      <name val="Arial Unicode"/>
      <family val="2"/>
    </font>
    <font>
      <b/>
      <sz val="11"/>
      <color indexed="8"/>
      <name val="GHEA Grapalat"/>
      <family val="3"/>
    </font>
    <font>
      <b/>
      <u/>
      <sz val="11"/>
      <name val="GHEA Grapalat"/>
      <family val="3"/>
    </font>
    <font>
      <b/>
      <sz val="8"/>
      <name val="GHEA Grapalat"/>
      <family val="3"/>
    </font>
    <font>
      <sz val="10"/>
      <color indexed="8"/>
      <name val="Calibri"/>
      <family val="2"/>
    </font>
    <font>
      <sz val="10"/>
      <name val="GHEA Mariam"/>
      <family val="3"/>
    </font>
    <font>
      <i/>
      <sz val="10"/>
      <name val="GHEA Grapalat"/>
      <family val="3"/>
    </font>
    <font>
      <sz val="10"/>
      <name val="Arial Armenian"/>
      <family val="2"/>
    </font>
    <font>
      <sz val="10"/>
      <color indexed="9"/>
      <name val="GHEA Grapalat"/>
      <family val="3"/>
    </font>
    <font>
      <sz val="9"/>
      <color indexed="9"/>
      <name val="GHEA Grapalat"/>
      <family val="3"/>
    </font>
    <font>
      <i/>
      <sz val="8"/>
      <name val="GHEA Grapalat"/>
      <family val="3"/>
    </font>
    <font>
      <sz val="8"/>
      <name val="GHEA Grapalat"/>
      <family val="2"/>
    </font>
    <font>
      <b/>
      <sz val="8"/>
      <name val="GHEA Grapalat"/>
      <family val="2"/>
    </font>
    <font>
      <b/>
      <i/>
      <sz val="10"/>
      <name val="GHEA Grapalat"/>
      <family val="3"/>
    </font>
    <font>
      <b/>
      <sz val="10"/>
      <name val="GHEA Grapalat"/>
      <family val="2"/>
    </font>
    <font>
      <b/>
      <sz val="14"/>
      <name val="GHEA Grapalat"/>
      <family val="3"/>
    </font>
    <font>
      <sz val="14"/>
      <name val="GHEA Grapalat"/>
      <family val="3"/>
    </font>
    <font>
      <sz val="13"/>
      <name val="GHEA Grapalat"/>
      <family val="3"/>
    </font>
    <font>
      <sz val="11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rgb="FFFF0000"/>
      <name val="GHEA Grapalat"/>
      <family val="3"/>
    </font>
    <font>
      <i/>
      <sz val="10"/>
      <color rgb="FFFF0000"/>
      <name val="GHEA Grapalat"/>
      <family val="3"/>
    </font>
    <font>
      <b/>
      <sz val="12"/>
      <color rgb="FF000000"/>
      <name val="GHEA Grapalat"/>
      <family val="3"/>
    </font>
    <font>
      <b/>
      <sz val="10"/>
      <color rgb="FF000000"/>
      <name val="GHEA Grapalat"/>
      <family val="3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1"/>
      <color rgb="FF0070C0"/>
      <name val="GHEA Grapalat"/>
      <family val="3"/>
    </font>
    <font>
      <i/>
      <sz val="10"/>
      <color rgb="FF0070C0"/>
      <name val="GHEA Grapalat"/>
      <family val="3"/>
    </font>
    <font>
      <sz val="12"/>
      <color rgb="FF000000"/>
      <name val="GHEA Grapalat"/>
      <family val="3"/>
    </font>
    <font>
      <b/>
      <i/>
      <sz val="11"/>
      <color rgb="FF0070C0"/>
      <name val="GHEA Grapalat"/>
      <family val="3"/>
    </font>
    <font>
      <i/>
      <sz val="11"/>
      <color rgb="FF0070C0"/>
      <name val="GHEA Grapalat"/>
      <family val="3"/>
    </font>
    <font>
      <sz val="13"/>
      <color rgb="FF000000"/>
      <name val="GHEA Grapalat"/>
      <family val="3"/>
    </font>
    <font>
      <b/>
      <sz val="9"/>
      <color rgb="FF000000"/>
      <name val="GHEA Grapalat"/>
      <family val="3"/>
    </font>
    <font>
      <sz val="11"/>
      <color rgb="FF0070C0"/>
      <name val="GHEA Grapalat"/>
      <family val="3"/>
    </font>
    <font>
      <b/>
      <sz val="14"/>
      <color theme="1"/>
      <name val="GHEA Grapalat"/>
      <family val="3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30" fillId="0" borderId="0" applyFont="0" applyFill="0" applyBorder="0" applyAlignment="0" applyProtection="0"/>
    <xf numFmtId="0" fontId="42" fillId="2" borderId="0" applyNumberFormat="0" applyBorder="0" applyAlignment="0" applyProtection="0"/>
    <xf numFmtId="0" fontId="15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41" fillId="0" borderId="0"/>
    <xf numFmtId="0" fontId="15" fillId="0" borderId="0"/>
    <xf numFmtId="0" fontId="2" fillId="0" borderId="0"/>
    <xf numFmtId="0" fontId="30" fillId="0" borderId="0"/>
    <xf numFmtId="0" fontId="8" fillId="0" borderId="0"/>
    <xf numFmtId="0" fontId="16" fillId="0" borderId="0"/>
    <xf numFmtId="9" fontId="1" fillId="0" borderId="0" applyFont="0" applyFill="0" applyBorder="0" applyAlignment="0" applyProtection="0"/>
    <xf numFmtId="179" fontId="34" fillId="0" borderId="0" applyFill="0" applyBorder="0" applyProtection="0">
      <alignment horizontal="right" vertical="top"/>
    </xf>
  </cellStyleXfs>
  <cellXfs count="714">
    <xf numFmtId="0" fontId="0" fillId="0" borderId="0" xfId="0"/>
    <xf numFmtId="167" fontId="3" fillId="0" borderId="0" xfId="0" applyNumberFormat="1" applyFont="1" applyFill="1" applyBorder="1"/>
    <xf numFmtId="167" fontId="3" fillId="0" borderId="1" xfId="1" applyNumberFormat="1" applyFont="1" applyFill="1" applyBorder="1" applyAlignment="1">
      <alignment horizontal="center" vertical="center" wrapText="1"/>
    </xf>
    <xf numFmtId="167" fontId="3" fillId="0" borderId="2" xfId="1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vertical="center" wrapText="1"/>
    </xf>
    <xf numFmtId="167" fontId="3" fillId="0" borderId="0" xfId="15" applyNumberFormat="1" applyFont="1" applyFill="1" applyBorder="1" applyAlignment="1">
      <alignment horizontal="right" vertical="center" wrapText="1"/>
    </xf>
    <xf numFmtId="167" fontId="6" fillId="0" borderId="3" xfId="15" applyNumberFormat="1" applyFont="1" applyFill="1" applyBorder="1" applyAlignment="1">
      <alignment vertical="center" wrapText="1"/>
    </xf>
    <xf numFmtId="167" fontId="6" fillId="0" borderId="4" xfId="15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167" fontId="4" fillId="0" borderId="6" xfId="1" applyNumberFormat="1" applyFont="1" applyFill="1" applyBorder="1" applyAlignment="1">
      <alignment horizontal="center" vertical="center" wrapText="1"/>
    </xf>
    <xf numFmtId="167" fontId="4" fillId="0" borderId="7" xfId="1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68" fontId="3" fillId="0" borderId="0" xfId="0" applyNumberFormat="1" applyFont="1" applyFill="1" applyAlignment="1">
      <alignment vertical="center" wrapText="1"/>
    </xf>
    <xf numFmtId="167" fontId="4" fillId="0" borderId="9" xfId="1" applyNumberFormat="1" applyFont="1" applyFill="1" applyBorder="1" applyAlignment="1">
      <alignment horizontal="center" vertical="center" wrapText="1"/>
    </xf>
    <xf numFmtId="167" fontId="5" fillId="0" borderId="10" xfId="15" applyNumberFormat="1" applyFont="1" applyFill="1" applyBorder="1" applyAlignment="1">
      <alignment vertical="center" wrapText="1"/>
    </xf>
    <xf numFmtId="167" fontId="4" fillId="0" borderId="11" xfId="1" applyNumberFormat="1" applyFont="1" applyFill="1" applyBorder="1" applyAlignment="1">
      <alignment horizontal="center" vertical="center" wrapText="1"/>
    </xf>
    <xf numFmtId="167" fontId="4" fillId="0" borderId="12" xfId="1" applyNumberFormat="1" applyFont="1" applyFill="1" applyBorder="1" applyAlignment="1">
      <alignment horizontal="center" vertical="center" wrapText="1"/>
    </xf>
    <xf numFmtId="167" fontId="5" fillId="0" borderId="4" xfId="15" quotePrefix="1" applyNumberFormat="1" applyFont="1" applyFill="1" applyBorder="1" applyAlignment="1">
      <alignment vertical="center" wrapText="1"/>
    </xf>
    <xf numFmtId="167" fontId="5" fillId="0" borderId="13" xfId="15" quotePrefix="1" applyNumberFormat="1" applyFont="1" applyFill="1" applyBorder="1" applyAlignment="1">
      <alignment vertical="center" wrapText="1"/>
    </xf>
    <xf numFmtId="49" fontId="6" fillId="0" borderId="13" xfId="15" applyNumberFormat="1" applyFont="1" applyFill="1" applyBorder="1" applyAlignment="1">
      <alignment horizontal="left" vertical="center" wrapText="1"/>
    </xf>
    <xf numFmtId="49" fontId="6" fillId="0" borderId="14" xfId="15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right"/>
    </xf>
    <xf numFmtId="0" fontId="14" fillId="0" borderId="0" xfId="0" applyFont="1" applyFill="1" applyAlignment="1">
      <alignment wrapText="1"/>
    </xf>
    <xf numFmtId="0" fontId="14" fillId="0" borderId="0" xfId="0" applyFont="1" applyFill="1"/>
    <xf numFmtId="0" fontId="3" fillId="0" borderId="0" xfId="0" applyFont="1" applyFill="1"/>
    <xf numFmtId="0" fontId="14" fillId="0" borderId="15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wrapText="1"/>
    </xf>
    <xf numFmtId="49" fontId="14" fillId="0" borderId="15" xfId="0" applyNumberFormat="1" applyFont="1" applyFill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15" xfId="0" applyNumberFormat="1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right"/>
    </xf>
    <xf numFmtId="0" fontId="14" fillId="0" borderId="15" xfId="0" applyFont="1" applyFill="1" applyBorder="1"/>
    <xf numFmtId="170" fontId="3" fillId="0" borderId="0" xfId="1" applyNumberFormat="1" applyFont="1" applyFill="1"/>
    <xf numFmtId="43" fontId="3" fillId="0" borderId="0" xfId="0" applyNumberFormat="1" applyFont="1" applyFill="1"/>
    <xf numFmtId="170" fontId="17" fillId="0" borderId="0" xfId="1" applyNumberFormat="1" applyFont="1" applyFill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49" fontId="14" fillId="0" borderId="15" xfId="18" applyNumberFormat="1" applyFont="1" applyFill="1" applyBorder="1" applyAlignment="1">
      <alignment vertical="top" wrapText="1"/>
    </xf>
    <xf numFmtId="49" fontId="14" fillId="0" borderId="15" xfId="18" applyNumberFormat="1" applyFont="1" applyFill="1" applyBorder="1" applyAlignment="1">
      <alignment horizontal="center" vertical="top" wrapText="1"/>
    </xf>
    <xf numFmtId="49" fontId="14" fillId="0" borderId="15" xfId="18" applyNumberFormat="1" applyFont="1" applyFill="1" applyBorder="1" applyAlignment="1">
      <alignment horizontal="left" vertical="center" wrapText="1"/>
    </xf>
    <xf numFmtId="0" fontId="14" fillId="0" borderId="15" xfId="18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top" wrapText="1"/>
    </xf>
    <xf numFmtId="0" fontId="14" fillId="0" borderId="15" xfId="13" applyFont="1" applyFill="1" applyBorder="1" applyAlignment="1">
      <alignment horizontal="left" vertical="center" wrapText="1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/>
    <xf numFmtId="49" fontId="3" fillId="0" borderId="15" xfId="0" applyNumberFormat="1" applyFont="1" applyFill="1" applyBorder="1" applyAlignment="1">
      <alignment horizontal="center" vertical="center" wrapText="1"/>
    </xf>
    <xf numFmtId="166" fontId="3" fillId="0" borderId="16" xfId="1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167" fontId="10" fillId="0" borderId="0" xfId="0" applyNumberFormat="1" applyFont="1" applyFill="1" applyBorder="1"/>
    <xf numFmtId="49" fontId="1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/>
    <xf numFmtId="49" fontId="14" fillId="0" borderId="2" xfId="18" applyNumberFormat="1" applyFont="1" applyFill="1" applyBorder="1" applyAlignment="1">
      <alignment vertical="top" wrapText="1"/>
    </xf>
    <xf numFmtId="167" fontId="3" fillId="0" borderId="0" xfId="19" applyNumberFormat="1" applyFont="1" applyFill="1" applyBorder="1"/>
    <xf numFmtId="167" fontId="9" fillId="0" borderId="18" xfId="0" applyNumberFormat="1" applyFont="1" applyFill="1" applyBorder="1" applyAlignment="1">
      <alignment horizontal="right"/>
    </xf>
    <xf numFmtId="167" fontId="4" fillId="0" borderId="19" xfId="2" applyNumberFormat="1" applyFont="1" applyFill="1" applyBorder="1" applyAlignment="1">
      <alignment horizontal="center" vertical="center" wrapText="1"/>
    </xf>
    <xf numFmtId="167" fontId="5" fillId="0" borderId="20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/>
    <xf numFmtId="166" fontId="14" fillId="0" borderId="16" xfId="1" applyNumberFormat="1" applyFont="1" applyFill="1" applyBorder="1" applyAlignment="1">
      <alignment vertical="center" wrapText="1"/>
    </xf>
    <xf numFmtId="49" fontId="18" fillId="0" borderId="2" xfId="18" applyNumberFormat="1" applyFont="1" applyFill="1" applyBorder="1" applyAlignment="1">
      <alignment vertical="top" wrapText="1"/>
    </xf>
    <xf numFmtId="0" fontId="18" fillId="0" borderId="0" xfId="0" applyFont="1" applyFill="1"/>
    <xf numFmtId="166" fontId="4" fillId="0" borderId="0" xfId="0" applyNumberFormat="1" applyFont="1" applyFill="1"/>
    <xf numFmtId="170" fontId="4" fillId="0" borderId="0" xfId="1" applyNumberFormat="1" applyFont="1" applyFill="1"/>
    <xf numFmtId="43" fontId="4" fillId="0" borderId="0" xfId="0" applyNumberFormat="1" applyFont="1" applyFill="1"/>
    <xf numFmtId="170" fontId="26" fillId="0" borderId="0" xfId="1" applyNumberFormat="1" applyFont="1" applyFill="1"/>
    <xf numFmtId="49" fontId="18" fillId="0" borderId="15" xfId="18" applyNumberFormat="1" applyFont="1" applyFill="1" applyBorder="1" applyAlignment="1">
      <alignment vertical="top" wrapText="1"/>
    </xf>
    <xf numFmtId="166" fontId="4" fillId="0" borderId="17" xfId="2" applyNumberFormat="1" applyFont="1" applyFill="1" applyBorder="1" applyAlignment="1">
      <alignment horizontal="center" vertical="center" wrapText="1"/>
    </xf>
    <xf numFmtId="166" fontId="4" fillId="0" borderId="5" xfId="2" applyNumberFormat="1" applyFont="1" applyFill="1" applyBorder="1" applyAlignment="1">
      <alignment horizontal="center" vertical="center" wrapText="1"/>
    </xf>
    <xf numFmtId="166" fontId="4" fillId="0" borderId="21" xfId="2" applyNumberFormat="1" applyFont="1" applyFill="1" applyBorder="1" applyAlignment="1">
      <alignment horizontal="center" vertical="center" wrapText="1"/>
    </xf>
    <xf numFmtId="166" fontId="3" fillId="0" borderId="1" xfId="2" applyNumberFormat="1" applyFont="1" applyFill="1" applyBorder="1" applyAlignment="1">
      <alignment horizontal="center" vertical="center" wrapText="1"/>
    </xf>
    <xf numFmtId="166" fontId="3" fillId="0" borderId="22" xfId="2" applyNumberFormat="1" applyFont="1" applyFill="1" applyBorder="1" applyAlignment="1">
      <alignment horizontal="center" vertical="center" wrapText="1"/>
    </xf>
    <xf numFmtId="166" fontId="3" fillId="0" borderId="19" xfId="2" applyNumberFormat="1" applyFont="1" applyFill="1" applyBorder="1" applyAlignment="1">
      <alignment horizontal="center" vertical="center" wrapText="1"/>
    </xf>
    <xf numFmtId="167" fontId="6" fillId="0" borderId="4" xfId="15" applyNumberFormat="1" applyFont="1" applyFill="1" applyBorder="1" applyAlignment="1">
      <alignment vertical="center" wrapText="1"/>
    </xf>
    <xf numFmtId="166" fontId="3" fillId="0" borderId="2" xfId="2" applyNumberFormat="1" applyFont="1" applyFill="1" applyBorder="1" applyAlignment="1">
      <alignment horizontal="center" vertical="center" wrapText="1"/>
    </xf>
    <xf numFmtId="166" fontId="3" fillId="0" borderId="15" xfId="2" applyNumberFormat="1" applyFont="1" applyFill="1" applyBorder="1" applyAlignment="1"/>
    <xf numFmtId="166" fontId="3" fillId="0" borderId="23" xfId="2" applyNumberFormat="1" applyFont="1" applyFill="1" applyBorder="1" applyAlignment="1">
      <alignment vertical="center" wrapText="1"/>
    </xf>
    <xf numFmtId="166" fontId="3" fillId="0" borderId="24" xfId="2" applyNumberFormat="1" applyFont="1" applyFill="1" applyBorder="1" applyAlignment="1">
      <alignment horizontal="center" vertical="center" wrapText="1"/>
    </xf>
    <xf numFmtId="166" fontId="3" fillId="0" borderId="25" xfId="2" applyNumberFormat="1" applyFont="1" applyFill="1" applyBorder="1" applyAlignment="1"/>
    <xf numFmtId="166" fontId="3" fillId="0" borderId="26" xfId="2" applyNumberFormat="1" applyFont="1" applyFill="1" applyBorder="1" applyAlignment="1"/>
    <xf numFmtId="166" fontId="3" fillId="0" borderId="15" xfId="2" applyNumberFormat="1" applyFont="1" applyFill="1" applyBorder="1" applyAlignment="1">
      <alignment vertical="center"/>
    </xf>
    <xf numFmtId="166" fontId="3" fillId="0" borderId="27" xfId="2" applyNumberFormat="1" applyFont="1" applyFill="1" applyBorder="1" applyAlignment="1">
      <alignment horizontal="center" vertical="center" wrapText="1"/>
    </xf>
    <xf numFmtId="0" fontId="10" fillId="0" borderId="0" xfId="18" applyFont="1" applyFill="1" applyAlignment="1">
      <alignment vertical="top" wrapText="1"/>
    </xf>
    <xf numFmtId="172" fontId="3" fillId="0" borderId="0" xfId="0" applyNumberFormat="1" applyFont="1" applyFill="1"/>
    <xf numFmtId="0" fontId="4" fillId="0" borderId="1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69" fontId="3" fillId="0" borderId="15" xfId="0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left" vertical="center" wrapText="1"/>
    </xf>
    <xf numFmtId="166" fontId="14" fillId="0" borderId="0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167" fontId="3" fillId="0" borderId="29" xfId="2" applyNumberFormat="1" applyFont="1" applyFill="1" applyBorder="1" applyAlignment="1">
      <alignment horizontal="center" vertical="center" wrapText="1"/>
    </xf>
    <xf numFmtId="49" fontId="6" fillId="0" borderId="3" xfId="15" applyNumberFormat="1" applyFont="1" applyFill="1" applyBorder="1" applyAlignment="1">
      <alignment horizontal="left" vertical="center" wrapText="1"/>
    </xf>
    <xf numFmtId="166" fontId="3" fillId="0" borderId="7" xfId="2" applyNumberFormat="1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horizontal="center" vertical="center" wrapText="1"/>
    </xf>
    <xf numFmtId="166" fontId="4" fillId="0" borderId="29" xfId="1" applyNumberFormat="1" applyFont="1" applyFill="1" applyBorder="1" applyAlignment="1">
      <alignment horizontal="center" vertical="center" wrapText="1"/>
    </xf>
    <xf numFmtId="166" fontId="4" fillId="0" borderId="19" xfId="1" applyNumberFormat="1" applyFont="1" applyFill="1" applyBorder="1" applyAlignment="1">
      <alignment horizontal="center" vertical="center" wrapText="1"/>
    </xf>
    <xf numFmtId="166" fontId="12" fillId="0" borderId="30" xfId="1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/>
    </xf>
    <xf numFmtId="169" fontId="4" fillId="0" borderId="15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43" fontId="3" fillId="0" borderId="0" xfId="1" applyFont="1" applyFill="1" applyAlignment="1">
      <alignment vertical="center"/>
    </xf>
    <xf numFmtId="43" fontId="14" fillId="0" borderId="0" xfId="0" applyNumberFormat="1" applyFont="1" applyFill="1" applyAlignment="1">
      <alignment wrapText="1"/>
    </xf>
    <xf numFmtId="167" fontId="9" fillId="0" borderId="0" xfId="0" applyNumberFormat="1" applyFont="1" applyFill="1" applyBorder="1" applyAlignment="1">
      <alignment horizontal="right"/>
    </xf>
    <xf numFmtId="167" fontId="3" fillId="0" borderId="19" xfId="2" applyNumberFormat="1" applyFont="1" applyFill="1" applyBorder="1" applyAlignment="1">
      <alignment horizontal="center" vertical="center" wrapText="1"/>
    </xf>
    <xf numFmtId="167" fontId="6" fillId="0" borderId="14" xfId="15" applyNumberFormat="1" applyFont="1" applyFill="1" applyBorder="1" applyAlignment="1">
      <alignment vertical="center" wrapText="1"/>
    </xf>
    <xf numFmtId="43" fontId="14" fillId="0" borderId="0" xfId="1" applyFont="1" applyFill="1" applyBorder="1" applyAlignment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67" fontId="6" fillId="0" borderId="15" xfId="15" applyNumberFormat="1" applyFont="1" applyFill="1" applyBorder="1" applyAlignment="1">
      <alignment vertical="center" wrapText="1"/>
    </xf>
    <xf numFmtId="171" fontId="4" fillId="0" borderId="15" xfId="2" applyNumberFormat="1" applyFont="1" applyFill="1" applyBorder="1" applyAlignment="1">
      <alignment horizontal="center" vertical="center" wrapText="1"/>
    </xf>
    <xf numFmtId="49" fontId="6" fillId="0" borderId="15" xfId="15" applyNumberFormat="1" applyFont="1" applyFill="1" applyBorder="1" applyAlignment="1">
      <alignment horizontal="left" vertical="center" wrapText="1"/>
    </xf>
    <xf numFmtId="171" fontId="3" fillId="0" borderId="15" xfId="2" applyNumberFormat="1" applyFont="1" applyFill="1" applyBorder="1" applyAlignment="1">
      <alignment horizontal="center" vertical="center" wrapText="1"/>
    </xf>
    <xf numFmtId="0" fontId="3" fillId="0" borderId="15" xfId="8" applyFont="1" applyFill="1" applyBorder="1" applyAlignment="1">
      <alignment vertical="center" wrapText="1"/>
    </xf>
    <xf numFmtId="167" fontId="4" fillId="3" borderId="29" xfId="2" applyNumberFormat="1" applyFont="1" applyFill="1" applyBorder="1" applyAlignment="1">
      <alignment horizontal="center" vertical="center" wrapText="1"/>
    </xf>
    <xf numFmtId="167" fontId="4" fillId="3" borderId="19" xfId="2" applyNumberFormat="1" applyFont="1" applyFill="1" applyBorder="1" applyAlignment="1">
      <alignment horizontal="center" vertical="center" wrapText="1"/>
    </xf>
    <xf numFmtId="167" fontId="3" fillId="3" borderId="2" xfId="1" applyNumberFormat="1" applyFont="1" applyFill="1" applyBorder="1" applyAlignment="1">
      <alignment horizontal="center" vertical="center" wrapText="1"/>
    </xf>
    <xf numFmtId="167" fontId="4" fillId="3" borderId="31" xfId="2" applyNumberFormat="1" applyFont="1" applyFill="1" applyBorder="1" applyAlignment="1">
      <alignment horizontal="center" vertical="center" wrapText="1"/>
    </xf>
    <xf numFmtId="166" fontId="3" fillId="3" borderId="7" xfId="2" applyNumberFormat="1" applyFont="1" applyFill="1" applyBorder="1" applyAlignment="1">
      <alignment vertical="center"/>
    </xf>
    <xf numFmtId="166" fontId="3" fillId="3" borderId="27" xfId="2" applyNumberFormat="1" applyFont="1" applyFill="1" applyBorder="1" applyAlignment="1">
      <alignment horizontal="center" vertical="center" wrapText="1"/>
    </xf>
    <xf numFmtId="166" fontId="3" fillId="3" borderId="15" xfId="2" applyNumberFormat="1" applyFont="1" applyFill="1" applyBorder="1" applyAlignment="1"/>
    <xf numFmtId="166" fontId="3" fillId="3" borderId="22" xfId="2" applyNumberFormat="1" applyFont="1" applyFill="1" applyBorder="1" applyAlignment="1"/>
    <xf numFmtId="166" fontId="3" fillId="3" borderId="2" xfId="2" applyNumberFormat="1" applyFont="1" applyFill="1" applyBorder="1" applyAlignment="1">
      <alignment horizontal="center" vertical="center" wrapText="1"/>
    </xf>
    <xf numFmtId="166" fontId="3" fillId="3" borderId="32" xfId="2" applyNumberFormat="1" applyFont="1" applyFill="1" applyBorder="1" applyAlignment="1"/>
    <xf numFmtId="166" fontId="3" fillId="3" borderId="22" xfId="2" applyNumberFormat="1" applyFont="1" applyFill="1" applyBorder="1" applyAlignment="1">
      <alignment vertical="center"/>
    </xf>
    <xf numFmtId="166" fontId="3" fillId="3" borderId="19" xfId="2" applyNumberFormat="1" applyFont="1" applyFill="1" applyBorder="1" applyAlignment="1">
      <alignment vertical="center" wrapText="1"/>
    </xf>
    <xf numFmtId="166" fontId="3" fillId="3" borderId="1" xfId="2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wrapText="1"/>
    </xf>
    <xf numFmtId="0" fontId="4" fillId="0" borderId="33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/>
    </xf>
    <xf numFmtId="0" fontId="3" fillId="0" borderId="33" xfId="0" applyFont="1" applyFill="1" applyBorder="1" applyAlignment="1">
      <alignment horizontal="justify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22" fillId="0" borderId="33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justify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vertical="center" wrapText="1"/>
    </xf>
    <xf numFmtId="0" fontId="18" fillId="4" borderId="22" xfId="0" applyFont="1" applyFill="1" applyBorder="1" applyAlignment="1">
      <alignment horizontal="center" vertical="center" wrapText="1"/>
    </xf>
    <xf numFmtId="171" fontId="3" fillId="4" borderId="22" xfId="0" applyNumberFormat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vertical="center"/>
    </xf>
    <xf numFmtId="0" fontId="3" fillId="4" borderId="15" xfId="0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3" fillId="4" borderId="15" xfId="0" applyFont="1" applyFill="1" applyBorder="1"/>
    <xf numFmtId="171" fontId="3" fillId="4" borderId="15" xfId="0" applyNumberFormat="1" applyFont="1" applyFill="1" applyBorder="1" applyAlignment="1">
      <alignment horizontal="justify" vertical="center" wrapText="1"/>
    </xf>
    <xf numFmtId="0" fontId="4" fillId="0" borderId="33" xfId="0" applyFont="1" applyFill="1" applyBorder="1" applyAlignment="1">
      <alignment horizontal="center" vertical="center"/>
    </xf>
    <xf numFmtId="0" fontId="3" fillId="0" borderId="25" xfId="8" applyNumberFormat="1" applyFont="1" applyFill="1" applyBorder="1" applyAlignment="1">
      <alignment vertical="center" wrapText="1"/>
    </xf>
    <xf numFmtId="171" fontId="3" fillId="4" borderId="15" xfId="0" applyNumberFormat="1" applyFont="1" applyFill="1" applyBorder="1" applyAlignment="1">
      <alignment vertical="center"/>
    </xf>
    <xf numFmtId="0" fontId="3" fillId="0" borderId="22" xfId="8" applyNumberFormat="1" applyFont="1" applyFill="1" applyBorder="1" applyAlignment="1">
      <alignment vertical="center" wrapText="1"/>
    </xf>
    <xf numFmtId="0" fontId="22" fillId="0" borderId="22" xfId="8" applyFont="1" applyFill="1" applyBorder="1" applyAlignment="1">
      <alignment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wrapText="1"/>
    </xf>
    <xf numFmtId="174" fontId="3" fillId="0" borderId="0" xfId="0" applyNumberFormat="1" applyFont="1" applyFill="1"/>
    <xf numFmtId="0" fontId="28" fillId="0" borderId="15" xfId="0" applyFont="1" applyFill="1" applyBorder="1" applyAlignment="1">
      <alignment horizontal="center" vertical="center" wrapText="1"/>
    </xf>
    <xf numFmtId="170" fontId="3" fillId="0" borderId="15" xfId="1" applyNumberFormat="1" applyFont="1" applyFill="1" applyBorder="1" applyAlignment="1">
      <alignment horizontal="center" wrapText="1"/>
    </xf>
    <xf numFmtId="164" fontId="3" fillId="0" borderId="0" xfId="0" applyNumberFormat="1" applyFont="1" applyFill="1"/>
    <xf numFmtId="174" fontId="3" fillId="0" borderId="0" xfId="0" applyNumberFormat="1" applyFont="1" applyFill="1" applyBorder="1"/>
    <xf numFmtId="175" fontId="3" fillId="0" borderId="0" xfId="0" applyNumberFormat="1" applyFont="1" applyFill="1" applyBorder="1"/>
    <xf numFmtId="170" fontId="3" fillId="0" borderId="15" xfId="1" applyNumberFormat="1" applyFont="1" applyFill="1" applyBorder="1" applyAlignment="1">
      <alignment wrapText="1"/>
    </xf>
    <xf numFmtId="49" fontId="3" fillId="0" borderId="15" xfId="0" applyNumberFormat="1" applyFont="1" applyFill="1" applyBorder="1" applyAlignment="1">
      <alignment wrapText="1"/>
    </xf>
    <xf numFmtId="166" fontId="3" fillId="0" borderId="15" xfId="13" applyNumberFormat="1" applyFont="1" applyFill="1" applyBorder="1" applyAlignment="1">
      <alignment wrapText="1"/>
    </xf>
    <xf numFmtId="49" fontId="3" fillId="0" borderId="15" xfId="1" applyNumberFormat="1" applyFont="1" applyFill="1" applyBorder="1" applyAlignment="1">
      <alignment horizontal="left" vertical="center" wrapText="1"/>
    </xf>
    <xf numFmtId="170" fontId="3" fillId="0" borderId="15" xfId="1" applyNumberFormat="1" applyFont="1" applyFill="1" applyBorder="1" applyAlignment="1"/>
    <xf numFmtId="170" fontId="3" fillId="0" borderId="15" xfId="1" applyNumberFormat="1" applyFont="1" applyFill="1" applyBorder="1" applyAlignment="1">
      <alignment horizontal="center"/>
    </xf>
    <xf numFmtId="166" fontId="3" fillId="0" borderId="15" xfId="13" applyNumberFormat="1" applyFont="1" applyFill="1" applyBorder="1" applyAlignment="1">
      <alignment horizontal="center" vertical="center" wrapText="1"/>
    </xf>
    <xf numFmtId="170" fontId="3" fillId="0" borderId="0" xfId="1" applyNumberFormat="1" applyFont="1" applyFill="1" applyBorder="1" applyAlignment="1">
      <alignment wrapText="1"/>
    </xf>
    <xf numFmtId="0" fontId="43" fillId="0" borderId="0" xfId="0" applyFont="1" applyFill="1" applyAlignment="1">
      <alignment horizontal="right"/>
    </xf>
    <xf numFmtId="0" fontId="3" fillId="0" borderId="0" xfId="0" applyFont="1" applyBorder="1" applyAlignment="1">
      <alignment horizontal="right"/>
    </xf>
    <xf numFmtId="49" fontId="3" fillId="0" borderId="15" xfId="0" applyNumberFormat="1" applyFont="1" applyFill="1" applyBorder="1" applyAlignment="1">
      <alignment vertical="center" wrapText="1"/>
    </xf>
    <xf numFmtId="0" fontId="28" fillId="0" borderId="22" xfId="0" applyFont="1" applyFill="1" applyBorder="1" applyAlignment="1">
      <alignment horizontal="center" vertical="center" wrapText="1"/>
    </xf>
    <xf numFmtId="170" fontId="3" fillId="0" borderId="0" xfId="0" applyNumberFormat="1" applyFont="1" applyFill="1" applyBorder="1"/>
    <xf numFmtId="49" fontId="3" fillId="0" borderId="15" xfId="0" applyNumberFormat="1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5" xfId="13" applyNumberFormat="1" applyFont="1" applyFill="1" applyBorder="1" applyAlignment="1">
      <alignment vertical="center" wrapText="1"/>
    </xf>
    <xf numFmtId="49" fontId="3" fillId="0" borderId="15" xfId="18" applyNumberFormat="1" applyFont="1" applyFill="1" applyBorder="1" applyAlignment="1">
      <alignment horizontal="center" vertical="center" wrapText="1"/>
    </xf>
    <xf numFmtId="49" fontId="3" fillId="0" borderId="15" xfId="18" applyNumberFormat="1" applyFont="1" applyFill="1" applyBorder="1" applyAlignment="1">
      <alignment vertical="center" wrapText="1"/>
    </xf>
    <xf numFmtId="0" fontId="3" fillId="0" borderId="15" xfId="18" applyFont="1" applyFill="1" applyBorder="1" applyAlignment="1">
      <alignment vertical="center" wrapText="1"/>
    </xf>
    <xf numFmtId="0" fontId="3" fillId="0" borderId="0" xfId="18" applyFont="1" applyFill="1" applyBorder="1" applyAlignment="1">
      <alignment vertical="top"/>
    </xf>
    <xf numFmtId="0" fontId="23" fillId="0" borderId="15" xfId="13" applyFont="1" applyFill="1" applyBorder="1" applyAlignment="1">
      <alignment vertical="center"/>
    </xf>
    <xf numFmtId="166" fontId="3" fillId="0" borderId="15" xfId="18" applyNumberFormat="1" applyFont="1" applyFill="1" applyBorder="1" applyAlignment="1">
      <alignment horizontal="center" vertical="center" wrapText="1"/>
    </xf>
    <xf numFmtId="0" fontId="27" fillId="0" borderId="0" xfId="13" applyFont="1" applyFill="1"/>
    <xf numFmtId="0" fontId="27" fillId="0" borderId="0" xfId="13" applyFont="1" applyFill="1" applyAlignment="1">
      <alignment wrapText="1"/>
    </xf>
    <xf numFmtId="0" fontId="3" fillId="0" borderId="15" xfId="13" applyFont="1" applyFill="1" applyBorder="1" applyAlignment="1">
      <alignment vertical="center" wrapText="1"/>
    </xf>
    <xf numFmtId="0" fontId="3" fillId="0" borderId="15" xfId="18" applyFont="1" applyFill="1" applyBorder="1" applyAlignment="1">
      <alignment vertical="center"/>
    </xf>
    <xf numFmtId="166" fontId="29" fillId="0" borderId="15" xfId="18" applyNumberFormat="1" applyFont="1" applyFill="1" applyBorder="1" applyAlignment="1">
      <alignment horizontal="center" vertical="center" wrapText="1"/>
    </xf>
    <xf numFmtId="0" fontId="3" fillId="0" borderId="22" xfId="13" applyFont="1" applyFill="1" applyBorder="1" applyAlignment="1">
      <alignment vertical="center" wrapText="1"/>
    </xf>
    <xf numFmtId="166" fontId="3" fillId="0" borderId="22" xfId="18" applyNumberFormat="1" applyFont="1" applyFill="1" applyBorder="1" applyAlignment="1">
      <alignment horizontal="center" vertical="center" wrapText="1"/>
    </xf>
    <xf numFmtId="0" fontId="3" fillId="0" borderId="15" xfId="18" applyFont="1" applyFill="1" applyBorder="1" applyAlignment="1">
      <alignment horizontal="center" vertical="center"/>
    </xf>
    <xf numFmtId="49" fontId="3" fillId="0" borderId="15" xfId="18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15" xfId="0" applyFont="1" applyBorder="1" applyAlignment="1">
      <alignment horizontal="center" vertical="center" wrapText="1"/>
    </xf>
    <xf numFmtId="171" fontId="3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/>
    </xf>
    <xf numFmtId="171" fontId="3" fillId="0" borderId="15" xfId="0" applyNumberFormat="1" applyFont="1" applyBorder="1" applyAlignment="1">
      <alignment horizontal="center"/>
    </xf>
    <xf numFmtId="171" fontId="3" fillId="0" borderId="15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6" applyNumberFormat="1" applyFont="1" applyFill="1" applyBorder="1" applyAlignment="1">
      <alignment horizontal="center" vertical="center" wrapText="1"/>
    </xf>
    <xf numFmtId="0" fontId="17" fillId="0" borderId="0" xfId="16" applyFont="1" applyFill="1" applyBorder="1" applyAlignment="1">
      <alignment vertical="center" wrapText="1"/>
    </xf>
    <xf numFmtId="171" fontId="17" fillId="0" borderId="0" xfId="16" applyNumberFormat="1" applyFont="1" applyFill="1" applyBorder="1" applyAlignment="1">
      <alignment vertical="center" wrapText="1"/>
    </xf>
    <xf numFmtId="171" fontId="17" fillId="0" borderId="0" xfId="16" applyNumberFormat="1" applyFont="1" applyFill="1" applyAlignment="1">
      <alignment vertical="center" wrapText="1"/>
    </xf>
    <xf numFmtId="4" fontId="17" fillId="0" borderId="0" xfId="16" applyNumberFormat="1" applyFont="1" applyFill="1" applyAlignment="1">
      <alignment vertical="center" wrapText="1"/>
    </xf>
    <xf numFmtId="0" fontId="17" fillId="0" borderId="0" xfId="16" applyFont="1" applyFill="1" applyAlignment="1">
      <alignment vertical="center" wrapText="1"/>
    </xf>
    <xf numFmtId="0" fontId="3" fillId="0" borderId="0" xfId="0" applyFont="1" applyBorder="1" applyAlignment="1">
      <alignment wrapText="1"/>
    </xf>
    <xf numFmtId="171" fontId="3" fillId="0" borderId="0" xfId="17" applyNumberFormat="1" applyFont="1" applyFill="1" applyBorder="1" applyAlignment="1">
      <alignment vertical="center" wrapText="1"/>
    </xf>
    <xf numFmtId="171" fontId="3" fillId="0" borderId="0" xfId="17" applyNumberFormat="1" applyFont="1" applyFill="1" applyAlignment="1">
      <alignment vertical="center" wrapText="1"/>
    </xf>
    <xf numFmtId="4" fontId="3" fillId="0" borderId="0" xfId="17" applyNumberFormat="1" applyFont="1" applyFill="1" applyAlignment="1">
      <alignment vertical="center" wrapText="1"/>
    </xf>
    <xf numFmtId="0" fontId="3" fillId="0" borderId="0" xfId="17" applyFont="1" applyFill="1" applyAlignment="1">
      <alignment horizontal="center" vertical="center" wrapText="1"/>
    </xf>
    <xf numFmtId="0" fontId="3" fillId="0" borderId="0" xfId="0" applyFont="1" applyBorder="1" applyAlignment="1"/>
    <xf numFmtId="0" fontId="31" fillId="0" borderId="0" xfId="0" applyFont="1" applyBorder="1" applyAlignment="1">
      <alignment vertical="center"/>
    </xf>
    <xf numFmtId="171" fontId="3" fillId="0" borderId="0" xfId="0" applyNumberFormat="1" applyFont="1" applyFill="1" applyBorder="1" applyAlignment="1">
      <alignment vertical="center"/>
    </xf>
    <xf numFmtId="171" fontId="3" fillId="0" borderId="0" xfId="0" applyNumberFormat="1" applyFont="1" applyBorder="1" applyAlignment="1">
      <alignment vertical="center"/>
    </xf>
    <xf numFmtId="171" fontId="3" fillId="0" borderId="0" xfId="0" applyNumberFormat="1" applyFont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43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0" fontId="3" fillId="0" borderId="0" xfId="1" applyNumberFormat="1" applyFont="1" applyFill="1" applyBorder="1" applyAlignment="1">
      <alignment vertical="center"/>
    </xf>
    <xf numFmtId="176" fontId="31" fillId="0" borderId="0" xfId="0" applyNumberFormat="1" applyFont="1" applyBorder="1" applyAlignment="1">
      <alignment vertical="center"/>
    </xf>
    <xf numFmtId="166" fontId="32" fillId="0" borderId="0" xfId="1" applyNumberFormat="1" applyFont="1" applyBorder="1" applyAlignment="1">
      <alignment horizontal="right"/>
    </xf>
    <xf numFmtId="174" fontId="3" fillId="0" borderId="0" xfId="0" applyNumberFormat="1" applyFont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/>
    <xf numFmtId="0" fontId="3" fillId="0" borderId="15" xfId="0" applyFont="1" applyBorder="1"/>
    <xf numFmtId="170" fontId="3" fillId="0" borderId="15" xfId="1" applyNumberFormat="1" applyFont="1" applyBorder="1"/>
    <xf numFmtId="0" fontId="3" fillId="0" borderId="1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right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170" fontId="3" fillId="0" borderId="22" xfId="1" applyNumberFormat="1" applyFont="1" applyBorder="1"/>
    <xf numFmtId="0" fontId="4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NumberFormat="1" applyFont="1" applyFill="1" applyBorder="1" applyAlignment="1">
      <alignment vertical="center" wrapText="1"/>
    </xf>
    <xf numFmtId="174" fontId="3" fillId="0" borderId="0" xfId="0" applyNumberFormat="1" applyFont="1"/>
    <xf numFmtId="0" fontId="43" fillId="0" borderId="0" xfId="0" applyFont="1" applyFill="1"/>
    <xf numFmtId="0" fontId="43" fillId="0" borderId="0" xfId="0" applyFont="1" applyFill="1" applyBorder="1"/>
    <xf numFmtId="0" fontId="43" fillId="0" borderId="0" xfId="0" applyFont="1" applyFill="1" applyAlignment="1">
      <alignment wrapText="1"/>
    </xf>
    <xf numFmtId="0" fontId="43" fillId="0" borderId="0" xfId="0" applyFont="1" applyAlignment="1">
      <alignment vertical="center"/>
    </xf>
    <xf numFmtId="0" fontId="43" fillId="0" borderId="0" xfId="0" applyFont="1"/>
    <xf numFmtId="0" fontId="43" fillId="0" borderId="0" xfId="0" applyFont="1" applyAlignment="1">
      <alignment horizontal="right"/>
    </xf>
    <xf numFmtId="0" fontId="44" fillId="0" borderId="0" xfId="0" applyFont="1" applyFill="1" applyAlignment="1">
      <alignment horizontal="right"/>
    </xf>
    <xf numFmtId="43" fontId="3" fillId="0" borderId="0" xfId="0" applyNumberFormat="1" applyFont="1" applyFill="1" applyBorder="1"/>
    <xf numFmtId="173" fontId="3" fillId="0" borderId="0" xfId="0" applyNumberFormat="1" applyFont="1" applyFill="1" applyBorder="1"/>
    <xf numFmtId="43" fontId="3" fillId="0" borderId="0" xfId="1" applyFont="1" applyFill="1" applyBorder="1"/>
    <xf numFmtId="177" fontId="3" fillId="0" borderId="0" xfId="0" applyNumberFormat="1" applyFont="1" applyFill="1" applyBorder="1"/>
    <xf numFmtId="49" fontId="4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8" xfId="0" applyNumberFormat="1" applyFont="1" applyFill="1" applyBorder="1" applyAlignment="1" applyProtection="1">
      <alignment horizontal="center" vertical="center" wrapText="1"/>
      <protection locked="0"/>
    </xf>
    <xf numFmtId="167" fontId="5" fillId="5" borderId="20" xfId="0" applyNumberFormat="1" applyFont="1" applyFill="1" applyBorder="1" applyAlignment="1">
      <alignment vertical="center" wrapText="1"/>
    </xf>
    <xf numFmtId="166" fontId="4" fillId="5" borderId="17" xfId="2" applyNumberFormat="1" applyFont="1" applyFill="1" applyBorder="1" applyAlignment="1">
      <alignment horizontal="center" vertical="center" wrapText="1"/>
    </xf>
    <xf numFmtId="166" fontId="4" fillId="5" borderId="5" xfId="2" applyNumberFormat="1" applyFont="1" applyFill="1" applyBorder="1" applyAlignment="1">
      <alignment horizontal="center" vertical="center" wrapText="1"/>
    </xf>
    <xf numFmtId="166" fontId="4" fillId="5" borderId="21" xfId="2" applyNumberFormat="1" applyFont="1" applyFill="1" applyBorder="1" applyAlignment="1">
      <alignment horizontal="center" vertical="center" wrapText="1"/>
    </xf>
    <xf numFmtId="167" fontId="4" fillId="6" borderId="29" xfId="2" applyNumberFormat="1" applyFont="1" applyFill="1" applyBorder="1" applyAlignment="1">
      <alignment horizontal="center" vertical="center" wrapText="1"/>
    </xf>
    <xf numFmtId="167" fontId="4" fillId="6" borderId="19" xfId="2" applyNumberFormat="1" applyFont="1" applyFill="1" applyBorder="1" applyAlignment="1">
      <alignment horizontal="center" vertical="center" wrapText="1"/>
    </xf>
    <xf numFmtId="167" fontId="4" fillId="6" borderId="35" xfId="2" applyNumberFormat="1" applyFont="1" applyFill="1" applyBorder="1" applyAlignment="1">
      <alignment horizontal="center" vertical="center" wrapText="1"/>
    </xf>
    <xf numFmtId="167" fontId="5" fillId="0" borderId="36" xfId="0" applyNumberFormat="1" applyFont="1" applyFill="1" applyBorder="1" applyAlignment="1">
      <alignment vertical="center" wrapText="1"/>
    </xf>
    <xf numFmtId="171" fontId="4" fillId="0" borderId="36" xfId="3" applyNumberFormat="1" applyFont="1" applyFill="1" applyBorder="1" applyAlignment="1">
      <alignment horizontal="center" vertical="center" wrapText="1"/>
    </xf>
    <xf numFmtId="49" fontId="6" fillId="0" borderId="6" xfId="15" applyNumberFormat="1" applyFont="1" applyFill="1" applyBorder="1" applyAlignment="1">
      <alignment horizontal="left" vertical="center" wrapText="1"/>
    </xf>
    <xf numFmtId="171" fontId="6" fillId="0" borderId="6" xfId="15" applyNumberFormat="1" applyFont="1" applyFill="1" applyBorder="1" applyAlignment="1">
      <alignment horizontal="center" vertical="center" wrapText="1"/>
    </xf>
    <xf numFmtId="171" fontId="3" fillId="0" borderId="6" xfId="3" applyNumberFormat="1" applyFont="1" applyFill="1" applyBorder="1" applyAlignment="1">
      <alignment horizontal="center" vertical="center" wrapText="1"/>
    </xf>
    <xf numFmtId="171" fontId="3" fillId="0" borderId="6" xfId="2" applyNumberFormat="1" applyFont="1" applyFill="1" applyBorder="1" applyAlignment="1">
      <alignment horizontal="center" vertical="center" wrapText="1"/>
    </xf>
    <xf numFmtId="169" fontId="3" fillId="0" borderId="0" xfId="0" applyNumberFormat="1" applyFont="1" applyFill="1" applyAlignment="1">
      <alignment vertical="center"/>
    </xf>
    <xf numFmtId="167" fontId="3" fillId="0" borderId="0" xfId="0" applyNumberFormat="1" applyFont="1" applyFill="1" applyBorder="1" applyAlignment="1">
      <alignment horizontal="right" wrapText="1"/>
    </xf>
    <xf numFmtId="1" fontId="45" fillId="0" borderId="15" xfId="0" applyNumberFormat="1" applyFont="1" applyBorder="1" applyAlignment="1">
      <alignment horizontal="center" vertical="center" shrinkToFit="1"/>
    </xf>
    <xf numFmtId="0" fontId="46" fillId="0" borderId="15" xfId="0" applyFont="1" applyBorder="1" applyAlignment="1">
      <alignment horizontal="left" vertical="center" wrapText="1"/>
    </xf>
    <xf numFmtId="0" fontId="3" fillId="0" borderId="15" xfId="0" quotePrefix="1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wrapText="1"/>
    </xf>
    <xf numFmtId="49" fontId="14" fillId="0" borderId="15" xfId="0" applyNumberFormat="1" applyFont="1" applyFill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left" vertical="center" wrapText="1"/>
    </xf>
    <xf numFmtId="167" fontId="3" fillId="0" borderId="15" xfId="2" applyNumberFormat="1" applyFont="1" applyFill="1" applyBorder="1" applyAlignment="1">
      <alignment horizontal="center" vertical="center" wrapText="1"/>
    </xf>
    <xf numFmtId="167" fontId="4" fillId="0" borderId="15" xfId="2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top" wrapText="1"/>
    </xf>
    <xf numFmtId="0" fontId="33" fillId="0" borderId="15" xfId="0" applyFont="1" applyBorder="1" applyAlignment="1">
      <alignment horizontal="right" vertical="top" wrapText="1"/>
    </xf>
    <xf numFmtId="43" fontId="33" fillId="0" borderId="15" xfId="1" applyFont="1" applyBorder="1" applyAlignment="1">
      <alignment horizontal="right" vertical="top" wrapText="1"/>
    </xf>
    <xf numFmtId="43" fontId="33" fillId="0" borderId="0" xfId="1" applyFont="1" applyBorder="1" applyAlignment="1">
      <alignment horizontal="right" vertical="top" wrapText="1"/>
    </xf>
    <xf numFmtId="0" fontId="3" fillId="0" borderId="16" xfId="0" applyFont="1" applyBorder="1" applyAlignment="1">
      <alignment horizontal="left" vertical="top" wrapText="1"/>
    </xf>
    <xf numFmtId="0" fontId="33" fillId="0" borderId="16" xfId="0" applyFont="1" applyBorder="1" applyAlignment="1">
      <alignment horizontal="right" vertical="top" wrapText="1"/>
    </xf>
    <xf numFmtId="43" fontId="33" fillId="0" borderId="6" xfId="1" applyFont="1" applyBorder="1" applyAlignment="1">
      <alignment horizontal="right" vertical="top" wrapText="1"/>
    </xf>
    <xf numFmtId="43" fontId="33" fillId="0" borderId="7" xfId="1" applyFont="1" applyBorder="1" applyAlignment="1">
      <alignment horizontal="right" vertical="top" wrapText="1"/>
    </xf>
    <xf numFmtId="0" fontId="33" fillId="0" borderId="1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3" fillId="0" borderId="3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right" vertical="top" wrapText="1"/>
    </xf>
    <xf numFmtId="0" fontId="33" fillId="0" borderId="7" xfId="0" applyFont="1" applyBorder="1" applyAlignment="1">
      <alignment horizontal="right" vertical="top" wrapText="1"/>
    </xf>
    <xf numFmtId="0" fontId="35" fillId="0" borderId="0" xfId="0" applyFont="1" applyAlignment="1">
      <alignment horizontal="left" vertical="top" wrapText="1"/>
    </xf>
    <xf numFmtId="43" fontId="33" fillId="0" borderId="37" xfId="1" applyFont="1" applyBorder="1" applyAlignment="1">
      <alignment horizontal="right" vertical="top" wrapText="1"/>
    </xf>
    <xf numFmtId="0" fontId="24" fillId="0" borderId="0" xfId="0" applyFont="1" applyFill="1" applyBorder="1" applyAlignment="1">
      <alignment vertical="center" wrapText="1"/>
    </xf>
    <xf numFmtId="0" fontId="47" fillId="0" borderId="0" xfId="0" applyFont="1"/>
    <xf numFmtId="0" fontId="47" fillId="0" borderId="0" xfId="0" applyFont="1" applyAlignment="1">
      <alignment horizontal="right"/>
    </xf>
    <xf numFmtId="0" fontId="47" fillId="0" borderId="0" xfId="0" applyFont="1" applyAlignment="1">
      <alignment horizontal="left"/>
    </xf>
    <xf numFmtId="0" fontId="37" fillId="0" borderId="0" xfId="0" applyFont="1" applyAlignment="1">
      <alignment horizontal="left" vertical="top" wrapText="1"/>
    </xf>
    <xf numFmtId="0" fontId="47" fillId="0" borderId="0" xfId="0" applyFont="1" applyAlignment="1">
      <alignment horizontal="justify"/>
    </xf>
    <xf numFmtId="0" fontId="4" fillId="0" borderId="0" xfId="0" applyFont="1" applyAlignment="1">
      <alignment vertical="top" wrapText="1"/>
    </xf>
    <xf numFmtId="43" fontId="33" fillId="0" borderId="0" xfId="1" applyFont="1" applyFill="1" applyBorder="1" applyAlignment="1">
      <alignment horizontal="right" vertical="top" wrapText="1"/>
    </xf>
    <xf numFmtId="0" fontId="48" fillId="0" borderId="0" xfId="0" applyFont="1" applyAlignment="1">
      <alignment wrapText="1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right" vertical="center"/>
    </xf>
    <xf numFmtId="49" fontId="14" fillId="0" borderId="2" xfId="0" applyNumberFormat="1" applyFont="1" applyFill="1" applyBorder="1" applyAlignment="1">
      <alignment horizontal="center" vertical="center" textRotation="90" wrapText="1"/>
    </xf>
    <xf numFmtId="49" fontId="18" fillId="7" borderId="2" xfId="0" applyNumberFormat="1" applyFont="1" applyFill="1" applyBorder="1" applyAlignment="1">
      <alignment horizontal="center" vertical="center"/>
    </xf>
    <xf numFmtId="49" fontId="18" fillId="7" borderId="15" xfId="0" applyNumberFormat="1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left" vertical="center" wrapText="1"/>
    </xf>
    <xf numFmtId="0" fontId="38" fillId="4" borderId="2" xfId="0" applyFont="1" applyFill="1" applyBorder="1"/>
    <xf numFmtId="49" fontId="38" fillId="4" borderId="15" xfId="0" applyNumberFormat="1" applyFont="1" applyFill="1" applyBorder="1" applyAlignment="1">
      <alignment wrapText="1"/>
    </xf>
    <xf numFmtId="49" fontId="38" fillId="4" borderId="15" xfId="0" applyNumberFormat="1" applyFont="1" applyFill="1" applyBorder="1" applyAlignment="1">
      <alignment horizontal="center" wrapText="1"/>
    </xf>
    <xf numFmtId="0" fontId="38" fillId="4" borderId="15" xfId="0" applyFont="1" applyFill="1" applyBorder="1" applyAlignment="1">
      <alignment vertical="center" wrapText="1"/>
    </xf>
    <xf numFmtId="165" fontId="38" fillId="4" borderId="15" xfId="0" applyNumberFormat="1" applyFont="1" applyFill="1" applyBorder="1" applyAlignment="1">
      <alignment vertical="center" wrapText="1"/>
    </xf>
    <xf numFmtId="43" fontId="18" fillId="7" borderId="15" xfId="1" applyNumberFormat="1" applyFont="1" applyFill="1" applyBorder="1" applyAlignment="1">
      <alignment horizontal="left" vertical="center" wrapText="1"/>
    </xf>
    <xf numFmtId="43" fontId="18" fillId="7" borderId="16" xfId="1" applyNumberFormat="1" applyFont="1" applyFill="1" applyBorder="1" applyAlignment="1">
      <alignment horizontal="left" vertical="center" wrapText="1"/>
    </xf>
    <xf numFmtId="43" fontId="14" fillId="0" borderId="15" xfId="1" applyNumberFormat="1" applyFont="1" applyFill="1" applyBorder="1" applyAlignment="1">
      <alignment horizontal="left" vertical="center" wrapText="1"/>
    </xf>
    <xf numFmtId="43" fontId="14" fillId="0" borderId="15" xfId="1" applyNumberFormat="1" applyFont="1" applyFill="1" applyBorder="1" applyAlignment="1">
      <alignment vertical="center" wrapText="1"/>
    </xf>
    <xf numFmtId="43" fontId="14" fillId="0" borderId="16" xfId="1" applyNumberFormat="1" applyFont="1" applyFill="1" applyBorder="1" applyAlignment="1">
      <alignment vertical="center" wrapText="1"/>
    </xf>
    <xf numFmtId="43" fontId="18" fillId="0" borderId="15" xfId="1" applyNumberFormat="1" applyFont="1" applyFill="1" applyBorder="1" applyAlignment="1">
      <alignment vertical="center" wrapText="1"/>
    </xf>
    <xf numFmtId="43" fontId="18" fillId="0" borderId="16" xfId="1" applyNumberFormat="1" applyFont="1" applyFill="1" applyBorder="1" applyAlignment="1">
      <alignment vertical="center" wrapText="1"/>
    </xf>
    <xf numFmtId="43" fontId="14" fillId="0" borderId="15" xfId="1" applyNumberFormat="1" applyFont="1" applyFill="1" applyBorder="1" applyAlignment="1">
      <alignment horizontal="left" vertical="center"/>
    </xf>
    <xf numFmtId="43" fontId="19" fillId="0" borderId="16" xfId="1" applyNumberFormat="1" applyFont="1" applyFill="1" applyBorder="1" applyAlignment="1">
      <alignment vertical="center" wrapText="1"/>
    </xf>
    <xf numFmtId="167" fontId="4" fillId="0" borderId="15" xfId="1" applyNumberFormat="1" applyFont="1" applyFill="1" applyBorder="1" applyAlignment="1">
      <alignment horizontal="center" vertical="center" wrapText="1"/>
    </xf>
    <xf numFmtId="167" fontId="3" fillId="0" borderId="15" xfId="0" applyNumberFormat="1" applyFont="1" applyFill="1" applyBorder="1" applyAlignment="1">
      <alignment horizontal="center"/>
    </xf>
    <xf numFmtId="167" fontId="5" fillId="0" borderId="15" xfId="15" applyNumberFormat="1" applyFont="1" applyFill="1" applyBorder="1" applyAlignment="1">
      <alignment vertical="center" wrapText="1"/>
    </xf>
    <xf numFmtId="167" fontId="5" fillId="0" borderId="15" xfId="15" quotePrefix="1" applyNumberFormat="1" applyFont="1" applyFill="1" applyBorder="1" applyAlignment="1">
      <alignment vertical="center" wrapText="1"/>
    </xf>
    <xf numFmtId="167" fontId="4" fillId="0" borderId="16" xfId="2" applyNumberFormat="1" applyFont="1" applyFill="1" applyBorder="1" applyAlignment="1">
      <alignment horizontal="center" vertical="center" wrapText="1"/>
    </xf>
    <xf numFmtId="167" fontId="3" fillId="0" borderId="16" xfId="2" applyNumberFormat="1" applyFont="1" applyFill="1" applyBorder="1" applyAlignment="1">
      <alignment horizontal="center" vertical="center" wrapText="1"/>
    </xf>
    <xf numFmtId="0" fontId="49" fillId="3" borderId="15" xfId="0" applyFont="1" applyFill="1" applyBorder="1" applyAlignment="1">
      <alignment horizontal="left" vertical="center" wrapText="1"/>
    </xf>
    <xf numFmtId="0" fontId="50" fillId="0" borderId="15" xfId="0" applyFont="1" applyBorder="1" applyAlignment="1">
      <alignment horizontal="left" vertical="top" wrapText="1"/>
    </xf>
    <xf numFmtId="0" fontId="50" fillId="0" borderId="38" xfId="0" applyFont="1" applyBorder="1" applyAlignment="1">
      <alignment horizontal="left" vertical="top" wrapText="1"/>
    </xf>
    <xf numFmtId="166" fontId="33" fillId="0" borderId="0" xfId="1" applyNumberFormat="1" applyFont="1" applyBorder="1" applyAlignment="1">
      <alignment horizontal="right" vertical="top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33" fillId="0" borderId="39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 wrapText="1"/>
    </xf>
    <xf numFmtId="167" fontId="3" fillId="0" borderId="38" xfId="1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167" fontId="7" fillId="0" borderId="15" xfId="7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9" fontId="38" fillId="0" borderId="15" xfId="0" applyNumberFormat="1" applyFont="1" applyFill="1" applyBorder="1" applyAlignment="1">
      <alignment horizontal="center" wrapText="1"/>
    </xf>
    <xf numFmtId="165" fontId="38" fillId="0" borderId="15" xfId="0" applyNumberFormat="1" applyFont="1" applyFill="1" applyBorder="1" applyAlignment="1">
      <alignment vertical="center" wrapText="1"/>
    </xf>
    <xf numFmtId="0" fontId="39" fillId="0" borderId="15" xfId="0" applyFont="1" applyFill="1" applyBorder="1" applyAlignment="1">
      <alignment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51" fillId="0" borderId="15" xfId="0" applyFont="1" applyBorder="1" applyAlignment="1">
      <alignment horizontal="left" vertical="center" wrapText="1"/>
    </xf>
    <xf numFmtId="0" fontId="18" fillId="5" borderId="15" xfId="0" applyFont="1" applyFill="1" applyBorder="1"/>
    <xf numFmtId="0" fontId="38" fillId="5" borderId="15" xfId="0" applyFont="1" applyFill="1" applyBorder="1" applyAlignment="1">
      <alignment vertical="center" wrapText="1"/>
    </xf>
    <xf numFmtId="1" fontId="45" fillId="8" borderId="15" xfId="0" applyNumberFormat="1" applyFont="1" applyFill="1" applyBorder="1" applyAlignment="1">
      <alignment horizontal="center" vertical="center" shrinkToFit="1"/>
    </xf>
    <xf numFmtId="43" fontId="18" fillId="8" borderId="15" xfId="1" applyNumberFormat="1" applyFont="1" applyFill="1" applyBorder="1" applyAlignment="1">
      <alignment vertical="center" wrapText="1"/>
    </xf>
    <xf numFmtId="43" fontId="18" fillId="5" borderId="15" xfId="1" applyFont="1" applyFill="1" applyBorder="1" applyAlignment="1">
      <alignment vertical="center" wrapText="1"/>
    </xf>
    <xf numFmtId="49" fontId="14" fillId="8" borderId="2" xfId="0" applyNumberFormat="1" applyFont="1" applyFill="1" applyBorder="1" applyAlignment="1">
      <alignment horizontal="center" vertical="center"/>
    </xf>
    <xf numFmtId="49" fontId="14" fillId="8" borderId="15" xfId="0" applyNumberFormat="1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43" fontId="14" fillId="8" borderId="15" xfId="1" applyNumberFormat="1" applyFont="1" applyFill="1" applyBorder="1" applyAlignment="1">
      <alignment horizontal="left" vertical="center" wrapText="1"/>
    </xf>
    <xf numFmtId="0" fontId="13" fillId="8" borderId="15" xfId="0" applyFont="1" applyFill="1" applyBorder="1" applyAlignment="1">
      <alignment horizontal="left" vertical="center" wrapText="1"/>
    </xf>
    <xf numFmtId="167" fontId="6" fillId="0" borderId="15" xfId="15" applyNumberFormat="1" applyFont="1" applyFill="1" applyBorder="1" applyAlignment="1">
      <alignment horizontal="left" vertical="center" wrapText="1"/>
    </xf>
    <xf numFmtId="167" fontId="14" fillId="0" borderId="15" xfId="15" applyNumberFormat="1" applyFont="1" applyFill="1" applyBorder="1" applyAlignment="1">
      <alignment horizontal="left" vertical="center" wrapText="1"/>
    </xf>
    <xf numFmtId="49" fontId="14" fillId="0" borderId="30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3" fillId="0" borderId="6" xfId="0" quotePrefix="1" applyFont="1" applyBorder="1" applyAlignment="1">
      <alignment horizontal="left" vertical="center" wrapText="1"/>
    </xf>
    <xf numFmtId="43" fontId="14" fillId="0" borderId="6" xfId="1" applyNumberFormat="1" applyFont="1" applyFill="1" applyBorder="1" applyAlignment="1">
      <alignment vertical="center" wrapText="1"/>
    </xf>
    <xf numFmtId="43" fontId="4" fillId="0" borderId="15" xfId="1" applyFont="1" applyFill="1" applyBorder="1" applyAlignment="1">
      <alignment horizontal="center" vertical="center" wrapText="1"/>
    </xf>
    <xf numFmtId="167" fontId="3" fillId="0" borderId="33" xfId="0" applyNumberFormat="1" applyFont="1" applyFill="1" applyBorder="1" applyAlignment="1">
      <alignment horizontal="center"/>
    </xf>
    <xf numFmtId="43" fontId="4" fillId="0" borderId="33" xfId="1" applyFont="1" applyFill="1" applyBorder="1" applyAlignment="1">
      <alignment horizontal="center" vertical="center" wrapText="1"/>
    </xf>
    <xf numFmtId="167" fontId="3" fillId="0" borderId="33" xfId="15" quotePrefix="1" applyNumberFormat="1" applyFont="1" applyFill="1" applyBorder="1" applyAlignment="1">
      <alignment vertical="center" wrapText="1"/>
    </xf>
    <xf numFmtId="167" fontId="3" fillId="0" borderId="15" xfId="15" quotePrefix="1" applyNumberFormat="1" applyFont="1" applyFill="1" applyBorder="1" applyAlignment="1">
      <alignment vertical="center" wrapText="1"/>
    </xf>
    <xf numFmtId="0" fontId="6" fillId="0" borderId="22" xfId="0" applyFont="1" applyBorder="1" applyAlignment="1">
      <alignment horizontal="left" vertical="center" wrapText="1"/>
    </xf>
    <xf numFmtId="167" fontId="4" fillId="0" borderId="22" xfId="2" applyNumberFormat="1" applyFont="1" applyFill="1" applyBorder="1" applyAlignment="1">
      <alignment horizontal="center" vertical="center" wrapText="1"/>
    </xf>
    <xf numFmtId="167" fontId="4" fillId="0" borderId="32" xfId="2" applyNumberFormat="1" applyFont="1" applyFill="1" applyBorder="1" applyAlignment="1">
      <alignment horizontal="center" vertical="center" wrapText="1"/>
    </xf>
    <xf numFmtId="1" fontId="45" fillId="7" borderId="15" xfId="0" applyNumberFormat="1" applyFont="1" applyFill="1" applyBorder="1" applyAlignment="1">
      <alignment horizontal="center" vertical="center" shrinkToFit="1"/>
    </xf>
    <xf numFmtId="0" fontId="46" fillId="7" borderId="15" xfId="0" applyFont="1" applyFill="1" applyBorder="1" applyAlignment="1">
      <alignment horizontal="left" vertical="center" wrapText="1"/>
    </xf>
    <xf numFmtId="167" fontId="4" fillId="7" borderId="15" xfId="2" applyNumberFormat="1" applyFont="1" applyFill="1" applyBorder="1" applyAlignment="1">
      <alignment horizontal="center" vertical="center" wrapText="1"/>
    </xf>
    <xf numFmtId="167" fontId="4" fillId="7" borderId="16" xfId="2" applyNumberFormat="1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167" fontId="5" fillId="0" borderId="38" xfId="15" applyNumberFormat="1" applyFont="1" applyFill="1" applyBorder="1" applyAlignment="1">
      <alignment horizontal="left" vertical="center" wrapText="1"/>
    </xf>
    <xf numFmtId="167" fontId="6" fillId="0" borderId="40" xfId="15" applyNumberFormat="1" applyFont="1" applyFill="1" applyBorder="1" applyAlignment="1">
      <alignment horizontal="left" vertical="center" wrapText="1"/>
    </xf>
    <xf numFmtId="167" fontId="3" fillId="0" borderId="40" xfId="1" applyNumberFormat="1" applyFont="1" applyFill="1" applyBorder="1" applyAlignment="1">
      <alignment horizontal="center" vertical="center" wrapText="1"/>
    </xf>
    <xf numFmtId="43" fontId="3" fillId="0" borderId="25" xfId="2" applyNumberFormat="1" applyFont="1" applyFill="1" applyBorder="1" applyAlignment="1">
      <alignment horizontal="center" vertical="center" wrapText="1"/>
    </xf>
    <xf numFmtId="1" fontId="45" fillId="7" borderId="22" xfId="0" applyNumberFormat="1" applyFont="1" applyFill="1" applyBorder="1" applyAlignment="1">
      <alignment horizontal="center" vertical="center" shrinkToFit="1"/>
    </xf>
    <xf numFmtId="43" fontId="4" fillId="9" borderId="15" xfId="1" applyFont="1" applyFill="1" applyBorder="1" applyAlignment="1">
      <alignment horizontal="center" vertical="center" wrapText="1"/>
    </xf>
    <xf numFmtId="167" fontId="3" fillId="0" borderId="22" xfId="2" applyNumberFormat="1" applyFont="1" applyFill="1" applyBorder="1" applyAlignment="1">
      <alignment horizontal="center" vertical="center" wrapText="1"/>
    </xf>
    <xf numFmtId="167" fontId="3" fillId="0" borderId="32" xfId="2" applyNumberFormat="1" applyFont="1" applyFill="1" applyBorder="1" applyAlignment="1">
      <alignment horizontal="center" vertical="center" wrapText="1"/>
    </xf>
    <xf numFmtId="0" fontId="46" fillId="7" borderId="22" xfId="0" applyFont="1" applyFill="1" applyBorder="1" applyAlignment="1">
      <alignment horizontal="left" vertical="center" wrapText="1"/>
    </xf>
    <xf numFmtId="167" fontId="4" fillId="7" borderId="22" xfId="2" applyNumberFormat="1" applyFont="1" applyFill="1" applyBorder="1" applyAlignment="1">
      <alignment horizontal="center" vertical="center" wrapText="1"/>
    </xf>
    <xf numFmtId="167" fontId="4" fillId="7" borderId="32" xfId="2" applyNumberFormat="1" applyFont="1" applyFill="1" applyBorder="1" applyAlignment="1">
      <alignment horizontal="center" vertical="center" wrapText="1"/>
    </xf>
    <xf numFmtId="166" fontId="29" fillId="0" borderId="6" xfId="1" applyNumberFormat="1" applyFont="1" applyBorder="1" applyAlignment="1">
      <alignment horizontal="right" vertical="top" wrapText="1"/>
    </xf>
    <xf numFmtId="0" fontId="3" fillId="0" borderId="39" xfId="0" applyFont="1" applyBorder="1" applyAlignment="1">
      <alignment horizontal="left" vertical="center" wrapText="1"/>
    </xf>
    <xf numFmtId="0" fontId="47" fillId="0" borderId="0" xfId="0" applyFont="1" applyAlignment="1">
      <alignment horizontal="center"/>
    </xf>
    <xf numFmtId="0" fontId="33" fillId="0" borderId="15" xfId="0" applyFont="1" applyFill="1" applyBorder="1" applyAlignment="1">
      <alignment horizontal="left" vertical="center" wrapText="1"/>
    </xf>
    <xf numFmtId="0" fontId="52" fillId="3" borderId="15" xfId="0" applyFont="1" applyFill="1" applyBorder="1" applyAlignment="1">
      <alignment horizontal="left" vertical="center" wrapText="1"/>
    </xf>
    <xf numFmtId="0" fontId="53" fillId="0" borderId="15" xfId="0" applyFont="1" applyBorder="1" applyAlignment="1">
      <alignment horizontal="left" vertical="top" wrapText="1"/>
    </xf>
    <xf numFmtId="0" fontId="53" fillId="0" borderId="38" xfId="0" applyFont="1" applyBorder="1" applyAlignment="1">
      <alignment horizontal="left" vertical="top" wrapText="1"/>
    </xf>
    <xf numFmtId="43" fontId="3" fillId="0" borderId="0" xfId="1" applyFont="1" applyFill="1"/>
    <xf numFmtId="0" fontId="51" fillId="0" borderId="15" xfId="0" applyFont="1" applyFill="1" applyBorder="1" applyAlignment="1">
      <alignment horizontal="left" vertical="center" wrapText="1"/>
    </xf>
    <xf numFmtId="0" fontId="54" fillId="8" borderId="15" xfId="0" applyFont="1" applyFill="1" applyBorder="1" applyAlignment="1">
      <alignment horizontal="left" vertical="center" wrapText="1"/>
    </xf>
    <xf numFmtId="49" fontId="13" fillId="0" borderId="41" xfId="0" applyNumberFormat="1" applyFont="1" applyFill="1" applyBorder="1" applyAlignment="1">
      <alignment horizontal="center" vertical="center" wrapText="1"/>
    </xf>
    <xf numFmtId="49" fontId="3" fillId="0" borderId="41" xfId="0" applyNumberFormat="1" applyFont="1" applyFill="1" applyBorder="1" applyAlignment="1">
      <alignment horizontal="center" vertical="center" wrapText="1"/>
    </xf>
    <xf numFmtId="166" fontId="3" fillId="0" borderId="42" xfId="1" applyNumberFormat="1" applyFont="1" applyFill="1" applyBorder="1" applyAlignment="1">
      <alignment horizontal="center" vertical="center" wrapText="1"/>
    </xf>
    <xf numFmtId="49" fontId="38" fillId="0" borderId="41" xfId="0" applyNumberFormat="1" applyFont="1" applyFill="1" applyBorder="1" applyAlignment="1">
      <alignment horizontal="center" wrapText="1"/>
    </xf>
    <xf numFmtId="165" fontId="38" fillId="0" borderId="42" xfId="0" applyNumberFormat="1" applyFont="1" applyFill="1" applyBorder="1" applyAlignment="1">
      <alignment vertical="center" wrapText="1"/>
    </xf>
    <xf numFmtId="0" fontId="13" fillId="0" borderId="41" xfId="0" applyFont="1" applyFill="1" applyBorder="1" applyAlignment="1">
      <alignment horizontal="center" vertical="center"/>
    </xf>
    <xf numFmtId="166" fontId="14" fillId="0" borderId="42" xfId="1" applyNumberFormat="1" applyFont="1" applyFill="1" applyBorder="1" applyAlignment="1">
      <alignment vertical="center" wrapText="1"/>
    </xf>
    <xf numFmtId="1" fontId="45" fillId="8" borderId="41" xfId="0" applyNumberFormat="1" applyFont="1" applyFill="1" applyBorder="1" applyAlignment="1">
      <alignment horizontal="center" vertical="center" shrinkToFit="1"/>
    </xf>
    <xf numFmtId="43" fontId="18" fillId="8" borderId="42" xfId="1" applyNumberFormat="1" applyFont="1" applyFill="1" applyBorder="1" applyAlignment="1">
      <alignment vertical="center" wrapText="1"/>
    </xf>
    <xf numFmtId="1" fontId="45" fillId="0" borderId="41" xfId="0" applyNumberFormat="1" applyFont="1" applyBorder="1" applyAlignment="1">
      <alignment horizontal="center" vertical="center" shrinkToFit="1"/>
    </xf>
    <xf numFmtId="43" fontId="18" fillId="0" borderId="42" xfId="1" applyNumberFormat="1" applyFont="1" applyFill="1" applyBorder="1" applyAlignment="1">
      <alignment vertical="center" wrapText="1"/>
    </xf>
    <xf numFmtId="49" fontId="14" fillId="0" borderId="41" xfId="18" applyNumberFormat="1" applyFont="1" applyFill="1" applyBorder="1" applyAlignment="1">
      <alignment vertical="top" wrapText="1"/>
    </xf>
    <xf numFmtId="43" fontId="14" fillId="0" borderId="42" xfId="1" applyNumberFormat="1" applyFont="1" applyFill="1" applyBorder="1" applyAlignment="1">
      <alignment horizontal="left" vertical="center" wrapText="1"/>
    </xf>
    <xf numFmtId="0" fontId="14" fillId="0" borderId="41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center" vertical="center"/>
    </xf>
    <xf numFmtId="43" fontId="18" fillId="5" borderId="42" xfId="1" applyFont="1" applyFill="1" applyBorder="1" applyAlignment="1">
      <alignment vertical="center" wrapText="1"/>
    </xf>
    <xf numFmtId="0" fontId="14" fillId="0" borderId="43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51" fillId="0" borderId="44" xfId="0" applyFont="1" applyBorder="1" applyAlignment="1">
      <alignment horizontal="left" vertical="center" wrapText="1"/>
    </xf>
    <xf numFmtId="43" fontId="14" fillId="0" borderId="44" xfId="1" applyNumberFormat="1" applyFont="1" applyFill="1" applyBorder="1" applyAlignment="1">
      <alignment horizontal="left" vertical="center" wrapText="1"/>
    </xf>
    <xf numFmtId="43" fontId="14" fillId="0" borderId="45" xfId="1" applyNumberFormat="1" applyFont="1" applyFill="1" applyBorder="1" applyAlignment="1">
      <alignment horizontal="left" vertical="center" wrapText="1"/>
    </xf>
    <xf numFmtId="0" fontId="40" fillId="0" borderId="15" xfId="0" applyFont="1" applyFill="1" applyBorder="1" applyAlignment="1">
      <alignment vertical="center" wrapText="1"/>
    </xf>
    <xf numFmtId="167" fontId="4" fillId="0" borderId="16" xfId="1" applyNumberFormat="1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/>
    </xf>
    <xf numFmtId="43" fontId="4" fillId="0" borderId="16" xfId="1" applyFont="1" applyFill="1" applyBorder="1" applyAlignment="1">
      <alignment horizontal="center" vertical="center" wrapText="1"/>
    </xf>
    <xf numFmtId="43" fontId="4" fillId="9" borderId="16" xfId="1" applyFont="1" applyFill="1" applyBorder="1" applyAlignment="1">
      <alignment horizontal="center" vertical="center" wrapText="1"/>
    </xf>
    <xf numFmtId="49" fontId="3" fillId="0" borderId="46" xfId="0" applyNumberFormat="1" applyFont="1" applyFill="1" applyBorder="1" applyAlignment="1">
      <alignment horizontal="center" vertical="center"/>
    </xf>
    <xf numFmtId="43" fontId="4" fillId="0" borderId="47" xfId="1" applyFont="1" applyFill="1" applyBorder="1" applyAlignment="1">
      <alignment horizontal="center" vertical="center" wrapText="1"/>
    </xf>
    <xf numFmtId="1" fontId="55" fillId="7" borderId="2" xfId="0" applyNumberFormat="1" applyFont="1" applyFill="1" applyBorder="1" applyAlignment="1">
      <alignment horizontal="center" vertical="center" shrinkToFit="1"/>
    </xf>
    <xf numFmtId="43" fontId="3" fillId="0" borderId="26" xfId="2" applyNumberFormat="1" applyFont="1" applyFill="1" applyBorder="1" applyAlignment="1">
      <alignment horizontal="center" vertical="center" wrapText="1"/>
    </xf>
    <xf numFmtId="1" fontId="55" fillId="7" borderId="1" xfId="0" applyNumberFormat="1" applyFont="1" applyFill="1" applyBorder="1" applyAlignment="1">
      <alignment horizontal="center" vertical="center" shrinkToFit="1"/>
    </xf>
    <xf numFmtId="167" fontId="7" fillId="0" borderId="2" xfId="7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67" fontId="3" fillId="0" borderId="6" xfId="2" applyNumberFormat="1" applyFont="1" applyFill="1" applyBorder="1" applyAlignment="1">
      <alignment horizontal="center" vertical="center" wrapText="1"/>
    </xf>
    <xf numFmtId="167" fontId="3" fillId="0" borderId="7" xfId="2" applyNumberFormat="1" applyFont="1" applyFill="1" applyBorder="1" applyAlignment="1">
      <alignment horizontal="center" vertical="center" wrapText="1"/>
    </xf>
    <xf numFmtId="49" fontId="4" fillId="9" borderId="2" xfId="0" applyNumberFormat="1" applyFont="1" applyFill="1" applyBorder="1" applyAlignment="1">
      <alignment horizontal="center" vertical="center"/>
    </xf>
    <xf numFmtId="167" fontId="4" fillId="9" borderId="15" xfId="0" applyNumberFormat="1" applyFont="1" applyFill="1" applyBorder="1" applyAlignment="1">
      <alignment horizontal="center"/>
    </xf>
    <xf numFmtId="167" fontId="4" fillId="9" borderId="15" xfId="15" quotePrefix="1" applyNumberFormat="1" applyFont="1" applyFill="1" applyBorder="1" applyAlignment="1">
      <alignment vertical="center" wrapText="1"/>
    </xf>
    <xf numFmtId="0" fontId="52" fillId="3" borderId="11" xfId="0" applyFont="1" applyFill="1" applyBorder="1" applyAlignment="1">
      <alignment horizontal="left" vertical="center" wrapText="1"/>
    </xf>
    <xf numFmtId="0" fontId="52" fillId="3" borderId="48" xfId="0" applyFont="1" applyFill="1" applyBorder="1" applyAlignment="1">
      <alignment horizontal="left" vertical="center" wrapText="1"/>
    </xf>
    <xf numFmtId="0" fontId="56" fillId="0" borderId="30" xfId="0" applyFont="1" applyBorder="1" applyAlignment="1">
      <alignment horizontal="left" vertical="top" wrapText="1"/>
    </xf>
    <xf numFmtId="0" fontId="56" fillId="0" borderId="49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166" fontId="36" fillId="0" borderId="6" xfId="1" applyNumberFormat="1" applyFont="1" applyBorder="1" applyAlignment="1">
      <alignment horizontal="right" vertical="top" wrapText="1"/>
    </xf>
    <xf numFmtId="166" fontId="36" fillId="0" borderId="7" xfId="1" applyNumberFormat="1" applyFont="1" applyBorder="1" applyAlignment="1">
      <alignment horizontal="right" vertical="top" wrapText="1"/>
    </xf>
    <xf numFmtId="166" fontId="36" fillId="0" borderId="6" xfId="1" applyNumberFormat="1" applyFont="1" applyBorder="1" applyAlignment="1">
      <alignment horizontal="right" vertical="center" wrapText="1"/>
    </xf>
    <xf numFmtId="166" fontId="36" fillId="0" borderId="7" xfId="1" applyNumberFormat="1" applyFont="1" applyBorder="1" applyAlignment="1">
      <alignment horizontal="right" vertical="center" wrapText="1"/>
    </xf>
    <xf numFmtId="167" fontId="4" fillId="0" borderId="38" xfId="1" applyNumberFormat="1" applyFont="1" applyFill="1" applyBorder="1" applyAlignment="1">
      <alignment horizontal="center" vertical="center" wrapText="1"/>
    </xf>
    <xf numFmtId="43" fontId="12" fillId="0" borderId="38" xfId="1" applyFont="1" applyFill="1" applyBorder="1" applyAlignment="1">
      <alignment horizontal="center" vertical="center" wrapText="1"/>
    </xf>
    <xf numFmtId="43" fontId="12" fillId="9" borderId="38" xfId="1" applyFont="1" applyFill="1" applyBorder="1" applyAlignment="1">
      <alignment horizontal="center" vertical="center" wrapText="1"/>
    </xf>
    <xf numFmtId="43" fontId="12" fillId="0" borderId="50" xfId="1" applyFont="1" applyFill="1" applyBorder="1" applyAlignment="1">
      <alignment horizontal="center" vertical="center" wrapText="1"/>
    </xf>
    <xf numFmtId="167" fontId="4" fillId="7" borderId="38" xfId="1" applyNumberFormat="1" applyFont="1" applyFill="1" applyBorder="1" applyAlignment="1">
      <alignment horizontal="center" vertical="center" wrapText="1"/>
    </xf>
    <xf numFmtId="167" fontId="3" fillId="0" borderId="29" xfId="1" applyNumberFormat="1" applyFont="1" applyFill="1" applyBorder="1" applyAlignment="1">
      <alignment horizontal="center" vertical="center" wrapText="1"/>
    </xf>
    <xf numFmtId="167" fontId="4" fillId="7" borderId="29" xfId="1" applyNumberFormat="1" applyFont="1" applyFill="1" applyBorder="1" applyAlignment="1">
      <alignment horizontal="center" vertical="center" wrapText="1"/>
    </xf>
    <xf numFmtId="167" fontId="3" fillId="0" borderId="51" xfId="1" applyNumberFormat="1" applyFont="1" applyFill="1" applyBorder="1" applyAlignment="1">
      <alignment horizontal="center" vertical="center" wrapText="1"/>
    </xf>
    <xf numFmtId="167" fontId="4" fillId="0" borderId="2" xfId="1" applyNumberFormat="1" applyFont="1" applyFill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12" fillId="0" borderId="2" xfId="1" applyFont="1" applyFill="1" applyBorder="1" applyAlignment="1">
      <alignment horizontal="center" vertical="center" wrapText="1"/>
    </xf>
    <xf numFmtId="43" fontId="12" fillId="9" borderId="2" xfId="1" applyFont="1" applyFill="1" applyBorder="1" applyAlignment="1">
      <alignment horizontal="center" vertical="center" wrapText="1"/>
    </xf>
    <xf numFmtId="43" fontId="12" fillId="0" borderId="46" xfId="1" applyFont="1" applyFill="1" applyBorder="1" applyAlignment="1">
      <alignment horizontal="center" vertical="center" wrapText="1"/>
    </xf>
    <xf numFmtId="167" fontId="4" fillId="7" borderId="2" xfId="1" applyNumberFormat="1" applyFont="1" applyFill="1" applyBorder="1" applyAlignment="1">
      <alignment horizontal="center" vertical="center" wrapText="1"/>
    </xf>
    <xf numFmtId="167" fontId="3" fillId="0" borderId="24" xfId="1" applyNumberFormat="1" applyFont="1" applyFill="1" applyBorder="1" applyAlignment="1">
      <alignment horizontal="center" vertical="center" wrapText="1"/>
    </xf>
    <xf numFmtId="167" fontId="4" fillId="7" borderId="1" xfId="1" applyNumberFormat="1" applyFont="1" applyFill="1" applyBorder="1" applyAlignment="1">
      <alignment horizontal="center" vertical="center" wrapText="1"/>
    </xf>
    <xf numFmtId="167" fontId="3" fillId="0" borderId="30" xfId="1" applyNumberFormat="1" applyFont="1" applyFill="1" applyBorder="1" applyAlignment="1">
      <alignment horizontal="center" vertical="center" wrapText="1"/>
    </xf>
    <xf numFmtId="1" fontId="45" fillId="8" borderId="52" xfId="0" applyNumberFormat="1" applyFont="1" applyFill="1" applyBorder="1" applyAlignment="1">
      <alignment horizontal="center" vertical="center" shrinkToFit="1"/>
    </xf>
    <xf numFmtId="1" fontId="45" fillId="8" borderId="22" xfId="0" applyNumberFormat="1" applyFont="1" applyFill="1" applyBorder="1" applyAlignment="1">
      <alignment horizontal="center" vertical="center" shrinkToFit="1"/>
    </xf>
    <xf numFmtId="0" fontId="54" fillId="8" borderId="22" xfId="0" applyFont="1" applyFill="1" applyBorder="1" applyAlignment="1">
      <alignment horizontal="left" vertical="center" wrapText="1"/>
    </xf>
    <xf numFmtId="43" fontId="18" fillId="8" borderId="22" xfId="1" applyNumberFormat="1" applyFont="1" applyFill="1" applyBorder="1" applyAlignment="1">
      <alignment vertical="center" wrapText="1"/>
    </xf>
    <xf numFmtId="43" fontId="18" fillId="8" borderId="53" xfId="1" applyNumberFormat="1" applyFont="1" applyFill="1" applyBorder="1" applyAlignment="1">
      <alignment vertical="center" wrapText="1"/>
    </xf>
    <xf numFmtId="49" fontId="18" fillId="0" borderId="1" xfId="18" applyNumberFormat="1" applyFont="1" applyFill="1" applyBorder="1" applyAlignment="1">
      <alignment vertical="top" wrapText="1"/>
    </xf>
    <xf numFmtId="49" fontId="18" fillId="0" borderId="22" xfId="18" applyNumberFormat="1" applyFont="1" applyFill="1" applyBorder="1" applyAlignment="1">
      <alignment vertical="top" wrapText="1"/>
    </xf>
    <xf numFmtId="1" fontId="45" fillId="0" borderId="22" xfId="0" applyNumberFormat="1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left" vertical="center" wrapText="1"/>
    </xf>
    <xf numFmtId="43" fontId="18" fillId="0" borderId="22" xfId="1" applyNumberFormat="1" applyFont="1" applyFill="1" applyBorder="1" applyAlignment="1">
      <alignment vertical="center" wrapText="1"/>
    </xf>
    <xf numFmtId="167" fontId="4" fillId="0" borderId="0" xfId="0" applyNumberFormat="1" applyFont="1" applyFill="1" applyBorder="1"/>
    <xf numFmtId="0" fontId="33" fillId="0" borderId="25" xfId="0" applyFont="1" applyBorder="1" applyAlignment="1">
      <alignment horizontal="right" vertical="top" wrapText="1"/>
    </xf>
    <xf numFmtId="166" fontId="29" fillId="0" borderId="0" xfId="1" applyNumberFormat="1" applyFont="1" applyBorder="1" applyAlignment="1">
      <alignment horizontal="right" vertical="top" wrapText="1"/>
    </xf>
    <xf numFmtId="166" fontId="36" fillId="0" borderId="0" xfId="1" applyNumberFormat="1" applyFont="1" applyBorder="1" applyAlignment="1">
      <alignment horizontal="right" vertical="center" wrapText="1"/>
    </xf>
    <xf numFmtId="0" fontId="3" fillId="0" borderId="54" xfId="0" applyFont="1" applyBorder="1" applyAlignment="1">
      <alignment horizontal="left" vertical="center" wrapText="1"/>
    </xf>
    <xf numFmtId="43" fontId="33" fillId="0" borderId="15" xfId="1" applyNumberFormat="1" applyFont="1" applyFill="1" applyBorder="1" applyAlignment="1">
      <alignment horizontal="right" vertical="top" wrapText="1"/>
    </xf>
    <xf numFmtId="166" fontId="33" fillId="0" borderId="15" xfId="1" applyNumberFormat="1" applyFont="1" applyFill="1" applyBorder="1" applyAlignment="1">
      <alignment horizontal="right" vertical="top" wrapText="1"/>
    </xf>
    <xf numFmtId="166" fontId="33" fillId="0" borderId="16" xfId="1" applyNumberFormat="1" applyFont="1" applyFill="1" applyBorder="1" applyAlignment="1">
      <alignment horizontal="right" vertical="top" wrapText="1"/>
    </xf>
    <xf numFmtId="166" fontId="3" fillId="0" borderId="15" xfId="2" applyNumberFormat="1" applyFont="1" applyFill="1" applyBorder="1" applyAlignment="1">
      <alignment horizontal="center" vertical="center" wrapText="1"/>
    </xf>
    <xf numFmtId="166" fontId="3" fillId="0" borderId="16" xfId="2" applyNumberFormat="1" applyFont="1" applyFill="1" applyBorder="1" applyAlignment="1">
      <alignment horizontal="center" vertical="center" wrapText="1"/>
    </xf>
    <xf numFmtId="166" fontId="14" fillId="8" borderId="15" xfId="1" applyNumberFormat="1" applyFont="1" applyFill="1" applyBorder="1" applyAlignment="1">
      <alignment horizontal="left" vertical="center" wrapText="1"/>
    </xf>
    <xf numFmtId="166" fontId="14" fillId="8" borderId="16" xfId="1" applyNumberFormat="1" applyFont="1" applyFill="1" applyBorder="1" applyAlignment="1">
      <alignment vertical="center"/>
    </xf>
    <xf numFmtId="166" fontId="14" fillId="0" borderId="15" xfId="1" applyNumberFormat="1" applyFont="1" applyFill="1" applyBorder="1" applyAlignment="1">
      <alignment horizontal="left" vertical="center"/>
    </xf>
    <xf numFmtId="166" fontId="18" fillId="0" borderId="15" xfId="1" applyNumberFormat="1" applyFont="1" applyFill="1" applyBorder="1" applyAlignment="1">
      <alignment vertical="center" wrapText="1"/>
    </xf>
    <xf numFmtId="166" fontId="18" fillId="0" borderId="16" xfId="1" applyNumberFormat="1" applyFont="1" applyFill="1" applyBorder="1" applyAlignment="1">
      <alignment vertical="center" wrapText="1"/>
    </xf>
    <xf numFmtId="166" fontId="14" fillId="0" borderId="15" xfId="1" applyNumberFormat="1" applyFont="1" applyFill="1" applyBorder="1" applyAlignment="1">
      <alignment vertical="center" wrapText="1"/>
    </xf>
    <xf numFmtId="166" fontId="18" fillId="0" borderId="22" xfId="1" applyNumberFormat="1" applyFont="1" applyFill="1" applyBorder="1" applyAlignment="1">
      <alignment vertical="center" wrapText="1"/>
    </xf>
    <xf numFmtId="166" fontId="18" fillId="0" borderId="32" xfId="1" applyNumberFormat="1" applyFont="1" applyFill="1" applyBorder="1" applyAlignment="1">
      <alignment vertical="center" wrapText="1"/>
    </xf>
    <xf numFmtId="166" fontId="14" fillId="0" borderId="6" xfId="1" applyNumberFormat="1" applyFont="1" applyFill="1" applyBorder="1" applyAlignment="1">
      <alignment vertical="center" wrapText="1"/>
    </xf>
    <xf numFmtId="166" fontId="14" fillId="0" borderId="7" xfId="1" applyNumberFormat="1" applyFont="1" applyFill="1" applyBorder="1" applyAlignment="1">
      <alignment vertical="center" wrapText="1"/>
    </xf>
    <xf numFmtId="180" fontId="38" fillId="4" borderId="15" xfId="0" applyNumberFormat="1" applyFont="1" applyFill="1" applyBorder="1" applyAlignment="1">
      <alignment vertical="center" wrapText="1"/>
    </xf>
    <xf numFmtId="180" fontId="38" fillId="4" borderId="16" xfId="0" applyNumberFormat="1" applyFont="1" applyFill="1" applyBorder="1" applyAlignment="1">
      <alignment vertical="center" wrapText="1"/>
    </xf>
    <xf numFmtId="180" fontId="14" fillId="0" borderId="15" xfId="0" applyNumberFormat="1" applyFont="1" applyFill="1" applyBorder="1" applyAlignment="1">
      <alignment vertical="center" wrapText="1"/>
    </xf>
    <xf numFmtId="180" fontId="14" fillId="0" borderId="16" xfId="1" applyNumberFormat="1" applyFont="1" applyFill="1" applyBorder="1" applyAlignment="1">
      <alignment vertical="center" wrapText="1"/>
    </xf>
    <xf numFmtId="180" fontId="18" fillId="7" borderId="15" xfId="1" applyNumberFormat="1" applyFont="1" applyFill="1" applyBorder="1" applyAlignment="1">
      <alignment horizontal="left" vertical="center" wrapText="1"/>
    </xf>
    <xf numFmtId="180" fontId="18" fillId="7" borderId="16" xfId="1" applyNumberFormat="1" applyFont="1" applyFill="1" applyBorder="1" applyAlignment="1">
      <alignment horizontal="left" vertical="center" wrapText="1"/>
    </xf>
    <xf numFmtId="180" fontId="14" fillId="0" borderId="15" xfId="1" applyNumberFormat="1" applyFont="1" applyFill="1" applyBorder="1" applyAlignment="1">
      <alignment horizontal="left" vertical="center" wrapText="1"/>
    </xf>
    <xf numFmtId="180" fontId="14" fillId="0" borderId="16" xfId="1" applyNumberFormat="1" applyFont="1" applyFill="1" applyBorder="1" applyAlignment="1">
      <alignment vertical="center"/>
    </xf>
    <xf numFmtId="180" fontId="14" fillId="0" borderId="16" xfId="1" applyNumberFormat="1" applyFont="1" applyFill="1" applyBorder="1" applyAlignment="1">
      <alignment horizontal="left" vertical="center" wrapText="1"/>
    </xf>
    <xf numFmtId="180" fontId="14" fillId="0" borderId="15" xfId="1" applyNumberFormat="1" applyFont="1" applyFill="1" applyBorder="1" applyAlignment="1">
      <alignment vertical="center" wrapText="1"/>
    </xf>
    <xf numFmtId="180" fontId="14" fillId="8" borderId="15" xfId="1" applyNumberFormat="1" applyFont="1" applyFill="1" applyBorder="1" applyAlignment="1">
      <alignment horizontal="left" vertical="center" wrapText="1"/>
    </xf>
    <xf numFmtId="180" fontId="14" fillId="8" borderId="16" xfId="1" applyNumberFormat="1" applyFont="1" applyFill="1" applyBorder="1" applyAlignment="1">
      <alignment vertical="center"/>
    </xf>
    <xf numFmtId="180" fontId="18" fillId="0" borderId="15" xfId="1" applyNumberFormat="1" applyFont="1" applyFill="1" applyBorder="1" applyAlignment="1">
      <alignment vertical="center" wrapText="1"/>
    </xf>
    <xf numFmtId="180" fontId="18" fillId="0" borderId="16" xfId="1" applyNumberFormat="1" applyFont="1" applyFill="1" applyBorder="1" applyAlignment="1">
      <alignment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78" fontId="33" fillId="0" borderId="15" xfId="1" applyNumberFormat="1" applyFont="1" applyFill="1" applyBorder="1" applyAlignment="1">
      <alignment horizontal="right" vertical="top" wrapText="1"/>
    </xf>
    <xf numFmtId="178" fontId="33" fillId="0" borderId="16" xfId="1" applyNumberFormat="1" applyFont="1" applyFill="1" applyBorder="1" applyAlignment="1">
      <alignment horizontal="right" vertical="top" wrapText="1"/>
    </xf>
    <xf numFmtId="0" fontId="33" fillId="0" borderId="15" xfId="0" applyFont="1" applyFill="1" applyBorder="1" applyAlignment="1">
      <alignment horizontal="right" vertical="top" wrapText="1"/>
    </xf>
    <xf numFmtId="0" fontId="33" fillId="0" borderId="16" xfId="0" applyFont="1" applyFill="1" applyBorder="1" applyAlignment="1">
      <alignment horizontal="right" vertical="top" wrapText="1"/>
    </xf>
    <xf numFmtId="0" fontId="33" fillId="0" borderId="25" xfId="0" applyFont="1" applyFill="1" applyBorder="1" applyAlignment="1">
      <alignment horizontal="right" vertical="top" wrapText="1"/>
    </xf>
    <xf numFmtId="0" fontId="33" fillId="0" borderId="26" xfId="0" applyFont="1" applyFill="1" applyBorder="1" applyAlignment="1">
      <alignment horizontal="right" vertical="top" wrapText="1"/>
    </xf>
    <xf numFmtId="0" fontId="29" fillId="0" borderId="15" xfId="0" applyFont="1" applyBorder="1" applyAlignment="1">
      <alignment horizontal="left" vertical="center" wrapText="1"/>
    </xf>
    <xf numFmtId="0" fontId="50" fillId="0" borderId="0" xfId="0" applyFont="1" applyBorder="1" applyAlignment="1">
      <alignment horizontal="left" vertical="top" wrapText="1"/>
    </xf>
    <xf numFmtId="165" fontId="3" fillId="0" borderId="0" xfId="0" applyNumberFormat="1" applyFont="1" applyFill="1"/>
    <xf numFmtId="167" fontId="6" fillId="0" borderId="38" xfId="15" applyNumberFormat="1" applyFont="1" applyFill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178" fontId="3" fillId="0" borderId="0" xfId="0" applyNumberFormat="1" applyFont="1" applyFill="1"/>
    <xf numFmtId="1" fontId="3" fillId="0" borderId="0" xfId="0" applyNumberFormat="1" applyFont="1" applyFill="1"/>
    <xf numFmtId="0" fontId="43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8" xfId="0" applyNumberFormat="1" applyFont="1" applyFill="1" applyBorder="1" applyAlignment="1">
      <alignment horizontal="center" vertical="center" wrapText="1"/>
    </xf>
    <xf numFmtId="0" fontId="3" fillId="0" borderId="55" xfId="0" applyNumberFormat="1" applyFont="1" applyFill="1" applyBorder="1" applyAlignment="1">
      <alignment horizontal="center" vertical="center" wrapText="1"/>
    </xf>
    <xf numFmtId="0" fontId="3" fillId="0" borderId="38" xfId="0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right" vertical="center"/>
    </xf>
    <xf numFmtId="0" fontId="43" fillId="0" borderId="0" xfId="16" applyFont="1" applyFill="1" applyAlignment="1">
      <alignment horizontal="right" vertical="center" wrapText="1"/>
    </xf>
    <xf numFmtId="0" fontId="43" fillId="0" borderId="0" xfId="0" applyFont="1" applyFill="1" applyBorder="1" applyAlignment="1">
      <alignment horizontal="center" wrapText="1"/>
    </xf>
    <xf numFmtId="0" fontId="39" fillId="0" borderId="56" xfId="0" applyFont="1" applyFill="1" applyBorder="1" applyAlignment="1">
      <alignment horizontal="center" vertical="center"/>
    </xf>
    <xf numFmtId="0" fontId="39" fillId="0" borderId="55" xfId="0" applyFont="1" applyFill="1" applyBorder="1" applyAlignment="1">
      <alignment horizontal="center" vertical="center"/>
    </xf>
    <xf numFmtId="0" fontId="39" fillId="0" borderId="57" xfId="0" applyFont="1" applyFill="1" applyBorder="1" applyAlignment="1">
      <alignment horizontal="center" vertical="center"/>
    </xf>
    <xf numFmtId="0" fontId="38" fillId="0" borderId="56" xfId="0" applyFont="1" applyFill="1" applyBorder="1" applyAlignment="1">
      <alignment horizontal="center" vertical="center"/>
    </xf>
    <xf numFmtId="0" fontId="38" fillId="0" borderId="55" xfId="0" applyFont="1" applyFill="1" applyBorder="1" applyAlignment="1">
      <alignment horizontal="center" vertical="center"/>
    </xf>
    <xf numFmtId="0" fontId="38" fillId="0" borderId="5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right" wrapText="1"/>
    </xf>
    <xf numFmtId="0" fontId="13" fillId="0" borderId="58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49" fontId="13" fillId="0" borderId="59" xfId="0" applyNumberFormat="1" applyFont="1" applyFill="1" applyBorder="1" applyAlignment="1">
      <alignment horizontal="center" vertical="center" wrapText="1"/>
    </xf>
    <xf numFmtId="49" fontId="13" fillId="0" borderId="58" xfId="0" applyNumberFormat="1" applyFont="1" applyFill="1" applyBorder="1" applyAlignment="1">
      <alignment horizontal="center" vertical="center" wrapText="1"/>
    </xf>
    <xf numFmtId="166" fontId="14" fillId="0" borderId="58" xfId="0" applyNumberFormat="1" applyFont="1" applyFill="1" applyBorder="1" applyAlignment="1">
      <alignment horizontal="center" vertical="center" wrapText="1"/>
    </xf>
    <xf numFmtId="166" fontId="14" fillId="0" borderId="60" xfId="0" applyNumberFormat="1" applyFont="1" applyFill="1" applyBorder="1" applyAlignment="1">
      <alignment horizontal="center" vertical="center" wrapText="1"/>
    </xf>
    <xf numFmtId="166" fontId="14" fillId="0" borderId="15" xfId="0" applyNumberFormat="1" applyFont="1" applyFill="1" applyBorder="1" applyAlignment="1">
      <alignment horizontal="center" vertical="center" wrapText="1"/>
    </xf>
    <xf numFmtId="166" fontId="14" fillId="0" borderId="42" xfId="0" applyNumberFormat="1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36" xfId="0" applyNumberFormat="1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166" fontId="14" fillId="0" borderId="36" xfId="0" applyNumberFormat="1" applyFont="1" applyFill="1" applyBorder="1" applyAlignment="1">
      <alignment horizontal="center" vertical="center" wrapText="1"/>
    </xf>
    <xf numFmtId="166" fontId="14" fillId="0" borderId="48" xfId="0" applyNumberFormat="1" applyFont="1" applyFill="1" applyBorder="1" applyAlignment="1">
      <alignment horizontal="center" vertical="center" wrapText="1"/>
    </xf>
    <xf numFmtId="166" fontId="14" fillId="0" borderId="16" xfId="0" applyNumberFormat="1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 wrapText="1"/>
    </xf>
    <xf numFmtId="167" fontId="4" fillId="0" borderId="2" xfId="1" applyNumberFormat="1" applyFont="1" applyFill="1" applyBorder="1" applyAlignment="1">
      <alignment horizontal="center" vertical="center" wrapText="1"/>
    </xf>
    <xf numFmtId="167" fontId="4" fillId="0" borderId="15" xfId="1" applyNumberFormat="1" applyFont="1" applyFill="1" applyBorder="1" applyAlignment="1">
      <alignment horizontal="center" vertical="center" wrapText="1"/>
    </xf>
    <xf numFmtId="167" fontId="4" fillId="0" borderId="16" xfId="1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49" fontId="14" fillId="0" borderId="63" xfId="0" applyNumberFormat="1" applyFont="1" applyFill="1" applyBorder="1" applyAlignment="1">
      <alignment horizontal="center" vertical="center" wrapText="1"/>
    </xf>
    <xf numFmtId="49" fontId="14" fillId="0" borderId="64" xfId="0" applyNumberFormat="1" applyFont="1" applyFill="1" applyBorder="1" applyAlignment="1">
      <alignment horizontal="center" vertical="center" wrapText="1"/>
    </xf>
    <xf numFmtId="49" fontId="14" fillId="0" borderId="39" xfId="0" applyNumberFormat="1" applyFont="1" applyFill="1" applyBorder="1" applyAlignment="1">
      <alignment horizontal="center" vertical="center" wrapText="1"/>
    </xf>
    <xf numFmtId="49" fontId="14" fillId="0" borderId="50" xfId="0" applyNumberFormat="1" applyFont="1" applyFill="1" applyBorder="1" applyAlignment="1">
      <alignment horizontal="center" vertical="center" wrapText="1"/>
    </xf>
    <xf numFmtId="49" fontId="14" fillId="0" borderId="62" xfId="0" applyNumberFormat="1" applyFont="1" applyFill="1" applyBorder="1" applyAlignment="1">
      <alignment horizontal="center" vertical="center" wrapText="1"/>
    </xf>
    <xf numFmtId="49" fontId="14" fillId="0" borderId="29" xfId="0" applyNumberFormat="1" applyFont="1" applyFill="1" applyBorder="1" applyAlignment="1">
      <alignment horizontal="center" vertical="center" wrapText="1"/>
    </xf>
    <xf numFmtId="167" fontId="14" fillId="0" borderId="65" xfId="1" applyNumberFormat="1" applyFont="1" applyFill="1" applyBorder="1" applyAlignment="1">
      <alignment horizontal="center" vertical="center" wrapText="1"/>
    </xf>
    <xf numFmtId="167" fontId="14" fillId="0" borderId="66" xfId="1" applyNumberFormat="1" applyFont="1" applyFill="1" applyBorder="1" applyAlignment="1">
      <alignment horizontal="center" vertical="center" wrapText="1"/>
    </xf>
    <xf numFmtId="167" fontId="14" fillId="0" borderId="61" xfId="1" applyNumberFormat="1" applyFont="1" applyFill="1" applyBorder="1" applyAlignment="1">
      <alignment horizontal="center" vertical="center" wrapText="1"/>
    </xf>
    <xf numFmtId="167" fontId="14" fillId="0" borderId="19" xfId="1" applyNumberFormat="1" applyFont="1" applyFill="1" applyBorder="1" applyAlignment="1">
      <alignment horizontal="center" vertical="center" wrapText="1"/>
    </xf>
    <xf numFmtId="167" fontId="4" fillId="0" borderId="38" xfId="1" applyNumberFormat="1" applyFont="1" applyFill="1" applyBorder="1" applyAlignment="1">
      <alignment horizontal="center" vertical="center" wrapText="1"/>
    </xf>
    <xf numFmtId="49" fontId="14" fillId="0" borderId="24" xfId="0" applyNumberFormat="1" applyFont="1" applyFill="1" applyBorder="1" applyAlignment="1">
      <alignment horizontal="center" vertical="center" textRotation="90" wrapText="1"/>
    </xf>
    <xf numFmtId="49" fontId="14" fillId="0" borderId="1" xfId="0" applyNumberFormat="1" applyFont="1" applyFill="1" applyBorder="1" applyAlignment="1">
      <alignment horizontal="center" vertical="center" textRotation="90" wrapText="1"/>
    </xf>
    <xf numFmtId="49" fontId="14" fillId="0" borderId="25" xfId="0" applyNumberFormat="1" applyFont="1" applyFill="1" applyBorder="1" applyAlignment="1">
      <alignment horizontal="center" vertical="center" textRotation="90" wrapText="1"/>
    </xf>
    <xf numFmtId="49" fontId="14" fillId="0" borderId="22" xfId="0" applyNumberFormat="1" applyFont="1" applyFill="1" applyBorder="1" applyAlignment="1">
      <alignment horizontal="center" vertical="center" textRotation="90" wrapText="1"/>
    </xf>
    <xf numFmtId="167" fontId="7" fillId="0" borderId="1" xfId="7" applyNumberFormat="1" applyFont="1" applyFill="1" applyBorder="1" applyAlignment="1">
      <alignment horizontal="center" vertical="center" wrapText="1"/>
    </xf>
    <xf numFmtId="167" fontId="7" fillId="0" borderId="2" xfId="7" applyNumberFormat="1" applyFont="1" applyFill="1" applyBorder="1" applyAlignment="1">
      <alignment horizontal="center" vertical="center" wrapText="1"/>
    </xf>
    <xf numFmtId="167" fontId="7" fillId="0" borderId="30" xfId="7" applyNumberFormat="1" applyFont="1" applyFill="1" applyBorder="1" applyAlignment="1">
      <alignment horizontal="center" vertical="center" wrapText="1"/>
    </xf>
    <xf numFmtId="167" fontId="7" fillId="0" borderId="22" xfId="7" applyNumberFormat="1" applyFont="1" applyFill="1" applyBorder="1" applyAlignment="1">
      <alignment horizontal="center" vertical="center" wrapText="1"/>
    </xf>
    <xf numFmtId="167" fontId="7" fillId="0" borderId="15" xfId="7" applyNumberFormat="1" applyFont="1" applyFill="1" applyBorder="1" applyAlignment="1">
      <alignment horizontal="center" vertical="center" wrapText="1"/>
    </xf>
    <xf numFmtId="167" fontId="7" fillId="0" borderId="6" xfId="7" applyNumberFormat="1" applyFont="1" applyFill="1" applyBorder="1" applyAlignment="1">
      <alignment horizontal="center" vertical="center" wrapText="1"/>
    </xf>
    <xf numFmtId="1" fontId="55" fillId="0" borderId="25" xfId="0" applyNumberFormat="1" applyFont="1" applyBorder="1" applyAlignment="1">
      <alignment horizontal="center" vertical="center" shrinkToFit="1"/>
    </xf>
    <xf numFmtId="1" fontId="55" fillId="0" borderId="33" xfId="0" applyNumberFormat="1" applyFont="1" applyBorder="1" applyAlignment="1">
      <alignment horizontal="center" vertical="center" shrinkToFit="1"/>
    </xf>
    <xf numFmtId="1" fontId="55" fillId="0" borderId="46" xfId="0" applyNumberFormat="1" applyFont="1" applyBorder="1" applyAlignment="1">
      <alignment horizontal="center" vertical="center" shrinkToFit="1"/>
    </xf>
    <xf numFmtId="1" fontId="55" fillId="0" borderId="22" xfId="0" applyNumberFormat="1" applyFont="1" applyBorder="1" applyAlignment="1">
      <alignment horizontal="center" vertical="center" shrinkToFit="1"/>
    </xf>
    <xf numFmtId="167" fontId="7" fillId="0" borderId="28" xfId="7" applyNumberFormat="1" applyFont="1" applyFill="1" applyBorder="1" applyAlignment="1">
      <alignment horizontal="center" vertical="center" wrapText="1"/>
    </xf>
    <xf numFmtId="167" fontId="7" fillId="0" borderId="25" xfId="7" applyNumberFormat="1" applyFont="1" applyFill="1" applyBorder="1" applyAlignment="1">
      <alignment horizontal="center" vertical="center" wrapText="1"/>
    </xf>
    <xf numFmtId="167" fontId="7" fillId="0" borderId="33" xfId="7" applyNumberFormat="1" applyFont="1" applyFill="1" applyBorder="1" applyAlignment="1">
      <alignment horizontal="center" vertical="center" wrapText="1"/>
    </xf>
    <xf numFmtId="167" fontId="7" fillId="0" borderId="24" xfId="7" applyNumberFormat="1" applyFont="1" applyFill="1" applyBorder="1" applyAlignment="1">
      <alignment horizontal="center" vertical="center" wrapText="1"/>
    </xf>
    <xf numFmtId="167" fontId="7" fillId="0" borderId="46" xfId="7" applyNumberFormat="1" applyFont="1" applyFill="1" applyBorder="1" applyAlignment="1">
      <alignment horizontal="center" vertical="center" wrapText="1"/>
    </xf>
    <xf numFmtId="1" fontId="55" fillId="0" borderId="24" xfId="0" applyNumberFormat="1" applyFont="1" applyBorder="1" applyAlignment="1">
      <alignment horizontal="center" vertical="center" shrinkToFit="1"/>
    </xf>
    <xf numFmtId="1" fontId="55" fillId="0" borderId="1" xfId="0" applyNumberFormat="1" applyFont="1" applyBorder="1" applyAlignment="1">
      <alignment horizontal="center" vertical="center" shrinkToFit="1"/>
    </xf>
    <xf numFmtId="167" fontId="11" fillId="0" borderId="61" xfId="1" applyNumberFormat="1" applyFont="1" applyFill="1" applyBorder="1" applyAlignment="1">
      <alignment horizontal="center" vertical="center" wrapText="1"/>
    </xf>
    <xf numFmtId="167" fontId="11" fillId="0" borderId="19" xfId="1" applyNumberFormat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7" fontId="11" fillId="0" borderId="62" xfId="1" applyNumberFormat="1" applyFont="1" applyFill="1" applyBorder="1" applyAlignment="1">
      <alignment horizontal="center" vertical="center" wrapText="1"/>
    </xf>
    <xf numFmtId="167" fontId="7" fillId="3" borderId="15" xfId="7" applyNumberFormat="1" applyFont="1" applyFill="1" applyBorder="1" applyAlignment="1">
      <alignment horizontal="center" vertical="center" wrapText="1"/>
    </xf>
    <xf numFmtId="167" fontId="4" fillId="0" borderId="68" xfId="1" applyNumberFormat="1" applyFont="1" applyFill="1" applyBorder="1" applyAlignment="1">
      <alignment horizontal="center" vertical="center" wrapText="1"/>
    </xf>
    <xf numFmtId="167" fontId="4" fillId="0" borderId="27" xfId="1" applyNumberFormat="1" applyFont="1" applyFill="1" applyBorder="1" applyAlignment="1">
      <alignment horizontal="center" vertical="center" wrapText="1"/>
    </xf>
    <xf numFmtId="167" fontId="4" fillId="0" borderId="69" xfId="1" applyNumberFormat="1" applyFont="1" applyFill="1" applyBorder="1" applyAlignment="1">
      <alignment horizontal="center" vertical="center" wrapText="1"/>
    </xf>
    <xf numFmtId="167" fontId="4" fillId="0" borderId="9" xfId="1" applyNumberFormat="1" applyFont="1" applyFill="1" applyBorder="1" applyAlignment="1">
      <alignment horizontal="center" vertical="center" wrapText="1"/>
    </xf>
    <xf numFmtId="167" fontId="7" fillId="0" borderId="63" xfId="7" applyNumberFormat="1" applyFont="1" applyFill="1" applyBorder="1" applyAlignment="1">
      <alignment horizontal="center" vertical="center" wrapText="1"/>
    </xf>
    <xf numFmtId="167" fontId="7" fillId="0" borderId="65" xfId="7" applyNumberFormat="1" applyFont="1" applyFill="1" applyBorder="1" applyAlignment="1">
      <alignment horizontal="center" vertical="center" wrapText="1"/>
    </xf>
    <xf numFmtId="167" fontId="7" fillId="0" borderId="66" xfId="7" applyNumberFormat="1" applyFont="1" applyFill="1" applyBorder="1" applyAlignment="1">
      <alignment horizontal="center" vertical="center" wrapText="1"/>
    </xf>
    <xf numFmtId="167" fontId="7" fillId="0" borderId="39" xfId="7" applyNumberFormat="1" applyFont="1" applyFill="1" applyBorder="1" applyAlignment="1">
      <alignment horizontal="center" vertical="center" wrapText="1"/>
    </xf>
    <xf numFmtId="167" fontId="7" fillId="0" borderId="0" xfId="7" applyNumberFormat="1" applyFont="1" applyFill="1" applyBorder="1" applyAlignment="1">
      <alignment horizontal="center" vertical="center" wrapText="1"/>
    </xf>
    <xf numFmtId="167" fontId="7" fillId="0" borderId="76" xfId="7" applyNumberFormat="1" applyFont="1" applyFill="1" applyBorder="1" applyAlignment="1">
      <alignment horizontal="center" vertical="center" wrapText="1"/>
    </xf>
    <xf numFmtId="167" fontId="7" fillId="0" borderId="77" xfId="7" applyNumberFormat="1" applyFont="1" applyFill="1" applyBorder="1" applyAlignment="1">
      <alignment horizontal="center" vertical="center" wrapText="1"/>
    </xf>
    <xf numFmtId="167" fontId="7" fillId="0" borderId="18" xfId="7" applyNumberFormat="1" applyFont="1" applyFill="1" applyBorder="1" applyAlignment="1">
      <alignment horizontal="center" vertical="center" wrapText="1"/>
    </xf>
    <xf numFmtId="167" fontId="7" fillId="0" borderId="78" xfId="7" applyNumberFormat="1" applyFont="1" applyFill="1" applyBorder="1" applyAlignment="1">
      <alignment horizontal="center" vertical="center" wrapText="1"/>
    </xf>
    <xf numFmtId="167" fontId="3" fillId="0" borderId="63" xfId="0" applyNumberFormat="1" applyFont="1" applyFill="1" applyBorder="1" applyAlignment="1">
      <alignment horizontal="center"/>
    </xf>
    <xf numFmtId="167" fontId="3" fillId="0" borderId="65" xfId="0" applyNumberFormat="1" applyFont="1" applyFill="1" applyBorder="1" applyAlignment="1">
      <alignment horizontal="center"/>
    </xf>
    <xf numFmtId="167" fontId="3" fillId="0" borderId="66" xfId="0" applyNumberFormat="1" applyFont="1" applyFill="1" applyBorder="1" applyAlignment="1">
      <alignment horizontal="center"/>
    </xf>
    <xf numFmtId="167" fontId="3" fillId="0" borderId="39" xfId="0" applyNumberFormat="1" applyFont="1" applyFill="1" applyBorder="1" applyAlignment="1">
      <alignment horizontal="center"/>
    </xf>
    <xf numFmtId="167" fontId="3" fillId="0" borderId="0" xfId="0" applyNumberFormat="1" applyFont="1" applyFill="1" applyBorder="1" applyAlignment="1">
      <alignment horizontal="center"/>
    </xf>
    <xf numFmtId="167" fontId="3" fillId="0" borderId="76" xfId="0" applyNumberFormat="1" applyFont="1" applyFill="1" applyBorder="1" applyAlignment="1">
      <alignment horizontal="center"/>
    </xf>
    <xf numFmtId="167" fontId="3" fillId="0" borderId="77" xfId="0" applyNumberFormat="1" applyFont="1" applyFill="1" applyBorder="1" applyAlignment="1">
      <alignment horizontal="center"/>
    </xf>
    <xf numFmtId="167" fontId="3" fillId="0" borderId="18" xfId="0" applyNumberFormat="1" applyFont="1" applyFill="1" applyBorder="1" applyAlignment="1">
      <alignment horizontal="center"/>
    </xf>
    <xf numFmtId="167" fontId="3" fillId="0" borderId="78" xfId="0" applyNumberFormat="1" applyFont="1" applyFill="1" applyBorder="1" applyAlignment="1">
      <alignment horizontal="center"/>
    </xf>
    <xf numFmtId="0" fontId="10" fillId="0" borderId="0" xfId="18" applyFont="1" applyFill="1" applyAlignment="1">
      <alignment horizontal="center" vertical="top" wrapText="1"/>
    </xf>
    <xf numFmtId="167" fontId="3" fillId="0" borderId="68" xfId="0" applyNumberFormat="1" applyFont="1" applyFill="1" applyBorder="1" applyAlignment="1">
      <alignment horizontal="center" vertical="center" textRotation="90" wrapText="1"/>
    </xf>
    <xf numFmtId="167" fontId="3" fillId="0" borderId="46" xfId="0" applyNumberFormat="1" applyFont="1" applyFill="1" applyBorder="1" applyAlignment="1">
      <alignment horizontal="center" vertical="center" textRotation="90" wrapText="1"/>
    </xf>
    <xf numFmtId="167" fontId="3" fillId="0" borderId="27" xfId="0" applyNumberFormat="1" applyFont="1" applyFill="1" applyBorder="1" applyAlignment="1">
      <alignment horizontal="center" vertical="center" textRotation="90" wrapText="1"/>
    </xf>
    <xf numFmtId="167" fontId="3" fillId="0" borderId="70" xfId="0" applyNumberFormat="1" applyFont="1" applyFill="1" applyBorder="1" applyAlignment="1">
      <alignment horizontal="center" vertical="center" textRotation="90" wrapText="1"/>
    </xf>
    <xf numFmtId="167" fontId="3" fillId="0" borderId="33" xfId="0" applyNumberFormat="1" applyFont="1" applyFill="1" applyBorder="1" applyAlignment="1">
      <alignment horizontal="center" vertical="center" textRotation="90" wrapText="1"/>
    </xf>
    <xf numFmtId="167" fontId="3" fillId="0" borderId="37" xfId="0" applyNumberFormat="1" applyFont="1" applyFill="1" applyBorder="1" applyAlignment="1">
      <alignment horizontal="center" vertical="center" textRotation="90" wrapText="1"/>
    </xf>
    <xf numFmtId="167" fontId="3" fillId="0" borderId="71" xfId="0" applyNumberFormat="1" applyFont="1" applyFill="1" applyBorder="1" applyAlignment="1">
      <alignment horizontal="center" vertical="center" textRotation="90" wrapText="1"/>
    </xf>
    <xf numFmtId="167" fontId="3" fillId="0" borderId="47" xfId="0" applyNumberFormat="1" applyFont="1" applyFill="1" applyBorder="1" applyAlignment="1">
      <alignment horizontal="center" vertical="center" textRotation="90" wrapText="1"/>
    </xf>
    <xf numFmtId="167" fontId="3" fillId="0" borderId="72" xfId="0" applyNumberFormat="1" applyFont="1" applyFill="1" applyBorder="1" applyAlignment="1">
      <alignment horizontal="center" vertical="center" textRotation="90" wrapText="1"/>
    </xf>
    <xf numFmtId="167" fontId="5" fillId="0" borderId="73" xfId="0" applyNumberFormat="1" applyFont="1" applyFill="1" applyBorder="1" applyAlignment="1">
      <alignment horizontal="center" vertical="center" wrapText="1"/>
    </xf>
    <xf numFmtId="167" fontId="5" fillId="0" borderId="74" xfId="0" applyNumberFormat="1" applyFont="1" applyFill="1" applyBorder="1" applyAlignment="1">
      <alignment horizontal="center" vertical="center" wrapText="1"/>
    </xf>
    <xf numFmtId="167" fontId="5" fillId="0" borderId="75" xfId="0" applyNumberFormat="1" applyFont="1" applyFill="1" applyBorder="1" applyAlignment="1">
      <alignment horizontal="center" vertical="center" wrapText="1"/>
    </xf>
    <xf numFmtId="167" fontId="11" fillId="0" borderId="67" xfId="1" applyNumberFormat="1" applyFont="1" applyFill="1" applyBorder="1" applyAlignment="1">
      <alignment horizontal="center" vertical="center" wrapText="1"/>
    </xf>
    <xf numFmtId="167" fontId="11" fillId="0" borderId="54" xfId="1" applyNumberFormat="1" applyFont="1" applyFill="1" applyBorder="1" applyAlignment="1">
      <alignment horizontal="center" vertical="center" wrapText="1"/>
    </xf>
    <xf numFmtId="167" fontId="11" fillId="0" borderId="21" xfId="1" applyNumberFormat="1" applyFont="1" applyFill="1" applyBorder="1" applyAlignment="1">
      <alignment horizontal="center" vertical="center" wrapText="1"/>
    </xf>
    <xf numFmtId="0" fontId="36" fillId="0" borderId="81" xfId="0" applyFont="1" applyBorder="1" applyAlignment="1">
      <alignment horizontal="left" vertical="center" wrapText="1"/>
    </xf>
    <xf numFmtId="0" fontId="36" fillId="0" borderId="38" xfId="0" applyFont="1" applyBorder="1" applyAlignment="1">
      <alignment horizontal="left" vertical="center" wrapText="1"/>
    </xf>
    <xf numFmtId="0" fontId="33" fillId="0" borderId="81" xfId="0" applyFont="1" applyBorder="1" applyAlignment="1">
      <alignment horizontal="left" vertical="center" wrapText="1"/>
    </xf>
    <xf numFmtId="0" fontId="33" fillId="0" borderId="38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36" fillId="0" borderId="15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9" fillId="0" borderId="70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36" fillId="0" borderId="2" xfId="0" applyFont="1" applyFill="1" applyBorder="1" applyAlignment="1">
      <alignment horizontal="left" vertical="center" wrapText="1"/>
    </xf>
    <xf numFmtId="0" fontId="36" fillId="0" borderId="15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  <xf numFmtId="0" fontId="33" fillId="0" borderId="30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" fillId="0" borderId="8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7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left" vertical="top" wrapText="1"/>
    </xf>
    <xf numFmtId="0" fontId="33" fillId="0" borderId="79" xfId="0" applyFont="1" applyBorder="1" applyAlignment="1">
      <alignment horizontal="left" vertical="center" wrapText="1"/>
    </xf>
    <xf numFmtId="0" fontId="33" fillId="0" borderId="51" xfId="0" applyFont="1" applyBorder="1" applyAlignment="1">
      <alignment horizontal="left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171" fontId="3" fillId="0" borderId="15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69" fontId="3" fillId="0" borderId="15" xfId="0" applyNumberFormat="1" applyFont="1" applyFill="1" applyBorder="1" applyAlignment="1">
      <alignment horizontal="center" vertical="center" wrapText="1"/>
    </xf>
    <xf numFmtId="169" fontId="3" fillId="0" borderId="6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9" fontId="3" fillId="0" borderId="25" xfId="0" applyNumberFormat="1" applyFont="1" applyFill="1" applyBorder="1" applyAlignment="1">
      <alignment horizontal="center" vertical="center" wrapText="1"/>
    </xf>
    <xf numFmtId="169" fontId="3" fillId="0" borderId="33" xfId="0" applyNumberFormat="1" applyFont="1" applyFill="1" applyBorder="1" applyAlignment="1">
      <alignment horizontal="center" vertical="center" wrapText="1"/>
    </xf>
    <xf numFmtId="169" fontId="3" fillId="0" borderId="22" xfId="0" applyNumberFormat="1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0" fontId="18" fillId="10" borderId="0" xfId="0" applyFont="1" applyFill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69" fontId="4" fillId="0" borderId="25" xfId="0" applyNumberFormat="1" applyFont="1" applyFill="1" applyBorder="1" applyAlignment="1">
      <alignment horizontal="center" vertical="center" wrapText="1"/>
    </xf>
    <xf numFmtId="169" fontId="4" fillId="0" borderId="33" xfId="0" applyNumberFormat="1" applyFont="1" applyFill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</cellXfs>
  <cellStyles count="21">
    <cellStyle name="Comma" xfId="1" builtinId="3"/>
    <cellStyle name="Comma 2" xfId="2"/>
    <cellStyle name="Comma 4" xfId="3"/>
    <cellStyle name="Comma 5" xfId="4"/>
    <cellStyle name="Comma 8" xfId="5"/>
    <cellStyle name="Comma_General" xfId="6"/>
    <cellStyle name="Neutral" xfId="7" builtinId="28"/>
    <cellStyle name="Normal" xfId="0" builtinId="0"/>
    <cellStyle name="Normal 2 3" xfId="8"/>
    <cellStyle name="Normal 3_HavelvacN2axjusakN3" xfId="9"/>
    <cellStyle name="Normal 4" xfId="10"/>
    <cellStyle name="Normal 5" xfId="11"/>
    <cellStyle name="Normal 6" xfId="12"/>
    <cellStyle name="Normal 7" xfId="13"/>
    <cellStyle name="Normal 8" xfId="14"/>
    <cellStyle name="Normal_Book2" xfId="15"/>
    <cellStyle name="Normal_General" xfId="16"/>
    <cellStyle name="Normal_send-calc-turq" xfId="17"/>
    <cellStyle name="Normal_Varabashxum-ynderk" xfId="18"/>
    <cellStyle name="Percent" xfId="19" builtinId="5"/>
    <cellStyle name="SN_241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VERABASHXUM\Voroshum11.08.2015\Havelvacn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ine%20Manukyan/Desktop/&#1330;&#1397;&#1400;&#1410;&#1403;&#1381;%202019/Budget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ccountancy\Users\Smanukyan\Desktop\&#1336;&#1398;&#1380;&#1400;&#1410;&#1398;&#1406;&#1400;&#1394;%20&#1411;&#1377;&#1405;&#1407;&#1377;&#1385;&#1394;&#1385;&#1381;&#1408;\Fichtner%20contract%20&amp;%20all%20documents\&#1366;&#1387;&#1389;&#1407;&#1398;&#1381;&#1408;%20&#1377;&#1396;&#1411;&#1400;&#1411;%20&#1392;&#1377;&#1399;&#1406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 1"/>
      <sheetName val="N 2"/>
      <sheetName val="N 3"/>
      <sheetName val="N 4"/>
      <sheetName val="N 5"/>
      <sheetName val="N 6"/>
      <sheetName val="N7-1"/>
      <sheetName val="N 7-2"/>
      <sheetName val="N8-1"/>
      <sheetName val="N8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F11">
            <v>21750833.799999997</v>
          </cell>
        </row>
        <row r="15">
          <cell r="E15" t="e">
            <v>#REF!</v>
          </cell>
          <cell r="F15">
            <v>21750833.799999997</v>
          </cell>
        </row>
        <row r="20">
          <cell r="E20" t="e">
            <v>#REF!</v>
          </cell>
          <cell r="F20">
            <v>1200000</v>
          </cell>
        </row>
        <row r="21">
          <cell r="E21" t="e">
            <v>#REF!</v>
          </cell>
          <cell r="F21">
            <v>573777.1</v>
          </cell>
        </row>
        <row r="25">
          <cell r="E25" t="e">
            <v>#REF!</v>
          </cell>
          <cell r="F25">
            <v>12825066.300000001</v>
          </cell>
        </row>
        <row r="29">
          <cell r="E29">
            <v>1981458.5</v>
          </cell>
          <cell r="F29">
            <v>1981458.5</v>
          </cell>
        </row>
        <row r="30">
          <cell r="E30">
            <v>4623402.8</v>
          </cell>
          <cell r="F30">
            <v>4623402.8</v>
          </cell>
        </row>
        <row r="34">
          <cell r="E34">
            <v>233428.7</v>
          </cell>
          <cell r="F34">
            <v>233428.7</v>
          </cell>
        </row>
        <row r="38">
          <cell r="E38">
            <v>30902.400000000001</v>
          </cell>
          <cell r="F38">
            <v>30902.400000000001</v>
          </cell>
        </row>
        <row r="42">
          <cell r="E42">
            <v>113119</v>
          </cell>
          <cell r="F42">
            <v>113119</v>
          </cell>
        </row>
        <row r="43">
          <cell r="E43">
            <v>169679</v>
          </cell>
          <cell r="F43">
            <v>169679</v>
          </cell>
        </row>
        <row r="44">
          <cell r="F44">
            <v>10123432.040000001</v>
          </cell>
        </row>
        <row r="48">
          <cell r="E48" t="e">
            <v>#REF!</v>
          </cell>
          <cell r="F48">
            <v>129194</v>
          </cell>
        </row>
        <row r="53">
          <cell r="E53" t="e">
            <v>#REF!</v>
          </cell>
          <cell r="F53">
            <v>77000</v>
          </cell>
        </row>
        <row r="54">
          <cell r="E54" t="e">
            <v>#REF!</v>
          </cell>
          <cell r="F54">
            <v>22950</v>
          </cell>
        </row>
        <row r="58">
          <cell r="E58">
            <v>23000</v>
          </cell>
          <cell r="F58">
            <v>23000</v>
          </cell>
        </row>
        <row r="62">
          <cell r="E62">
            <v>0</v>
          </cell>
          <cell r="F62">
            <v>6244</v>
          </cell>
        </row>
        <row r="63">
          <cell r="E63" t="e">
            <v>#REF!</v>
          </cell>
          <cell r="F63">
            <v>-1009928.5000000001</v>
          </cell>
        </row>
        <row r="68">
          <cell r="E68" t="e">
            <v>#REF!</v>
          </cell>
          <cell r="F68">
            <v>5391.3</v>
          </cell>
        </row>
        <row r="69">
          <cell r="E69" t="e">
            <v>#REF!</v>
          </cell>
          <cell r="F69">
            <v>-86211.8</v>
          </cell>
        </row>
        <row r="70">
          <cell r="E70" t="e">
            <v>#REF!</v>
          </cell>
          <cell r="F70">
            <v>4413.6000000000004</v>
          </cell>
        </row>
        <row r="74">
          <cell r="E74" t="e">
            <v>#REF!</v>
          </cell>
          <cell r="F74">
            <v>-32576.400000000001</v>
          </cell>
        </row>
        <row r="75">
          <cell r="E75" t="e">
            <v>#REF!</v>
          </cell>
          <cell r="F75">
            <v>-441565.6</v>
          </cell>
        </row>
        <row r="79">
          <cell r="E79" t="e">
            <v>#REF!</v>
          </cell>
          <cell r="F79">
            <v>272288.8</v>
          </cell>
        </row>
        <row r="80">
          <cell r="E80" t="e">
            <v>#REF!</v>
          </cell>
          <cell r="F80">
            <v>-604286.30000000005</v>
          </cell>
        </row>
        <row r="84">
          <cell r="E84" t="e">
            <v>#REF!</v>
          </cell>
          <cell r="F84">
            <v>-127382.1</v>
          </cell>
        </row>
        <row r="87">
          <cell r="E87" t="e">
            <v>#REF!</v>
          </cell>
          <cell r="F87">
            <v>14081600.4</v>
          </cell>
        </row>
        <row r="92">
          <cell r="E92" t="e">
            <v>#REF!</v>
          </cell>
          <cell r="F92">
            <v>3059985.6</v>
          </cell>
        </row>
        <row r="93">
          <cell r="E93" t="e">
            <v>#REF!</v>
          </cell>
          <cell r="F93">
            <v>7895518.4000000004</v>
          </cell>
        </row>
        <row r="97">
          <cell r="E97">
            <v>1699992</v>
          </cell>
          <cell r="F97">
            <v>1699992</v>
          </cell>
        </row>
        <row r="98">
          <cell r="E98">
            <v>254998.8</v>
          </cell>
          <cell r="F98">
            <v>1426104.4</v>
          </cell>
        </row>
        <row r="99">
          <cell r="E99" t="e">
            <v>#REF!</v>
          </cell>
          <cell r="F99">
            <v>-31340.3</v>
          </cell>
        </row>
        <row r="104">
          <cell r="E104" t="e">
            <v>#REF!</v>
          </cell>
          <cell r="F104">
            <v>-31340.3</v>
          </cell>
        </row>
        <row r="107">
          <cell r="E107" t="e">
            <v>#REF!</v>
          </cell>
          <cell r="F107">
            <v>-2875469.36</v>
          </cell>
        </row>
        <row r="112">
          <cell r="E112" t="e">
            <v>#REF!</v>
          </cell>
          <cell r="F112">
            <v>-20275.099999999999</v>
          </cell>
        </row>
        <row r="113">
          <cell r="E113" t="e">
            <v>#REF!</v>
          </cell>
          <cell r="F113">
            <v>314408.3</v>
          </cell>
        </row>
        <row r="117">
          <cell r="E117" t="e">
            <v>#REF!</v>
          </cell>
          <cell r="F117">
            <v>241032.9</v>
          </cell>
        </row>
        <row r="118">
          <cell r="E118" t="e">
            <v>#REF!</v>
          </cell>
          <cell r="F118">
            <v>66706.399999999994</v>
          </cell>
        </row>
        <row r="122">
          <cell r="E122" t="e">
            <v>#REF!</v>
          </cell>
          <cell r="F122">
            <v>114577</v>
          </cell>
        </row>
        <row r="123">
          <cell r="E123" t="e">
            <v>#REF!</v>
          </cell>
          <cell r="F123">
            <v>1195877</v>
          </cell>
        </row>
        <row r="124">
          <cell r="E124" t="e">
            <v>#REF!</v>
          </cell>
          <cell r="F124">
            <v>36480</v>
          </cell>
        </row>
        <row r="128">
          <cell r="E128">
            <v>-96107.200000000012</v>
          </cell>
          <cell r="F128">
            <v>-124494</v>
          </cell>
        </row>
        <row r="129">
          <cell r="E129">
            <v>-2764375</v>
          </cell>
          <cell r="F129">
            <v>-3867027.56</v>
          </cell>
        </row>
        <row r="133">
          <cell r="E133" t="e">
            <v>#REF!</v>
          </cell>
          <cell r="F133">
            <v>-28424.2</v>
          </cell>
        </row>
        <row r="134">
          <cell r="E134" t="e">
            <v>#REF!</v>
          </cell>
          <cell r="F134">
            <v>-3700.8</v>
          </cell>
        </row>
        <row r="135">
          <cell r="E135" t="e">
            <v>#REF!</v>
          </cell>
          <cell r="F135">
            <v>-873.8</v>
          </cell>
        </row>
        <row r="139">
          <cell r="E139" t="e">
            <v>#REF!</v>
          </cell>
          <cell r="F139">
            <v>-799755.5</v>
          </cell>
        </row>
        <row r="142">
          <cell r="E142" t="e">
            <v>#REF!</v>
          </cell>
          <cell r="F142">
            <v>-170624.20000000004</v>
          </cell>
        </row>
        <row r="147">
          <cell r="E147" t="e">
            <v>#REF!</v>
          </cell>
          <cell r="F147">
            <v>3237.3</v>
          </cell>
        </row>
        <row r="148">
          <cell r="E148" t="e">
            <v>#REF!</v>
          </cell>
          <cell r="F148">
            <v>28717.8</v>
          </cell>
        </row>
        <row r="149">
          <cell r="E149" t="e">
            <v>#REF!</v>
          </cell>
          <cell r="F149">
            <v>79326.2</v>
          </cell>
        </row>
        <row r="150">
          <cell r="E150" t="e">
            <v>#REF!</v>
          </cell>
          <cell r="F150">
            <v>5024.1000000000004</v>
          </cell>
        </row>
        <row r="154">
          <cell r="E154" t="e">
            <v>#REF!</v>
          </cell>
          <cell r="F154">
            <v>-918.4</v>
          </cell>
        </row>
        <row r="155">
          <cell r="E155" t="e">
            <v>#REF!</v>
          </cell>
          <cell r="F155">
            <v>-138043.6</v>
          </cell>
        </row>
        <row r="156">
          <cell r="E156" t="e">
            <v>#REF!</v>
          </cell>
          <cell r="F156">
            <v>-112420</v>
          </cell>
        </row>
        <row r="157">
          <cell r="E157" t="e">
            <v>#REF!</v>
          </cell>
          <cell r="F157">
            <v>-38400</v>
          </cell>
        </row>
        <row r="158">
          <cell r="E158" t="e">
            <v>#REF!</v>
          </cell>
          <cell r="F158">
            <v>2852.4</v>
          </cell>
        </row>
        <row r="159">
          <cell r="E159" t="e">
            <v>#REF!</v>
          </cell>
          <cell r="F159">
            <v>117205.1</v>
          </cell>
        </row>
        <row r="168">
          <cell r="E168" t="e">
            <v>#REF!</v>
          </cell>
          <cell r="F168">
            <v>114704.1</v>
          </cell>
        </row>
        <row r="169">
          <cell r="E169" t="e">
            <v>#REF!</v>
          </cell>
          <cell r="F169">
            <v>2501</v>
          </cell>
        </row>
        <row r="170">
          <cell r="F170">
            <v>-1124568.6000000001</v>
          </cell>
        </row>
        <row r="174">
          <cell r="E174" t="e">
            <v>#REF!</v>
          </cell>
          <cell r="F174">
            <v>-1124568.6000000001</v>
          </cell>
        </row>
        <row r="179">
          <cell r="E179" t="e">
            <v>#REF!</v>
          </cell>
          <cell r="F179">
            <v>0</v>
          </cell>
        </row>
        <row r="180">
          <cell r="E180" t="e">
            <v>#REF!</v>
          </cell>
          <cell r="F180">
            <v>397696.2</v>
          </cell>
        </row>
        <row r="181">
          <cell r="E181" t="e">
            <v>#REF!</v>
          </cell>
          <cell r="F181">
            <v>504768.2</v>
          </cell>
        </row>
        <row r="185">
          <cell r="E185">
            <v>0</v>
          </cell>
          <cell r="F185">
            <v>17350.599999999999</v>
          </cell>
        </row>
        <row r="189">
          <cell r="E189">
            <v>0</v>
          </cell>
          <cell r="F189">
            <v>-79325.5</v>
          </cell>
        </row>
        <row r="193">
          <cell r="E193" t="e">
            <v>#REF!</v>
          </cell>
          <cell r="F193">
            <v>-488991.8</v>
          </cell>
        </row>
        <row r="194">
          <cell r="E194" t="e">
            <v>#REF!</v>
          </cell>
          <cell r="F194">
            <v>-108788.7</v>
          </cell>
        </row>
        <row r="198">
          <cell r="E198" t="e">
            <v>#REF!</v>
          </cell>
          <cell r="F198">
            <v>-79325.5</v>
          </cell>
        </row>
        <row r="202">
          <cell r="E202" t="e">
            <v>#REF!</v>
          </cell>
          <cell r="F202">
            <v>-6768.9</v>
          </cell>
        </row>
        <row r="203">
          <cell r="E203" t="e">
            <v>#REF!</v>
          </cell>
          <cell r="F203">
            <v>-22000</v>
          </cell>
        </row>
        <row r="207">
          <cell r="E207">
            <v>-107914.8</v>
          </cell>
          <cell r="F207">
            <v>-116797.8</v>
          </cell>
        </row>
        <row r="211">
          <cell r="E211" t="e">
            <v>#REF!</v>
          </cell>
          <cell r="F211">
            <v>-198838.6</v>
          </cell>
        </row>
        <row r="215">
          <cell r="E215">
            <v>-641204.19999999995</v>
          </cell>
          <cell r="F215">
            <v>-1038901.8</v>
          </cell>
        </row>
        <row r="219">
          <cell r="E219">
            <v>90914.8</v>
          </cell>
          <cell r="F219">
            <v>95355</v>
          </cell>
        </row>
        <row r="224">
          <cell r="E224" t="e">
            <v>#REF!</v>
          </cell>
          <cell r="F224">
            <v>108000</v>
          </cell>
        </row>
        <row r="229">
          <cell r="E229" t="e">
            <v>#REF!</v>
          </cell>
          <cell r="F229">
            <v>0</v>
          </cell>
        </row>
        <row r="230">
          <cell r="E230" t="e">
            <v>#REF!</v>
          </cell>
          <cell r="F230">
            <v>87000</v>
          </cell>
        </row>
        <row r="231">
          <cell r="E231" t="e">
            <v>#REF!</v>
          </cell>
          <cell r="F231">
            <v>21000</v>
          </cell>
        </row>
        <row r="236">
          <cell r="E236" t="e">
            <v>#REF!</v>
          </cell>
          <cell r="F236">
            <v>-2148806</v>
          </cell>
        </row>
        <row r="241">
          <cell r="E241" t="e">
            <v>#REF!</v>
          </cell>
          <cell r="F241">
            <v>-2148806</v>
          </cell>
        </row>
        <row r="247">
          <cell r="E247">
            <v>675000</v>
          </cell>
          <cell r="F247">
            <v>675000</v>
          </cell>
        </row>
      </sheetData>
      <sheetData sheetId="6" refreshError="1">
        <row r="10">
          <cell r="F10">
            <v>20216008.700000003</v>
          </cell>
          <cell r="G10">
            <v>3416597.9</v>
          </cell>
        </row>
      </sheetData>
      <sheetData sheetId="7" refreshError="1">
        <row r="10">
          <cell r="F10">
            <v>4535189.7999999989</v>
          </cell>
          <cell r="G10">
            <v>1076105</v>
          </cell>
          <cell r="I10">
            <v>4595928</v>
          </cell>
          <cell r="J10">
            <v>597561.73999999987</v>
          </cell>
        </row>
      </sheetData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515-Ն որոշում"/>
      <sheetName val="1. Արտարժ"/>
      <sheetName val="2. 07.03.2019  178-Ն որոշում"/>
      <sheetName val="2. 178-Ն արտարժ."/>
      <sheetName val="I կիս. վերլուծություն"/>
      <sheetName val="I կիս. վերլուծություն (2)"/>
      <sheetName val="I կիս. վերլուծություն 14.05.201"/>
      <sheetName val="Sheet2"/>
      <sheetName val="Հին ձևով"/>
      <sheetName val="Residual Amount_upd Dec 201 (2)"/>
      <sheetName val="Sheet1"/>
      <sheetName val="Forecast 1"/>
      <sheetName val="Forecast 1 (3)"/>
      <sheetName val="Forecast 1 (4)"/>
      <sheetName val="Forecast 1 (2)"/>
      <sheetName val="Forecast 2"/>
      <sheetName val="Forecast 2 (2)"/>
      <sheetName val="Forecast 2 (3)"/>
      <sheetName val="Forecast 3"/>
    </sheetNames>
    <sheetDataSet>
      <sheetData sheetId="0"/>
      <sheetData sheetId="1"/>
      <sheetData sheetId="2">
        <row r="37">
          <cell r="L37">
            <v>1049623.3999999999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Առանց չընդունված հաշիվների"/>
      <sheetName val="Ամփոփ հաշվ. օրինակելի ձև"/>
      <sheetName val="Չընդունված հաշիվները ներառյ (2)"/>
      <sheetName val="Չընդունված հաշիվները ներառյ (3)"/>
      <sheetName val="Sheet2"/>
      <sheetName val="Չընդունված հաշիվները ներառյալ"/>
      <sheetName val="Չընդունված հաշիվները ներառյ (4)"/>
      <sheetName val="Չընդունված հաշիվ. ներառյ 17.01."/>
      <sheetName val="Fichntner contract (2)"/>
      <sheetName val="Sheet1"/>
      <sheetName val="Sheet1 (2)"/>
      <sheetName val="10.07.2018"/>
      <sheetName val="10.07.2018 (2)"/>
      <sheetName val="Fichntner contract"/>
      <sheetName val="10.07.2018 USD"/>
      <sheetName val="Sheet1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W19">
            <v>3546.8100000000004</v>
          </cell>
          <cell r="Z19">
            <v>3737.6200000000003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B15" sqref="B15"/>
    </sheetView>
  </sheetViews>
  <sheetFormatPr defaultColWidth="13.42578125" defaultRowHeight="13.5"/>
  <cols>
    <col min="1" max="1" width="42.85546875" style="242" customWidth="1"/>
    <col min="2" max="2" width="38" style="242" customWidth="1"/>
    <col min="3" max="3" width="13.42578125" style="242" customWidth="1"/>
    <col min="4" max="4" width="15.85546875" style="242" customWidth="1"/>
    <col min="5" max="16384" width="13.42578125" style="242"/>
  </cols>
  <sheetData>
    <row r="1" spans="1:5" ht="14.25">
      <c r="A1" s="261"/>
      <c r="B1" s="185" t="s">
        <v>65</v>
      </c>
      <c r="C1" s="251"/>
    </row>
    <row r="2" spans="1:5" ht="14.25">
      <c r="A2" s="261"/>
      <c r="B2" s="263"/>
      <c r="C2" s="251"/>
      <c r="D2" s="252"/>
      <c r="E2" s="252"/>
    </row>
    <row r="3" spans="1:5" ht="77.25" customHeight="1">
      <c r="A3" s="540" t="s">
        <v>191</v>
      </c>
      <c r="B3" s="540"/>
      <c r="C3" s="253"/>
      <c r="D3" s="253"/>
      <c r="E3" s="253"/>
    </row>
    <row r="4" spans="1:5" s="254" customFormat="1" ht="18.75" customHeight="1">
      <c r="A4" s="246"/>
      <c r="B4" s="247" t="s">
        <v>192</v>
      </c>
    </row>
    <row r="5" spans="1:5" ht="88.5" customHeight="1">
      <c r="A5" s="248"/>
      <c r="B5" s="249" t="s">
        <v>176</v>
      </c>
      <c r="C5" s="255"/>
    </row>
    <row r="6" spans="1:5" ht="33.75" customHeight="1">
      <c r="A6" s="243" t="s">
        <v>193</v>
      </c>
      <c r="B6" s="250"/>
    </row>
    <row r="7" spans="1:5" ht="24" customHeight="1">
      <c r="A7" s="243" t="s">
        <v>194</v>
      </c>
      <c r="B7" s="244"/>
    </row>
    <row r="8" spans="1:5" ht="21" customHeight="1">
      <c r="A8" s="243" t="s">
        <v>195</v>
      </c>
      <c r="B8" s="244"/>
      <c r="D8" s="242" t="s">
        <v>196</v>
      </c>
    </row>
    <row r="10" spans="1:5">
      <c r="B10" s="256"/>
    </row>
    <row r="11" spans="1:5">
      <c r="B11" s="256"/>
    </row>
  </sheetData>
  <mergeCells count="1">
    <mergeCell ref="A3:B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view="pageBreakPreview" zoomScaleNormal="100" zoomScaleSheetLayoutView="100" workbookViewId="0">
      <selection activeCell="D1" sqref="D1:F1048576"/>
    </sheetView>
  </sheetViews>
  <sheetFormatPr defaultColWidth="9.42578125" defaultRowHeight="13.5"/>
  <cols>
    <col min="1" max="1" width="7.85546875" style="1" customWidth="1"/>
    <col min="2" max="2" width="7" style="1" customWidth="1"/>
    <col min="3" max="3" width="47.28515625" style="1" customWidth="1"/>
    <col min="4" max="4" width="17.28515625" style="1" hidden="1" customWidth="1"/>
    <col min="5" max="5" width="15.42578125" style="1" hidden="1" customWidth="1"/>
    <col min="6" max="6" width="16.28515625" style="1" hidden="1" customWidth="1"/>
    <col min="7" max="7" width="18.28515625" style="1" customWidth="1"/>
    <col min="8" max="8" width="14.85546875" style="1" customWidth="1"/>
    <col min="9" max="9" width="16.85546875" style="1" customWidth="1"/>
    <col min="10" max="10" width="18.5703125" style="1" customWidth="1"/>
    <col min="11" max="11" width="15.140625" style="1" customWidth="1"/>
    <col min="12" max="12" width="17.28515625" style="1" customWidth="1"/>
    <col min="13" max="14" width="18.5703125" style="1" customWidth="1"/>
    <col min="15" max="15" width="16.7109375" style="1" customWidth="1"/>
    <col min="16" max="16" width="12.5703125" style="1" bestFit="1" customWidth="1"/>
    <col min="17" max="17" width="12.140625" style="1" bestFit="1" customWidth="1"/>
    <col min="18" max="16384" width="9.42578125" style="1"/>
  </cols>
  <sheetData>
    <row r="1" spans="1:14" s="32" customFormat="1" ht="21" customHeight="1">
      <c r="C1" s="39"/>
      <c r="D1" s="1"/>
      <c r="E1" s="572"/>
      <c r="F1" s="572"/>
      <c r="G1" s="1"/>
      <c r="H1" s="572"/>
      <c r="I1" s="572"/>
      <c r="J1" s="1"/>
      <c r="L1" s="321" t="s">
        <v>272</v>
      </c>
      <c r="M1" s="1"/>
    </row>
    <row r="2" spans="1:14" s="32" customFormat="1" ht="18" customHeight="1">
      <c r="C2" s="40"/>
      <c r="D2" s="40"/>
      <c r="E2" s="573"/>
      <c r="F2" s="573"/>
      <c r="G2" s="40"/>
      <c r="H2" s="573"/>
      <c r="I2" s="573"/>
      <c r="J2" s="40"/>
      <c r="L2" s="322" t="s">
        <v>265</v>
      </c>
      <c r="M2" s="1"/>
    </row>
    <row r="3" spans="1:14" s="32" customFormat="1" ht="18" customHeight="1">
      <c r="C3" s="40"/>
      <c r="D3" s="40"/>
      <c r="E3" s="285"/>
      <c r="F3" s="285"/>
      <c r="G3" s="40"/>
      <c r="H3" s="285"/>
      <c r="I3" s="285"/>
      <c r="J3" s="40"/>
      <c r="L3" s="314" t="s">
        <v>266</v>
      </c>
      <c r="M3" s="1"/>
    </row>
    <row r="4" spans="1:14" s="32" customFormat="1" ht="18" customHeight="1">
      <c r="C4" s="40"/>
      <c r="D4" s="40"/>
      <c r="E4" s="285"/>
      <c r="F4" s="285"/>
      <c r="G4" s="40"/>
      <c r="H4" s="285"/>
      <c r="I4" s="285"/>
      <c r="J4" s="40"/>
      <c r="K4" s="285"/>
      <c r="L4" s="285"/>
      <c r="M4" s="1"/>
    </row>
    <row r="5" spans="1:14" s="32" customFormat="1" ht="52.5" customHeight="1">
      <c r="A5" s="577" t="s">
        <v>329</v>
      </c>
      <c r="B5" s="577"/>
      <c r="C5" s="577"/>
      <c r="D5" s="577"/>
      <c r="E5" s="577"/>
      <c r="F5" s="577"/>
      <c r="G5" s="577"/>
      <c r="H5" s="577"/>
      <c r="I5" s="577"/>
      <c r="J5" s="577"/>
      <c r="K5" s="577"/>
      <c r="L5" s="577"/>
      <c r="M5" s="1"/>
    </row>
    <row r="6" spans="1:14" s="32" customFormat="1" ht="6.75" customHeight="1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1"/>
    </row>
    <row r="7" spans="1:14" ht="13.5" customHeight="1" thickBot="1">
      <c r="A7" s="5"/>
      <c r="B7" s="5"/>
      <c r="C7" s="12"/>
      <c r="D7" s="53"/>
      <c r="E7" s="53"/>
      <c r="F7" s="122"/>
      <c r="G7" s="53"/>
      <c r="H7" s="53"/>
      <c r="I7" s="122"/>
      <c r="J7" s="53"/>
      <c r="K7" s="53"/>
      <c r="L7" s="122" t="s">
        <v>42</v>
      </c>
    </row>
    <row r="8" spans="1:14" ht="12.75" customHeight="1">
      <c r="A8" s="578" t="s">
        <v>36</v>
      </c>
      <c r="B8" s="579"/>
      <c r="C8" s="612" t="s">
        <v>207</v>
      </c>
      <c r="D8" s="584"/>
      <c r="E8" s="584"/>
      <c r="F8" s="584"/>
      <c r="G8" s="584"/>
      <c r="H8" s="584"/>
      <c r="I8" s="584"/>
      <c r="J8" s="584"/>
      <c r="K8" s="584"/>
      <c r="L8" s="585"/>
    </row>
    <row r="9" spans="1:14" ht="12.75" customHeight="1">
      <c r="A9" s="580"/>
      <c r="B9" s="581"/>
      <c r="C9" s="613"/>
      <c r="D9" s="586"/>
      <c r="E9" s="586"/>
      <c r="F9" s="586"/>
      <c r="G9" s="586"/>
      <c r="H9" s="586"/>
      <c r="I9" s="586"/>
      <c r="J9" s="586"/>
      <c r="K9" s="586"/>
      <c r="L9" s="587"/>
    </row>
    <row r="10" spans="1:14" ht="22.5" customHeight="1">
      <c r="A10" s="582"/>
      <c r="B10" s="583"/>
      <c r="C10" s="613"/>
      <c r="D10" s="610" t="s">
        <v>303</v>
      </c>
      <c r="E10" s="610"/>
      <c r="F10" s="611"/>
      <c r="G10" s="615" t="s">
        <v>302</v>
      </c>
      <c r="H10" s="610"/>
      <c r="I10" s="611"/>
      <c r="J10" s="610" t="s">
        <v>301</v>
      </c>
      <c r="K10" s="610"/>
      <c r="L10" s="611"/>
    </row>
    <row r="11" spans="1:14" s="4" customFormat="1" ht="17.25" customHeight="1">
      <c r="A11" s="589" t="s">
        <v>43</v>
      </c>
      <c r="B11" s="591" t="s">
        <v>44</v>
      </c>
      <c r="C11" s="614"/>
      <c r="D11" s="588" t="s">
        <v>305</v>
      </c>
      <c r="E11" s="575" t="s">
        <v>306</v>
      </c>
      <c r="F11" s="576"/>
      <c r="G11" s="574" t="s">
        <v>305</v>
      </c>
      <c r="H11" s="575" t="s">
        <v>306</v>
      </c>
      <c r="I11" s="576"/>
      <c r="J11" s="588" t="s">
        <v>305</v>
      </c>
      <c r="K11" s="575" t="s">
        <v>306</v>
      </c>
      <c r="L11" s="576"/>
    </row>
    <row r="12" spans="1:14" s="4" customFormat="1" ht="43.5" customHeight="1">
      <c r="A12" s="590"/>
      <c r="B12" s="592"/>
      <c r="C12" s="614"/>
      <c r="D12" s="588"/>
      <c r="E12" s="342" t="s">
        <v>332</v>
      </c>
      <c r="F12" s="439" t="s">
        <v>308</v>
      </c>
      <c r="G12" s="574"/>
      <c r="H12" s="342" t="s">
        <v>332</v>
      </c>
      <c r="I12" s="439" t="s">
        <v>308</v>
      </c>
      <c r="J12" s="588"/>
      <c r="K12" s="342" t="s">
        <v>332</v>
      </c>
      <c r="L12" s="439" t="s">
        <v>308</v>
      </c>
    </row>
    <row r="13" spans="1:14" ht="36" customHeight="1">
      <c r="A13" s="440"/>
      <c r="B13" s="343"/>
      <c r="C13" s="344" t="s">
        <v>16</v>
      </c>
      <c r="D13" s="473">
        <f>E13+F13</f>
        <v>0</v>
      </c>
      <c r="E13" s="382">
        <f>E14+E15</f>
        <v>0</v>
      </c>
      <c r="F13" s="441">
        <f>F14+F15</f>
        <v>0</v>
      </c>
      <c r="G13" s="473">
        <f>H13+I13</f>
        <v>0</v>
      </c>
      <c r="H13" s="382">
        <f>H14+H15</f>
        <v>0</v>
      </c>
      <c r="I13" s="441">
        <f>I14+I15</f>
        <v>0</v>
      </c>
      <c r="J13" s="473">
        <f>K13+L13</f>
        <v>0</v>
      </c>
      <c r="K13" s="382">
        <f>K14+K15</f>
        <v>0</v>
      </c>
      <c r="L13" s="441">
        <f>L14+L15</f>
        <v>0</v>
      </c>
      <c r="N13" s="58"/>
    </row>
    <row r="14" spans="1:14" ht="19.5" customHeight="1">
      <c r="A14" s="440"/>
      <c r="B14" s="343"/>
      <c r="C14" s="345" t="s">
        <v>17</v>
      </c>
      <c r="D14" s="473">
        <f>+E14+F14</f>
        <v>237578.4</v>
      </c>
      <c r="E14" s="382">
        <f>+E23+E29+'Հավելված 3'!E49</f>
        <v>216795</v>
      </c>
      <c r="F14" s="441">
        <f>+F23+F29+'Հավելված 3'!F49</f>
        <v>20783.400000000001</v>
      </c>
      <c r="G14" s="473">
        <f>+H14+I14</f>
        <v>237578.4</v>
      </c>
      <c r="H14" s="382">
        <f>+H23+H29+'Հավելված 3'!H49</f>
        <v>216795</v>
      </c>
      <c r="I14" s="441">
        <f>+I23+I29+'Հավելված 3'!I49</f>
        <v>20783.400000000001</v>
      </c>
      <c r="J14" s="473">
        <f>+K14+L14</f>
        <v>237578.4</v>
      </c>
      <c r="K14" s="382">
        <f>+K23+K29+'Հավելված 3'!K49</f>
        <v>216795</v>
      </c>
      <c r="L14" s="441">
        <f>+L23+L29</f>
        <v>20783.400000000001</v>
      </c>
    </row>
    <row r="15" spans="1:14" ht="30" customHeight="1">
      <c r="A15" s="440"/>
      <c r="B15" s="343"/>
      <c r="C15" s="345" t="s">
        <v>18</v>
      </c>
      <c r="D15" s="474">
        <f>E15+F15</f>
        <v>-237578.4</v>
      </c>
      <c r="E15" s="382">
        <f>+E35</f>
        <v>-216795</v>
      </c>
      <c r="F15" s="441">
        <f>+F35</f>
        <v>-20783.400000000001</v>
      </c>
      <c r="G15" s="474">
        <f>H15+I15</f>
        <v>-237578.4</v>
      </c>
      <c r="H15" s="382">
        <f>+H35</f>
        <v>-216795</v>
      </c>
      <c r="I15" s="441">
        <f>+I35</f>
        <v>-20783.400000000001</v>
      </c>
      <c r="J15" s="474">
        <f>K15+L15</f>
        <v>-237578.4</v>
      </c>
      <c r="K15" s="382">
        <f>+K35</f>
        <v>-216795</v>
      </c>
      <c r="L15" s="441">
        <f>+L35</f>
        <v>-20783.400000000001</v>
      </c>
    </row>
    <row r="16" spans="1:14" ht="50.25" customHeight="1">
      <c r="A16" s="440"/>
      <c r="B16" s="343"/>
      <c r="C16" s="345" t="s">
        <v>309</v>
      </c>
      <c r="D16" s="474">
        <f t="shared" ref="D16:L16" si="0">+D17</f>
        <v>0</v>
      </c>
      <c r="E16" s="382">
        <f t="shared" si="0"/>
        <v>0</v>
      </c>
      <c r="F16" s="441">
        <f t="shared" si="0"/>
        <v>0</v>
      </c>
      <c r="G16" s="474">
        <f t="shared" si="0"/>
        <v>0</v>
      </c>
      <c r="H16" s="382">
        <f t="shared" si="0"/>
        <v>0</v>
      </c>
      <c r="I16" s="441">
        <f t="shared" si="0"/>
        <v>0</v>
      </c>
      <c r="J16" s="474">
        <f t="shared" si="0"/>
        <v>0</v>
      </c>
      <c r="K16" s="382">
        <f t="shared" si="0"/>
        <v>0</v>
      </c>
      <c r="L16" s="441">
        <f t="shared" si="0"/>
        <v>0</v>
      </c>
    </row>
    <row r="17" spans="1:12" ht="31.5" customHeight="1">
      <c r="A17" s="452">
        <v>1072</v>
      </c>
      <c r="B17" s="453"/>
      <c r="C17" s="454" t="s">
        <v>292</v>
      </c>
      <c r="D17" s="475">
        <f>+E17+F17</f>
        <v>0</v>
      </c>
      <c r="E17" s="401">
        <f>+E19+E25+E31</f>
        <v>0</v>
      </c>
      <c r="F17" s="442">
        <f>+F19+F25+F31</f>
        <v>0</v>
      </c>
      <c r="G17" s="475">
        <f>+H17+I17</f>
        <v>0</v>
      </c>
      <c r="H17" s="401">
        <f>+H19+H25+H31</f>
        <v>0</v>
      </c>
      <c r="I17" s="442">
        <f>+I19+I25+I31</f>
        <v>0</v>
      </c>
      <c r="J17" s="475">
        <f>+K17+L17</f>
        <v>0</v>
      </c>
      <c r="K17" s="401">
        <f>+K19+K25+K31</f>
        <v>0</v>
      </c>
      <c r="L17" s="442">
        <f>+L19+L25+L31</f>
        <v>0</v>
      </c>
    </row>
    <row r="18" spans="1:12" ht="19.5" customHeight="1">
      <c r="A18" s="449"/>
      <c r="B18" s="343"/>
      <c r="C18" s="386" t="s">
        <v>310</v>
      </c>
      <c r="D18" s="474"/>
      <c r="E18" s="382"/>
      <c r="F18" s="441"/>
      <c r="G18" s="474"/>
      <c r="H18" s="382"/>
      <c r="I18" s="441"/>
      <c r="J18" s="465"/>
      <c r="K18" s="382"/>
      <c r="L18" s="441"/>
    </row>
    <row r="19" spans="1:12" ht="84.75" customHeight="1">
      <c r="A19" s="447"/>
      <c r="B19" s="400">
        <v>11003</v>
      </c>
      <c r="C19" s="404" t="s">
        <v>321</v>
      </c>
      <c r="D19" s="479">
        <f>+E19+F19</f>
        <v>10000</v>
      </c>
      <c r="E19" s="405">
        <f>+E21</f>
        <v>10000</v>
      </c>
      <c r="F19" s="406">
        <f>+F21</f>
        <v>0</v>
      </c>
      <c r="G19" s="479">
        <f>+H19+I19</f>
        <v>10000</v>
      </c>
      <c r="H19" s="405">
        <f>+H21</f>
        <v>10000</v>
      </c>
      <c r="I19" s="406">
        <f>+I21</f>
        <v>0</v>
      </c>
      <c r="J19" s="470">
        <f>+K19+L19</f>
        <v>10000</v>
      </c>
      <c r="K19" s="405">
        <f>+K21</f>
        <v>10000</v>
      </c>
      <c r="L19" s="406">
        <f>+L21</f>
        <v>0</v>
      </c>
    </row>
    <row r="20" spans="1:12" ht="24.75" customHeight="1">
      <c r="A20" s="593"/>
      <c r="B20" s="596"/>
      <c r="C20" s="387" t="s">
        <v>209</v>
      </c>
      <c r="D20" s="2"/>
      <c r="E20" s="402"/>
      <c r="F20" s="403"/>
      <c r="G20" s="2"/>
      <c r="H20" s="402"/>
      <c r="I20" s="403"/>
      <c r="J20" s="469"/>
      <c r="K20" s="402"/>
      <c r="L20" s="403"/>
    </row>
    <row r="21" spans="1:12" ht="40.5" customHeight="1">
      <c r="A21" s="594"/>
      <c r="B21" s="597"/>
      <c r="C21" s="127" t="s">
        <v>210</v>
      </c>
      <c r="D21" s="3">
        <f>E21+F21</f>
        <v>10000</v>
      </c>
      <c r="E21" s="293">
        <f>+E23</f>
        <v>10000</v>
      </c>
      <c r="F21" s="347">
        <f>+F23</f>
        <v>0</v>
      </c>
      <c r="G21" s="3">
        <f>H21+I21</f>
        <v>10000</v>
      </c>
      <c r="H21" s="293">
        <f>+H23</f>
        <v>10000</v>
      </c>
      <c r="I21" s="347">
        <f>+I23</f>
        <v>0</v>
      </c>
      <c r="J21" s="355">
        <f>K21+L21</f>
        <v>10000</v>
      </c>
      <c r="K21" s="293">
        <f>+K23</f>
        <v>10000</v>
      </c>
      <c r="L21" s="347">
        <f>+L23</f>
        <v>0</v>
      </c>
    </row>
    <row r="22" spans="1:12" ht="30" customHeight="1">
      <c r="A22" s="594"/>
      <c r="B22" s="597"/>
      <c r="C22" s="292" t="s">
        <v>208</v>
      </c>
      <c r="D22" s="3"/>
      <c r="E22" s="293"/>
      <c r="F22" s="347"/>
      <c r="G22" s="3"/>
      <c r="H22" s="293"/>
      <c r="I22" s="347"/>
      <c r="J22" s="355"/>
      <c r="K22" s="293"/>
      <c r="L22" s="347"/>
    </row>
    <row r="23" spans="1:12" ht="21.75" customHeight="1">
      <c r="A23" s="594"/>
      <c r="B23" s="597"/>
      <c r="C23" s="537" t="s">
        <v>19</v>
      </c>
      <c r="D23" s="3">
        <f>E23+F23</f>
        <v>10000</v>
      </c>
      <c r="E23" s="293">
        <f>+SUM(E24:E24)</f>
        <v>10000</v>
      </c>
      <c r="F23" s="347">
        <f>+SUM(F24:F24)</f>
        <v>0</v>
      </c>
      <c r="G23" s="3">
        <f>H23+I23</f>
        <v>10000</v>
      </c>
      <c r="H23" s="293">
        <f>+SUM(H24:H24)</f>
        <v>10000</v>
      </c>
      <c r="I23" s="347">
        <f>+SUM(I24:I24)</f>
        <v>0</v>
      </c>
      <c r="J23" s="355">
        <f>K23+L23</f>
        <v>10000</v>
      </c>
      <c r="K23" s="293">
        <f>+SUM(K24:K24)</f>
        <v>10000</v>
      </c>
      <c r="L23" s="347">
        <f>+SUM(L24:L24)</f>
        <v>0</v>
      </c>
    </row>
    <row r="24" spans="1:12" ht="20.25" customHeight="1">
      <c r="A24" s="448"/>
      <c r="B24" s="357"/>
      <c r="C24" s="288" t="s">
        <v>320</v>
      </c>
      <c r="D24" s="3">
        <f>E24+F24</f>
        <v>10000</v>
      </c>
      <c r="E24" s="293">
        <v>10000</v>
      </c>
      <c r="F24" s="347"/>
      <c r="G24" s="3">
        <f>H24+I24</f>
        <v>10000</v>
      </c>
      <c r="H24" s="293">
        <f>+E24</f>
        <v>10000</v>
      </c>
      <c r="I24" s="347">
        <f>+F24</f>
        <v>0</v>
      </c>
      <c r="J24" s="355">
        <f>K24+L24</f>
        <v>10000</v>
      </c>
      <c r="K24" s="293">
        <f>+H24</f>
        <v>10000</v>
      </c>
      <c r="L24" s="347">
        <f>+I24</f>
        <v>0</v>
      </c>
    </row>
    <row r="25" spans="1:12" ht="88.5" customHeight="1">
      <c r="A25" s="447"/>
      <c r="B25" s="400">
        <v>11004</v>
      </c>
      <c r="C25" s="404" t="s">
        <v>319</v>
      </c>
      <c r="D25" s="479">
        <f>+E25+F25</f>
        <v>227578.4</v>
      </c>
      <c r="E25" s="405">
        <f>+E27</f>
        <v>206795</v>
      </c>
      <c r="F25" s="406">
        <f>+F27</f>
        <v>20783.400000000001</v>
      </c>
      <c r="G25" s="479">
        <f>+H25+I25</f>
        <v>227578.4</v>
      </c>
      <c r="H25" s="405">
        <f>+H27</f>
        <v>206795</v>
      </c>
      <c r="I25" s="406">
        <f>+I27</f>
        <v>20783.400000000001</v>
      </c>
      <c r="J25" s="470">
        <f>+K25+L25</f>
        <v>227578.4</v>
      </c>
      <c r="K25" s="405">
        <f>+K27</f>
        <v>206795</v>
      </c>
      <c r="L25" s="406">
        <f>+L27</f>
        <v>20783.400000000001</v>
      </c>
    </row>
    <row r="26" spans="1:12" ht="24.75" customHeight="1">
      <c r="A26" s="606"/>
      <c r="B26" s="604"/>
      <c r="C26" s="387" t="s">
        <v>209</v>
      </c>
      <c r="D26" s="2"/>
      <c r="E26" s="402"/>
      <c r="F26" s="403"/>
      <c r="G26" s="2"/>
      <c r="H26" s="402"/>
      <c r="I26" s="403"/>
      <c r="J26" s="469"/>
      <c r="K26" s="402"/>
      <c r="L26" s="403"/>
    </row>
    <row r="27" spans="1:12" ht="40.5" customHeight="1">
      <c r="A27" s="607"/>
      <c r="B27" s="605"/>
      <c r="C27" s="127" t="s">
        <v>210</v>
      </c>
      <c r="D27" s="3">
        <f>E27+F27</f>
        <v>227578.4</v>
      </c>
      <c r="E27" s="293">
        <f>+E29</f>
        <v>206795</v>
      </c>
      <c r="F27" s="347">
        <f>+F29</f>
        <v>20783.400000000001</v>
      </c>
      <c r="G27" s="3">
        <f>H27+I27</f>
        <v>227578.4</v>
      </c>
      <c r="H27" s="293">
        <f>+H29</f>
        <v>206795</v>
      </c>
      <c r="I27" s="347">
        <f>+I29</f>
        <v>20783.400000000001</v>
      </c>
      <c r="J27" s="355">
        <f>K27+L27</f>
        <v>227578.4</v>
      </c>
      <c r="K27" s="293">
        <f>+K29</f>
        <v>206795</v>
      </c>
      <c r="L27" s="347">
        <f>+L29</f>
        <v>20783.400000000001</v>
      </c>
    </row>
    <row r="28" spans="1:12" ht="30" customHeight="1">
      <c r="A28" s="607"/>
      <c r="B28" s="605"/>
      <c r="C28" s="292" t="s">
        <v>208</v>
      </c>
      <c r="D28" s="3"/>
      <c r="E28" s="293"/>
      <c r="F28" s="347"/>
      <c r="G28" s="3"/>
      <c r="H28" s="293"/>
      <c r="I28" s="347"/>
      <c r="J28" s="355"/>
      <c r="K28" s="293"/>
      <c r="L28" s="347"/>
    </row>
    <row r="29" spans="1:12" ht="18" customHeight="1">
      <c r="A29" s="607"/>
      <c r="B29" s="605"/>
      <c r="C29" s="537" t="s">
        <v>19</v>
      </c>
      <c r="D29" s="3">
        <f>E29+F29</f>
        <v>227578.4</v>
      </c>
      <c r="E29" s="293">
        <f>+SUM(E30:E30)</f>
        <v>206795</v>
      </c>
      <c r="F29" s="347">
        <f>+SUM(F30:F30)</f>
        <v>20783.400000000001</v>
      </c>
      <c r="G29" s="3">
        <f>H29+I29</f>
        <v>227578.4</v>
      </c>
      <c r="H29" s="293">
        <f>+SUM(H30:H30)</f>
        <v>206795</v>
      </c>
      <c r="I29" s="347">
        <f>+SUM(I30:I30)</f>
        <v>20783.400000000001</v>
      </c>
      <c r="J29" s="355">
        <f>K29+L29</f>
        <v>227578.4</v>
      </c>
      <c r="K29" s="293">
        <f>+SUM(K30:K30)</f>
        <v>206795</v>
      </c>
      <c r="L29" s="347">
        <f>+SUM(L30:L30)</f>
        <v>20783.400000000001</v>
      </c>
    </row>
    <row r="30" spans="1:12" ht="20.25" customHeight="1">
      <c r="A30" s="593"/>
      <c r="B30" s="596"/>
      <c r="C30" s="288" t="s">
        <v>320</v>
      </c>
      <c r="D30" s="3">
        <f>E30+F30</f>
        <v>227578.4</v>
      </c>
      <c r="E30" s="293">
        <v>206795</v>
      </c>
      <c r="F30" s="347">
        <v>20783.400000000001</v>
      </c>
      <c r="G30" s="3">
        <f>H30+I30</f>
        <v>227578.4</v>
      </c>
      <c r="H30" s="293">
        <f>+E30</f>
        <v>206795</v>
      </c>
      <c r="I30" s="347">
        <f>+F30</f>
        <v>20783.400000000001</v>
      </c>
      <c r="J30" s="355">
        <f>K30+L30</f>
        <v>227578.4</v>
      </c>
      <c r="K30" s="293">
        <f>+H30</f>
        <v>206795</v>
      </c>
      <c r="L30" s="347">
        <f>+I30</f>
        <v>20783.400000000001</v>
      </c>
    </row>
    <row r="31" spans="1:12" ht="123.75" customHeight="1">
      <c r="A31" s="447"/>
      <c r="B31" s="400">
        <v>31004</v>
      </c>
      <c r="C31" s="404" t="s">
        <v>322</v>
      </c>
      <c r="D31" s="479">
        <f>+E31+F31</f>
        <v>-237578.4</v>
      </c>
      <c r="E31" s="405">
        <f>+E33</f>
        <v>-216795</v>
      </c>
      <c r="F31" s="406">
        <f>+F33</f>
        <v>-20783.400000000001</v>
      </c>
      <c r="G31" s="479">
        <f>+H31+I31</f>
        <v>-237578.4</v>
      </c>
      <c r="H31" s="405">
        <f>+H33</f>
        <v>-216795</v>
      </c>
      <c r="I31" s="406">
        <f>+I33</f>
        <v>-20783.400000000001</v>
      </c>
      <c r="J31" s="470">
        <f>+K31+L31</f>
        <v>-237578.4</v>
      </c>
      <c r="K31" s="405">
        <f>+K33</f>
        <v>-216795</v>
      </c>
      <c r="L31" s="406">
        <f>+L33</f>
        <v>-20783.400000000001</v>
      </c>
    </row>
    <row r="32" spans="1:12" ht="24" customHeight="1">
      <c r="A32" s="593"/>
      <c r="B32" s="596"/>
      <c r="C32" s="387" t="s">
        <v>209</v>
      </c>
      <c r="D32" s="2"/>
      <c r="E32" s="402"/>
      <c r="F32" s="403"/>
      <c r="G32" s="2"/>
      <c r="H32" s="402"/>
      <c r="I32" s="403"/>
      <c r="J32" s="469"/>
      <c r="K32" s="402"/>
      <c r="L32" s="403"/>
    </row>
    <row r="33" spans="1:12" ht="36" customHeight="1">
      <c r="A33" s="594"/>
      <c r="B33" s="597"/>
      <c r="C33" s="127" t="s">
        <v>210</v>
      </c>
      <c r="D33" s="3">
        <f>E33+F33</f>
        <v>-237578.4</v>
      </c>
      <c r="E33" s="293">
        <f>+E35</f>
        <v>-216795</v>
      </c>
      <c r="F33" s="347">
        <f>+F35</f>
        <v>-20783.400000000001</v>
      </c>
      <c r="G33" s="3">
        <f>H33+I33</f>
        <v>-237578.4</v>
      </c>
      <c r="H33" s="293">
        <f>+H35</f>
        <v>-216795</v>
      </c>
      <c r="I33" s="347">
        <f>+I35</f>
        <v>-20783.400000000001</v>
      </c>
      <c r="J33" s="355">
        <f>K33+L33</f>
        <v>-237578.4</v>
      </c>
      <c r="K33" s="293">
        <f>+K35</f>
        <v>-216795</v>
      </c>
      <c r="L33" s="347">
        <f>+L35</f>
        <v>-20783.400000000001</v>
      </c>
    </row>
    <row r="34" spans="1:12" ht="30" customHeight="1">
      <c r="A34" s="594"/>
      <c r="B34" s="597"/>
      <c r="C34" s="292" t="s">
        <v>208</v>
      </c>
      <c r="D34" s="3"/>
      <c r="E34" s="293"/>
      <c r="F34" s="347"/>
      <c r="G34" s="3"/>
      <c r="H34" s="293"/>
      <c r="I34" s="347"/>
      <c r="J34" s="355"/>
      <c r="K34" s="293"/>
      <c r="L34" s="347"/>
    </row>
    <row r="35" spans="1:12" ht="22.5" customHeight="1">
      <c r="A35" s="594"/>
      <c r="B35" s="597"/>
      <c r="C35" s="537" t="s">
        <v>20</v>
      </c>
      <c r="D35" s="472">
        <f>E35+F35</f>
        <v>-237578.4</v>
      </c>
      <c r="E35" s="294">
        <f>+E36</f>
        <v>-216795</v>
      </c>
      <c r="F35" s="346">
        <f>+F36</f>
        <v>-20783.400000000001</v>
      </c>
      <c r="G35" s="472">
        <f>H35+I35</f>
        <v>-237578.4</v>
      </c>
      <c r="H35" s="294">
        <f>+H36</f>
        <v>-216795</v>
      </c>
      <c r="I35" s="346">
        <f>+I36</f>
        <v>-20783.400000000001</v>
      </c>
      <c r="J35" s="464">
        <f>K35+L35</f>
        <v>-237578.4</v>
      </c>
      <c r="K35" s="294">
        <f>+K36</f>
        <v>-216795</v>
      </c>
      <c r="L35" s="346">
        <f>+L36</f>
        <v>-20783.400000000001</v>
      </c>
    </row>
    <row r="36" spans="1:12" ht="28.5" customHeight="1" thickBot="1">
      <c r="A36" s="595"/>
      <c r="B36" s="598"/>
      <c r="C36" s="380" t="s">
        <v>137</v>
      </c>
      <c r="D36" s="480">
        <f>E36+F36</f>
        <v>-237578.4</v>
      </c>
      <c r="E36" s="450">
        <v>-216795</v>
      </c>
      <c r="F36" s="451">
        <f>-(F30+F24)</f>
        <v>-20783.400000000001</v>
      </c>
      <c r="G36" s="480">
        <f>H36+I36</f>
        <v>-237578.4</v>
      </c>
      <c r="H36" s="450">
        <f>+E36</f>
        <v>-216795</v>
      </c>
      <c r="I36" s="451">
        <f>+F36</f>
        <v>-20783.400000000001</v>
      </c>
      <c r="J36" s="471">
        <f>K36+L36</f>
        <v>-237578.4</v>
      </c>
      <c r="K36" s="450">
        <f>+H36</f>
        <v>-216795</v>
      </c>
      <c r="L36" s="451">
        <f>+I36</f>
        <v>-20783.400000000001</v>
      </c>
    </row>
    <row r="37" spans="1:12">
      <c r="L37" s="1">
        <v>0</v>
      </c>
    </row>
    <row r="38" spans="1:12" hidden="1">
      <c r="D38" s="1" t="e">
        <f>+#REF!+#REF!+#REF!+#REF!+D25+#REF!+#REF!+#REF!+#REF!+#REF!+#REF!+#REF!</f>
        <v>#REF!</v>
      </c>
      <c r="E38" s="1" t="e">
        <f>+#REF!+#REF!+#REF!+#REF!+E25+#REF!+#REF!+#REF!+#REF!+#REF!+#REF!+#REF!</f>
        <v>#REF!</v>
      </c>
      <c r="F38" s="1" t="e">
        <f>+#REF!+#REF!+#REF!+#REF!+F25+#REF!+#REF!+#REF!+#REF!+#REF!+#REF!+#REF!</f>
        <v>#REF!</v>
      </c>
      <c r="G38" s="1" t="e">
        <f>+#REF!+#REF!+#REF!+#REF!+G25+#REF!+#REF!+#REF!+#REF!+#REF!+#REF!+#REF!</f>
        <v>#REF!</v>
      </c>
      <c r="H38" s="1" t="e">
        <f>+#REF!+#REF!+#REF!+#REF!+H25+#REF!+#REF!+#REF!+#REF!+#REF!+#REF!+#REF!</f>
        <v>#REF!</v>
      </c>
      <c r="I38" s="1" t="e">
        <f>+#REF!+#REF!+#REF!+#REF!+I25+#REF!+#REF!+#REF!+#REF!+#REF!+#REF!+#REF!</f>
        <v>#REF!</v>
      </c>
      <c r="J38" s="1" t="e">
        <f>+#REF!+#REF!+#REF!+#REF!+J25+#REF!+#REF!+#REF!+#REF!+#REF!+#REF!+#REF!</f>
        <v>#REF!</v>
      </c>
      <c r="K38" s="1" t="e">
        <f>+#REF!+#REF!+#REF!+#REF!+K25+#REF!+#REF!+#REF!+#REF!+#REF!+#REF!+#REF!</f>
        <v>#REF!</v>
      </c>
      <c r="L38" s="1" t="e">
        <f>+#REF!+#REF!+#REF!+#REF!+L25+#REF!+#REF!+#REF!+#REF!+#REF!+#REF!+#REF!</f>
        <v>#REF!</v>
      </c>
    </row>
    <row r="39" spans="1:12" hidden="1">
      <c r="D39" s="1" t="e">
        <f t="shared" ref="D39:L39" si="1">+D13-D38</f>
        <v>#REF!</v>
      </c>
      <c r="E39" s="1" t="e">
        <f t="shared" si="1"/>
        <v>#REF!</v>
      </c>
      <c r="F39" s="1" t="e">
        <f t="shared" si="1"/>
        <v>#REF!</v>
      </c>
      <c r="G39" s="1" t="e">
        <f t="shared" si="1"/>
        <v>#REF!</v>
      </c>
      <c r="H39" s="1" t="e">
        <f t="shared" si="1"/>
        <v>#REF!</v>
      </c>
      <c r="I39" s="1" t="e">
        <f t="shared" si="1"/>
        <v>#REF!</v>
      </c>
      <c r="J39" s="1" t="e">
        <f t="shared" si="1"/>
        <v>#REF!</v>
      </c>
      <c r="K39" s="1" t="e">
        <f t="shared" si="1"/>
        <v>#REF!</v>
      </c>
      <c r="L39" s="1" t="e">
        <f t="shared" si="1"/>
        <v>#REF!</v>
      </c>
    </row>
    <row r="40" spans="1:12" hidden="1"/>
    <row r="41" spans="1:12" hidden="1"/>
    <row r="42" spans="1:12" hidden="1"/>
    <row r="43" spans="1:12" hidden="1"/>
    <row r="44" spans="1:12" hidden="1"/>
    <row r="45" spans="1:12" hidden="1"/>
    <row r="46" spans="1:12" hidden="1"/>
    <row r="50" spans="6:6">
      <c r="F50" s="1">
        <v>2073669.2</v>
      </c>
    </row>
  </sheetData>
  <mergeCells count="25">
    <mergeCell ref="A32:A36"/>
    <mergeCell ref="B32:B36"/>
    <mergeCell ref="A20:A23"/>
    <mergeCell ref="B20:B23"/>
    <mergeCell ref="D10:F10"/>
    <mergeCell ref="G10:I10"/>
    <mergeCell ref="B26:B30"/>
    <mergeCell ref="A26:A30"/>
    <mergeCell ref="B11:B12"/>
    <mergeCell ref="J11:J12"/>
    <mergeCell ref="A8:B10"/>
    <mergeCell ref="C8:C12"/>
    <mergeCell ref="D8:L9"/>
    <mergeCell ref="J10:L10"/>
    <mergeCell ref="A11:A12"/>
    <mergeCell ref="K11:L11"/>
    <mergeCell ref="D11:D12"/>
    <mergeCell ref="E11:F11"/>
    <mergeCell ref="G11:G12"/>
    <mergeCell ref="H11:I11"/>
    <mergeCell ref="E1:F1"/>
    <mergeCell ref="H1:I1"/>
    <mergeCell ref="E2:F2"/>
    <mergeCell ref="H2:I2"/>
    <mergeCell ref="A5:L5"/>
  </mergeCells>
  <printOptions horizontalCentered="1"/>
  <pageMargins left="0" right="0" top="0" bottom="0" header="0" footer="0"/>
  <pageSetup paperSize="9" scale="75" orientation="landscape" horizontalDpi="4294967294" verticalDpi="4294967294" r:id="rId1"/>
  <rowBreaks count="1" manualBreakCount="1">
    <brk id="24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9"/>
  <sheetViews>
    <sheetView view="pageBreakPreview" topLeftCell="A88" zoomScaleNormal="100" zoomScaleSheetLayoutView="100" workbookViewId="0">
      <selection activeCell="C1" sqref="C1:C1048576"/>
    </sheetView>
  </sheetViews>
  <sheetFormatPr defaultRowHeight="13.5"/>
  <cols>
    <col min="1" max="1" width="37.7109375" style="24" customWidth="1"/>
    <col min="2" max="2" width="48.85546875" style="24" customWidth="1"/>
    <col min="3" max="3" width="14.5703125" style="24" hidden="1" customWidth="1"/>
    <col min="4" max="4" width="16.28515625" style="24" customWidth="1"/>
    <col min="5" max="5" width="19.140625" style="24" customWidth="1"/>
    <col min="6" max="6" width="19.5703125" style="24" hidden="1" customWidth="1"/>
    <col min="7" max="7" width="19.42578125" style="24" hidden="1" customWidth="1"/>
    <col min="8" max="8" width="19.5703125" style="24" hidden="1" customWidth="1"/>
    <col min="9" max="9" width="17.7109375" style="24" customWidth="1"/>
    <col min="10" max="10" width="18.7109375" style="24" customWidth="1"/>
    <col min="11" max="11" width="15" style="24" customWidth="1"/>
    <col min="12" max="16384" width="9.140625" style="24"/>
  </cols>
  <sheetData>
    <row r="1" spans="1:8" ht="16.5" customHeight="1">
      <c r="C1" s="313"/>
      <c r="E1" s="313" t="s">
        <v>334</v>
      </c>
      <c r="F1" s="21"/>
      <c r="G1" s="21"/>
      <c r="H1" s="21" t="s">
        <v>119</v>
      </c>
    </row>
    <row r="2" spans="1:8" ht="15.75" customHeight="1">
      <c r="D2" s="315" t="s">
        <v>265</v>
      </c>
      <c r="F2" s="21"/>
      <c r="G2" s="21"/>
      <c r="H2" s="21" t="s">
        <v>26</v>
      </c>
    </row>
    <row r="3" spans="1:8">
      <c r="D3" s="313" t="s">
        <v>266</v>
      </c>
      <c r="E3" s="314"/>
    </row>
    <row r="4" spans="1:8">
      <c r="D4" s="313"/>
      <c r="E4" s="314"/>
    </row>
    <row r="5" spans="1:8">
      <c r="C5" s="313"/>
      <c r="D5" s="684" t="s">
        <v>313</v>
      </c>
      <c r="E5" s="684"/>
    </row>
    <row r="6" spans="1:8">
      <c r="C6" s="313"/>
      <c r="D6" s="409"/>
      <c r="E6" s="409"/>
    </row>
    <row r="7" spans="1:8" ht="38.25" customHeight="1">
      <c r="A7" s="685" t="s">
        <v>276</v>
      </c>
      <c r="B7" s="685"/>
      <c r="C7" s="685"/>
      <c r="D7" s="685"/>
      <c r="E7" s="685"/>
      <c r="F7" s="312"/>
      <c r="G7" s="312"/>
      <c r="H7" s="312"/>
    </row>
    <row r="8" spans="1:8" ht="12.75" customHeight="1">
      <c r="A8" s="65"/>
      <c r="B8" s="65"/>
      <c r="C8" s="65"/>
      <c r="D8" s="65"/>
      <c r="E8" s="65"/>
      <c r="F8" s="312"/>
      <c r="G8" s="312"/>
      <c r="H8" s="312"/>
    </row>
    <row r="9" spans="1:8" ht="21.75" customHeight="1">
      <c r="A9" s="686" t="s">
        <v>278</v>
      </c>
      <c r="B9" s="686"/>
      <c r="C9" s="686"/>
      <c r="D9" s="686"/>
      <c r="E9" s="65"/>
      <c r="F9" s="65"/>
      <c r="G9" s="65"/>
      <c r="H9" s="65"/>
    </row>
    <row r="10" spans="1:8" ht="16.5">
      <c r="A10" s="687" t="s">
        <v>263</v>
      </c>
      <c r="B10" s="687"/>
      <c r="C10" s="687"/>
      <c r="D10" s="687"/>
      <c r="E10" s="687"/>
      <c r="F10" s="65"/>
      <c r="G10" s="65"/>
      <c r="H10" s="65"/>
    </row>
    <row r="11" spans="1:8" ht="13.5" customHeight="1" thickBot="1">
      <c r="A11" s="316"/>
      <c r="B11" s="316"/>
      <c r="C11" s="316"/>
      <c r="D11" s="316"/>
      <c r="E11" s="316"/>
      <c r="F11" s="65"/>
      <c r="G11" s="65"/>
      <c r="H11" s="65"/>
    </row>
    <row r="12" spans="1:8" ht="23.25" customHeight="1">
      <c r="A12" s="455" t="s">
        <v>267</v>
      </c>
      <c r="B12" s="456" t="s">
        <v>268</v>
      </c>
      <c r="C12" s="316"/>
      <c r="D12" s="316"/>
      <c r="E12" s="316"/>
      <c r="F12" s="65"/>
      <c r="G12" s="65"/>
      <c r="H12" s="65"/>
    </row>
    <row r="13" spans="1:8" ht="17.25" thickBot="1">
      <c r="A13" s="457">
        <v>1004</v>
      </c>
      <c r="B13" s="458" t="s">
        <v>270</v>
      </c>
      <c r="C13" s="316"/>
      <c r="D13" s="316"/>
      <c r="E13" s="316"/>
      <c r="F13" s="65"/>
      <c r="G13" s="65"/>
      <c r="H13" s="65"/>
    </row>
    <row r="14" spans="1:8" ht="12.75" customHeight="1">
      <c r="A14" s="317"/>
      <c r="B14" s="313"/>
      <c r="C14" s="316"/>
      <c r="D14" s="316"/>
      <c r="E14" s="316"/>
      <c r="F14" s="65"/>
      <c r="G14" s="65"/>
      <c r="H14" s="65"/>
    </row>
    <row r="15" spans="1:8" ht="16.5">
      <c r="A15" s="318" t="s">
        <v>269</v>
      </c>
      <c r="B15" s="313"/>
      <c r="C15" s="316"/>
      <c r="D15" s="316"/>
      <c r="E15" s="316"/>
      <c r="F15" s="65"/>
      <c r="G15" s="65"/>
      <c r="H15" s="65"/>
    </row>
    <row r="16" spans="1:8" ht="10.5" customHeight="1" thickBot="1"/>
    <row r="17" spans="1:5" ht="30" customHeight="1">
      <c r="A17" s="663" t="s">
        <v>227</v>
      </c>
      <c r="B17" s="665" t="s">
        <v>254</v>
      </c>
      <c r="C17" s="671"/>
      <c r="D17" s="671"/>
      <c r="E17" s="672"/>
    </row>
    <row r="18" spans="1:5" ht="45.75" customHeight="1">
      <c r="A18" s="664"/>
      <c r="B18" s="666"/>
      <c r="C18" s="682"/>
      <c r="D18" s="682"/>
      <c r="E18" s="683"/>
    </row>
    <row r="19" spans="1:5" ht="27">
      <c r="A19" s="306" t="s">
        <v>230</v>
      </c>
      <c r="B19" s="533">
        <v>11006</v>
      </c>
      <c r="C19" s="211" t="s">
        <v>339</v>
      </c>
      <c r="D19" s="211" t="s">
        <v>340</v>
      </c>
      <c r="E19" s="307" t="s">
        <v>341</v>
      </c>
    </row>
    <row r="20" spans="1:5" ht="42.75" customHeight="1">
      <c r="A20" s="306" t="s">
        <v>211</v>
      </c>
      <c r="B20" s="303" t="s">
        <v>323</v>
      </c>
      <c r="C20" s="295"/>
      <c r="D20" s="295"/>
      <c r="E20" s="299"/>
    </row>
    <row r="21" spans="1:5" ht="43.5" customHeight="1">
      <c r="A21" s="306" t="s">
        <v>213</v>
      </c>
      <c r="B21" s="303" t="s">
        <v>325</v>
      </c>
      <c r="C21" s="295"/>
      <c r="D21" s="295"/>
      <c r="E21" s="299"/>
    </row>
    <row r="22" spans="1:5">
      <c r="A22" s="306" t="s">
        <v>215</v>
      </c>
      <c r="B22" s="303" t="s">
        <v>260</v>
      </c>
      <c r="C22" s="295"/>
      <c r="D22" s="295"/>
      <c r="E22" s="299"/>
    </row>
    <row r="23" spans="1:5" ht="44.25" customHeight="1">
      <c r="A23" s="459" t="s">
        <v>311</v>
      </c>
      <c r="B23" s="303" t="s">
        <v>218</v>
      </c>
      <c r="C23" s="295"/>
      <c r="D23" s="295"/>
      <c r="E23" s="299"/>
    </row>
    <row r="24" spans="1:5" ht="24.75" customHeight="1">
      <c r="A24" s="659" t="s">
        <v>219</v>
      </c>
      <c r="B24" s="660"/>
      <c r="C24" s="296"/>
      <c r="D24" s="296"/>
      <c r="E24" s="300"/>
    </row>
    <row r="25" spans="1:5" ht="13.5" customHeight="1">
      <c r="A25" s="673" t="s">
        <v>261</v>
      </c>
      <c r="B25" s="674"/>
      <c r="C25" s="296" t="s">
        <v>262</v>
      </c>
      <c r="D25" s="296" t="s">
        <v>262</v>
      </c>
      <c r="E25" s="300"/>
    </row>
    <row r="26" spans="1:5" ht="18.75" customHeight="1" thickBot="1">
      <c r="A26" s="675" t="s">
        <v>312</v>
      </c>
      <c r="B26" s="676"/>
      <c r="C26" s="460">
        <f>+'Հավելված 3'!D24</f>
        <v>166095</v>
      </c>
      <c r="D26" s="460">
        <f>+'Հավելված 3'!G24</f>
        <v>166095</v>
      </c>
      <c r="E26" s="461">
        <f>+'Հավելված 3'!J24</f>
        <v>166095</v>
      </c>
    </row>
    <row r="27" spans="1:5" ht="14.25" thickBot="1"/>
    <row r="28" spans="1:5">
      <c r="A28" s="304" t="s">
        <v>227</v>
      </c>
      <c r="B28" s="305" t="s">
        <v>254</v>
      </c>
      <c r="C28" s="671"/>
      <c r="D28" s="671"/>
      <c r="E28" s="672"/>
    </row>
    <row r="29" spans="1:5" ht="27">
      <c r="A29" s="306" t="s">
        <v>230</v>
      </c>
      <c r="B29" s="303">
        <v>31001</v>
      </c>
      <c r="C29" s="211" t="s">
        <v>339</v>
      </c>
      <c r="D29" s="211" t="s">
        <v>340</v>
      </c>
      <c r="E29" s="307" t="s">
        <v>341</v>
      </c>
    </row>
    <row r="30" spans="1:5" ht="33.75" customHeight="1">
      <c r="A30" s="306" t="s">
        <v>211</v>
      </c>
      <c r="B30" s="303" t="s">
        <v>324</v>
      </c>
      <c r="C30" s="295"/>
      <c r="D30" s="295"/>
      <c r="E30" s="299"/>
    </row>
    <row r="31" spans="1:5" ht="34.5" customHeight="1">
      <c r="A31" s="306" t="s">
        <v>213</v>
      </c>
      <c r="B31" s="303" t="s">
        <v>326</v>
      </c>
      <c r="C31" s="295"/>
      <c r="D31" s="295"/>
      <c r="E31" s="299"/>
    </row>
    <row r="32" spans="1:5" ht="25.5">
      <c r="A32" s="306" t="s">
        <v>215</v>
      </c>
      <c r="B32" s="303" t="s">
        <v>216</v>
      </c>
      <c r="C32" s="295"/>
      <c r="D32" s="295"/>
      <c r="E32" s="299"/>
    </row>
    <row r="33" spans="1:5" ht="49.5" customHeight="1">
      <c r="A33" s="459" t="s">
        <v>311</v>
      </c>
      <c r="B33" s="303" t="s">
        <v>218</v>
      </c>
      <c r="C33" s="295"/>
      <c r="D33" s="295"/>
      <c r="E33" s="299"/>
    </row>
    <row r="34" spans="1:5" ht="13.5" customHeight="1">
      <c r="A34" s="659" t="s">
        <v>219</v>
      </c>
      <c r="B34" s="660"/>
      <c r="C34" s="296"/>
      <c r="D34" s="296"/>
      <c r="E34" s="300"/>
    </row>
    <row r="35" spans="1:5" ht="13.5" customHeight="1">
      <c r="A35" s="673" t="s">
        <v>330</v>
      </c>
      <c r="B35" s="674"/>
      <c r="C35" s="529"/>
      <c r="D35" s="529"/>
      <c r="E35" s="530"/>
    </row>
    <row r="36" spans="1:5" ht="13.5" customHeight="1">
      <c r="A36" s="673" t="s">
        <v>331</v>
      </c>
      <c r="B36" s="674"/>
      <c r="C36" s="531"/>
      <c r="D36" s="531"/>
      <c r="E36" s="532"/>
    </row>
    <row r="37" spans="1:5" ht="24.75" customHeight="1" thickBot="1">
      <c r="A37" s="675" t="s">
        <v>226</v>
      </c>
      <c r="B37" s="676"/>
      <c r="C37" s="462">
        <f>+'Հավելված 3'!D25</f>
        <v>722505</v>
      </c>
      <c r="D37" s="462">
        <f>+'Հավելված 3'!G25</f>
        <v>722505</v>
      </c>
      <c r="E37" s="463">
        <f>+'Հավելված 3'!J25</f>
        <v>1792701.1</v>
      </c>
    </row>
    <row r="38" spans="1:5" ht="14.25" thickBot="1"/>
    <row r="39" spans="1:5">
      <c r="A39" s="304" t="s">
        <v>227</v>
      </c>
      <c r="B39" s="305" t="s">
        <v>254</v>
      </c>
      <c r="C39" s="677"/>
      <c r="D39" s="677"/>
      <c r="E39" s="678"/>
    </row>
    <row r="40" spans="1:5" ht="27">
      <c r="A40" s="306" t="s">
        <v>230</v>
      </c>
      <c r="B40" s="303">
        <v>31004</v>
      </c>
      <c r="C40" s="211" t="s">
        <v>339</v>
      </c>
      <c r="D40" s="211" t="s">
        <v>340</v>
      </c>
      <c r="E40" s="307" t="s">
        <v>341</v>
      </c>
    </row>
    <row r="41" spans="1:5" ht="66" customHeight="1">
      <c r="A41" s="306" t="s">
        <v>211</v>
      </c>
      <c r="B41" s="303" t="s">
        <v>343</v>
      </c>
      <c r="C41" s="295"/>
      <c r="D41" s="295"/>
      <c r="E41" s="299"/>
    </row>
    <row r="42" spans="1:5" ht="44.25" customHeight="1">
      <c r="A42" s="306" t="s">
        <v>213</v>
      </c>
      <c r="B42" s="303" t="s">
        <v>344</v>
      </c>
      <c r="C42" s="295"/>
      <c r="D42" s="295"/>
      <c r="E42" s="299"/>
    </row>
    <row r="43" spans="1:5" ht="25.5">
      <c r="A43" s="306" t="s">
        <v>215</v>
      </c>
      <c r="B43" s="303" t="s">
        <v>216</v>
      </c>
      <c r="C43" s="295"/>
      <c r="D43" s="295"/>
      <c r="E43" s="299"/>
    </row>
    <row r="44" spans="1:5" ht="44.25" customHeight="1">
      <c r="A44" s="459" t="s">
        <v>311</v>
      </c>
      <c r="B44" s="303" t="s">
        <v>218</v>
      </c>
      <c r="C44" s="295"/>
      <c r="D44" s="295"/>
      <c r="E44" s="299"/>
    </row>
    <row r="45" spans="1:5" ht="13.5" customHeight="1">
      <c r="A45" s="655" t="s">
        <v>219</v>
      </c>
      <c r="B45" s="656"/>
      <c r="C45" s="296"/>
      <c r="D45" s="296"/>
      <c r="E45" s="300"/>
    </row>
    <row r="46" spans="1:5" ht="13.5" customHeight="1">
      <c r="A46" s="657" t="s">
        <v>345</v>
      </c>
      <c r="B46" s="658"/>
      <c r="C46" s="529"/>
      <c r="D46" s="529"/>
      <c r="E46" s="530"/>
    </row>
    <row r="47" spans="1:5" ht="24.75" customHeight="1" thickBot="1">
      <c r="A47" s="688" t="s">
        <v>226</v>
      </c>
      <c r="B47" s="689"/>
      <c r="C47" s="462">
        <f>+'Հավելված 3'!D36</f>
        <v>0</v>
      </c>
      <c r="D47" s="462">
        <f>+'Հավելված 3'!G36</f>
        <v>0</v>
      </c>
      <c r="E47" s="463">
        <f>+'Հավելված 3'!J36</f>
        <v>-1070196.1000000001</v>
      </c>
    </row>
    <row r="48" spans="1:5" ht="14.25" thickBot="1"/>
    <row r="49" spans="1:8">
      <c r="A49" s="663" t="s">
        <v>227</v>
      </c>
      <c r="B49" s="665" t="s">
        <v>254</v>
      </c>
      <c r="C49" s="671"/>
      <c r="D49" s="671"/>
      <c r="E49" s="672"/>
    </row>
    <row r="50" spans="1:8" ht="47.25" customHeight="1">
      <c r="A50" s="664"/>
      <c r="B50" s="666"/>
      <c r="C50" s="682"/>
      <c r="D50" s="682"/>
      <c r="E50" s="683"/>
    </row>
    <row r="51" spans="1:8" ht="27">
      <c r="A51" s="306" t="s">
        <v>230</v>
      </c>
      <c r="B51" s="303" t="s">
        <v>244</v>
      </c>
      <c r="C51" s="211" t="s">
        <v>339</v>
      </c>
      <c r="D51" s="211" t="s">
        <v>340</v>
      </c>
      <c r="E51" s="307" t="s">
        <v>341</v>
      </c>
    </row>
    <row r="52" spans="1:8" ht="53.25" customHeight="1">
      <c r="A52" s="306" t="s">
        <v>211</v>
      </c>
      <c r="B52" s="303" t="s">
        <v>257</v>
      </c>
      <c r="C52" s="295"/>
      <c r="D52" s="295"/>
      <c r="E52" s="299"/>
    </row>
    <row r="53" spans="1:8" ht="31.5" customHeight="1">
      <c r="A53" s="306" t="s">
        <v>213</v>
      </c>
      <c r="B53" s="303" t="s">
        <v>258</v>
      </c>
      <c r="C53" s="295"/>
      <c r="D53" s="295"/>
      <c r="E53" s="299"/>
    </row>
    <row r="54" spans="1:8" ht="29.25" customHeight="1">
      <c r="A54" s="306" t="s">
        <v>215</v>
      </c>
      <c r="B54" s="303" t="s">
        <v>216</v>
      </c>
      <c r="C54" s="295"/>
      <c r="D54" s="295"/>
      <c r="E54" s="299"/>
    </row>
    <row r="55" spans="1:8" ht="52.5" customHeight="1">
      <c r="A55" s="459" t="s">
        <v>311</v>
      </c>
      <c r="B55" s="303" t="s">
        <v>218</v>
      </c>
      <c r="C55" s="295"/>
      <c r="D55" s="295"/>
      <c r="E55" s="299"/>
    </row>
    <row r="56" spans="1:8" ht="13.5" customHeight="1">
      <c r="A56" s="659" t="s">
        <v>219</v>
      </c>
      <c r="B56" s="660"/>
      <c r="C56" s="296"/>
      <c r="D56" s="296"/>
      <c r="E56" s="300"/>
    </row>
    <row r="57" spans="1:8" ht="13.5" customHeight="1">
      <c r="A57" s="673" t="s">
        <v>259</v>
      </c>
      <c r="B57" s="674"/>
      <c r="C57" s="529"/>
      <c r="D57" s="529"/>
      <c r="E57" s="530"/>
    </row>
    <row r="58" spans="1:8" ht="13.5" customHeight="1">
      <c r="A58" s="673" t="s">
        <v>255</v>
      </c>
      <c r="B58" s="674"/>
      <c r="C58" s="529"/>
      <c r="D58" s="529"/>
      <c r="E58" s="530"/>
    </row>
    <row r="59" spans="1:8" ht="18" customHeight="1" thickBot="1">
      <c r="A59" s="661" t="s">
        <v>226</v>
      </c>
      <c r="B59" s="662"/>
      <c r="C59" s="460">
        <f>+'Հավելված 3'!D42</f>
        <v>143000</v>
      </c>
      <c r="D59" s="460">
        <f>+'Հավելված 3'!G42</f>
        <v>143000</v>
      </c>
      <c r="E59" s="461">
        <f>+'Հավելված 3'!J42</f>
        <v>143000</v>
      </c>
    </row>
    <row r="60" spans="1:8" s="32" customFormat="1" ht="13.5" customHeight="1">
      <c r="A60" s="66"/>
      <c r="B60" s="66"/>
      <c r="C60" s="319"/>
      <c r="D60" s="319"/>
      <c r="E60" s="319"/>
    </row>
    <row r="61" spans="1:8" ht="23.25" customHeight="1">
      <c r="A61" s="411" t="s">
        <v>267</v>
      </c>
      <c r="B61" s="411" t="s">
        <v>268</v>
      </c>
      <c r="C61" s="316"/>
      <c r="D61" s="316"/>
      <c r="E61" s="316"/>
      <c r="F61" s="65"/>
      <c r="G61" s="65"/>
      <c r="H61" s="65"/>
    </row>
    <row r="62" spans="1:8" ht="38.25" customHeight="1">
      <c r="A62" s="412">
        <v>1072</v>
      </c>
      <c r="B62" s="413" t="s">
        <v>271</v>
      </c>
      <c r="C62" s="316"/>
      <c r="D62" s="316"/>
      <c r="E62" s="316"/>
      <c r="F62" s="65"/>
      <c r="G62" s="65"/>
      <c r="H62" s="65"/>
    </row>
    <row r="63" spans="1:8" ht="11.25" customHeight="1">
      <c r="A63" s="317"/>
      <c r="B63" s="313"/>
      <c r="C63" s="316"/>
      <c r="D63" s="316"/>
      <c r="E63" s="316"/>
      <c r="F63" s="65"/>
      <c r="G63" s="65"/>
      <c r="H63" s="65"/>
    </row>
    <row r="64" spans="1:8" ht="16.5">
      <c r="A64" s="318" t="s">
        <v>269</v>
      </c>
      <c r="B64" s="313"/>
      <c r="C64" s="316"/>
      <c r="D64" s="316"/>
      <c r="E64" s="316"/>
      <c r="F64" s="65"/>
      <c r="G64" s="65"/>
      <c r="H64" s="65"/>
    </row>
    <row r="65" spans="1:5" ht="13.5" customHeight="1" thickBot="1">
      <c r="A65" s="354"/>
      <c r="B65" s="354"/>
      <c r="C65" s="351"/>
      <c r="D65" s="351"/>
      <c r="E65" s="351"/>
    </row>
    <row r="66" spans="1:5">
      <c r="A66" s="663" t="s">
        <v>227</v>
      </c>
      <c r="B66" s="665">
        <v>1072</v>
      </c>
      <c r="C66" s="671"/>
      <c r="D66" s="671"/>
      <c r="E66" s="672"/>
    </row>
    <row r="67" spans="1:5" ht="52.5" customHeight="1">
      <c r="A67" s="664"/>
      <c r="B67" s="666"/>
      <c r="C67" s="682"/>
      <c r="D67" s="682"/>
      <c r="E67" s="683"/>
    </row>
    <row r="68" spans="1:5" ht="27">
      <c r="A68" s="306" t="s">
        <v>230</v>
      </c>
      <c r="B68" s="410">
        <v>11003</v>
      </c>
      <c r="C68" s="211" t="s">
        <v>339</v>
      </c>
      <c r="D68" s="211" t="s">
        <v>340</v>
      </c>
      <c r="E68" s="307" t="s">
        <v>341</v>
      </c>
    </row>
    <row r="69" spans="1:5" ht="44.25" customHeight="1">
      <c r="A69" s="306" t="s">
        <v>211</v>
      </c>
      <c r="B69" s="410" t="s">
        <v>321</v>
      </c>
      <c r="C69" s="295"/>
      <c r="D69" s="295"/>
      <c r="E69" s="299"/>
    </row>
    <row r="70" spans="1:5" ht="32.25" customHeight="1">
      <c r="A70" s="306" t="s">
        <v>213</v>
      </c>
      <c r="B70" s="410" t="s">
        <v>327</v>
      </c>
      <c r="C70" s="295"/>
      <c r="D70" s="295"/>
      <c r="E70" s="299"/>
    </row>
    <row r="71" spans="1:5">
      <c r="A71" s="306" t="s">
        <v>215</v>
      </c>
      <c r="B71" s="303" t="s">
        <v>260</v>
      </c>
      <c r="C71" s="295"/>
      <c r="D71" s="295"/>
      <c r="E71" s="299"/>
    </row>
    <row r="72" spans="1:5" ht="49.5" customHeight="1">
      <c r="A72" s="459" t="s">
        <v>311</v>
      </c>
      <c r="B72" s="303" t="s">
        <v>218</v>
      </c>
      <c r="C72" s="295"/>
      <c r="D72" s="295"/>
      <c r="E72" s="299"/>
    </row>
    <row r="73" spans="1:5" ht="13.5" customHeight="1">
      <c r="A73" s="667" t="s">
        <v>219</v>
      </c>
      <c r="B73" s="668"/>
      <c r="C73" s="296"/>
      <c r="D73" s="296"/>
      <c r="E73" s="300"/>
    </row>
    <row r="74" spans="1:5" ht="13.5" customHeight="1">
      <c r="A74" s="669" t="s">
        <v>261</v>
      </c>
      <c r="B74" s="670"/>
      <c r="C74" s="296"/>
      <c r="D74" s="296"/>
      <c r="E74" s="300"/>
    </row>
    <row r="75" spans="1:5" ht="25.5" customHeight="1" thickBot="1">
      <c r="A75" s="661" t="s">
        <v>226</v>
      </c>
      <c r="B75" s="662"/>
      <c r="C75" s="462">
        <f>+'Հավելված 4'!D19</f>
        <v>10000</v>
      </c>
      <c r="D75" s="462">
        <f>+'Հավելված 4'!G19</f>
        <v>10000</v>
      </c>
      <c r="E75" s="463">
        <f>+'Հավելված 4'!J19</f>
        <v>10000</v>
      </c>
    </row>
    <row r="76" spans="1:5" ht="13.5" customHeight="1" thickBot="1">
      <c r="A76" s="408"/>
      <c r="B76" s="359"/>
      <c r="C76" s="298"/>
      <c r="D76" s="298"/>
      <c r="E76" s="298"/>
    </row>
    <row r="77" spans="1:5">
      <c r="A77" s="663" t="s">
        <v>227</v>
      </c>
      <c r="B77" s="665">
        <v>1072</v>
      </c>
      <c r="C77" s="671"/>
      <c r="D77" s="671"/>
      <c r="E77" s="672"/>
    </row>
    <row r="78" spans="1:5" ht="52.5" customHeight="1">
      <c r="A78" s="664"/>
      <c r="B78" s="666"/>
      <c r="C78" s="682"/>
      <c r="D78" s="682"/>
      <c r="E78" s="683"/>
    </row>
    <row r="79" spans="1:5" ht="27">
      <c r="A79" s="306" t="s">
        <v>230</v>
      </c>
      <c r="B79" s="410">
        <v>11004</v>
      </c>
      <c r="C79" s="211" t="s">
        <v>339</v>
      </c>
      <c r="D79" s="211" t="s">
        <v>340</v>
      </c>
      <c r="E79" s="307" t="s">
        <v>341</v>
      </c>
    </row>
    <row r="80" spans="1:5" ht="44.25" customHeight="1">
      <c r="A80" s="306" t="s">
        <v>211</v>
      </c>
      <c r="B80" s="410" t="s">
        <v>319</v>
      </c>
      <c r="C80" s="295"/>
      <c r="D80" s="295"/>
      <c r="E80" s="299"/>
    </row>
    <row r="81" spans="1:5" ht="32.25" customHeight="1">
      <c r="A81" s="306" t="s">
        <v>213</v>
      </c>
      <c r="B81" s="410" t="s">
        <v>333</v>
      </c>
      <c r="C81" s="295"/>
      <c r="D81" s="295"/>
      <c r="E81" s="299"/>
    </row>
    <row r="82" spans="1:5">
      <c r="A82" s="306" t="s">
        <v>215</v>
      </c>
      <c r="B82" s="303" t="s">
        <v>260</v>
      </c>
      <c r="C82" s="295"/>
      <c r="D82" s="295"/>
      <c r="E82" s="299"/>
    </row>
    <row r="83" spans="1:5" ht="49.5" customHeight="1">
      <c r="A83" s="459" t="s">
        <v>311</v>
      </c>
      <c r="B83" s="303" t="s">
        <v>218</v>
      </c>
      <c r="C83" s="295"/>
      <c r="D83" s="295"/>
      <c r="E83" s="299"/>
    </row>
    <row r="84" spans="1:5" ht="13.5" customHeight="1">
      <c r="A84" s="667" t="s">
        <v>219</v>
      </c>
      <c r="B84" s="668"/>
      <c r="C84" s="296"/>
      <c r="D84" s="296"/>
      <c r="E84" s="300"/>
    </row>
    <row r="85" spans="1:5" ht="13.5" customHeight="1">
      <c r="A85" s="669" t="s">
        <v>261</v>
      </c>
      <c r="B85" s="670"/>
      <c r="C85" s="296"/>
      <c r="D85" s="296"/>
      <c r="E85" s="300"/>
    </row>
    <row r="86" spans="1:5" ht="25.5" customHeight="1" thickBot="1">
      <c r="A86" s="661" t="s">
        <v>226</v>
      </c>
      <c r="B86" s="662"/>
      <c r="C86" s="462">
        <f>+'Հավելված 4'!D25</f>
        <v>227578.4</v>
      </c>
      <c r="D86" s="462">
        <f>+'Հավելված 4'!G25</f>
        <v>227578.4</v>
      </c>
      <c r="E86" s="463">
        <f>+'Հավելված 4'!J25</f>
        <v>227578.4</v>
      </c>
    </row>
    <row r="87" spans="1:5" ht="13.5" customHeight="1" thickBot="1">
      <c r="A87" s="408"/>
      <c r="B87" s="359"/>
      <c r="C87" s="298"/>
      <c r="D87" s="298"/>
      <c r="E87" s="298"/>
    </row>
    <row r="88" spans="1:5">
      <c r="A88" s="663" t="s">
        <v>227</v>
      </c>
      <c r="B88" s="665">
        <v>1072</v>
      </c>
      <c r="C88" s="671"/>
      <c r="D88" s="671"/>
      <c r="E88" s="672"/>
    </row>
    <row r="89" spans="1:5" ht="52.5" customHeight="1">
      <c r="A89" s="664"/>
      <c r="B89" s="666"/>
      <c r="C89" s="682"/>
      <c r="D89" s="682"/>
      <c r="E89" s="683"/>
    </row>
    <row r="90" spans="1:5" ht="27">
      <c r="A90" s="306" t="s">
        <v>230</v>
      </c>
      <c r="B90" s="410">
        <v>11005</v>
      </c>
      <c r="C90" s="211" t="s">
        <v>339</v>
      </c>
      <c r="D90" s="211" t="s">
        <v>340</v>
      </c>
      <c r="E90" s="307" t="s">
        <v>341</v>
      </c>
    </row>
    <row r="91" spans="1:5" ht="44.25" customHeight="1">
      <c r="A91" s="306" t="s">
        <v>211</v>
      </c>
      <c r="B91" s="410" t="s">
        <v>86</v>
      </c>
      <c r="C91" s="295"/>
      <c r="D91" s="295"/>
      <c r="E91" s="299"/>
    </row>
    <row r="92" spans="1:5" ht="32.25" customHeight="1">
      <c r="A92" s="306" t="s">
        <v>213</v>
      </c>
      <c r="B92" s="410" t="s">
        <v>337</v>
      </c>
      <c r="C92" s="295"/>
      <c r="D92" s="295"/>
      <c r="E92" s="299"/>
    </row>
    <row r="93" spans="1:5">
      <c r="A93" s="306" t="s">
        <v>215</v>
      </c>
      <c r="B93" s="303" t="s">
        <v>260</v>
      </c>
      <c r="C93" s="295"/>
      <c r="D93" s="295"/>
      <c r="E93" s="299"/>
    </row>
    <row r="94" spans="1:5" ht="49.5" customHeight="1">
      <c r="A94" s="459" t="s">
        <v>311</v>
      </c>
      <c r="B94" s="303" t="s">
        <v>218</v>
      </c>
      <c r="C94" s="295"/>
      <c r="D94" s="295"/>
      <c r="E94" s="299"/>
    </row>
    <row r="95" spans="1:5" ht="13.5" customHeight="1">
      <c r="A95" s="667" t="s">
        <v>219</v>
      </c>
      <c r="B95" s="668"/>
      <c r="C95" s="296"/>
      <c r="D95" s="296"/>
      <c r="E95" s="300"/>
    </row>
    <row r="96" spans="1:5" ht="13.5" customHeight="1">
      <c r="A96" s="669" t="s">
        <v>261</v>
      </c>
      <c r="B96" s="670"/>
      <c r="C96" s="296"/>
      <c r="D96" s="296"/>
      <c r="E96" s="300"/>
    </row>
    <row r="97" spans="1:10" ht="25.5" customHeight="1" thickBot="1">
      <c r="A97" s="661" t="s">
        <v>226</v>
      </c>
      <c r="B97" s="662"/>
      <c r="C97" s="462">
        <f>+'Հավելված 3'!D50</f>
        <v>0</v>
      </c>
      <c r="D97" s="462">
        <f>+'Հավելված 3'!G50</f>
        <v>0</v>
      </c>
      <c r="E97" s="463">
        <f>+'Հավելված 3'!J50</f>
        <v>10000</v>
      </c>
    </row>
    <row r="98" spans="1:10" ht="11.25" customHeight="1" thickBot="1">
      <c r="A98" s="495"/>
      <c r="B98" s="359"/>
      <c r="C98" s="494"/>
      <c r="D98" s="494"/>
      <c r="E98" s="494"/>
    </row>
    <row r="99" spans="1:10" ht="30.75" customHeight="1">
      <c r="A99" s="304" t="s">
        <v>227</v>
      </c>
      <c r="B99" s="305" t="s">
        <v>228</v>
      </c>
      <c r="C99" s="671"/>
      <c r="D99" s="671"/>
      <c r="E99" s="672"/>
      <c r="F99" s="37"/>
    </row>
    <row r="100" spans="1:10" ht="36.75" customHeight="1">
      <c r="A100" s="306" t="s">
        <v>230</v>
      </c>
      <c r="B100" s="303" t="s">
        <v>231</v>
      </c>
      <c r="C100" s="211" t="s">
        <v>339</v>
      </c>
      <c r="D100" s="211" t="s">
        <v>340</v>
      </c>
      <c r="E100" s="307" t="s">
        <v>341</v>
      </c>
      <c r="F100" s="37"/>
    </row>
    <row r="101" spans="1:10" ht="71.25" customHeight="1">
      <c r="A101" s="306" t="s">
        <v>211</v>
      </c>
      <c r="B101" s="303" t="s">
        <v>212</v>
      </c>
      <c r="C101" s="295"/>
      <c r="D101" s="295"/>
      <c r="E101" s="299"/>
      <c r="F101" s="39"/>
      <c r="G101" s="39"/>
      <c r="H101" s="39"/>
    </row>
    <row r="102" spans="1:10" ht="57.75" customHeight="1">
      <c r="A102" s="306" t="s">
        <v>213</v>
      </c>
      <c r="B102" s="303" t="s">
        <v>214</v>
      </c>
      <c r="C102" s="295"/>
      <c r="D102" s="295"/>
      <c r="E102" s="299"/>
    </row>
    <row r="103" spans="1:10" ht="36" customHeight="1">
      <c r="A103" s="306" t="s">
        <v>215</v>
      </c>
      <c r="B103" s="303" t="s">
        <v>216</v>
      </c>
      <c r="C103" s="295"/>
      <c r="D103" s="295"/>
      <c r="E103" s="299"/>
    </row>
    <row r="104" spans="1:10" ht="48.75" customHeight="1">
      <c r="A104" s="459" t="s">
        <v>311</v>
      </c>
      <c r="B104" s="303" t="s">
        <v>218</v>
      </c>
      <c r="C104" s="295"/>
      <c r="D104" s="295"/>
      <c r="E104" s="299"/>
    </row>
    <row r="105" spans="1:10" ht="13.5" customHeight="1">
      <c r="A105" s="659" t="s">
        <v>219</v>
      </c>
      <c r="B105" s="660"/>
      <c r="C105" s="295"/>
      <c r="D105" s="295"/>
      <c r="E105" s="299"/>
      <c r="F105" s="37"/>
      <c r="G105" s="37"/>
      <c r="H105" s="37"/>
      <c r="I105" s="37"/>
      <c r="J105" s="37"/>
    </row>
    <row r="106" spans="1:10" ht="13.5" customHeight="1">
      <c r="A106" s="673" t="s">
        <v>220</v>
      </c>
      <c r="B106" s="674"/>
      <c r="C106" s="497"/>
      <c r="D106" s="497"/>
      <c r="E106" s="498"/>
    </row>
    <row r="107" spans="1:10" ht="13.5" customHeight="1">
      <c r="A107" s="673" t="s">
        <v>222</v>
      </c>
      <c r="B107" s="674"/>
      <c r="C107" s="497"/>
      <c r="D107" s="497"/>
      <c r="E107" s="498"/>
    </row>
    <row r="108" spans="1:10" ht="13.5" customHeight="1">
      <c r="A108" s="673" t="s">
        <v>224</v>
      </c>
      <c r="B108" s="674"/>
      <c r="C108" s="497"/>
      <c r="D108" s="497"/>
      <c r="E108" s="498"/>
    </row>
    <row r="109" spans="1:10" ht="20.25" customHeight="1" thickBot="1">
      <c r="A109" s="661" t="s">
        <v>226</v>
      </c>
      <c r="B109" s="662"/>
      <c r="C109" s="462">
        <f>+'Հավելված 3'!D51</f>
        <v>94652.2</v>
      </c>
      <c r="D109" s="462">
        <f>+'Հավելված 3'!G51</f>
        <v>134365.6</v>
      </c>
      <c r="E109" s="463">
        <f>+'Հավելված 3'!J51</f>
        <v>94652.2</v>
      </c>
    </row>
    <row r="110" spans="1:10" s="32" customFormat="1" ht="14.25" thickBot="1">
      <c r="A110" s="679"/>
      <c r="B110" s="679"/>
      <c r="C110" s="298"/>
      <c r="D110" s="298"/>
      <c r="E110" s="298"/>
    </row>
    <row r="111" spans="1:10" ht="39" customHeight="1">
      <c r="A111" s="304" t="s">
        <v>227</v>
      </c>
      <c r="B111" s="305" t="s">
        <v>228</v>
      </c>
      <c r="C111" s="671"/>
      <c r="D111" s="671"/>
      <c r="E111" s="672"/>
    </row>
    <row r="112" spans="1:10" ht="39" customHeight="1">
      <c r="A112" s="306" t="s">
        <v>230</v>
      </c>
      <c r="B112" s="303" t="s">
        <v>236</v>
      </c>
      <c r="C112" s="211" t="s">
        <v>339</v>
      </c>
      <c r="D112" s="211" t="s">
        <v>340</v>
      </c>
      <c r="E112" s="307" t="s">
        <v>341</v>
      </c>
    </row>
    <row r="113" spans="1:6" ht="66.75" customHeight="1">
      <c r="A113" s="306" t="s">
        <v>211</v>
      </c>
      <c r="B113" s="303" t="s">
        <v>237</v>
      </c>
      <c r="C113" s="295"/>
      <c r="D113" s="295"/>
      <c r="E113" s="299"/>
    </row>
    <row r="114" spans="1:6" ht="58.5" customHeight="1">
      <c r="A114" s="306" t="s">
        <v>213</v>
      </c>
      <c r="B114" s="303" t="s">
        <v>214</v>
      </c>
      <c r="C114" s="295"/>
      <c r="D114" s="295"/>
      <c r="E114" s="299"/>
    </row>
    <row r="115" spans="1:6" ht="25.5">
      <c r="A115" s="306" t="s">
        <v>215</v>
      </c>
      <c r="B115" s="303" t="s">
        <v>216</v>
      </c>
      <c r="C115" s="295"/>
      <c r="D115" s="295"/>
      <c r="E115" s="299"/>
    </row>
    <row r="116" spans="1:6" ht="48.75" customHeight="1">
      <c r="A116" s="459" t="s">
        <v>311</v>
      </c>
      <c r="B116" s="303" t="s">
        <v>218</v>
      </c>
      <c r="C116" s="295"/>
      <c r="D116" s="295"/>
      <c r="E116" s="299"/>
    </row>
    <row r="117" spans="1:6" ht="13.5" customHeight="1">
      <c r="A117" s="659" t="s">
        <v>219</v>
      </c>
      <c r="B117" s="660"/>
      <c r="C117" s="296"/>
      <c r="D117" s="296"/>
      <c r="E117" s="300"/>
    </row>
    <row r="118" spans="1:6" ht="13.5" customHeight="1">
      <c r="A118" s="673" t="s">
        <v>220</v>
      </c>
      <c r="B118" s="674"/>
      <c r="C118" s="497"/>
      <c r="D118" s="497"/>
      <c r="E118" s="498"/>
    </row>
    <row r="119" spans="1:6" ht="13.5" customHeight="1">
      <c r="A119" s="673" t="s">
        <v>222</v>
      </c>
      <c r="B119" s="674"/>
      <c r="C119" s="497"/>
      <c r="D119" s="497"/>
      <c r="E119" s="498"/>
    </row>
    <row r="120" spans="1:6" ht="13.5" customHeight="1">
      <c r="A120" s="669" t="s">
        <v>224</v>
      </c>
      <c r="B120" s="670"/>
      <c r="C120" s="497"/>
      <c r="D120" s="497"/>
      <c r="E120" s="498"/>
    </row>
    <row r="121" spans="1:6" ht="20.25" customHeight="1" thickBot="1">
      <c r="A121" s="680" t="s">
        <v>226</v>
      </c>
      <c r="B121" s="681"/>
      <c r="C121" s="462">
        <f>+'Հավելված 3'!D57</f>
        <v>-94652.2</v>
      </c>
      <c r="D121" s="462">
        <f>+'Հավելված 3'!G57</f>
        <v>-134365.6</v>
      </c>
      <c r="E121" s="463">
        <f>+'Հավելված 3'!J57</f>
        <v>-94652.2</v>
      </c>
    </row>
    <row r="122" spans="1:6" ht="13.5" customHeight="1" thickBot="1">
      <c r="A122" s="353"/>
      <c r="B122" s="354"/>
      <c r="C122" s="351"/>
      <c r="D122" s="351"/>
      <c r="E122" s="351"/>
    </row>
    <row r="123" spans="1:6">
      <c r="A123" s="663" t="s">
        <v>227</v>
      </c>
      <c r="B123" s="665">
        <v>1072</v>
      </c>
      <c r="C123" s="671"/>
      <c r="D123" s="671"/>
      <c r="E123" s="672"/>
    </row>
    <row r="124" spans="1:6" ht="52.5" customHeight="1">
      <c r="A124" s="664"/>
      <c r="B124" s="666"/>
      <c r="C124" s="682"/>
      <c r="D124" s="682"/>
      <c r="E124" s="683"/>
    </row>
    <row r="125" spans="1:6" ht="27">
      <c r="A125" s="306" t="s">
        <v>230</v>
      </c>
      <c r="B125" s="303" t="s">
        <v>241</v>
      </c>
      <c r="C125" s="211" t="s">
        <v>339</v>
      </c>
      <c r="D125" s="211" t="s">
        <v>340</v>
      </c>
      <c r="E125" s="307" t="s">
        <v>341</v>
      </c>
    </row>
    <row r="126" spans="1:6" ht="65.25" customHeight="1">
      <c r="A126" s="306" t="s">
        <v>211</v>
      </c>
      <c r="B126" s="303" t="s">
        <v>242</v>
      </c>
      <c r="C126" s="295"/>
      <c r="D126" s="295"/>
      <c r="E126" s="299"/>
      <c r="F126" s="526"/>
    </row>
    <row r="127" spans="1:6" ht="30" customHeight="1">
      <c r="A127" s="306" t="s">
        <v>213</v>
      </c>
      <c r="B127" s="303" t="s">
        <v>243</v>
      </c>
      <c r="C127" s="295"/>
      <c r="D127" s="295"/>
      <c r="E127" s="299"/>
    </row>
    <row r="128" spans="1:6" ht="29.25" customHeight="1">
      <c r="A128" s="306" t="s">
        <v>215</v>
      </c>
      <c r="B128" s="303" t="s">
        <v>216</v>
      </c>
      <c r="C128" s="459"/>
      <c r="D128" s="295"/>
      <c r="E128" s="299"/>
    </row>
    <row r="129" spans="1:7" ht="49.5" customHeight="1">
      <c r="A129" s="459" t="s">
        <v>311</v>
      </c>
      <c r="B129" s="303" t="s">
        <v>218</v>
      </c>
      <c r="C129" s="295"/>
      <c r="D129" s="295"/>
      <c r="E129" s="299"/>
    </row>
    <row r="130" spans="1:7" ht="13.5" customHeight="1">
      <c r="A130" s="659" t="s">
        <v>219</v>
      </c>
      <c r="B130" s="660"/>
      <c r="C130" s="296"/>
      <c r="D130" s="296"/>
      <c r="E130" s="300"/>
    </row>
    <row r="131" spans="1:7" ht="13.5" customHeight="1">
      <c r="A131" s="673" t="s">
        <v>220</v>
      </c>
      <c r="B131" s="674"/>
      <c r="C131" s="496">
        <f>-(10.94*2-10.94*0.6)</f>
        <v>-15.315999999999999</v>
      </c>
      <c r="D131" s="497">
        <f>-(20.65*2-20.65*0.6)</f>
        <v>-28.909999999999997</v>
      </c>
      <c r="E131" s="498">
        <f>-(24.3*2-24.3*0.6)</f>
        <v>-34.020000000000003</v>
      </c>
    </row>
    <row r="132" spans="1:7" ht="13.5" customHeight="1">
      <c r="A132" s="673" t="s">
        <v>224</v>
      </c>
      <c r="B132" s="674"/>
      <c r="C132" s="527">
        <f>ROUND(-(563*2-563*0.6),0)</f>
        <v>-788</v>
      </c>
      <c r="D132" s="527">
        <f>ROUND(-(1065*2-1065*0.6),0)</f>
        <v>-1491</v>
      </c>
      <c r="E132" s="528">
        <f>ROUND(-(1253*2-1253*0.6),0)</f>
        <v>-1754</v>
      </c>
      <c r="F132" s="24">
        <f>563*2</f>
        <v>1126</v>
      </c>
      <c r="G132" s="538">
        <f>+F132+C132</f>
        <v>338</v>
      </c>
    </row>
    <row r="133" spans="1:7" ht="19.5" customHeight="1" thickBot="1">
      <c r="A133" s="661" t="s">
        <v>226</v>
      </c>
      <c r="B133" s="662"/>
      <c r="C133" s="462">
        <f>+'Հավելված 3'!D63</f>
        <v>-1031600</v>
      </c>
      <c r="D133" s="462">
        <f>+'Հավելված 3'!G63</f>
        <v>-1031600</v>
      </c>
      <c r="E133" s="463">
        <f>+'Հավելված 3'!J63</f>
        <v>-1041600</v>
      </c>
      <c r="F133" s="24">
        <v>563</v>
      </c>
      <c r="G133" s="539">
        <f>+F133*0.6</f>
        <v>337.8</v>
      </c>
    </row>
    <row r="134" spans="1:7" ht="13.5" customHeight="1" thickBot="1">
      <c r="A134" s="353"/>
      <c r="B134" s="354"/>
      <c r="C134" s="351"/>
      <c r="D134" s="351"/>
      <c r="E134" s="351"/>
    </row>
    <row r="135" spans="1:7">
      <c r="A135" s="663" t="s">
        <v>227</v>
      </c>
      <c r="B135" s="665">
        <v>1072</v>
      </c>
      <c r="C135" s="671"/>
      <c r="D135" s="671"/>
      <c r="E135" s="672"/>
    </row>
    <row r="136" spans="1:7" ht="52.5" customHeight="1">
      <c r="A136" s="664"/>
      <c r="B136" s="666"/>
      <c r="C136" s="682"/>
      <c r="D136" s="682"/>
      <c r="E136" s="683"/>
    </row>
    <row r="137" spans="1:7" ht="27">
      <c r="A137" s="306" t="s">
        <v>230</v>
      </c>
      <c r="B137" s="303">
        <v>31004</v>
      </c>
      <c r="C137" s="211" t="s">
        <v>339</v>
      </c>
      <c r="D137" s="211" t="s">
        <v>340</v>
      </c>
      <c r="E137" s="307" t="s">
        <v>341</v>
      </c>
    </row>
    <row r="138" spans="1:7" ht="78.75" customHeight="1">
      <c r="A138" s="306" t="s">
        <v>211</v>
      </c>
      <c r="B138" s="410" t="s">
        <v>338</v>
      </c>
      <c r="C138" s="295"/>
      <c r="D138" s="295"/>
      <c r="E138" s="299"/>
      <c r="F138" s="526"/>
    </row>
    <row r="139" spans="1:7" ht="30" customHeight="1">
      <c r="A139" s="306" t="s">
        <v>213</v>
      </c>
      <c r="B139" s="410" t="s">
        <v>243</v>
      </c>
      <c r="C139" s="295"/>
      <c r="D139" s="295"/>
      <c r="E139" s="299"/>
    </row>
    <row r="140" spans="1:7" ht="33" customHeight="1">
      <c r="A140" s="306" t="s">
        <v>215</v>
      </c>
      <c r="B140" s="303" t="s">
        <v>216</v>
      </c>
      <c r="C140" s="459"/>
      <c r="D140" s="295"/>
      <c r="E140" s="299"/>
    </row>
    <row r="141" spans="1:7" ht="49.5" customHeight="1">
      <c r="A141" s="459" t="s">
        <v>311</v>
      </c>
      <c r="B141" s="303" t="s">
        <v>218</v>
      </c>
      <c r="C141" s="295"/>
      <c r="D141" s="295"/>
      <c r="E141" s="299"/>
    </row>
    <row r="142" spans="1:7" ht="13.5" customHeight="1">
      <c r="A142" s="659" t="s">
        <v>219</v>
      </c>
      <c r="B142" s="660"/>
      <c r="C142" s="296"/>
      <c r="D142" s="296"/>
      <c r="E142" s="300"/>
    </row>
    <row r="143" spans="1:7" ht="13.5" customHeight="1">
      <c r="A143" s="673" t="s">
        <v>220</v>
      </c>
      <c r="B143" s="674"/>
      <c r="C143" s="497">
        <f>-(12.38-12.38*0.6)</f>
        <v>-4.9520000000000008</v>
      </c>
      <c r="D143" s="497">
        <f>-(23.38-23.38*0.6)</f>
        <v>-9.3520000000000003</v>
      </c>
      <c r="E143" s="498">
        <f>-(27.5-27.5*0.6)</f>
        <v>-11</v>
      </c>
    </row>
    <row r="144" spans="1:7" ht="13.5" customHeight="1">
      <c r="A144" s="673" t="s">
        <v>224</v>
      </c>
      <c r="B144" s="674"/>
      <c r="C144" s="527">
        <f>ROUND(-(552-552*0.6),0)</f>
        <v>-221</v>
      </c>
      <c r="D144" s="527">
        <f>ROUND(-(1043-1043*0.6),0)</f>
        <v>-417</v>
      </c>
      <c r="E144" s="528">
        <f>ROUND(-(1227-1227*0.6),0)</f>
        <v>-491</v>
      </c>
      <c r="F144" s="24">
        <f>563*2</f>
        <v>1126</v>
      </c>
      <c r="G144" s="24">
        <f>+F144+C144</f>
        <v>905</v>
      </c>
    </row>
    <row r="145" spans="1:7" ht="19.5" customHeight="1" thickBot="1">
      <c r="A145" s="661" t="s">
        <v>226</v>
      </c>
      <c r="B145" s="662"/>
      <c r="C145" s="462">
        <f>+'Հավելված 4'!D31</f>
        <v>-237578.4</v>
      </c>
      <c r="D145" s="462">
        <f>+'Հավելված 4'!G31</f>
        <v>-237578.4</v>
      </c>
      <c r="E145" s="463">
        <f>+'Հավելված 4'!J31</f>
        <v>-237578.4</v>
      </c>
      <c r="F145" s="24">
        <v>563</v>
      </c>
      <c r="G145" s="24">
        <f>+F145*0.6</f>
        <v>337.8</v>
      </c>
    </row>
    <row r="146" spans="1:7" ht="19.5" customHeight="1">
      <c r="A146" s="359"/>
      <c r="B146" s="359"/>
      <c r="C146" s="494"/>
      <c r="D146" s="494"/>
      <c r="E146" s="494"/>
    </row>
    <row r="147" spans="1:7" ht="19.5" hidden="1" customHeight="1">
      <c r="A147" s="359"/>
      <c r="B147" s="359"/>
      <c r="C147" s="494">
        <f>+C121+C109+C145+C133+C86+C75+C59+C37+C26+C97+C47</f>
        <v>1.1641532182693481E-10</v>
      </c>
      <c r="D147" s="494">
        <f>+D121+D109+D145+D133+D86+D75+D59+D37+D26+D97+D47</f>
        <v>1.1641532182693481E-10</v>
      </c>
      <c r="E147" s="494">
        <f>+E121+E109+E145+E133+E86+E75+E59+E37+E26+E97+E47</f>
        <v>0</v>
      </c>
    </row>
    <row r="149" spans="1:7" hidden="1">
      <c r="A149" s="304" t="s">
        <v>227</v>
      </c>
      <c r="B149" s="305" t="s">
        <v>228</v>
      </c>
      <c r="C149" s="671"/>
      <c r="D149" s="671"/>
      <c r="E149" s="672"/>
    </row>
    <row r="150" spans="1:7" ht="27" hidden="1">
      <c r="A150" s="306" t="s">
        <v>230</v>
      </c>
      <c r="B150" s="303" t="s">
        <v>244</v>
      </c>
      <c r="C150" s="211" t="s">
        <v>233</v>
      </c>
      <c r="D150" s="211" t="s">
        <v>234</v>
      </c>
      <c r="E150" s="307" t="s">
        <v>235</v>
      </c>
    </row>
    <row r="151" spans="1:7" ht="51" hidden="1">
      <c r="A151" s="306" t="s">
        <v>211</v>
      </c>
      <c r="B151" s="303" t="s">
        <v>245</v>
      </c>
      <c r="C151" s="295"/>
      <c r="D151" s="295"/>
      <c r="E151" s="299"/>
    </row>
    <row r="152" spans="1:7" ht="25.5" hidden="1">
      <c r="A152" s="306" t="s">
        <v>213</v>
      </c>
      <c r="B152" s="303" t="s">
        <v>246</v>
      </c>
      <c r="C152" s="295"/>
      <c r="D152" s="295"/>
      <c r="E152" s="299"/>
    </row>
    <row r="153" spans="1:7" ht="25.5" hidden="1">
      <c r="A153" s="306" t="s">
        <v>215</v>
      </c>
      <c r="B153" s="303" t="s">
        <v>216</v>
      </c>
      <c r="C153" s="295"/>
      <c r="D153" s="295"/>
      <c r="E153" s="299"/>
    </row>
    <row r="154" spans="1:7" ht="40.5" hidden="1" customHeight="1">
      <c r="A154" s="306" t="s">
        <v>217</v>
      </c>
      <c r="B154" s="303" t="s">
        <v>218</v>
      </c>
      <c r="C154" s="295"/>
      <c r="D154" s="295"/>
      <c r="E154" s="299"/>
    </row>
    <row r="155" spans="1:7" ht="13.5" hidden="1" customHeight="1">
      <c r="A155" s="659" t="s">
        <v>219</v>
      </c>
      <c r="B155" s="660"/>
      <c r="C155" s="296"/>
      <c r="D155" s="296"/>
      <c r="E155" s="300"/>
    </row>
    <row r="156" spans="1:7" ht="13.5" hidden="1" customHeight="1">
      <c r="A156" s="673" t="s">
        <v>247</v>
      </c>
      <c r="B156" s="674"/>
      <c r="C156" s="296" t="s">
        <v>248</v>
      </c>
      <c r="D156" s="296" t="s">
        <v>249</v>
      </c>
      <c r="E156" s="300" t="s">
        <v>250</v>
      </c>
    </row>
    <row r="157" spans="1:7" ht="13.5" hidden="1" customHeight="1" thickBot="1">
      <c r="A157" s="675" t="s">
        <v>226</v>
      </c>
      <c r="B157" s="676"/>
      <c r="C157" s="308" t="e">
        <f>+'Հավելված 3'!#REF!</f>
        <v>#REF!</v>
      </c>
      <c r="D157" s="308" t="e">
        <f>+'Հավելված 3'!#REF!</f>
        <v>#REF!</v>
      </c>
      <c r="E157" s="309" t="e">
        <f>+'Հավելված 3'!#REF!</f>
        <v>#REF!</v>
      </c>
    </row>
    <row r="158" spans="1:7" s="32" customFormat="1" hidden="1">
      <c r="A158" s="679"/>
      <c r="B158" s="679"/>
      <c r="C158" s="298"/>
      <c r="D158" s="298"/>
      <c r="E158" s="298"/>
    </row>
    <row r="159" spans="1:7" hidden="1">
      <c r="A159" s="304" t="s">
        <v>227</v>
      </c>
      <c r="B159" s="305" t="s">
        <v>228</v>
      </c>
      <c r="C159" s="671"/>
      <c r="D159" s="671"/>
      <c r="E159" s="672"/>
    </row>
    <row r="160" spans="1:7" ht="27" hidden="1">
      <c r="A160" s="306" t="s">
        <v>230</v>
      </c>
      <c r="B160" s="303" t="s">
        <v>251</v>
      </c>
      <c r="C160" s="211" t="s">
        <v>233</v>
      </c>
      <c r="D160" s="211" t="s">
        <v>234</v>
      </c>
      <c r="E160" s="307" t="s">
        <v>235</v>
      </c>
    </row>
    <row r="161" spans="1:5" ht="51" hidden="1">
      <c r="A161" s="306" t="s">
        <v>211</v>
      </c>
      <c r="B161" s="303" t="s">
        <v>252</v>
      </c>
      <c r="C161" s="295"/>
      <c r="D161" s="295"/>
      <c r="E161" s="299"/>
    </row>
    <row r="162" spans="1:5" ht="25.5" hidden="1">
      <c r="A162" s="306" t="s">
        <v>213</v>
      </c>
      <c r="B162" s="303" t="s">
        <v>253</v>
      </c>
      <c r="C162" s="295"/>
      <c r="D162" s="295"/>
      <c r="E162" s="299"/>
    </row>
    <row r="163" spans="1:5" ht="25.5" hidden="1">
      <c r="A163" s="306" t="s">
        <v>215</v>
      </c>
      <c r="B163" s="303" t="s">
        <v>216</v>
      </c>
      <c r="C163" s="295"/>
      <c r="D163" s="295"/>
      <c r="E163" s="299"/>
    </row>
    <row r="164" spans="1:5" ht="45" hidden="1" customHeight="1">
      <c r="A164" s="306" t="s">
        <v>217</v>
      </c>
      <c r="B164" s="303" t="s">
        <v>218</v>
      </c>
      <c r="C164" s="295"/>
      <c r="D164" s="295"/>
      <c r="E164" s="299"/>
    </row>
    <row r="165" spans="1:5" ht="20.25" hidden="1" customHeight="1">
      <c r="A165" s="659" t="s">
        <v>219</v>
      </c>
      <c r="B165" s="660"/>
      <c r="C165" s="296"/>
      <c r="D165" s="296"/>
      <c r="E165" s="300"/>
    </row>
    <row r="166" spans="1:5" ht="13.5" hidden="1" customHeight="1">
      <c r="A166" s="673" t="s">
        <v>247</v>
      </c>
      <c r="B166" s="674"/>
      <c r="C166" s="296" t="s">
        <v>248</v>
      </c>
      <c r="D166" s="296" t="s">
        <v>249</v>
      </c>
      <c r="E166" s="300" t="s">
        <v>250</v>
      </c>
    </row>
    <row r="167" spans="1:5" ht="13.5" hidden="1" customHeight="1" thickBot="1">
      <c r="A167" s="675" t="s">
        <v>226</v>
      </c>
      <c r="B167" s="676"/>
      <c r="C167" s="301" t="e">
        <f>+'Հավելված 3'!#REF!</f>
        <v>#REF!</v>
      </c>
      <c r="D167" s="301" t="e">
        <f>+'Հավելված 3'!#REF!</f>
        <v>#REF!</v>
      </c>
      <c r="E167" s="302" t="e">
        <f>+'Հավելված 3'!#REF!</f>
        <v>#REF!</v>
      </c>
    </row>
    <row r="168" spans="1:5" hidden="1"/>
    <row r="169" spans="1:5" hidden="1">
      <c r="C169" s="414" t="e">
        <f>+C133+C75+C59+#REF!+C26</f>
        <v>#REF!</v>
      </c>
      <c r="D169" s="414" t="e">
        <f>+D133+D75+D59+#REF!+D26</f>
        <v>#REF!</v>
      </c>
      <c r="E169" s="414" t="e">
        <f>+E133+E75+E59+#REF!+E26</f>
        <v>#REF!</v>
      </c>
    </row>
  </sheetData>
  <mergeCells count="87">
    <mergeCell ref="A145:B145"/>
    <mergeCell ref="C135:E135"/>
    <mergeCell ref="A142:B142"/>
    <mergeCell ref="A143:B143"/>
    <mergeCell ref="C77:E77"/>
    <mergeCell ref="C78:E78"/>
    <mergeCell ref="A85:B85"/>
    <mergeCell ref="A86:B86"/>
    <mergeCell ref="A110:B110"/>
    <mergeCell ref="A107:B107"/>
    <mergeCell ref="A123:A124"/>
    <mergeCell ref="C88:E88"/>
    <mergeCell ref="C89:E89"/>
    <mergeCell ref="D5:E5"/>
    <mergeCell ref="A66:A67"/>
    <mergeCell ref="B66:B67"/>
    <mergeCell ref="C67:E67"/>
    <mergeCell ref="A49:A50"/>
    <mergeCell ref="B49:B50"/>
    <mergeCell ref="A7:E7"/>
    <mergeCell ref="A9:D9"/>
    <mergeCell ref="C18:E18"/>
    <mergeCell ref="A35:B35"/>
    <mergeCell ref="A17:A18"/>
    <mergeCell ref="A37:B37"/>
    <mergeCell ref="C66:E66"/>
    <mergeCell ref="C50:E50"/>
    <mergeCell ref="A59:B59"/>
    <mergeCell ref="A10:E10"/>
    <mergeCell ref="A166:B166"/>
    <mergeCell ref="C124:E124"/>
    <mergeCell ref="A73:B73"/>
    <mergeCell ref="A74:B74"/>
    <mergeCell ref="A75:B75"/>
    <mergeCell ref="C159:E159"/>
    <mergeCell ref="C136:E136"/>
    <mergeCell ref="A132:B132"/>
    <mergeCell ref="A133:B133"/>
    <mergeCell ref="C99:E99"/>
    <mergeCell ref="A105:B105"/>
    <mergeCell ref="C123:E123"/>
    <mergeCell ref="A106:B106"/>
    <mergeCell ref="A108:B108"/>
    <mergeCell ref="A109:B109"/>
    <mergeCell ref="C111:E111"/>
    <mergeCell ref="A167:B167"/>
    <mergeCell ref="A158:B158"/>
    <mergeCell ref="A155:B155"/>
    <mergeCell ref="A156:B156"/>
    <mergeCell ref="A77:A78"/>
    <mergeCell ref="B77:B78"/>
    <mergeCell ref="A84:B84"/>
    <mergeCell ref="A157:B157"/>
    <mergeCell ref="A144:B144"/>
    <mergeCell ref="B123:B124"/>
    <mergeCell ref="A165:B165"/>
    <mergeCell ref="A135:A136"/>
    <mergeCell ref="B135:B136"/>
    <mergeCell ref="A121:B121"/>
    <mergeCell ref="A130:B130"/>
    <mergeCell ref="A131:B131"/>
    <mergeCell ref="A24:B24"/>
    <mergeCell ref="B17:B18"/>
    <mergeCell ref="C28:E28"/>
    <mergeCell ref="C49:E49"/>
    <mergeCell ref="C149:E149"/>
    <mergeCell ref="A117:B117"/>
    <mergeCell ref="A118:B118"/>
    <mergeCell ref="A119:B119"/>
    <mergeCell ref="A120:B120"/>
    <mergeCell ref="A58:B58"/>
    <mergeCell ref="A25:B25"/>
    <mergeCell ref="A26:B26"/>
    <mergeCell ref="A36:B36"/>
    <mergeCell ref="A34:B34"/>
    <mergeCell ref="C17:E17"/>
    <mergeCell ref="C39:E39"/>
    <mergeCell ref="A45:B45"/>
    <mergeCell ref="A46:B46"/>
    <mergeCell ref="A56:B56"/>
    <mergeCell ref="A97:B97"/>
    <mergeCell ref="A88:A89"/>
    <mergeCell ref="B88:B89"/>
    <mergeCell ref="A95:B95"/>
    <mergeCell ref="A96:B96"/>
    <mergeCell ref="A47:B47"/>
    <mergeCell ref="A57:B57"/>
  </mergeCells>
  <phoneticPr fontId="20" type="noConversion"/>
  <printOptions horizontalCentered="1"/>
  <pageMargins left="0" right="0" top="0.55118110236220474" bottom="0" header="0" footer="0"/>
  <pageSetup paperSize="9" scale="81" orientation="portrait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view="pageBreakPreview" zoomScaleNormal="100" zoomScaleSheetLayoutView="100" workbookViewId="0">
      <selection activeCell="D67" sqref="D1:D1048576"/>
    </sheetView>
  </sheetViews>
  <sheetFormatPr defaultRowHeight="13.5"/>
  <cols>
    <col min="1" max="1" width="37.7109375" style="24" customWidth="1"/>
    <col min="2" max="2" width="48.85546875" style="24" customWidth="1"/>
    <col min="3" max="3" width="17.28515625" style="24" hidden="1" customWidth="1"/>
    <col min="4" max="4" width="14.5703125" style="24" hidden="1" customWidth="1"/>
    <col min="5" max="5" width="16.28515625" style="24" customWidth="1"/>
    <col min="6" max="6" width="16.85546875" style="24" customWidth="1"/>
    <col min="7" max="7" width="1.140625" style="24" customWidth="1"/>
    <col min="8" max="8" width="19.42578125" style="24" hidden="1" customWidth="1"/>
    <col min="9" max="9" width="19.5703125" style="24" customWidth="1"/>
    <col min="10" max="10" width="17.7109375" style="24" customWidth="1"/>
    <col min="11" max="11" width="18.7109375" style="24" customWidth="1"/>
    <col min="12" max="12" width="15" style="24" customWidth="1"/>
    <col min="13" max="16384" width="9.140625" style="24"/>
  </cols>
  <sheetData>
    <row r="1" spans="1:9" ht="16.5" customHeight="1">
      <c r="D1" s="313"/>
      <c r="F1" s="313" t="s">
        <v>334</v>
      </c>
      <c r="G1" s="21"/>
      <c r="H1" s="21"/>
      <c r="I1" s="21"/>
    </row>
    <row r="2" spans="1:9" ht="15.75" customHeight="1">
      <c r="E2" s="315" t="s">
        <v>265</v>
      </c>
      <c r="G2" s="21"/>
      <c r="H2" s="21"/>
      <c r="I2" s="21"/>
    </row>
    <row r="3" spans="1:9">
      <c r="E3" s="313" t="s">
        <v>266</v>
      </c>
      <c r="F3" s="314"/>
    </row>
    <row r="4" spans="1:9">
      <c r="D4" s="313"/>
      <c r="E4" s="313"/>
      <c r="F4" s="313"/>
    </row>
    <row r="5" spans="1:9">
      <c r="D5" s="313"/>
      <c r="E5" s="684" t="s">
        <v>314</v>
      </c>
      <c r="F5" s="684"/>
    </row>
    <row r="6" spans="1:9" ht="44.25" customHeight="1">
      <c r="A6" s="692" t="s">
        <v>275</v>
      </c>
      <c r="B6" s="692"/>
      <c r="C6" s="692"/>
      <c r="D6" s="692"/>
      <c r="E6" s="692"/>
      <c r="F6" s="692"/>
      <c r="G6" s="320"/>
      <c r="H6" s="312"/>
      <c r="I6" s="312"/>
    </row>
    <row r="7" spans="1:9" ht="11.25" customHeight="1">
      <c r="G7" s="21"/>
      <c r="H7" s="21"/>
      <c r="I7" s="21"/>
    </row>
    <row r="8" spans="1:9" ht="17.25" customHeight="1">
      <c r="A8" s="686" t="s">
        <v>210</v>
      </c>
      <c r="B8" s="686"/>
      <c r="C8" s="686"/>
      <c r="D8" s="686"/>
      <c r="E8" s="686"/>
      <c r="F8" s="65"/>
    </row>
    <row r="9" spans="1:9" ht="16.5" customHeight="1">
      <c r="A9" s="687" t="s">
        <v>263</v>
      </c>
      <c r="B9" s="687"/>
      <c r="C9" s="687"/>
      <c r="D9" s="687"/>
      <c r="E9" s="687"/>
      <c r="F9" s="687"/>
      <c r="G9" s="65"/>
      <c r="H9" s="65"/>
      <c r="I9" s="65"/>
    </row>
    <row r="10" spans="1:9" ht="16.5">
      <c r="A10" s="310"/>
      <c r="B10" s="310"/>
      <c r="C10" s="310"/>
      <c r="D10" s="310"/>
      <c r="E10" s="310"/>
      <c r="F10" s="310"/>
      <c r="G10" s="65"/>
      <c r="H10" s="65"/>
      <c r="I10" s="65"/>
    </row>
    <row r="11" spans="1:9" ht="19.5" customHeight="1">
      <c r="A11" s="348" t="s">
        <v>267</v>
      </c>
      <c r="B11" s="348" t="s">
        <v>268</v>
      </c>
      <c r="C11" s="316"/>
      <c r="D11" s="316"/>
      <c r="E11" s="316"/>
      <c r="F11" s="316"/>
      <c r="G11" s="65"/>
      <c r="H11" s="65"/>
      <c r="I11" s="65"/>
    </row>
    <row r="12" spans="1:9" ht="16.5">
      <c r="A12" s="349">
        <v>1004</v>
      </c>
      <c r="B12" s="350" t="s">
        <v>270</v>
      </c>
      <c r="C12" s="316"/>
      <c r="D12" s="316"/>
      <c r="E12" s="316"/>
      <c r="F12" s="316"/>
      <c r="G12" s="65"/>
      <c r="H12" s="65"/>
      <c r="I12" s="65"/>
    </row>
    <row r="13" spans="1:9" ht="16.5">
      <c r="A13" s="534"/>
      <c r="B13" s="534"/>
      <c r="C13" s="316"/>
      <c r="D13" s="316"/>
      <c r="E13" s="316"/>
      <c r="F13" s="316"/>
      <c r="G13" s="65"/>
      <c r="H13" s="65"/>
      <c r="I13" s="65"/>
    </row>
    <row r="14" spans="1:9" ht="16.5">
      <c r="A14" s="318" t="s">
        <v>269</v>
      </c>
      <c r="B14" s="313"/>
      <c r="C14" s="316"/>
      <c r="D14" s="316"/>
      <c r="E14" s="316"/>
      <c r="F14" s="316"/>
      <c r="G14" s="65"/>
      <c r="H14" s="65"/>
      <c r="I14" s="65"/>
    </row>
    <row r="15" spans="1:9" ht="14.25" thickBot="1"/>
    <row r="16" spans="1:9" ht="30" customHeight="1">
      <c r="A16" s="663" t="s">
        <v>227</v>
      </c>
      <c r="B16" s="665" t="s">
        <v>254</v>
      </c>
      <c r="C16" s="671" t="s">
        <v>229</v>
      </c>
      <c r="D16" s="671"/>
      <c r="E16" s="671"/>
      <c r="F16" s="672"/>
    </row>
    <row r="17" spans="1:6" ht="51.75" customHeight="1">
      <c r="A17" s="664"/>
      <c r="B17" s="666"/>
      <c r="C17" s="691" t="s">
        <v>304</v>
      </c>
      <c r="D17" s="682"/>
      <c r="E17" s="682"/>
      <c r="F17" s="683"/>
    </row>
    <row r="18" spans="1:6" ht="27">
      <c r="A18" s="306" t="s">
        <v>230</v>
      </c>
      <c r="B18" s="533">
        <v>11006</v>
      </c>
      <c r="C18" s="211" t="s">
        <v>232</v>
      </c>
      <c r="D18" s="211" t="s">
        <v>339</v>
      </c>
      <c r="E18" s="211" t="s">
        <v>340</v>
      </c>
      <c r="F18" s="307" t="s">
        <v>341</v>
      </c>
    </row>
    <row r="19" spans="1:6" ht="42.75" customHeight="1">
      <c r="A19" s="306" t="s">
        <v>211</v>
      </c>
      <c r="B19" s="303" t="s">
        <v>323</v>
      </c>
      <c r="C19" s="295"/>
      <c r="D19" s="295"/>
      <c r="E19" s="295"/>
      <c r="F19" s="299"/>
    </row>
    <row r="20" spans="1:6" ht="43.5" customHeight="1">
      <c r="A20" s="306" t="s">
        <v>213</v>
      </c>
      <c r="B20" s="303" t="s">
        <v>325</v>
      </c>
      <c r="C20" s="295"/>
      <c r="D20" s="295"/>
      <c r="E20" s="295"/>
      <c r="F20" s="299"/>
    </row>
    <row r="21" spans="1:6">
      <c r="A21" s="306" t="s">
        <v>215</v>
      </c>
      <c r="B21" s="303" t="s">
        <v>260</v>
      </c>
      <c r="C21" s="295"/>
      <c r="D21" s="295"/>
      <c r="E21" s="295"/>
      <c r="F21" s="299"/>
    </row>
    <row r="22" spans="1:6" ht="59.25" customHeight="1">
      <c r="A22" s="459" t="s">
        <v>311</v>
      </c>
      <c r="B22" s="303" t="s">
        <v>218</v>
      </c>
      <c r="C22" s="295"/>
      <c r="D22" s="295"/>
      <c r="E22" s="295"/>
      <c r="F22" s="299"/>
    </row>
    <row r="23" spans="1:6" ht="24.75" customHeight="1">
      <c r="A23" s="659" t="s">
        <v>219</v>
      </c>
      <c r="B23" s="660"/>
      <c r="C23" s="296"/>
      <c r="D23" s="296"/>
      <c r="E23" s="296"/>
      <c r="F23" s="300"/>
    </row>
    <row r="24" spans="1:6" ht="13.5" customHeight="1">
      <c r="A24" s="673" t="s">
        <v>261</v>
      </c>
      <c r="B24" s="674"/>
      <c r="C24" s="296" t="s">
        <v>262</v>
      </c>
      <c r="D24" s="296" t="s">
        <v>262</v>
      </c>
      <c r="E24" s="296" t="s">
        <v>262</v>
      </c>
      <c r="F24" s="300"/>
    </row>
    <row r="25" spans="1:6" ht="18.75" customHeight="1" thickBot="1">
      <c r="A25" s="675" t="s">
        <v>312</v>
      </c>
      <c r="B25" s="676"/>
      <c r="C25" s="407" t="e">
        <f>+'Հավելված 3'!#REF!</f>
        <v>#REF!</v>
      </c>
      <c r="D25" s="460">
        <f>+'Հավելված 5 աղ. 1'!C26</f>
        <v>166095</v>
      </c>
      <c r="E25" s="460">
        <f>+'Հավելված 5 աղ. 1'!D26</f>
        <v>166095</v>
      </c>
      <c r="F25" s="461">
        <f>+'Հավելված 5 աղ. 1'!E26</f>
        <v>166095</v>
      </c>
    </row>
    <row r="26" spans="1:6" ht="14.25" thickBot="1"/>
    <row r="27" spans="1:6">
      <c r="A27" s="304" t="s">
        <v>227</v>
      </c>
      <c r="B27" s="305" t="s">
        <v>254</v>
      </c>
      <c r="C27" s="671" t="s">
        <v>229</v>
      </c>
      <c r="D27" s="671"/>
      <c r="E27" s="671"/>
      <c r="F27" s="672"/>
    </row>
    <row r="28" spans="1:6" ht="27">
      <c r="A28" s="306" t="s">
        <v>230</v>
      </c>
      <c r="B28" s="303">
        <v>31001</v>
      </c>
      <c r="C28" s="211" t="s">
        <v>232</v>
      </c>
      <c r="D28" s="211" t="s">
        <v>339</v>
      </c>
      <c r="E28" s="211" t="s">
        <v>340</v>
      </c>
      <c r="F28" s="307" t="s">
        <v>341</v>
      </c>
    </row>
    <row r="29" spans="1:6" ht="33.75" customHeight="1">
      <c r="A29" s="306" t="s">
        <v>211</v>
      </c>
      <c r="B29" s="303" t="s">
        <v>324</v>
      </c>
      <c r="C29" s="295"/>
      <c r="D29" s="295"/>
      <c r="E29" s="295"/>
      <c r="F29" s="299"/>
    </row>
    <row r="30" spans="1:6" ht="34.5" customHeight="1">
      <c r="A30" s="306" t="s">
        <v>213</v>
      </c>
      <c r="B30" s="303" t="s">
        <v>326</v>
      </c>
      <c r="C30" s="295"/>
      <c r="D30" s="295"/>
      <c r="E30" s="295"/>
      <c r="F30" s="299"/>
    </row>
    <row r="31" spans="1:6" ht="25.5">
      <c r="A31" s="306" t="s">
        <v>215</v>
      </c>
      <c r="B31" s="303" t="s">
        <v>216</v>
      </c>
      <c r="C31" s="295"/>
      <c r="D31" s="295"/>
      <c r="E31" s="295"/>
      <c r="F31" s="299"/>
    </row>
    <row r="32" spans="1:6" ht="44.25" customHeight="1">
      <c r="A32" s="459" t="s">
        <v>311</v>
      </c>
      <c r="B32" s="303" t="s">
        <v>218</v>
      </c>
      <c r="C32" s="295"/>
      <c r="D32" s="295"/>
      <c r="E32" s="295"/>
      <c r="F32" s="299"/>
    </row>
    <row r="33" spans="1:6" ht="13.5" customHeight="1">
      <c r="A33" s="659" t="s">
        <v>219</v>
      </c>
      <c r="B33" s="660"/>
      <c r="C33" s="296"/>
      <c r="D33" s="296"/>
      <c r="E33" s="296"/>
      <c r="F33" s="300"/>
    </row>
    <row r="34" spans="1:6" ht="13.5" customHeight="1">
      <c r="A34" s="673" t="s">
        <v>330</v>
      </c>
      <c r="B34" s="674"/>
      <c r="C34" s="296" t="s">
        <v>256</v>
      </c>
      <c r="D34" s="529"/>
      <c r="E34" s="529"/>
      <c r="F34" s="530"/>
    </row>
    <row r="35" spans="1:6" ht="13.5" customHeight="1">
      <c r="A35" s="673" t="s">
        <v>331</v>
      </c>
      <c r="B35" s="674"/>
      <c r="C35" s="492"/>
      <c r="D35" s="531"/>
      <c r="E35" s="531"/>
      <c r="F35" s="532"/>
    </row>
    <row r="36" spans="1:6" ht="24.75" customHeight="1" thickBot="1">
      <c r="A36" s="675" t="s">
        <v>226</v>
      </c>
      <c r="B36" s="676"/>
      <c r="C36" s="301" t="e">
        <f>+'Հավելված 3'!#REF!</f>
        <v>#REF!</v>
      </c>
      <c r="D36" s="460">
        <f>+'Հավելված 5 աղ. 1'!C37</f>
        <v>722505</v>
      </c>
      <c r="E36" s="460">
        <f>+'Հավելված 5 աղ. 1'!D37</f>
        <v>722505</v>
      </c>
      <c r="F36" s="461">
        <f>+'Հավելված 5 աղ. 1'!E37</f>
        <v>1792701.1</v>
      </c>
    </row>
    <row r="37" spans="1:6" ht="14.25" thickBot="1"/>
    <row r="38" spans="1:6">
      <c r="A38" s="304" t="s">
        <v>227</v>
      </c>
      <c r="B38" s="305" t="s">
        <v>254</v>
      </c>
      <c r="C38" s="690" t="s">
        <v>229</v>
      </c>
      <c r="D38" s="677"/>
      <c r="E38" s="677"/>
      <c r="F38" s="678"/>
    </row>
    <row r="39" spans="1:6" ht="27">
      <c r="A39" s="306" t="s">
        <v>230</v>
      </c>
      <c r="B39" s="303">
        <v>31004</v>
      </c>
      <c r="C39" s="211" t="s">
        <v>232</v>
      </c>
      <c r="D39" s="211" t="s">
        <v>339</v>
      </c>
      <c r="E39" s="211" t="s">
        <v>340</v>
      </c>
      <c r="F39" s="307" t="s">
        <v>341</v>
      </c>
    </row>
    <row r="40" spans="1:6" ht="66" customHeight="1">
      <c r="A40" s="306" t="s">
        <v>211</v>
      </c>
      <c r="B40" s="303" t="s">
        <v>343</v>
      </c>
      <c r="C40" s="295"/>
      <c r="D40" s="295"/>
      <c r="E40" s="295"/>
      <c r="F40" s="299"/>
    </row>
    <row r="41" spans="1:6" ht="44.25" customHeight="1">
      <c r="A41" s="306" t="s">
        <v>213</v>
      </c>
      <c r="B41" s="303" t="s">
        <v>344</v>
      </c>
      <c r="C41" s="295"/>
      <c r="D41" s="295"/>
      <c r="E41" s="295"/>
      <c r="F41" s="299"/>
    </row>
    <row r="42" spans="1:6" ht="25.5">
      <c r="A42" s="306" t="s">
        <v>215</v>
      </c>
      <c r="B42" s="303" t="s">
        <v>216</v>
      </c>
      <c r="C42" s="295"/>
      <c r="D42" s="295"/>
      <c r="E42" s="295"/>
      <c r="F42" s="299"/>
    </row>
    <row r="43" spans="1:6" ht="56.25" customHeight="1">
      <c r="A43" s="459" t="s">
        <v>311</v>
      </c>
      <c r="B43" s="303" t="s">
        <v>218</v>
      </c>
      <c r="C43" s="295"/>
      <c r="D43" s="295"/>
      <c r="E43" s="295"/>
      <c r="F43" s="299"/>
    </row>
    <row r="44" spans="1:6" ht="13.5" customHeight="1">
      <c r="A44" s="655" t="s">
        <v>219</v>
      </c>
      <c r="B44" s="656"/>
      <c r="C44" s="296"/>
      <c r="D44" s="296"/>
      <c r="E44" s="296"/>
      <c r="F44" s="300"/>
    </row>
    <row r="45" spans="1:6" ht="13.5" customHeight="1">
      <c r="A45" s="657" t="s">
        <v>345</v>
      </c>
      <c r="B45" s="658"/>
      <c r="C45" s="296" t="s">
        <v>256</v>
      </c>
      <c r="D45" s="529"/>
      <c r="E45" s="529"/>
      <c r="F45" s="530"/>
    </row>
    <row r="46" spans="1:6" ht="24.75" customHeight="1" thickBot="1">
      <c r="A46" s="688" t="s">
        <v>226</v>
      </c>
      <c r="B46" s="689"/>
      <c r="C46" s="301" t="e">
        <f>+'Հավելված 3'!#REF!</f>
        <v>#REF!</v>
      </c>
      <c r="D46" s="462">
        <f>+'Հավելված 3'!D35</f>
        <v>0</v>
      </c>
      <c r="E46" s="462">
        <f>+'Հավելված 3'!G35</f>
        <v>0</v>
      </c>
      <c r="F46" s="463">
        <f>+'Հավելված 3'!J35</f>
        <v>-1070196.1000000001</v>
      </c>
    </row>
    <row r="47" spans="1:6" ht="14.25" thickBot="1"/>
    <row r="48" spans="1:6">
      <c r="A48" s="663" t="s">
        <v>227</v>
      </c>
      <c r="B48" s="665" t="s">
        <v>254</v>
      </c>
      <c r="C48" s="671" t="s">
        <v>229</v>
      </c>
      <c r="D48" s="671"/>
      <c r="E48" s="671"/>
      <c r="F48" s="672"/>
    </row>
    <row r="49" spans="1:9" ht="47.25" customHeight="1">
      <c r="A49" s="664"/>
      <c r="B49" s="666"/>
      <c r="C49" s="691" t="s">
        <v>304</v>
      </c>
      <c r="D49" s="682"/>
      <c r="E49" s="682"/>
      <c r="F49" s="683"/>
    </row>
    <row r="50" spans="1:9" ht="27">
      <c r="A50" s="306" t="s">
        <v>230</v>
      </c>
      <c r="B50" s="303" t="s">
        <v>244</v>
      </c>
      <c r="C50" s="211" t="s">
        <v>232</v>
      </c>
      <c r="D50" s="211" t="s">
        <v>339</v>
      </c>
      <c r="E50" s="211" t="s">
        <v>340</v>
      </c>
      <c r="F50" s="307" t="s">
        <v>341</v>
      </c>
    </row>
    <row r="51" spans="1:9" ht="53.25" customHeight="1">
      <c r="A51" s="306" t="s">
        <v>211</v>
      </c>
      <c r="B51" s="303" t="s">
        <v>257</v>
      </c>
      <c r="C51" s="295"/>
      <c r="D51" s="295"/>
      <c r="E51" s="295"/>
      <c r="F51" s="299"/>
    </row>
    <row r="52" spans="1:9" ht="31.5" customHeight="1">
      <c r="A52" s="306" t="s">
        <v>213</v>
      </c>
      <c r="B52" s="303" t="s">
        <v>258</v>
      </c>
      <c r="C52" s="295"/>
      <c r="D52" s="295"/>
      <c r="E52" s="295"/>
      <c r="F52" s="299"/>
    </row>
    <row r="53" spans="1:9" ht="29.25" customHeight="1">
      <c r="A53" s="306" t="s">
        <v>215</v>
      </c>
      <c r="B53" s="303" t="s">
        <v>216</v>
      </c>
      <c r="C53" s="295"/>
      <c r="D53" s="295"/>
      <c r="E53" s="295"/>
      <c r="F53" s="299"/>
    </row>
    <row r="54" spans="1:9" ht="52.5" customHeight="1">
      <c r="A54" s="459" t="s">
        <v>311</v>
      </c>
      <c r="B54" s="303" t="s">
        <v>218</v>
      </c>
      <c r="C54" s="295"/>
      <c r="D54" s="295"/>
      <c r="E54" s="295"/>
      <c r="F54" s="299"/>
    </row>
    <row r="55" spans="1:9" ht="13.5" customHeight="1">
      <c r="A55" s="659" t="s">
        <v>219</v>
      </c>
      <c r="B55" s="660"/>
      <c r="C55" s="296"/>
      <c r="D55" s="296"/>
      <c r="E55" s="296"/>
      <c r="F55" s="300"/>
    </row>
    <row r="56" spans="1:9" ht="13.5" customHeight="1">
      <c r="A56" s="673" t="s">
        <v>259</v>
      </c>
      <c r="B56" s="674"/>
      <c r="C56" s="296"/>
      <c r="D56" s="529"/>
      <c r="E56" s="529"/>
      <c r="F56" s="530"/>
    </row>
    <row r="57" spans="1:9" ht="13.5" customHeight="1">
      <c r="A57" s="673" t="s">
        <v>255</v>
      </c>
      <c r="B57" s="674"/>
      <c r="C57" s="296"/>
      <c r="D57" s="529"/>
      <c r="E57" s="529"/>
      <c r="F57" s="530"/>
    </row>
    <row r="58" spans="1:9" ht="21.75" customHeight="1" thickBot="1">
      <c r="A58" s="661" t="s">
        <v>226</v>
      </c>
      <c r="B58" s="662"/>
      <c r="C58" s="407" t="e">
        <f>+'Հավելված 3'!#REF!</f>
        <v>#REF!</v>
      </c>
      <c r="D58" s="460">
        <f>+'Հավելված 5 աղ. 1'!C59</f>
        <v>143000</v>
      </c>
      <c r="E58" s="460">
        <f>+'Հավելված 5 աղ. 1'!D59</f>
        <v>143000</v>
      </c>
      <c r="F58" s="461">
        <f>+'Հավելված 5 աղ. 1'!E59</f>
        <v>143000</v>
      </c>
    </row>
    <row r="59" spans="1:9" s="32" customFormat="1" ht="13.5" customHeight="1">
      <c r="A59" s="66"/>
      <c r="B59" s="66"/>
      <c r="C59" s="319"/>
      <c r="D59" s="319"/>
      <c r="E59" s="319"/>
      <c r="F59" s="319"/>
    </row>
    <row r="60" spans="1:9" ht="23.25" customHeight="1">
      <c r="A60" s="411" t="s">
        <v>267</v>
      </c>
      <c r="B60" s="411" t="s">
        <v>268</v>
      </c>
      <c r="C60" s="316"/>
      <c r="D60" s="316"/>
      <c r="E60" s="316"/>
      <c r="F60" s="316"/>
      <c r="G60" s="65"/>
      <c r="H60" s="65"/>
      <c r="I60" s="65"/>
    </row>
    <row r="61" spans="1:9" ht="38.25" customHeight="1">
      <c r="A61" s="412">
        <v>1072</v>
      </c>
      <c r="B61" s="413" t="s">
        <v>271</v>
      </c>
      <c r="C61" s="316"/>
      <c r="D61" s="316"/>
      <c r="E61" s="316"/>
      <c r="F61" s="316"/>
      <c r="G61" s="65"/>
      <c r="H61" s="65"/>
      <c r="I61" s="65"/>
    </row>
    <row r="62" spans="1:9" ht="11.25" customHeight="1">
      <c r="A62" s="317"/>
      <c r="B62" s="313"/>
      <c r="C62" s="316"/>
      <c r="D62" s="316"/>
      <c r="E62" s="316"/>
      <c r="F62" s="316"/>
      <c r="G62" s="65"/>
      <c r="H62" s="65"/>
      <c r="I62" s="65"/>
    </row>
    <row r="63" spans="1:9" ht="16.5">
      <c r="A63" s="318" t="s">
        <v>269</v>
      </c>
      <c r="B63" s="313"/>
      <c r="C63" s="316"/>
      <c r="D63" s="316"/>
      <c r="E63" s="316"/>
      <c r="F63" s="316"/>
      <c r="G63" s="65"/>
      <c r="H63" s="65"/>
      <c r="I63" s="65"/>
    </row>
    <row r="64" spans="1:9" ht="14.25" thickBot="1"/>
    <row r="65" spans="1:6">
      <c r="A65" s="663" t="s">
        <v>227</v>
      </c>
      <c r="B65" s="665">
        <v>1072</v>
      </c>
      <c r="C65" s="671" t="s">
        <v>229</v>
      </c>
      <c r="D65" s="671"/>
      <c r="E65" s="671"/>
      <c r="F65" s="672"/>
    </row>
    <row r="66" spans="1:6" ht="52.5" customHeight="1">
      <c r="A66" s="664"/>
      <c r="B66" s="666"/>
      <c r="C66" s="691" t="s">
        <v>304</v>
      </c>
      <c r="D66" s="682"/>
      <c r="E66" s="682"/>
      <c r="F66" s="683"/>
    </row>
    <row r="67" spans="1:6" ht="27">
      <c r="A67" s="306" t="s">
        <v>230</v>
      </c>
      <c r="B67" s="410">
        <v>11003</v>
      </c>
      <c r="C67" s="211" t="s">
        <v>232</v>
      </c>
      <c r="D67" s="211" t="s">
        <v>339</v>
      </c>
      <c r="E67" s="211" t="s">
        <v>340</v>
      </c>
      <c r="F67" s="307" t="s">
        <v>341</v>
      </c>
    </row>
    <row r="68" spans="1:6" ht="44.25" customHeight="1">
      <c r="A68" s="306" t="s">
        <v>211</v>
      </c>
      <c r="B68" s="410" t="s">
        <v>321</v>
      </c>
      <c r="C68" s="295"/>
      <c r="D68" s="295"/>
      <c r="E68" s="295"/>
      <c r="F68" s="299"/>
    </row>
    <row r="69" spans="1:6" ht="32.25" customHeight="1">
      <c r="A69" s="306" t="s">
        <v>213</v>
      </c>
      <c r="B69" s="410" t="s">
        <v>327</v>
      </c>
      <c r="C69" s="295"/>
      <c r="D69" s="295"/>
      <c r="E69" s="295"/>
      <c r="F69" s="299"/>
    </row>
    <row r="70" spans="1:6">
      <c r="A70" s="306" t="s">
        <v>215</v>
      </c>
      <c r="B70" s="303" t="s">
        <v>260</v>
      </c>
      <c r="C70" s="295"/>
      <c r="D70" s="295"/>
      <c r="E70" s="295"/>
      <c r="F70" s="299"/>
    </row>
    <row r="71" spans="1:6" ht="49.5" customHeight="1">
      <c r="A71" s="459" t="s">
        <v>311</v>
      </c>
      <c r="B71" s="303" t="s">
        <v>218</v>
      </c>
      <c r="C71" s="295"/>
      <c r="D71" s="295"/>
      <c r="E71" s="295"/>
      <c r="F71" s="299"/>
    </row>
    <row r="72" spans="1:6" ht="13.5" customHeight="1">
      <c r="A72" s="667" t="s">
        <v>219</v>
      </c>
      <c r="B72" s="668"/>
      <c r="C72" s="296"/>
      <c r="D72" s="296"/>
      <c r="E72" s="296"/>
      <c r="F72" s="300"/>
    </row>
    <row r="73" spans="1:6" ht="13.5" customHeight="1">
      <c r="A73" s="669" t="s">
        <v>261</v>
      </c>
      <c r="B73" s="670"/>
      <c r="C73" s="296"/>
      <c r="D73" s="296"/>
      <c r="E73" s="296"/>
      <c r="F73" s="300"/>
    </row>
    <row r="74" spans="1:6" ht="25.5" customHeight="1" thickBot="1">
      <c r="A74" s="661" t="s">
        <v>226</v>
      </c>
      <c r="B74" s="662"/>
      <c r="C74" s="407" t="e">
        <f>+'Հավելված 3'!#REF!</f>
        <v>#REF!</v>
      </c>
      <c r="D74" s="460">
        <f>+'Հավելված 5 աղ. 1'!C75</f>
        <v>10000</v>
      </c>
      <c r="E74" s="460">
        <f>+'Հավելված 5 աղ. 1'!D75</f>
        <v>10000</v>
      </c>
      <c r="F74" s="461">
        <f>+'Հավելված 5 աղ. 1'!E75</f>
        <v>10000</v>
      </c>
    </row>
    <row r="75" spans="1:6" ht="13.5" customHeight="1" thickBot="1">
      <c r="A75" s="408"/>
      <c r="B75" s="359"/>
      <c r="C75" s="298"/>
      <c r="D75" s="298"/>
      <c r="E75" s="298"/>
      <c r="F75" s="298"/>
    </row>
    <row r="76" spans="1:6">
      <c r="A76" s="663" t="s">
        <v>227</v>
      </c>
      <c r="B76" s="665">
        <v>1072</v>
      </c>
      <c r="C76" s="671" t="s">
        <v>229</v>
      </c>
      <c r="D76" s="671"/>
      <c r="E76" s="671"/>
      <c r="F76" s="672"/>
    </row>
    <row r="77" spans="1:6" ht="52.5" customHeight="1">
      <c r="A77" s="664"/>
      <c r="B77" s="666"/>
      <c r="C77" s="691" t="s">
        <v>304</v>
      </c>
      <c r="D77" s="682"/>
      <c r="E77" s="682"/>
      <c r="F77" s="683"/>
    </row>
    <row r="78" spans="1:6" ht="27">
      <c r="A78" s="306" t="s">
        <v>230</v>
      </c>
      <c r="B78" s="410">
        <v>11004</v>
      </c>
      <c r="C78" s="211" t="s">
        <v>232</v>
      </c>
      <c r="D78" s="211" t="s">
        <v>339</v>
      </c>
      <c r="E78" s="211" t="s">
        <v>340</v>
      </c>
      <c r="F78" s="307" t="s">
        <v>341</v>
      </c>
    </row>
    <row r="79" spans="1:6" ht="44.25" customHeight="1">
      <c r="A79" s="306" t="s">
        <v>211</v>
      </c>
      <c r="B79" s="410" t="s">
        <v>319</v>
      </c>
      <c r="C79" s="295"/>
      <c r="D79" s="295"/>
      <c r="E79" s="295"/>
      <c r="F79" s="299"/>
    </row>
    <row r="80" spans="1:6" ht="32.25" customHeight="1">
      <c r="A80" s="306" t="s">
        <v>213</v>
      </c>
      <c r="B80" s="410" t="s">
        <v>333</v>
      </c>
      <c r="C80" s="295"/>
      <c r="D80" s="295"/>
      <c r="E80" s="295"/>
      <c r="F80" s="299"/>
    </row>
    <row r="81" spans="1:6">
      <c r="A81" s="306" t="s">
        <v>215</v>
      </c>
      <c r="B81" s="303" t="s">
        <v>260</v>
      </c>
      <c r="C81" s="295"/>
      <c r="D81" s="295"/>
      <c r="E81" s="295"/>
      <c r="F81" s="299"/>
    </row>
    <row r="82" spans="1:6" ht="49.5" customHeight="1">
      <c r="A82" s="459" t="s">
        <v>311</v>
      </c>
      <c r="B82" s="303" t="s">
        <v>218</v>
      </c>
      <c r="C82" s="295"/>
      <c r="D82" s="295"/>
      <c r="E82" s="295"/>
      <c r="F82" s="299"/>
    </row>
    <row r="83" spans="1:6" ht="13.5" customHeight="1">
      <c r="A83" s="667" t="s">
        <v>219</v>
      </c>
      <c r="B83" s="668"/>
      <c r="C83" s="296"/>
      <c r="D83" s="296"/>
      <c r="E83" s="296"/>
      <c r="F83" s="300"/>
    </row>
    <row r="84" spans="1:6" ht="13.5" customHeight="1">
      <c r="A84" s="669" t="s">
        <v>261</v>
      </c>
      <c r="B84" s="670"/>
      <c r="C84" s="296"/>
      <c r="D84" s="296"/>
      <c r="E84" s="296"/>
      <c r="F84" s="300"/>
    </row>
    <row r="85" spans="1:6" ht="25.5" customHeight="1" thickBot="1">
      <c r="A85" s="661" t="s">
        <v>226</v>
      </c>
      <c r="B85" s="662"/>
      <c r="C85" s="407" t="e">
        <f>+'Հավելված 3'!#REF!</f>
        <v>#REF!</v>
      </c>
      <c r="D85" s="460">
        <f>+'Հավելված 5 աղ. 1'!C86</f>
        <v>227578.4</v>
      </c>
      <c r="E85" s="460">
        <f>+'Հավելված 5 աղ. 1'!D86</f>
        <v>227578.4</v>
      </c>
      <c r="F85" s="461">
        <f>+'Հավելված 5 աղ. 1'!E86</f>
        <v>227578.4</v>
      </c>
    </row>
    <row r="86" spans="1:6" ht="13.5" customHeight="1" thickBot="1">
      <c r="A86" s="408"/>
      <c r="B86" s="359"/>
      <c r="C86" s="298"/>
      <c r="D86" s="298"/>
      <c r="E86" s="298"/>
      <c r="F86" s="298"/>
    </row>
    <row r="87" spans="1:6">
      <c r="A87" s="663" t="s">
        <v>227</v>
      </c>
      <c r="B87" s="665">
        <v>1072</v>
      </c>
      <c r="C87" s="671" t="s">
        <v>229</v>
      </c>
      <c r="D87" s="671"/>
      <c r="E87" s="671"/>
      <c r="F87" s="672"/>
    </row>
    <row r="88" spans="1:6" ht="52.5" customHeight="1">
      <c r="A88" s="664"/>
      <c r="B88" s="666"/>
      <c r="C88" s="691" t="s">
        <v>304</v>
      </c>
      <c r="D88" s="682"/>
      <c r="E88" s="682"/>
      <c r="F88" s="683"/>
    </row>
    <row r="89" spans="1:6" ht="27">
      <c r="A89" s="306" t="s">
        <v>230</v>
      </c>
      <c r="B89" s="410">
        <v>11005</v>
      </c>
      <c r="C89" s="211" t="s">
        <v>232</v>
      </c>
      <c r="D89" s="211" t="s">
        <v>339</v>
      </c>
      <c r="E89" s="211" t="s">
        <v>340</v>
      </c>
      <c r="F89" s="307" t="s">
        <v>341</v>
      </c>
    </row>
    <row r="90" spans="1:6" ht="44.25" customHeight="1">
      <c r="A90" s="306" t="s">
        <v>211</v>
      </c>
      <c r="B90" s="410" t="s">
        <v>86</v>
      </c>
      <c r="C90" s="295"/>
      <c r="D90" s="295"/>
      <c r="E90" s="295"/>
      <c r="F90" s="299"/>
    </row>
    <row r="91" spans="1:6" ht="32.25" customHeight="1">
      <c r="A91" s="306" t="s">
        <v>213</v>
      </c>
      <c r="B91" s="410" t="s">
        <v>337</v>
      </c>
      <c r="C91" s="295"/>
      <c r="D91" s="295"/>
      <c r="E91" s="295"/>
      <c r="F91" s="299"/>
    </row>
    <row r="92" spans="1:6">
      <c r="A92" s="306" t="s">
        <v>215</v>
      </c>
      <c r="B92" s="303" t="s">
        <v>260</v>
      </c>
      <c r="C92" s="295"/>
      <c r="D92" s="295"/>
      <c r="E92" s="295"/>
      <c r="F92" s="299"/>
    </row>
    <row r="93" spans="1:6" ht="49.5" customHeight="1">
      <c r="A93" s="459" t="s">
        <v>311</v>
      </c>
      <c r="B93" s="303" t="s">
        <v>218</v>
      </c>
      <c r="C93" s="295"/>
      <c r="D93" s="295"/>
      <c r="E93" s="295"/>
      <c r="F93" s="299"/>
    </row>
    <row r="94" spans="1:6" ht="13.5" customHeight="1">
      <c r="A94" s="667" t="s">
        <v>219</v>
      </c>
      <c r="B94" s="668"/>
      <c r="C94" s="296"/>
      <c r="D94" s="296"/>
      <c r="E94" s="296"/>
      <c r="F94" s="300"/>
    </row>
    <row r="95" spans="1:6" ht="13.5" customHeight="1">
      <c r="A95" s="669" t="s">
        <v>261</v>
      </c>
      <c r="B95" s="670"/>
      <c r="C95" s="296"/>
      <c r="D95" s="296"/>
      <c r="E95" s="296"/>
      <c r="F95" s="300"/>
    </row>
    <row r="96" spans="1:6" ht="25.5" customHeight="1" thickBot="1">
      <c r="A96" s="661" t="s">
        <v>226</v>
      </c>
      <c r="B96" s="662"/>
      <c r="C96" s="407" t="e">
        <f>+'Հավելված 3'!#REF!</f>
        <v>#REF!</v>
      </c>
      <c r="D96" s="460">
        <f>+'Հավելված 5 աղ. 1'!C97</f>
        <v>0</v>
      </c>
      <c r="E96" s="460">
        <f>+'Հավելված 5 աղ. 1'!D97</f>
        <v>0</v>
      </c>
      <c r="F96" s="461">
        <f>+'Հավելված 5 աղ. 1'!E97</f>
        <v>10000</v>
      </c>
    </row>
    <row r="97" spans="1:11" ht="14.25" customHeight="1" thickBot="1">
      <c r="A97" s="495"/>
      <c r="B97" s="359"/>
      <c r="C97" s="493"/>
      <c r="D97" s="494"/>
      <c r="E97" s="494"/>
      <c r="F97" s="494"/>
    </row>
    <row r="98" spans="1:11" ht="30.75" customHeight="1">
      <c r="A98" s="304" t="s">
        <v>227</v>
      </c>
      <c r="B98" s="305" t="s">
        <v>228</v>
      </c>
      <c r="C98" s="671" t="s">
        <v>229</v>
      </c>
      <c r="D98" s="671"/>
      <c r="E98" s="671"/>
      <c r="F98" s="672"/>
      <c r="G98" s="37"/>
    </row>
    <row r="99" spans="1:11" ht="36.75" customHeight="1">
      <c r="A99" s="306" t="s">
        <v>230</v>
      </c>
      <c r="B99" s="303" t="s">
        <v>231</v>
      </c>
      <c r="C99" s="211" t="s">
        <v>232</v>
      </c>
      <c r="D99" s="211" t="s">
        <v>339</v>
      </c>
      <c r="E99" s="211" t="s">
        <v>340</v>
      </c>
      <c r="F99" s="307" t="s">
        <v>341</v>
      </c>
      <c r="G99" s="37"/>
    </row>
    <row r="100" spans="1:11" ht="76.5" customHeight="1">
      <c r="A100" s="306" t="s">
        <v>211</v>
      </c>
      <c r="B100" s="303" t="s">
        <v>212</v>
      </c>
      <c r="C100" s="295"/>
      <c r="D100" s="295"/>
      <c r="E100" s="295"/>
      <c r="F100" s="299"/>
      <c r="G100" s="39"/>
      <c r="H100" s="39"/>
      <c r="I100" s="39"/>
    </row>
    <row r="101" spans="1:11" ht="62.25" customHeight="1">
      <c r="A101" s="306" t="s">
        <v>213</v>
      </c>
      <c r="B101" s="303" t="s">
        <v>214</v>
      </c>
      <c r="C101" s="295"/>
      <c r="D101" s="295"/>
      <c r="E101" s="295"/>
      <c r="F101" s="299"/>
    </row>
    <row r="102" spans="1:11" ht="36" customHeight="1">
      <c r="A102" s="306" t="s">
        <v>215</v>
      </c>
      <c r="B102" s="303" t="s">
        <v>216</v>
      </c>
      <c r="C102" s="295"/>
      <c r="D102" s="295"/>
      <c r="E102" s="295"/>
      <c r="F102" s="299"/>
    </row>
    <row r="103" spans="1:11" ht="48.75" customHeight="1">
      <c r="A103" s="459" t="s">
        <v>311</v>
      </c>
      <c r="B103" s="303" t="s">
        <v>218</v>
      </c>
      <c r="C103" s="295"/>
      <c r="D103" s="295"/>
      <c r="E103" s="295"/>
      <c r="F103" s="299"/>
    </row>
    <row r="104" spans="1:11" ht="13.5" customHeight="1">
      <c r="A104" s="659" t="s">
        <v>219</v>
      </c>
      <c r="B104" s="660"/>
      <c r="C104" s="295"/>
      <c r="D104" s="295"/>
      <c r="E104" s="295"/>
      <c r="F104" s="299"/>
      <c r="G104" s="37"/>
      <c r="H104" s="37"/>
      <c r="I104" s="37"/>
      <c r="J104" s="37"/>
      <c r="K104" s="37"/>
    </row>
    <row r="105" spans="1:11" ht="13.5" customHeight="1">
      <c r="A105" s="673" t="s">
        <v>220</v>
      </c>
      <c r="B105" s="674"/>
      <c r="C105" s="296" t="s">
        <v>221</v>
      </c>
      <c r="D105" s="497"/>
      <c r="E105" s="497"/>
      <c r="F105" s="498"/>
    </row>
    <row r="106" spans="1:11" ht="13.5" customHeight="1">
      <c r="A106" s="673" t="s">
        <v>222</v>
      </c>
      <c r="B106" s="674"/>
      <c r="C106" s="296" t="s">
        <v>223</v>
      </c>
      <c r="D106" s="497"/>
      <c r="E106" s="497"/>
      <c r="F106" s="498"/>
    </row>
    <row r="107" spans="1:11" ht="13.5" customHeight="1">
      <c r="A107" s="673" t="s">
        <v>224</v>
      </c>
      <c r="B107" s="674"/>
      <c r="C107" s="296" t="s">
        <v>225</v>
      </c>
      <c r="D107" s="497"/>
      <c r="E107" s="497"/>
      <c r="F107" s="498"/>
    </row>
    <row r="108" spans="1:11" ht="20.25" customHeight="1" thickBot="1">
      <c r="A108" s="661" t="s">
        <v>226</v>
      </c>
      <c r="B108" s="662"/>
      <c r="C108" s="301" t="e">
        <f>+'Հավելված 3'!#REF!</f>
        <v>#REF!</v>
      </c>
      <c r="D108" s="460">
        <f>+'Հավելված 5 աղ. 1'!C109</f>
        <v>94652.2</v>
      </c>
      <c r="E108" s="460">
        <f>+'Հավելված 5 աղ. 1'!D109</f>
        <v>134365.6</v>
      </c>
      <c r="F108" s="461">
        <f>+'Հավելված 5 աղ. 1'!E109</f>
        <v>94652.2</v>
      </c>
    </row>
    <row r="109" spans="1:11" s="32" customFormat="1" ht="14.25" thickBot="1">
      <c r="A109" s="679"/>
      <c r="B109" s="679"/>
      <c r="C109" s="298"/>
      <c r="D109" s="298"/>
      <c r="E109" s="298"/>
      <c r="F109" s="298"/>
    </row>
    <row r="110" spans="1:11" ht="39" customHeight="1">
      <c r="A110" s="304" t="s">
        <v>227</v>
      </c>
      <c r="B110" s="305" t="s">
        <v>228</v>
      </c>
      <c r="C110" s="671" t="s">
        <v>229</v>
      </c>
      <c r="D110" s="671"/>
      <c r="E110" s="671"/>
      <c r="F110" s="672"/>
    </row>
    <row r="111" spans="1:11" ht="39" customHeight="1">
      <c r="A111" s="306" t="s">
        <v>230</v>
      </c>
      <c r="B111" s="303" t="s">
        <v>236</v>
      </c>
      <c r="C111" s="211" t="s">
        <v>232</v>
      </c>
      <c r="D111" s="211" t="s">
        <v>339</v>
      </c>
      <c r="E111" s="211" t="s">
        <v>340</v>
      </c>
      <c r="F111" s="307" t="s">
        <v>341</v>
      </c>
    </row>
    <row r="112" spans="1:11" ht="73.5" customHeight="1">
      <c r="A112" s="306" t="s">
        <v>211</v>
      </c>
      <c r="B112" s="303" t="s">
        <v>237</v>
      </c>
      <c r="C112" s="295"/>
      <c r="D112" s="295"/>
      <c r="E112" s="295"/>
      <c r="F112" s="299"/>
    </row>
    <row r="113" spans="1:7" ht="73.5" customHeight="1">
      <c r="A113" s="306" t="s">
        <v>213</v>
      </c>
      <c r="B113" s="303" t="s">
        <v>214</v>
      </c>
      <c r="C113" s="295"/>
      <c r="D113" s="295"/>
      <c r="E113" s="295"/>
      <c r="F113" s="299"/>
    </row>
    <row r="114" spans="1:7" ht="25.5">
      <c r="A114" s="306" t="s">
        <v>215</v>
      </c>
      <c r="B114" s="303" t="s">
        <v>216</v>
      </c>
      <c r="C114" s="295"/>
      <c r="D114" s="295"/>
      <c r="E114" s="295"/>
      <c r="F114" s="299"/>
    </row>
    <row r="115" spans="1:7" ht="48.75" customHeight="1">
      <c r="A115" s="459" t="s">
        <v>311</v>
      </c>
      <c r="B115" s="303" t="s">
        <v>218</v>
      </c>
      <c r="C115" s="295"/>
      <c r="D115" s="295"/>
      <c r="E115" s="295"/>
      <c r="F115" s="299"/>
    </row>
    <row r="116" spans="1:7" ht="13.5" customHeight="1">
      <c r="A116" s="659" t="s">
        <v>219</v>
      </c>
      <c r="B116" s="660"/>
      <c r="C116" s="296"/>
      <c r="D116" s="296"/>
      <c r="E116" s="296"/>
      <c r="F116" s="300"/>
    </row>
    <row r="117" spans="1:7" ht="13.5" customHeight="1">
      <c r="A117" s="673" t="s">
        <v>220</v>
      </c>
      <c r="B117" s="674"/>
      <c r="C117" s="296" t="s">
        <v>238</v>
      </c>
      <c r="D117" s="497"/>
      <c r="E117" s="497"/>
      <c r="F117" s="498"/>
    </row>
    <row r="118" spans="1:7" ht="13.5" customHeight="1">
      <c r="A118" s="673" t="s">
        <v>222</v>
      </c>
      <c r="B118" s="674"/>
      <c r="C118" s="296" t="s">
        <v>239</v>
      </c>
      <c r="D118" s="497"/>
      <c r="E118" s="497"/>
      <c r="F118" s="498"/>
    </row>
    <row r="119" spans="1:7" ht="13.5" customHeight="1">
      <c r="A119" s="669" t="s">
        <v>224</v>
      </c>
      <c r="B119" s="670"/>
      <c r="C119" s="297" t="s">
        <v>240</v>
      </c>
      <c r="D119" s="497"/>
      <c r="E119" s="497"/>
      <c r="F119" s="498"/>
    </row>
    <row r="120" spans="1:7" ht="20.25" customHeight="1" thickBot="1">
      <c r="A120" s="680" t="s">
        <v>226</v>
      </c>
      <c r="B120" s="681"/>
      <c r="C120" s="311" t="e">
        <f>+'Հավելված 3'!#REF!</f>
        <v>#REF!</v>
      </c>
      <c r="D120" s="460">
        <f>+'Հավելված 5 աղ. 1'!C121</f>
        <v>-94652.2</v>
      </c>
      <c r="E120" s="460">
        <f>+'Հավելված 5 աղ. 1'!D121</f>
        <v>-134365.6</v>
      </c>
      <c r="F120" s="461">
        <f>+'Հավելված 5 աղ. 1'!E121</f>
        <v>-94652.2</v>
      </c>
    </row>
    <row r="121" spans="1:7" ht="13.5" customHeight="1" thickBot="1">
      <c r="A121" s="353"/>
      <c r="B121" s="354"/>
      <c r="C121" s="351"/>
      <c r="D121" s="351"/>
      <c r="E121" s="351"/>
      <c r="F121" s="351"/>
    </row>
    <row r="122" spans="1:7">
      <c r="A122" s="663" t="s">
        <v>227</v>
      </c>
      <c r="B122" s="665">
        <v>1072</v>
      </c>
      <c r="C122" s="671" t="s">
        <v>229</v>
      </c>
      <c r="D122" s="671"/>
      <c r="E122" s="671"/>
      <c r="F122" s="672"/>
    </row>
    <row r="123" spans="1:7" ht="52.5" customHeight="1">
      <c r="A123" s="664"/>
      <c r="B123" s="666"/>
      <c r="C123" s="691" t="s">
        <v>304</v>
      </c>
      <c r="D123" s="682"/>
      <c r="E123" s="682"/>
      <c r="F123" s="683"/>
    </row>
    <row r="124" spans="1:7" ht="27">
      <c r="A124" s="306" t="s">
        <v>230</v>
      </c>
      <c r="B124" s="303" t="s">
        <v>241</v>
      </c>
      <c r="C124" s="211" t="s">
        <v>232</v>
      </c>
      <c r="D124" s="211" t="s">
        <v>339</v>
      </c>
      <c r="E124" s="211" t="s">
        <v>340</v>
      </c>
      <c r="F124" s="307" t="s">
        <v>341</v>
      </c>
    </row>
    <row r="125" spans="1:7" ht="67.5" customHeight="1">
      <c r="A125" s="306" t="s">
        <v>211</v>
      </c>
      <c r="B125" s="303" t="s">
        <v>242</v>
      </c>
      <c r="C125" s="295"/>
      <c r="D125" s="295"/>
      <c r="E125" s="295"/>
      <c r="F125" s="299"/>
      <c r="G125" s="526"/>
    </row>
    <row r="126" spans="1:7" ht="25.5">
      <c r="A126" s="306" t="s">
        <v>213</v>
      </c>
      <c r="B126" s="303" t="s">
        <v>243</v>
      </c>
      <c r="C126" s="295"/>
      <c r="D126" s="295"/>
      <c r="E126" s="295"/>
      <c r="F126" s="299"/>
    </row>
    <row r="127" spans="1:7" ht="29.25" customHeight="1">
      <c r="A127" s="306" t="s">
        <v>215</v>
      </c>
      <c r="B127" s="303" t="s">
        <v>216</v>
      </c>
      <c r="C127" s="295"/>
      <c r="D127" s="459"/>
      <c r="E127" s="295"/>
      <c r="F127" s="299"/>
    </row>
    <row r="128" spans="1:7" ht="49.5" customHeight="1">
      <c r="A128" s="459" t="s">
        <v>311</v>
      </c>
      <c r="B128" s="303" t="s">
        <v>218</v>
      </c>
      <c r="C128" s="295"/>
      <c r="D128" s="295"/>
      <c r="E128" s="295"/>
      <c r="F128" s="299"/>
    </row>
    <row r="129" spans="1:8" ht="13.5" customHeight="1">
      <c r="A129" s="659" t="s">
        <v>219</v>
      </c>
      <c r="B129" s="660"/>
      <c r="C129" s="296"/>
      <c r="D129" s="296"/>
      <c r="E129" s="296"/>
      <c r="F129" s="300"/>
    </row>
    <row r="130" spans="1:8" ht="13.5" customHeight="1">
      <c r="A130" s="673" t="s">
        <v>220</v>
      </c>
      <c r="B130" s="674"/>
      <c r="C130" s="296"/>
      <c r="D130" s="496">
        <f>-(10.94*2-10.94*0.6)</f>
        <v>-15.315999999999999</v>
      </c>
      <c r="E130" s="497">
        <f>-(20.65*2-20.65*0.6)</f>
        <v>-28.909999999999997</v>
      </c>
      <c r="F130" s="498">
        <f>-(24.3*2-24.3*0.6)</f>
        <v>-34.020000000000003</v>
      </c>
    </row>
    <row r="131" spans="1:8" ht="13.5" customHeight="1">
      <c r="A131" s="673" t="s">
        <v>224</v>
      </c>
      <c r="B131" s="674"/>
      <c r="C131" s="296"/>
      <c r="D131" s="527">
        <f>ROUND(-(563*2-563*0.6),0)</f>
        <v>-788</v>
      </c>
      <c r="E131" s="527">
        <f>ROUND(-(1065*2-1065*0.6),0)</f>
        <v>-1491</v>
      </c>
      <c r="F131" s="528">
        <f>ROUND(-(1253*2-1253*0.6),0)</f>
        <v>-1754</v>
      </c>
      <c r="G131" s="24">
        <f>563*2</f>
        <v>1126</v>
      </c>
      <c r="H131" s="24">
        <f>+G131+D131</f>
        <v>338</v>
      </c>
    </row>
    <row r="132" spans="1:8" ht="19.5" customHeight="1" thickBot="1">
      <c r="A132" s="661" t="s">
        <v>226</v>
      </c>
      <c r="B132" s="662"/>
      <c r="C132" s="407" t="e">
        <f>+'Հավելված 3'!#REF!</f>
        <v>#REF!</v>
      </c>
      <c r="D132" s="460">
        <f>+'Հավելված 5 աղ. 1'!C133</f>
        <v>-1031600</v>
      </c>
      <c r="E132" s="460">
        <f>+'Հավելված 5 աղ. 1'!D133</f>
        <v>-1031600</v>
      </c>
      <c r="F132" s="461">
        <f>+'Հավելված 5 աղ. 1'!E133</f>
        <v>-1041600</v>
      </c>
      <c r="G132" s="24">
        <v>563</v>
      </c>
      <c r="H132" s="24">
        <f>+G132*0.6</f>
        <v>337.8</v>
      </c>
    </row>
    <row r="133" spans="1:8" ht="13.5" customHeight="1" thickBot="1">
      <c r="A133" s="353"/>
      <c r="B133" s="354"/>
      <c r="C133" s="351"/>
      <c r="D133" s="351"/>
      <c r="E133" s="351"/>
      <c r="F133" s="351"/>
    </row>
    <row r="134" spans="1:8">
      <c r="A134" s="663" t="s">
        <v>227</v>
      </c>
      <c r="B134" s="665">
        <v>1072</v>
      </c>
      <c r="C134" s="671" t="s">
        <v>229</v>
      </c>
      <c r="D134" s="671"/>
      <c r="E134" s="671"/>
      <c r="F134" s="672"/>
    </row>
    <row r="135" spans="1:8" ht="52.5" customHeight="1">
      <c r="A135" s="664"/>
      <c r="B135" s="666"/>
      <c r="C135" s="691" t="s">
        <v>304</v>
      </c>
      <c r="D135" s="682"/>
      <c r="E135" s="682"/>
      <c r="F135" s="683"/>
    </row>
    <row r="136" spans="1:8" ht="27">
      <c r="A136" s="306" t="s">
        <v>230</v>
      </c>
      <c r="B136" s="303">
        <v>31004</v>
      </c>
      <c r="C136" s="211" t="s">
        <v>232</v>
      </c>
      <c r="D136" s="211" t="s">
        <v>339</v>
      </c>
      <c r="E136" s="211" t="s">
        <v>340</v>
      </c>
      <c r="F136" s="307" t="s">
        <v>341</v>
      </c>
    </row>
    <row r="137" spans="1:8" ht="78.75" customHeight="1">
      <c r="A137" s="306" t="s">
        <v>211</v>
      </c>
      <c r="B137" s="410" t="s">
        <v>338</v>
      </c>
      <c r="C137" s="295"/>
      <c r="D137" s="295"/>
      <c r="E137" s="295"/>
      <c r="F137" s="299"/>
      <c r="G137" s="526"/>
    </row>
    <row r="138" spans="1:8" ht="30" customHeight="1">
      <c r="A138" s="306" t="s">
        <v>213</v>
      </c>
      <c r="B138" s="410" t="s">
        <v>243</v>
      </c>
      <c r="C138" s="295"/>
      <c r="D138" s="295"/>
      <c r="E138" s="295"/>
      <c r="F138" s="299"/>
    </row>
    <row r="139" spans="1:8" ht="33" customHeight="1">
      <c r="A139" s="306" t="s">
        <v>215</v>
      </c>
      <c r="B139" s="303" t="s">
        <v>216</v>
      </c>
      <c r="C139" s="295"/>
      <c r="D139" s="459"/>
      <c r="E139" s="295"/>
      <c r="F139" s="299"/>
    </row>
    <row r="140" spans="1:8" ht="49.5" customHeight="1">
      <c r="A140" s="459" t="s">
        <v>311</v>
      </c>
      <c r="B140" s="303" t="s">
        <v>218</v>
      </c>
      <c r="C140" s="295"/>
      <c r="D140" s="295"/>
      <c r="E140" s="295"/>
      <c r="F140" s="299"/>
    </row>
    <row r="141" spans="1:8" ht="13.5" customHeight="1">
      <c r="A141" s="659" t="s">
        <v>219</v>
      </c>
      <c r="B141" s="660"/>
      <c r="C141" s="296"/>
      <c r="D141" s="296"/>
      <c r="E141" s="296"/>
      <c r="F141" s="300"/>
    </row>
    <row r="142" spans="1:8" ht="13.5" customHeight="1">
      <c r="A142" s="673" t="s">
        <v>220</v>
      </c>
      <c r="B142" s="674"/>
      <c r="C142" s="296"/>
      <c r="D142" s="497">
        <v>-4.9520000000000008</v>
      </c>
      <c r="E142" s="497">
        <v>-9.3520000000000003</v>
      </c>
      <c r="F142" s="498">
        <v>-11</v>
      </c>
    </row>
    <row r="143" spans="1:8" ht="13.5" customHeight="1">
      <c r="A143" s="673" t="s">
        <v>224</v>
      </c>
      <c r="B143" s="674"/>
      <c r="C143" s="296"/>
      <c r="D143" s="497">
        <v>-221</v>
      </c>
      <c r="E143" s="497">
        <v>-417</v>
      </c>
      <c r="F143" s="498">
        <v>-491</v>
      </c>
      <c r="G143" s="24">
        <f>563*2</f>
        <v>1126</v>
      </c>
      <c r="H143" s="24">
        <f>+G143+D143</f>
        <v>905</v>
      </c>
    </row>
    <row r="144" spans="1:8" ht="19.5" customHeight="1" thickBot="1">
      <c r="A144" s="661" t="s">
        <v>226</v>
      </c>
      <c r="B144" s="662"/>
      <c r="C144" s="407" t="e">
        <f>+'Հավելված 3'!#REF!</f>
        <v>#REF!</v>
      </c>
      <c r="D144" s="460">
        <f>+'Հավելված 5 աղ. 1'!C145</f>
        <v>-237578.4</v>
      </c>
      <c r="E144" s="460">
        <f>+'Հավելված 5 աղ. 1'!D145</f>
        <v>-237578.4</v>
      </c>
      <c r="F144" s="461">
        <f>+'Հավելված 5 աղ. 1'!E145</f>
        <v>-237578.4</v>
      </c>
      <c r="G144" s="24">
        <v>563</v>
      </c>
      <c r="H144" s="24">
        <f>+G144*0.6</f>
        <v>337.8</v>
      </c>
    </row>
    <row r="145" spans="1:9" ht="16.5">
      <c r="A145" s="534"/>
      <c r="B145" s="534"/>
      <c r="C145" s="316"/>
      <c r="D145" s="316"/>
      <c r="E145" s="316"/>
      <c r="F145" s="316"/>
      <c r="G145" s="65"/>
      <c r="H145" s="65"/>
      <c r="I145" s="65"/>
    </row>
    <row r="146" spans="1:9" hidden="1">
      <c r="D146" s="535">
        <f>+D144+D132+D108+D96+D85+D74+D58+D36+D25+D120+D46</f>
        <v>7.2759576141834259E-11</v>
      </c>
      <c r="E146" s="535">
        <f>+E144+E132+E108+E96+E85+E74+E58+E36+E25+E120+E46</f>
        <v>2.0372681319713593E-10</v>
      </c>
      <c r="F146" s="535">
        <f>+F144+F132+F108+F96+F85+F74+F58+F36+F25+F120+F46</f>
        <v>0</v>
      </c>
    </row>
  </sheetData>
  <mergeCells count="78">
    <mergeCell ref="A56:B56"/>
    <mergeCell ref="A6:F6"/>
    <mergeCell ref="C16:F16"/>
    <mergeCell ref="C48:F48"/>
    <mergeCell ref="C49:F49"/>
    <mergeCell ref="C17:F17"/>
    <mergeCell ref="E5:F5"/>
    <mergeCell ref="A8:E8"/>
    <mergeCell ref="A9:F9"/>
    <mergeCell ref="C27:F27"/>
    <mergeCell ref="A55:B55"/>
    <mergeCell ref="A16:A17"/>
    <mergeCell ref="A109:B109"/>
    <mergeCell ref="A23:B23"/>
    <mergeCell ref="A24:B24"/>
    <mergeCell ref="A83:B83"/>
    <mergeCell ref="A108:B108"/>
    <mergeCell ref="A34:B34"/>
    <mergeCell ref="B16:B17"/>
    <mergeCell ref="A36:B36"/>
    <mergeCell ref="A48:A49"/>
    <mergeCell ref="B48:B49"/>
    <mergeCell ref="A35:B35"/>
    <mergeCell ref="A25:B25"/>
    <mergeCell ref="A33:B33"/>
    <mergeCell ref="A57:B57"/>
    <mergeCell ref="A58:B58"/>
    <mergeCell ref="C65:F65"/>
    <mergeCell ref="A72:B72"/>
    <mergeCell ref="A73:B73"/>
    <mergeCell ref="A84:B84"/>
    <mergeCell ref="A85:B85"/>
    <mergeCell ref="A74:B74"/>
    <mergeCell ref="A76:A77"/>
    <mergeCell ref="B76:B77"/>
    <mergeCell ref="C76:F76"/>
    <mergeCell ref="C77:F77"/>
    <mergeCell ref="A65:A66"/>
    <mergeCell ref="B65:B66"/>
    <mergeCell ref="C66:F66"/>
    <mergeCell ref="A94:B94"/>
    <mergeCell ref="A95:B95"/>
    <mergeCell ref="A96:B96"/>
    <mergeCell ref="A87:A88"/>
    <mergeCell ref="C98:F98"/>
    <mergeCell ref="B87:B88"/>
    <mergeCell ref="C87:F87"/>
    <mergeCell ref="C88:F88"/>
    <mergeCell ref="A104:B104"/>
    <mergeCell ref="A105:B105"/>
    <mergeCell ref="B122:B123"/>
    <mergeCell ref="C122:F122"/>
    <mergeCell ref="C123:F123"/>
    <mergeCell ref="A120:B120"/>
    <mergeCell ref="A143:B143"/>
    <mergeCell ref="A144:B144"/>
    <mergeCell ref="A130:B130"/>
    <mergeCell ref="A131:B131"/>
    <mergeCell ref="A134:A135"/>
    <mergeCell ref="B134:B135"/>
    <mergeCell ref="A142:B142"/>
    <mergeCell ref="A132:B132"/>
    <mergeCell ref="C38:F38"/>
    <mergeCell ref="A44:B44"/>
    <mergeCell ref="A45:B45"/>
    <mergeCell ref="A46:B46"/>
    <mergeCell ref="A141:B141"/>
    <mergeCell ref="C134:F134"/>
    <mergeCell ref="C135:F135"/>
    <mergeCell ref="A119:B119"/>
    <mergeCell ref="A122:A123"/>
    <mergeCell ref="A129:B129"/>
    <mergeCell ref="A106:B106"/>
    <mergeCell ref="A107:B107"/>
    <mergeCell ref="C110:F110"/>
    <mergeCell ref="A116:B116"/>
    <mergeCell ref="A117:B117"/>
    <mergeCell ref="A118:B118"/>
  </mergeCells>
  <printOptions horizontalCentered="1"/>
  <pageMargins left="0.51181102362204722" right="0" top="0.19685039370078741" bottom="0" header="0" footer="0"/>
  <pageSetup paperSize="9" scale="80" fitToHeight="6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view="pageBreakPreview" topLeftCell="A4" zoomScaleNormal="100" zoomScaleSheetLayoutView="100" workbookViewId="0">
      <selection activeCell="D81" sqref="D81"/>
    </sheetView>
  </sheetViews>
  <sheetFormatPr defaultRowHeight="13.5"/>
  <cols>
    <col min="1" max="1" width="10.85546875" style="24" customWidth="1"/>
    <col min="2" max="3" width="10.28515625" style="24" customWidth="1"/>
    <col min="4" max="4" width="89.5703125" style="33" customWidth="1"/>
    <col min="5" max="5" width="21.28515625" style="62" customWidth="1"/>
    <col min="6" max="7" width="9.140625" style="24"/>
    <col min="8" max="8" width="12.28515625" style="24" bestFit="1" customWidth="1"/>
    <col min="9" max="16384" width="9.140625" style="24"/>
  </cols>
  <sheetData>
    <row r="1" spans="1:5" ht="21" customHeight="1">
      <c r="E1" s="21" t="s">
        <v>119</v>
      </c>
    </row>
    <row r="2" spans="1:5" ht="16.5" customHeight="1">
      <c r="E2" s="21" t="s">
        <v>33</v>
      </c>
    </row>
    <row r="3" spans="1:5" ht="23.25" customHeight="1">
      <c r="E3" s="95"/>
    </row>
    <row r="4" spans="1:5" ht="16.5">
      <c r="A4" s="706" t="s">
        <v>108</v>
      </c>
      <c r="B4" s="706"/>
      <c r="C4" s="706"/>
      <c r="D4" s="706"/>
      <c r="E4" s="706"/>
    </row>
    <row r="5" spans="1:5" ht="16.5">
      <c r="A5" s="706" t="s">
        <v>66</v>
      </c>
      <c r="B5" s="706"/>
      <c r="C5" s="706"/>
      <c r="D5" s="706"/>
      <c r="E5" s="706"/>
    </row>
    <row r="6" spans="1:5" ht="24" customHeight="1">
      <c r="A6" s="706" t="s">
        <v>67</v>
      </c>
      <c r="B6" s="706"/>
      <c r="C6" s="706"/>
      <c r="D6" s="706"/>
      <c r="E6" s="706"/>
    </row>
    <row r="7" spans="1:5" ht="25.5" customHeight="1">
      <c r="A7" s="67"/>
      <c r="B7" s="67"/>
      <c r="C7" s="67"/>
      <c r="D7" s="67"/>
      <c r="E7" s="67"/>
    </row>
    <row r="8" spans="1:5" ht="54.75" customHeight="1">
      <c r="A8" s="710" t="s">
        <v>96</v>
      </c>
      <c r="B8" s="710"/>
      <c r="C8" s="710"/>
      <c r="D8" s="710"/>
      <c r="E8" s="710"/>
    </row>
    <row r="9" spans="1:5">
      <c r="A9" s="711" t="s">
        <v>38</v>
      </c>
      <c r="B9" s="711"/>
      <c r="C9" s="711"/>
      <c r="D9" s="711"/>
      <c r="E9" s="711"/>
    </row>
    <row r="10" spans="1:5" ht="16.5">
      <c r="A10" s="712" t="s">
        <v>39</v>
      </c>
      <c r="B10" s="712"/>
      <c r="C10" s="712"/>
      <c r="D10" s="712"/>
      <c r="E10" s="712"/>
    </row>
    <row r="11" spans="1:5" ht="34.5" customHeight="1">
      <c r="A11" s="713" t="s">
        <v>36</v>
      </c>
      <c r="B11" s="713"/>
      <c r="C11" s="64" t="s">
        <v>40</v>
      </c>
      <c r="D11" s="64" t="s">
        <v>41</v>
      </c>
      <c r="E11" s="64" t="s">
        <v>97</v>
      </c>
    </row>
    <row r="12" spans="1:5" ht="28.5" customHeight="1">
      <c r="A12" s="64" t="s">
        <v>43</v>
      </c>
      <c r="B12" s="64" t="s">
        <v>44</v>
      </c>
      <c r="C12" s="64" t="s">
        <v>45</v>
      </c>
      <c r="D12" s="63"/>
      <c r="E12" s="64" t="s">
        <v>42</v>
      </c>
    </row>
    <row r="13" spans="1:5" ht="14.25">
      <c r="A13" s="160">
        <v>1027</v>
      </c>
      <c r="B13" s="158"/>
      <c r="C13" s="159"/>
      <c r="D13" s="160" t="s">
        <v>46</v>
      </c>
      <c r="E13" s="161"/>
    </row>
    <row r="14" spans="1:5" ht="19.5" customHeight="1">
      <c r="A14" s="146"/>
      <c r="B14" s="147"/>
      <c r="C14" s="148"/>
      <c r="D14" s="150" t="s">
        <v>114</v>
      </c>
      <c r="E14" s="708">
        <f>+E21</f>
        <v>79071.3</v>
      </c>
    </row>
    <row r="15" spans="1:5" ht="21" customHeight="1">
      <c r="A15" s="146"/>
      <c r="B15" s="147"/>
      <c r="C15" s="148"/>
      <c r="D15" s="151" t="s">
        <v>115</v>
      </c>
      <c r="E15" s="709"/>
    </row>
    <row r="16" spans="1:5" ht="30.75" customHeight="1">
      <c r="A16" s="146"/>
      <c r="B16" s="147"/>
      <c r="C16" s="148"/>
      <c r="D16" s="150" t="s">
        <v>116</v>
      </c>
      <c r="E16" s="709"/>
    </row>
    <row r="17" spans="1:5" ht="20.25" customHeight="1">
      <c r="A17" s="146"/>
      <c r="B17" s="147"/>
      <c r="C17" s="148"/>
      <c r="D17" s="151" t="s">
        <v>55</v>
      </c>
      <c r="E17" s="709"/>
    </row>
    <row r="18" spans="1:5" ht="21" customHeight="1">
      <c r="A18" s="146"/>
      <c r="B18" s="147"/>
      <c r="C18" s="148"/>
      <c r="D18" s="150" t="s">
        <v>117</v>
      </c>
      <c r="E18" s="709"/>
    </row>
    <row r="19" spans="1:5" ht="14.25">
      <c r="A19" s="146"/>
      <c r="B19" s="147"/>
      <c r="C19" s="148"/>
      <c r="D19" s="149"/>
      <c r="E19" s="709"/>
    </row>
    <row r="20" spans="1:5" ht="31.5" customHeight="1">
      <c r="A20" s="707"/>
      <c r="B20" s="159"/>
      <c r="C20" s="705" t="s">
        <v>48</v>
      </c>
      <c r="D20" s="705"/>
      <c r="E20" s="157"/>
    </row>
    <row r="21" spans="1:5" ht="20.25" customHeight="1">
      <c r="A21" s="697"/>
      <c r="B21" s="697" t="s">
        <v>81</v>
      </c>
      <c r="C21" s="697" t="s">
        <v>49</v>
      </c>
      <c r="D21" s="63" t="s">
        <v>62</v>
      </c>
      <c r="E21" s="695">
        <f>+'N 2.2 '!K12</f>
        <v>79071.3</v>
      </c>
    </row>
    <row r="22" spans="1:5" ht="24.75" customHeight="1">
      <c r="A22" s="697"/>
      <c r="B22" s="697"/>
      <c r="C22" s="697"/>
      <c r="D22" s="97" t="s">
        <v>50</v>
      </c>
      <c r="E22" s="695"/>
    </row>
    <row r="23" spans="1:5" ht="39.75" customHeight="1">
      <c r="A23" s="697"/>
      <c r="B23" s="697"/>
      <c r="C23" s="697"/>
      <c r="D23" s="63" t="s">
        <v>95</v>
      </c>
      <c r="E23" s="695"/>
    </row>
    <row r="24" spans="1:5" ht="13.5" customHeight="1">
      <c r="A24" s="697"/>
      <c r="B24" s="697"/>
      <c r="C24" s="697"/>
      <c r="D24" s="97" t="s">
        <v>51</v>
      </c>
      <c r="E24" s="695"/>
    </row>
    <row r="25" spans="1:5" ht="32.25" customHeight="1" thickBot="1">
      <c r="A25" s="698"/>
      <c r="B25" s="698"/>
      <c r="C25" s="698"/>
      <c r="D25" s="116" t="s">
        <v>61</v>
      </c>
      <c r="E25" s="696"/>
    </row>
    <row r="26" spans="1:5" ht="24" customHeight="1">
      <c r="A26" s="153">
        <v>1072</v>
      </c>
      <c r="B26" s="154"/>
      <c r="C26" s="152"/>
      <c r="D26" s="155" t="s">
        <v>46</v>
      </c>
      <c r="E26" s="156"/>
    </row>
    <row r="27" spans="1:5" ht="35.25" customHeight="1">
      <c r="A27" s="105"/>
      <c r="B27" s="105"/>
      <c r="C27" s="105"/>
      <c r="D27" s="63" t="s">
        <v>56</v>
      </c>
      <c r="E27" s="118" t="e">
        <f>E33+E38+E43+E59+E66+E88+E73+E53+E48+E80</f>
        <v>#REF!</v>
      </c>
    </row>
    <row r="28" spans="1:5" ht="17.25" customHeight="1">
      <c r="A28" s="105"/>
      <c r="B28" s="105"/>
      <c r="C28" s="105"/>
      <c r="D28" s="97" t="s">
        <v>47</v>
      </c>
      <c r="E28" s="96"/>
    </row>
    <row r="29" spans="1:5" ht="31.5" customHeight="1">
      <c r="A29" s="105"/>
      <c r="B29" s="105"/>
      <c r="C29" s="105"/>
      <c r="D29" s="63" t="s">
        <v>57</v>
      </c>
      <c r="E29" s="96"/>
    </row>
    <row r="30" spans="1:5" ht="23.25" customHeight="1">
      <c r="A30" s="105"/>
      <c r="B30" s="105"/>
      <c r="C30" s="105"/>
      <c r="D30" s="63" t="s">
        <v>55</v>
      </c>
      <c r="E30" s="96"/>
    </row>
    <row r="31" spans="1:5" ht="33" customHeight="1">
      <c r="A31" s="105"/>
      <c r="B31" s="105"/>
      <c r="C31" s="105"/>
      <c r="D31" s="63" t="s">
        <v>58</v>
      </c>
      <c r="E31" s="96"/>
    </row>
    <row r="32" spans="1:5" ht="32.25" customHeight="1">
      <c r="A32" s="98"/>
      <c r="B32" s="159"/>
      <c r="C32" s="705" t="s">
        <v>48</v>
      </c>
      <c r="D32" s="705"/>
      <c r="E32" s="162"/>
    </row>
    <row r="33" spans="1:5" ht="36.75" customHeight="1">
      <c r="A33" s="105"/>
      <c r="B33" s="94" t="s">
        <v>82</v>
      </c>
      <c r="C33" s="94" t="s">
        <v>60</v>
      </c>
      <c r="D33" s="63" t="s">
        <v>83</v>
      </c>
      <c r="E33" s="699">
        <f>+'Հավելված 3'!J30</f>
        <v>1792701.1</v>
      </c>
    </row>
    <row r="34" spans="1:5" ht="23.25" customHeight="1">
      <c r="A34" s="105"/>
      <c r="B34" s="105"/>
      <c r="C34" s="105"/>
      <c r="D34" s="97" t="s">
        <v>50</v>
      </c>
      <c r="E34" s="700"/>
    </row>
    <row r="35" spans="1:5" ht="39.75" customHeight="1">
      <c r="A35" s="105"/>
      <c r="B35" s="105"/>
      <c r="C35" s="105"/>
      <c r="D35" s="63" t="s">
        <v>84</v>
      </c>
      <c r="E35" s="700"/>
    </row>
    <row r="36" spans="1:5" ht="25.5" customHeight="1">
      <c r="A36" s="105"/>
      <c r="B36" s="105"/>
      <c r="C36" s="105"/>
      <c r="D36" s="97" t="s">
        <v>51</v>
      </c>
      <c r="E36" s="700"/>
    </row>
    <row r="37" spans="1:5" ht="24.75" customHeight="1">
      <c r="A37" s="105"/>
      <c r="B37" s="105"/>
      <c r="C37" s="105"/>
      <c r="D37" s="63" t="s">
        <v>63</v>
      </c>
      <c r="E37" s="701"/>
    </row>
    <row r="38" spans="1:5" ht="36.75" customHeight="1">
      <c r="A38" s="105"/>
      <c r="B38" s="94" t="s">
        <v>64</v>
      </c>
      <c r="C38" s="94" t="s">
        <v>60</v>
      </c>
      <c r="D38" s="63" t="s">
        <v>86</v>
      </c>
      <c r="E38" s="699" t="e">
        <f>+'Հավելված 3'!#REF!</f>
        <v>#REF!</v>
      </c>
    </row>
    <row r="39" spans="1:5" ht="23.25" customHeight="1">
      <c r="A39" s="105"/>
      <c r="B39" s="105"/>
      <c r="C39" s="105"/>
      <c r="D39" s="97" t="s">
        <v>50</v>
      </c>
      <c r="E39" s="700"/>
    </row>
    <row r="40" spans="1:5" ht="39.75" customHeight="1">
      <c r="A40" s="105"/>
      <c r="B40" s="105"/>
      <c r="C40" s="105"/>
      <c r="D40" s="63" t="s">
        <v>85</v>
      </c>
      <c r="E40" s="700"/>
    </row>
    <row r="41" spans="1:5" ht="25.5" customHeight="1">
      <c r="A41" s="105"/>
      <c r="B41" s="105"/>
      <c r="C41" s="105"/>
      <c r="D41" s="97" t="s">
        <v>51</v>
      </c>
      <c r="E41" s="700"/>
    </row>
    <row r="42" spans="1:5" ht="24.75" customHeight="1">
      <c r="A42" s="105"/>
      <c r="B42" s="105"/>
      <c r="C42" s="105"/>
      <c r="D42" s="63" t="s">
        <v>63</v>
      </c>
      <c r="E42" s="701"/>
    </row>
    <row r="43" spans="1:5" ht="36.75" customHeight="1">
      <c r="A43" s="105"/>
      <c r="B43" s="94" t="s">
        <v>87</v>
      </c>
      <c r="C43" s="94" t="s">
        <v>60</v>
      </c>
      <c r="D43" s="63" t="s">
        <v>88</v>
      </c>
      <c r="E43" s="699">
        <f>+'N 2.2 '!K21</f>
        <v>48796.3</v>
      </c>
    </row>
    <row r="44" spans="1:5" ht="23.25" customHeight="1">
      <c r="A44" s="105"/>
      <c r="B44" s="105"/>
      <c r="C44" s="105"/>
      <c r="D44" s="97" t="s">
        <v>50</v>
      </c>
      <c r="E44" s="700"/>
    </row>
    <row r="45" spans="1:5" ht="39.75" customHeight="1">
      <c r="A45" s="105"/>
      <c r="B45" s="105"/>
      <c r="C45" s="105"/>
      <c r="D45" s="63" t="s">
        <v>89</v>
      </c>
      <c r="E45" s="700"/>
    </row>
    <row r="46" spans="1:5" ht="25.5" customHeight="1">
      <c r="A46" s="105"/>
      <c r="B46" s="105"/>
      <c r="C46" s="105"/>
      <c r="D46" s="97" t="s">
        <v>51</v>
      </c>
      <c r="E46" s="700"/>
    </row>
    <row r="47" spans="1:5" ht="24.75" customHeight="1">
      <c r="A47" s="105"/>
      <c r="B47" s="105"/>
      <c r="C47" s="105"/>
      <c r="D47" s="63" t="s">
        <v>63</v>
      </c>
      <c r="E47" s="701"/>
    </row>
    <row r="48" spans="1:5" ht="36.75" customHeight="1">
      <c r="A48" s="105"/>
      <c r="B48" s="94" t="s">
        <v>200</v>
      </c>
      <c r="C48" s="94" t="s">
        <v>60</v>
      </c>
      <c r="D48" s="63" t="s">
        <v>201</v>
      </c>
      <c r="E48" s="699">
        <f>+'N 2.2 '!K29</f>
        <v>80352.899999999994</v>
      </c>
    </row>
    <row r="49" spans="1:5" ht="23.25" customHeight="1">
      <c r="A49" s="105"/>
      <c r="B49" s="105"/>
      <c r="C49" s="105"/>
      <c r="D49" s="97" t="s">
        <v>50</v>
      </c>
      <c r="E49" s="700"/>
    </row>
    <row r="50" spans="1:5" ht="39.75" customHeight="1">
      <c r="A50" s="105"/>
      <c r="B50" s="105"/>
      <c r="C50" s="105"/>
      <c r="D50" s="63" t="s">
        <v>89</v>
      </c>
      <c r="E50" s="700"/>
    </row>
    <row r="51" spans="1:5" ht="25.5" customHeight="1">
      <c r="A51" s="105"/>
      <c r="B51" s="105"/>
      <c r="C51" s="105"/>
      <c r="D51" s="97" t="s">
        <v>51</v>
      </c>
      <c r="E51" s="700"/>
    </row>
    <row r="52" spans="1:5" ht="24.75" customHeight="1">
      <c r="A52" s="105"/>
      <c r="B52" s="105"/>
      <c r="C52" s="105"/>
      <c r="D52" s="63" t="s">
        <v>63</v>
      </c>
      <c r="E52" s="701"/>
    </row>
    <row r="53" spans="1:5" ht="48.75" customHeight="1">
      <c r="A53" s="105"/>
      <c r="B53" s="119" t="s">
        <v>64</v>
      </c>
      <c r="C53" s="119" t="s">
        <v>60</v>
      </c>
      <c r="D53" s="166" t="s">
        <v>113</v>
      </c>
      <c r="E53" s="700">
        <v>318593.2</v>
      </c>
    </row>
    <row r="54" spans="1:5" ht="24.75" customHeight="1">
      <c r="A54" s="105"/>
      <c r="B54" s="119"/>
      <c r="C54" s="119"/>
      <c r="D54" s="167" t="s">
        <v>50</v>
      </c>
      <c r="E54" s="700"/>
    </row>
    <row r="55" spans="1:5" ht="24.75" customHeight="1">
      <c r="A55" s="105"/>
      <c r="B55" s="119"/>
      <c r="C55" s="119"/>
      <c r="D55" s="131" t="s">
        <v>111</v>
      </c>
      <c r="E55" s="700"/>
    </row>
    <row r="56" spans="1:5" ht="24.75" customHeight="1">
      <c r="A56" s="105"/>
      <c r="B56" s="119"/>
      <c r="C56" s="119"/>
      <c r="D56" s="167" t="s">
        <v>51</v>
      </c>
      <c r="E56" s="700"/>
    </row>
    <row r="57" spans="1:5" ht="24.75" customHeight="1">
      <c r="A57" s="105"/>
      <c r="B57" s="163"/>
      <c r="C57" s="163"/>
      <c r="D57" s="164" t="s">
        <v>112</v>
      </c>
      <c r="E57" s="700"/>
    </row>
    <row r="58" spans="1:5" ht="31.5" customHeight="1">
      <c r="A58" s="98"/>
      <c r="B58" s="159"/>
      <c r="C58" s="702" t="s">
        <v>98</v>
      </c>
      <c r="D58" s="703"/>
      <c r="E58" s="162"/>
    </row>
    <row r="59" spans="1:5" ht="50.25" customHeight="1">
      <c r="A59" s="105"/>
      <c r="B59" s="94" t="s">
        <v>99</v>
      </c>
      <c r="C59" s="94" t="s">
        <v>103</v>
      </c>
      <c r="D59" s="63" t="s">
        <v>92</v>
      </c>
      <c r="E59" s="699" t="e">
        <f>+'Հավելված 3'!#REF!</f>
        <v>#REF!</v>
      </c>
    </row>
    <row r="60" spans="1:5" ht="23.25" customHeight="1">
      <c r="A60" s="105"/>
      <c r="B60" s="105"/>
      <c r="C60" s="105"/>
      <c r="D60" s="97" t="s">
        <v>52</v>
      </c>
      <c r="E60" s="700"/>
    </row>
    <row r="61" spans="1:5" ht="22.5" customHeight="1">
      <c r="A61" s="105"/>
      <c r="B61" s="105"/>
      <c r="C61" s="105"/>
      <c r="D61" s="63" t="s">
        <v>100</v>
      </c>
      <c r="E61" s="700"/>
    </row>
    <row r="62" spans="1:5" ht="25.5" customHeight="1">
      <c r="A62" s="105"/>
      <c r="B62" s="105"/>
      <c r="C62" s="105"/>
      <c r="D62" s="97" t="s">
        <v>37</v>
      </c>
      <c r="E62" s="700"/>
    </row>
    <row r="63" spans="1:5" ht="24.75" customHeight="1">
      <c r="A63" s="105"/>
      <c r="B63" s="105"/>
      <c r="C63" s="105"/>
      <c r="D63" s="63" t="s">
        <v>101</v>
      </c>
      <c r="E63" s="700"/>
    </row>
    <row r="64" spans="1:5" ht="25.5" customHeight="1">
      <c r="A64" s="105"/>
      <c r="B64" s="105"/>
      <c r="C64" s="105"/>
      <c r="D64" s="97" t="s">
        <v>53</v>
      </c>
      <c r="E64" s="700"/>
    </row>
    <row r="65" spans="1:5" ht="24.75" customHeight="1">
      <c r="A65" s="105"/>
      <c r="B65" s="105"/>
      <c r="C65" s="105"/>
      <c r="D65" s="63" t="s">
        <v>93</v>
      </c>
      <c r="E65" s="701"/>
    </row>
    <row r="66" spans="1:5" ht="50.25" customHeight="1">
      <c r="A66" s="105"/>
      <c r="B66" s="94" t="s">
        <v>102</v>
      </c>
      <c r="C66" s="94" t="s">
        <v>103</v>
      </c>
      <c r="D66" s="63" t="s">
        <v>94</v>
      </c>
      <c r="E66" s="699" t="e">
        <f>+'Հավելված 3'!#REF!</f>
        <v>#REF!</v>
      </c>
    </row>
    <row r="67" spans="1:5" ht="23.25" customHeight="1">
      <c r="A67" s="105"/>
      <c r="B67" s="105"/>
      <c r="C67" s="105"/>
      <c r="D67" s="97" t="s">
        <v>52</v>
      </c>
      <c r="E67" s="700"/>
    </row>
    <row r="68" spans="1:5" ht="22.5" customHeight="1">
      <c r="A68" s="105"/>
      <c r="B68" s="105"/>
      <c r="C68" s="105"/>
      <c r="D68" s="63" t="s">
        <v>100</v>
      </c>
      <c r="E68" s="700"/>
    </row>
    <row r="69" spans="1:5" ht="25.5" customHeight="1">
      <c r="A69" s="105"/>
      <c r="B69" s="105"/>
      <c r="C69" s="105"/>
      <c r="D69" s="97" t="s">
        <v>37</v>
      </c>
      <c r="E69" s="700"/>
    </row>
    <row r="70" spans="1:5" ht="24.75" customHeight="1">
      <c r="A70" s="105"/>
      <c r="B70" s="105"/>
      <c r="C70" s="105"/>
      <c r="D70" s="63" t="s">
        <v>101</v>
      </c>
      <c r="E70" s="700"/>
    </row>
    <row r="71" spans="1:5" ht="25.5" customHeight="1">
      <c r="A71" s="105"/>
      <c r="B71" s="105"/>
      <c r="C71" s="105"/>
      <c r="D71" s="97" t="s">
        <v>53</v>
      </c>
      <c r="E71" s="700"/>
    </row>
    <row r="72" spans="1:5" ht="24.75" customHeight="1">
      <c r="A72" s="105"/>
      <c r="B72" s="105"/>
      <c r="C72" s="105"/>
      <c r="D72" s="63" t="s">
        <v>93</v>
      </c>
      <c r="E72" s="701"/>
    </row>
    <row r="73" spans="1:5" ht="50.25" customHeight="1">
      <c r="A73" s="113"/>
      <c r="B73" s="119" t="s">
        <v>54</v>
      </c>
      <c r="C73" s="119" t="s">
        <v>103</v>
      </c>
      <c r="D73" s="115" t="s">
        <v>106</v>
      </c>
      <c r="E73" s="695">
        <f>+'N 2.2 '!K24</f>
        <v>-48796.3</v>
      </c>
    </row>
    <row r="74" spans="1:5" ht="23.25" customHeight="1">
      <c r="A74" s="105"/>
      <c r="B74" s="105"/>
      <c r="C74" s="105"/>
      <c r="D74" s="97" t="s">
        <v>52</v>
      </c>
      <c r="E74" s="695"/>
    </row>
    <row r="75" spans="1:5" ht="22.5" customHeight="1">
      <c r="A75" s="105"/>
      <c r="B75" s="105"/>
      <c r="C75" s="105"/>
      <c r="D75" s="63" t="s">
        <v>100</v>
      </c>
      <c r="E75" s="695"/>
    </row>
    <row r="76" spans="1:5" ht="25.5" customHeight="1">
      <c r="A76" s="105"/>
      <c r="B76" s="105"/>
      <c r="C76" s="105"/>
      <c r="D76" s="97" t="s">
        <v>37</v>
      </c>
      <c r="E76" s="695"/>
    </row>
    <row r="77" spans="1:5" ht="24.75" customHeight="1">
      <c r="A77" s="105"/>
      <c r="B77" s="105"/>
      <c r="C77" s="105"/>
      <c r="D77" s="63" t="s">
        <v>101</v>
      </c>
      <c r="E77" s="695"/>
    </row>
    <row r="78" spans="1:5" ht="25.5" customHeight="1">
      <c r="A78" s="105"/>
      <c r="B78" s="105"/>
      <c r="C78" s="105"/>
      <c r="D78" s="97" t="s">
        <v>53</v>
      </c>
      <c r="E78" s="695"/>
    </row>
    <row r="79" spans="1:5" ht="24.75" customHeight="1">
      <c r="A79" s="105"/>
      <c r="B79" s="105"/>
      <c r="C79" s="105"/>
      <c r="D79" s="63" t="s">
        <v>93</v>
      </c>
      <c r="E79" s="695"/>
    </row>
    <row r="80" spans="1:5" ht="50.25" customHeight="1">
      <c r="A80" s="113"/>
      <c r="B80" s="119" t="s">
        <v>198</v>
      </c>
      <c r="C80" s="119" t="s">
        <v>103</v>
      </c>
      <c r="D80" s="115" t="s">
        <v>199</v>
      </c>
      <c r="E80" s="695">
        <f>+'N 2.2 '!K32</f>
        <v>-80352.899999999994</v>
      </c>
    </row>
    <row r="81" spans="1:5" ht="23.25" customHeight="1">
      <c r="A81" s="105"/>
      <c r="B81" s="105"/>
      <c r="C81" s="105"/>
      <c r="D81" s="97" t="s">
        <v>52</v>
      </c>
      <c r="E81" s="695"/>
    </row>
    <row r="82" spans="1:5" ht="22.5" customHeight="1">
      <c r="A82" s="105"/>
      <c r="B82" s="105"/>
      <c r="C82" s="105"/>
      <c r="D82" s="63" t="s">
        <v>100</v>
      </c>
      <c r="E82" s="695"/>
    </row>
    <row r="83" spans="1:5" ht="25.5" customHeight="1">
      <c r="A83" s="105"/>
      <c r="B83" s="105"/>
      <c r="C83" s="105"/>
      <c r="D83" s="97" t="s">
        <v>37</v>
      </c>
      <c r="E83" s="695"/>
    </row>
    <row r="84" spans="1:5" ht="24.75" customHeight="1">
      <c r="A84" s="105"/>
      <c r="B84" s="105"/>
      <c r="C84" s="105"/>
      <c r="D84" s="63" t="s">
        <v>101</v>
      </c>
      <c r="E84" s="695"/>
    </row>
    <row r="85" spans="1:5" ht="25.5" customHeight="1">
      <c r="A85" s="105"/>
      <c r="B85" s="105"/>
      <c r="C85" s="105"/>
      <c r="D85" s="97" t="s">
        <v>53</v>
      </c>
      <c r="E85" s="695"/>
    </row>
    <row r="86" spans="1:5" ht="24.75" customHeight="1">
      <c r="A86" s="105"/>
      <c r="B86" s="105"/>
      <c r="C86" s="105"/>
      <c r="D86" s="63" t="s">
        <v>93</v>
      </c>
      <c r="E86" s="695"/>
    </row>
    <row r="87" spans="1:5" ht="33" customHeight="1">
      <c r="A87" s="117"/>
      <c r="B87" s="158"/>
      <c r="C87" s="704" t="s">
        <v>104</v>
      </c>
      <c r="D87" s="704"/>
      <c r="E87" s="165"/>
    </row>
    <row r="88" spans="1:5" ht="69.75" customHeight="1">
      <c r="A88" s="147"/>
      <c r="B88" s="694" t="s">
        <v>105</v>
      </c>
      <c r="C88" s="694" t="s">
        <v>60</v>
      </c>
      <c r="D88" s="63" t="s">
        <v>90</v>
      </c>
      <c r="E88" s="693">
        <f>+'N 2.2 '!K33</f>
        <v>-79071.3</v>
      </c>
    </row>
    <row r="89" spans="1:5" ht="24" customHeight="1">
      <c r="A89" s="147"/>
      <c r="B89" s="694"/>
      <c r="C89" s="694"/>
      <c r="D89" s="97" t="s">
        <v>59</v>
      </c>
      <c r="E89" s="693"/>
    </row>
    <row r="90" spans="1:5" ht="48" customHeight="1">
      <c r="A90" s="114"/>
      <c r="B90" s="694"/>
      <c r="C90" s="694"/>
      <c r="D90" s="63" t="s">
        <v>91</v>
      </c>
      <c r="E90" s="693"/>
    </row>
    <row r="92" spans="1:5">
      <c r="E92" s="120"/>
    </row>
    <row r="93" spans="1:5" hidden="1">
      <c r="E93" s="284" t="e">
        <f>+E88+E80+E73+E66+E59+E53+E48+E43+E38+E33+E21</f>
        <v>#REF!</v>
      </c>
    </row>
  </sheetData>
  <mergeCells count="28">
    <mergeCell ref="E59:E65"/>
    <mergeCell ref="C32:D32"/>
    <mergeCell ref="A4:E4"/>
    <mergeCell ref="A5:E5"/>
    <mergeCell ref="A6:E6"/>
    <mergeCell ref="A20:A25"/>
    <mergeCell ref="C20:D20"/>
    <mergeCell ref="E14:E19"/>
    <mergeCell ref="A8:E8"/>
    <mergeCell ref="A9:E9"/>
    <mergeCell ref="A10:E10"/>
    <mergeCell ref="A11:B11"/>
    <mergeCell ref="E88:E90"/>
    <mergeCell ref="C88:C90"/>
    <mergeCell ref="B88:B90"/>
    <mergeCell ref="E21:E25"/>
    <mergeCell ref="C21:C25"/>
    <mergeCell ref="B21:B25"/>
    <mergeCell ref="E33:E37"/>
    <mergeCell ref="E38:E42"/>
    <mergeCell ref="E43:E47"/>
    <mergeCell ref="C58:D58"/>
    <mergeCell ref="E80:E86"/>
    <mergeCell ref="E48:E52"/>
    <mergeCell ref="E53:E57"/>
    <mergeCell ref="C87:D87"/>
    <mergeCell ref="E73:E79"/>
    <mergeCell ref="E66:E72"/>
  </mergeCells>
  <phoneticPr fontId="20" type="noConversion"/>
  <printOptions horizontalCentered="1"/>
  <pageMargins left="0" right="0" top="0" bottom="0" header="0" footer="0"/>
  <pageSetup paperSize="9" scale="70" orientation="portrait" horizontalDpi="4294967294" verticalDpi="4294967294" r:id="rId1"/>
  <rowBreaks count="1" manualBreakCount="1">
    <brk id="4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4" workbookViewId="0">
      <selection activeCell="G15" sqref="G15"/>
    </sheetView>
  </sheetViews>
  <sheetFormatPr defaultRowHeight="13.5"/>
  <cols>
    <col min="1" max="1" width="38.5703125" style="242" customWidth="1"/>
    <col min="2" max="2" width="19" style="242" customWidth="1"/>
    <col min="3" max="3" width="21" style="242" customWidth="1"/>
    <col min="4" max="4" width="15.85546875" style="242" customWidth="1"/>
    <col min="5" max="16384" width="9.140625" style="242"/>
  </cols>
  <sheetData>
    <row r="1" spans="1:4">
      <c r="A1" s="261"/>
      <c r="B1" s="261"/>
      <c r="C1" s="262" t="s">
        <v>118</v>
      </c>
    </row>
    <row r="2" spans="1:4" ht="95.25" customHeight="1">
      <c r="A2" s="540" t="s">
        <v>180</v>
      </c>
      <c r="B2" s="540"/>
      <c r="C2" s="540"/>
    </row>
    <row r="3" spans="1:4" ht="26.25" customHeight="1">
      <c r="A3" s="209"/>
      <c r="B3" s="209"/>
      <c r="C3" s="186" t="s">
        <v>122</v>
      </c>
    </row>
    <row r="4" spans="1:4" ht="55.5" customHeight="1">
      <c r="A4" s="541" t="s">
        <v>181</v>
      </c>
      <c r="B4" s="542" t="s">
        <v>176</v>
      </c>
      <c r="C4" s="543"/>
      <c r="D4" s="544"/>
    </row>
    <row r="5" spans="1:4" ht="33.75" customHeight="1">
      <c r="A5" s="541"/>
      <c r="B5" s="104" t="s">
        <v>75</v>
      </c>
      <c r="C5" s="211" t="s">
        <v>182</v>
      </c>
      <c r="D5" s="211" t="s">
        <v>22</v>
      </c>
    </row>
    <row r="6" spans="1:4" ht="21.75" customHeight="1">
      <c r="A6" s="243" t="s">
        <v>177</v>
      </c>
      <c r="B6" s="244" t="e">
        <f>B14+B8</f>
        <v>#REF!</v>
      </c>
      <c r="C6" s="244">
        <f>C14+C8</f>
        <v>20891008.700000003</v>
      </c>
      <c r="D6" s="244">
        <f>D14+D8</f>
        <v>4091597.9</v>
      </c>
    </row>
    <row r="7" spans="1:4" ht="24.75" customHeight="1">
      <c r="A7" s="243" t="s">
        <v>183</v>
      </c>
      <c r="B7" s="244"/>
      <c r="C7" s="244"/>
      <c r="D7" s="244"/>
    </row>
    <row r="8" spans="1:4" ht="27" customHeight="1">
      <c r="A8" s="243" t="s">
        <v>184</v>
      </c>
      <c r="B8" s="244">
        <f>B10</f>
        <v>675000</v>
      </c>
      <c r="C8" s="244">
        <f>C10</f>
        <v>675000</v>
      </c>
      <c r="D8" s="244">
        <f>D10</f>
        <v>675000</v>
      </c>
    </row>
    <row r="9" spans="1:4" ht="32.25" customHeight="1">
      <c r="A9" s="243" t="s">
        <v>183</v>
      </c>
      <c r="B9" s="244"/>
      <c r="C9" s="244"/>
      <c r="D9" s="244"/>
    </row>
    <row r="10" spans="1:4" ht="42.75" customHeight="1">
      <c r="A10" s="243" t="s">
        <v>185</v>
      </c>
      <c r="B10" s="244">
        <f>B12</f>
        <v>675000</v>
      </c>
      <c r="C10" s="244">
        <f>C12</f>
        <v>675000</v>
      </c>
      <c r="D10" s="244">
        <f>D12</f>
        <v>675000</v>
      </c>
    </row>
    <row r="11" spans="1:4" ht="36.75" customHeight="1">
      <c r="A11" s="243" t="s">
        <v>183</v>
      </c>
      <c r="B11" s="244"/>
      <c r="C11" s="244"/>
      <c r="D11" s="244"/>
    </row>
    <row r="12" spans="1:4" ht="51.75" customHeight="1">
      <c r="A12" s="245" t="s">
        <v>186</v>
      </c>
      <c r="B12" s="244">
        <v>675000</v>
      </c>
      <c r="C12" s="244">
        <v>675000</v>
      </c>
      <c r="D12" s="244">
        <v>675000</v>
      </c>
    </row>
    <row r="13" spans="1:4" ht="22.5" customHeight="1">
      <c r="A13" s="243"/>
      <c r="B13" s="243"/>
      <c r="C13" s="243" t="s">
        <v>187</v>
      </c>
      <c r="D13" s="243" t="s">
        <v>187</v>
      </c>
    </row>
    <row r="14" spans="1:4" ht="28.5" customHeight="1">
      <c r="A14" s="243" t="s">
        <v>188</v>
      </c>
      <c r="B14" s="244" t="e">
        <f>B16</f>
        <v>#REF!</v>
      </c>
      <c r="C14" s="244">
        <f>C16</f>
        <v>20216008.700000003</v>
      </c>
      <c r="D14" s="244">
        <f>D16</f>
        <v>3416597.9</v>
      </c>
    </row>
    <row r="15" spans="1:4" ht="32.25" customHeight="1">
      <c r="A15" s="243" t="s">
        <v>183</v>
      </c>
      <c r="B15" s="244"/>
      <c r="C15" s="244"/>
      <c r="D15" s="244"/>
    </row>
    <row r="16" spans="1:4" ht="42.75" customHeight="1">
      <c r="A16" s="243" t="s">
        <v>189</v>
      </c>
      <c r="B16" s="244" t="e">
        <f>B18</f>
        <v>#REF!</v>
      </c>
      <c r="C16" s="244">
        <f>C18</f>
        <v>20216008.700000003</v>
      </c>
      <c r="D16" s="244">
        <f>D18</f>
        <v>3416597.9</v>
      </c>
    </row>
    <row r="17" spans="1:4" ht="36.75" customHeight="1">
      <c r="A17" s="243" t="s">
        <v>183</v>
      </c>
      <c r="B17" s="244"/>
      <c r="C17" s="244"/>
      <c r="D17" s="244"/>
    </row>
    <row r="18" spans="1:4" ht="29.25" customHeight="1">
      <c r="A18" s="245" t="s">
        <v>190</v>
      </c>
      <c r="B18" s="244" t="e">
        <f>'[1]N7-1'!#REF!</f>
        <v>#REF!</v>
      </c>
      <c r="C18" s="244">
        <f>'[1]N7-1'!F10</f>
        <v>20216008.700000003</v>
      </c>
      <c r="D18" s="244">
        <f>'[1]N7-1'!G10</f>
        <v>3416597.9</v>
      </c>
    </row>
  </sheetData>
  <mergeCells count="3">
    <mergeCell ref="A2:C2"/>
    <mergeCell ref="A4:A5"/>
    <mergeCell ref="B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E9" sqref="E9"/>
    </sheetView>
  </sheetViews>
  <sheetFormatPr defaultRowHeight="13.5"/>
  <cols>
    <col min="1" max="1" width="44.7109375" style="208" customWidth="1"/>
    <col min="2" max="2" width="18.28515625" style="208" customWidth="1"/>
    <col min="3" max="3" width="20.28515625" style="208" customWidth="1"/>
    <col min="4" max="4" width="18.28515625" style="216" customWidth="1"/>
    <col min="5" max="5" width="22.42578125" style="217" customWidth="1"/>
    <col min="6" max="6" width="14.5703125" style="217" bestFit="1" customWidth="1"/>
    <col min="7" max="7" width="11.7109375" style="208" bestFit="1" customWidth="1"/>
    <col min="8" max="8" width="9.7109375" style="208" bestFit="1" customWidth="1"/>
    <col min="9" max="16384" width="9.140625" style="208"/>
  </cols>
  <sheetData>
    <row r="1" spans="1:8">
      <c r="A1" s="260"/>
      <c r="B1" s="260"/>
      <c r="C1" s="185" t="s">
        <v>173</v>
      </c>
    </row>
    <row r="2" spans="1:8" ht="14.25" customHeight="1">
      <c r="A2" s="545"/>
      <c r="B2" s="545"/>
      <c r="C2" s="545"/>
    </row>
    <row r="3" spans="1:8" s="223" customFormat="1">
      <c r="A3" s="546"/>
      <c r="B3" s="546"/>
      <c r="C3" s="546"/>
      <c r="D3" s="218"/>
      <c r="E3" s="219"/>
      <c r="F3" s="220"/>
      <c r="G3" s="221"/>
      <c r="H3" s="222"/>
    </row>
    <row r="4" spans="1:8" s="228" customFormat="1" ht="73.5" customHeight="1">
      <c r="A4" s="540" t="s">
        <v>174</v>
      </c>
      <c r="B4" s="540"/>
      <c r="C4" s="540"/>
      <c r="D4" s="40"/>
      <c r="E4" s="224"/>
      <c r="F4" s="225"/>
      <c r="G4" s="226"/>
      <c r="H4" s="227"/>
    </row>
    <row r="5" spans="1:8" s="228" customFormat="1" ht="23.25" customHeight="1">
      <c r="A5" s="209"/>
      <c r="B5" s="209"/>
      <c r="C5" s="209"/>
      <c r="D5" s="40"/>
      <c r="E5" s="224"/>
      <c r="F5" s="225"/>
      <c r="G5" s="226"/>
      <c r="H5" s="227"/>
    </row>
    <row r="6" spans="1:8" s="210" customFormat="1" ht="21.75" customHeight="1">
      <c r="C6" s="186" t="s">
        <v>122</v>
      </c>
      <c r="D6" s="39"/>
      <c r="E6" s="229"/>
      <c r="F6" s="229"/>
    </row>
    <row r="7" spans="1:8" ht="59.25" customHeight="1">
      <c r="A7" s="541" t="s">
        <v>175</v>
      </c>
      <c r="B7" s="542" t="s">
        <v>176</v>
      </c>
      <c r="C7" s="544"/>
      <c r="F7" s="230"/>
    </row>
    <row r="8" spans="1:8" ht="42" customHeight="1">
      <c r="A8" s="541"/>
      <c r="B8" s="64" t="s">
        <v>74</v>
      </c>
      <c r="C8" s="64" t="s">
        <v>22</v>
      </c>
      <c r="F8" s="230"/>
    </row>
    <row r="9" spans="1:8" ht="22.5" customHeight="1">
      <c r="A9" s="168" t="s">
        <v>177</v>
      </c>
      <c r="B9" s="212" t="e">
        <f>B11+B12</f>
        <v>#REF!</v>
      </c>
      <c r="C9" s="212">
        <f>C11+C12</f>
        <v>8610087.6400000006</v>
      </c>
      <c r="E9" s="231"/>
      <c r="F9" s="232"/>
      <c r="G9" s="233"/>
      <c r="H9" s="233"/>
    </row>
    <row r="10" spans="1:8" ht="22.5" customHeight="1">
      <c r="A10" s="213" t="s">
        <v>25</v>
      </c>
      <c r="B10" s="214"/>
      <c r="C10" s="215"/>
      <c r="D10" s="231"/>
      <c r="E10" s="232"/>
      <c r="F10" s="232"/>
      <c r="G10" s="233"/>
      <c r="H10" s="233"/>
    </row>
    <row r="11" spans="1:8" ht="39" customHeight="1">
      <c r="A11" s="169" t="s">
        <v>178</v>
      </c>
      <c r="B11" s="215" t="e">
        <f>'[1]N7-1'!#REF!+'[1]N 7-2'!G10</f>
        <v>#REF!</v>
      </c>
      <c r="C11" s="215">
        <f>'[1]N7-1'!G10+'[1]N 7-2'!J10</f>
        <v>4014159.6399999997</v>
      </c>
      <c r="D11" s="231"/>
      <c r="E11" s="232"/>
      <c r="F11" s="232"/>
      <c r="G11" s="233"/>
      <c r="H11" s="233"/>
    </row>
    <row r="12" spans="1:8" ht="27" customHeight="1">
      <c r="A12" s="169" t="s">
        <v>179</v>
      </c>
      <c r="B12" s="215">
        <f>'[1]N 7-2'!F10</f>
        <v>4535189.7999999989</v>
      </c>
      <c r="C12" s="215">
        <f>'[1]N 7-2'!I10</f>
        <v>4595928</v>
      </c>
      <c r="D12" s="234"/>
    </row>
    <row r="13" spans="1:8" s="217" customFormat="1">
      <c r="A13" s="230"/>
      <c r="B13" s="230"/>
      <c r="C13" s="232"/>
      <c r="D13" s="235"/>
      <c r="E13" s="236"/>
    </row>
    <row r="14" spans="1:8" s="217" customFormat="1">
      <c r="A14" s="230"/>
      <c r="B14" s="230"/>
      <c r="C14" s="230"/>
      <c r="D14" s="237"/>
      <c r="F14" s="238"/>
    </row>
    <row r="15" spans="1:8" s="217" customFormat="1">
      <c r="A15" s="230"/>
      <c r="B15" s="230"/>
      <c r="C15" s="239"/>
      <c r="D15" s="231"/>
      <c r="F15" s="230"/>
    </row>
    <row r="16" spans="1:8" s="217" customFormat="1">
      <c r="A16" s="230"/>
      <c r="B16" s="230"/>
      <c r="C16" s="230"/>
      <c r="D16" s="231"/>
      <c r="E16" s="232"/>
      <c r="F16" s="238"/>
    </row>
    <row r="17" spans="1:6" s="217" customFormat="1">
      <c r="A17" s="230"/>
      <c r="B17" s="230"/>
      <c r="C17" s="230"/>
      <c r="D17" s="216"/>
      <c r="E17" s="236"/>
      <c r="F17" s="230"/>
    </row>
    <row r="18" spans="1:6" s="217" customFormat="1">
      <c r="A18" s="230"/>
      <c r="B18" s="230"/>
      <c r="C18" s="230"/>
      <c r="D18" s="216"/>
      <c r="F18" s="230"/>
    </row>
    <row r="19" spans="1:6" s="217" customFormat="1">
      <c r="A19" s="230"/>
      <c r="B19" s="230"/>
      <c r="C19" s="230"/>
      <c r="D19" s="237"/>
      <c r="E19" s="236"/>
      <c r="F19" s="230"/>
    </row>
    <row r="20" spans="1:6" s="217" customFormat="1">
      <c r="A20" s="230"/>
      <c r="B20" s="230"/>
      <c r="C20" s="230"/>
      <c r="D20" s="216"/>
      <c r="E20" s="240"/>
      <c r="F20" s="230"/>
    </row>
    <row r="21" spans="1:6" s="217" customFormat="1">
      <c r="D21" s="234"/>
      <c r="F21" s="230"/>
    </row>
    <row r="22" spans="1:6" s="217" customFormat="1">
      <c r="D22" s="216"/>
      <c r="F22" s="230"/>
    </row>
    <row r="23" spans="1:6">
      <c r="F23" s="230"/>
    </row>
    <row r="24" spans="1:6">
      <c r="C24" s="241"/>
    </row>
  </sheetData>
  <mergeCells count="5">
    <mergeCell ref="A2:C2"/>
    <mergeCell ref="A3:C3"/>
    <mergeCell ref="A4:C4"/>
    <mergeCell ref="A7:A8"/>
    <mergeCell ref="B7: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topLeftCell="A13" workbookViewId="0">
      <selection activeCell="J14" sqref="J14"/>
    </sheetView>
  </sheetViews>
  <sheetFormatPr defaultRowHeight="13.5"/>
  <cols>
    <col min="1" max="2" width="6.7109375" style="24" customWidth="1"/>
    <col min="3" max="3" width="5.28515625" style="24" customWidth="1"/>
    <col min="4" max="4" width="48.28515625" style="24" customWidth="1"/>
    <col min="5" max="5" width="15.5703125" style="32" bestFit="1" customWidth="1"/>
    <col min="6" max="6" width="21.42578125" style="32" customWidth="1"/>
    <col min="7" max="7" width="9.140625" style="32"/>
    <col min="8" max="8" width="10.85546875" style="32" customWidth="1"/>
    <col min="9" max="9" width="18.42578125" style="32" customWidth="1"/>
    <col min="10" max="10" width="16.5703125" style="32" customWidth="1"/>
    <col min="11" max="12" width="9.140625" style="32"/>
    <col min="13" max="16384" width="9.140625" style="24"/>
  </cols>
  <sheetData>
    <row r="1" spans="1:12">
      <c r="A1" s="257"/>
      <c r="B1" s="257"/>
      <c r="C1" s="257"/>
      <c r="D1" s="257"/>
      <c r="E1" s="258"/>
      <c r="F1" s="185" t="s">
        <v>144</v>
      </c>
    </row>
    <row r="2" spans="1:12">
      <c r="A2" s="257"/>
      <c r="B2" s="257"/>
      <c r="C2" s="257"/>
      <c r="D2" s="257"/>
      <c r="E2" s="258"/>
      <c r="F2" s="258"/>
    </row>
    <row r="3" spans="1:12">
      <c r="A3" s="257"/>
      <c r="B3" s="259"/>
      <c r="C3" s="259"/>
      <c r="D3" s="259"/>
      <c r="E3" s="258"/>
      <c r="F3" s="258"/>
    </row>
    <row r="4" spans="1:12" ht="74.25" customHeight="1">
      <c r="A4" s="547" t="s">
        <v>145</v>
      </c>
      <c r="B4" s="547"/>
      <c r="C4" s="547"/>
      <c r="D4" s="547"/>
      <c r="E4" s="547"/>
      <c r="F4" s="547"/>
    </row>
    <row r="5" spans="1:12">
      <c r="A5" s="170"/>
      <c r="B5" s="170"/>
      <c r="C5" s="170"/>
      <c r="D5" s="170"/>
      <c r="G5" s="24"/>
      <c r="H5" s="24"/>
      <c r="I5" s="24"/>
      <c r="J5" s="24"/>
      <c r="K5" s="24"/>
    </row>
    <row r="6" spans="1:12">
      <c r="B6" s="33"/>
      <c r="C6" s="170"/>
      <c r="D6" s="170"/>
      <c r="E6" s="24"/>
      <c r="F6" s="186" t="s">
        <v>122</v>
      </c>
      <c r="G6" s="175"/>
      <c r="L6" s="24"/>
    </row>
    <row r="7" spans="1:12" ht="96" customHeight="1">
      <c r="A7" s="49" t="s">
        <v>10</v>
      </c>
      <c r="B7" s="49" t="s">
        <v>11</v>
      </c>
      <c r="C7" s="49" t="s">
        <v>12</v>
      </c>
      <c r="D7" s="104" t="s">
        <v>24</v>
      </c>
      <c r="E7" s="542" t="s">
        <v>124</v>
      </c>
      <c r="F7" s="544"/>
      <c r="G7" s="175"/>
      <c r="L7" s="24"/>
    </row>
    <row r="8" spans="1:12" ht="20.25" customHeight="1">
      <c r="A8" s="187"/>
      <c r="B8" s="187"/>
      <c r="C8" s="187"/>
      <c r="D8" s="64"/>
      <c r="E8" s="188" t="s">
        <v>74</v>
      </c>
      <c r="F8" s="188" t="s">
        <v>125</v>
      </c>
      <c r="L8" s="24"/>
    </row>
    <row r="9" spans="1:12" ht="17.25" customHeight="1">
      <c r="A9" s="187"/>
      <c r="B9" s="187"/>
      <c r="C9" s="187"/>
      <c r="D9" s="63" t="s">
        <v>23</v>
      </c>
      <c r="E9" s="177" t="e">
        <f>E11+E15+E27+E32+E36+E40+E44</f>
        <v>#REF!</v>
      </c>
      <c r="F9" s="177">
        <f>F11+F15+F27+F32+F36+F40+F44</f>
        <v>29501096.339999996</v>
      </c>
      <c r="I9" s="184"/>
      <c r="J9" s="184"/>
      <c r="L9" s="24"/>
    </row>
    <row r="10" spans="1:12" s="32" customFormat="1" ht="17.25" customHeight="1">
      <c r="A10" s="187"/>
      <c r="B10" s="187"/>
      <c r="C10" s="187"/>
      <c r="D10" s="63" t="s">
        <v>126</v>
      </c>
      <c r="E10" s="177"/>
      <c r="F10" s="177"/>
      <c r="I10" s="189"/>
      <c r="J10" s="189"/>
    </row>
    <row r="11" spans="1:12" s="32" customFormat="1" ht="30.75" customHeight="1">
      <c r="A11" s="190" t="s">
        <v>5</v>
      </c>
      <c r="B11" s="191"/>
      <c r="C11" s="191"/>
      <c r="D11" s="192" t="s">
        <v>146</v>
      </c>
      <c r="E11" s="177" t="e">
        <f>E13</f>
        <v>#REF!</v>
      </c>
      <c r="F11" s="177">
        <f>'[1]N 6'!F11</f>
        <v>21750833.799999997</v>
      </c>
      <c r="G11" s="24"/>
      <c r="H11" s="24"/>
      <c r="K11" s="24"/>
    </row>
    <row r="12" spans="1:12" s="32" customFormat="1" ht="18.75" customHeight="1">
      <c r="A12" s="190"/>
      <c r="B12" s="190"/>
      <c r="C12" s="190"/>
      <c r="D12" s="63" t="s">
        <v>126</v>
      </c>
      <c r="E12" s="177"/>
      <c r="F12" s="177"/>
      <c r="G12" s="24"/>
      <c r="H12" s="24"/>
      <c r="I12" s="24"/>
      <c r="J12" s="24"/>
      <c r="K12" s="24"/>
    </row>
    <row r="13" spans="1:12" s="32" customFormat="1" ht="48.75" customHeight="1">
      <c r="A13" s="191"/>
      <c r="B13" s="190" t="s">
        <v>5</v>
      </c>
      <c r="C13" s="190"/>
      <c r="D13" s="192" t="s">
        <v>147</v>
      </c>
      <c r="E13" s="177" t="e">
        <f>E14</f>
        <v>#REF!</v>
      </c>
      <c r="F13" s="177">
        <f>F14</f>
        <v>21750833.799999997</v>
      </c>
      <c r="G13" s="24"/>
      <c r="H13" s="24"/>
      <c r="I13" s="24"/>
      <c r="J13" s="24"/>
      <c r="K13" s="24"/>
    </row>
    <row r="14" spans="1:12" s="32" customFormat="1" ht="31.5" customHeight="1">
      <c r="A14" s="191"/>
      <c r="B14" s="190"/>
      <c r="C14" s="190" t="s">
        <v>9</v>
      </c>
      <c r="D14" s="192" t="s">
        <v>148</v>
      </c>
      <c r="E14" s="177" t="e">
        <f>'[1]N 6'!E15</f>
        <v>#REF!</v>
      </c>
      <c r="F14" s="177">
        <f>'[1]N 6'!F15</f>
        <v>21750833.799999997</v>
      </c>
      <c r="G14" s="24"/>
      <c r="H14" s="24"/>
      <c r="I14" s="24"/>
      <c r="J14" s="24"/>
      <c r="K14" s="24"/>
    </row>
    <row r="15" spans="1:12" ht="36" customHeight="1">
      <c r="A15" s="193" t="s">
        <v>7</v>
      </c>
      <c r="B15" s="193"/>
      <c r="C15" s="193"/>
      <c r="D15" s="192" t="s">
        <v>149</v>
      </c>
      <c r="E15" s="183" t="e">
        <f>E17+E20+E23+E25</f>
        <v>#REF!</v>
      </c>
      <c r="F15" s="183">
        <f>'[1]N 6'!F44</f>
        <v>10123432.040000001</v>
      </c>
      <c r="G15" s="24"/>
      <c r="H15" s="24"/>
      <c r="I15" s="24"/>
      <c r="J15" s="24"/>
      <c r="K15" s="24"/>
      <c r="L15" s="24"/>
    </row>
    <row r="16" spans="1:12" ht="16.5" customHeight="1">
      <c r="A16" s="194"/>
      <c r="B16" s="194"/>
      <c r="C16" s="194"/>
      <c r="D16" s="195" t="s">
        <v>27</v>
      </c>
      <c r="E16" s="183"/>
      <c r="F16" s="183"/>
      <c r="G16" s="24"/>
      <c r="H16" s="24"/>
      <c r="I16" s="24"/>
      <c r="J16" s="24"/>
      <c r="K16" s="24"/>
      <c r="L16" s="24"/>
    </row>
    <row r="17" spans="1:12" ht="27">
      <c r="A17" s="193"/>
      <c r="B17" s="193" t="s">
        <v>9</v>
      </c>
      <c r="C17" s="193"/>
      <c r="D17" s="192" t="s">
        <v>29</v>
      </c>
      <c r="E17" s="183" t="e">
        <f>E18+E19</f>
        <v>#REF!</v>
      </c>
      <c r="F17" s="183">
        <f>F18+F19</f>
        <v>-880734.50000000012</v>
      </c>
      <c r="G17" s="24"/>
      <c r="H17" s="24"/>
      <c r="I17" s="24"/>
      <c r="J17" s="24"/>
      <c r="K17" s="24"/>
      <c r="L17" s="24"/>
    </row>
    <row r="18" spans="1:12" ht="22.5" customHeight="1">
      <c r="A18" s="193"/>
      <c r="B18" s="193"/>
      <c r="C18" s="193" t="s">
        <v>5</v>
      </c>
      <c r="D18" s="192" t="s">
        <v>150</v>
      </c>
      <c r="E18" s="183" t="e">
        <f>'[1]N 6'!E48</f>
        <v>#REF!</v>
      </c>
      <c r="F18" s="183">
        <f>'[1]N 6'!F48</f>
        <v>129194</v>
      </c>
      <c r="G18" s="196"/>
      <c r="H18" s="24"/>
      <c r="I18" s="24"/>
      <c r="J18" s="24"/>
      <c r="K18" s="24"/>
      <c r="L18" s="24"/>
    </row>
    <row r="19" spans="1:12">
      <c r="A19" s="193"/>
      <c r="B19" s="193"/>
      <c r="C19" s="193" t="s">
        <v>7</v>
      </c>
      <c r="D19" s="197" t="s">
        <v>30</v>
      </c>
      <c r="E19" s="198" t="e">
        <f>'[1]N 6'!E63</f>
        <v>#REF!</v>
      </c>
      <c r="F19" s="198">
        <f>'[1]N 6'!F63</f>
        <v>-1009928.5000000001</v>
      </c>
      <c r="G19" s="196"/>
      <c r="H19" s="24"/>
      <c r="I19" s="24"/>
      <c r="J19" s="24"/>
      <c r="K19" s="24"/>
      <c r="L19" s="24"/>
    </row>
    <row r="20" spans="1:12" ht="27">
      <c r="A20" s="193"/>
      <c r="B20" s="193" t="s">
        <v>6</v>
      </c>
      <c r="C20" s="193"/>
      <c r="D20" s="192" t="s">
        <v>151</v>
      </c>
      <c r="E20" s="183" t="e">
        <f>E21+E22</f>
        <v>#REF!</v>
      </c>
      <c r="F20" s="183">
        <f>F21+F22</f>
        <v>14050260.1</v>
      </c>
      <c r="G20" s="196"/>
      <c r="H20" s="24"/>
      <c r="I20" s="24"/>
      <c r="J20" s="24"/>
      <c r="K20" s="24"/>
      <c r="L20" s="24"/>
    </row>
    <row r="21" spans="1:12" ht="22.5" customHeight="1">
      <c r="A21" s="193"/>
      <c r="B21" s="193"/>
      <c r="C21" s="193" t="s">
        <v>7</v>
      </c>
      <c r="D21" s="192" t="s">
        <v>152</v>
      </c>
      <c r="E21" s="183" t="e">
        <f>'[1]N 6'!E87</f>
        <v>#REF!</v>
      </c>
      <c r="F21" s="183">
        <f>'[1]N 6'!F87</f>
        <v>14081600.4</v>
      </c>
      <c r="G21" s="196"/>
      <c r="H21" s="24"/>
      <c r="I21" s="24"/>
      <c r="J21" s="24"/>
      <c r="K21" s="24"/>
      <c r="L21" s="24"/>
    </row>
    <row r="22" spans="1:12" ht="21.75" customHeight="1">
      <c r="A22" s="193"/>
      <c r="B22" s="193"/>
      <c r="C22" s="193" t="s">
        <v>153</v>
      </c>
      <c r="D22" s="192" t="s">
        <v>154</v>
      </c>
      <c r="E22" s="183" t="e">
        <f>'[1]N 6'!E99</f>
        <v>#REF!</v>
      </c>
      <c r="F22" s="183">
        <f>'[1]N 6'!F99</f>
        <v>-31340.3</v>
      </c>
      <c r="G22" s="196"/>
      <c r="H22" s="24"/>
      <c r="I22" s="24"/>
      <c r="J22" s="24"/>
      <c r="K22" s="24"/>
      <c r="L22" s="24"/>
    </row>
    <row r="23" spans="1:12" ht="27">
      <c r="A23" s="193"/>
      <c r="B23" s="193" t="s">
        <v>153</v>
      </c>
      <c r="C23" s="193"/>
      <c r="D23" s="192" t="s">
        <v>155</v>
      </c>
      <c r="E23" s="183" t="e">
        <f>E24</f>
        <v>#REF!</v>
      </c>
      <c r="F23" s="183">
        <f>F24</f>
        <v>-2875469.36</v>
      </c>
      <c r="G23" s="199"/>
      <c r="H23" s="24"/>
      <c r="I23" s="24"/>
      <c r="J23" s="24"/>
      <c r="K23" s="24"/>
      <c r="L23" s="24"/>
    </row>
    <row r="24" spans="1:12" ht="23.25" customHeight="1">
      <c r="A24" s="193"/>
      <c r="B24" s="193"/>
      <c r="C24" s="193" t="s">
        <v>5</v>
      </c>
      <c r="D24" s="192" t="s">
        <v>156</v>
      </c>
      <c r="E24" s="183" t="e">
        <f>'[1]N 6'!E107</f>
        <v>#REF!</v>
      </c>
      <c r="F24" s="183">
        <f>'[1]N 6'!F107</f>
        <v>-2875469.36</v>
      </c>
      <c r="G24" s="199"/>
      <c r="H24" s="199"/>
      <c r="I24" s="200"/>
      <c r="J24" s="24"/>
      <c r="K24" s="24"/>
      <c r="L24" s="24"/>
    </row>
    <row r="25" spans="1:12" ht="41.25" customHeight="1">
      <c r="A25" s="193"/>
      <c r="B25" s="193" t="s">
        <v>157</v>
      </c>
      <c r="C25" s="193"/>
      <c r="D25" s="192" t="s">
        <v>158</v>
      </c>
      <c r="E25" s="183" t="e">
        <f>E26</f>
        <v>#REF!</v>
      </c>
      <c r="F25" s="183">
        <f>F26</f>
        <v>-170624.20000000004</v>
      </c>
      <c r="G25" s="199"/>
      <c r="H25" s="199"/>
      <c r="I25" s="199"/>
      <c r="J25" s="24"/>
      <c r="K25" s="24"/>
      <c r="L25" s="24"/>
    </row>
    <row r="26" spans="1:12" ht="39" customHeight="1">
      <c r="A26" s="193"/>
      <c r="B26" s="193"/>
      <c r="C26" s="193" t="s">
        <v>5</v>
      </c>
      <c r="D26" s="192" t="s">
        <v>158</v>
      </c>
      <c r="E26" s="183" t="e">
        <f>'[1]N 6'!E142</f>
        <v>#REF!</v>
      </c>
      <c r="F26" s="183">
        <f>'[1]N 6'!F142</f>
        <v>-170624.20000000004</v>
      </c>
      <c r="G26" s="199"/>
      <c r="H26" s="199"/>
      <c r="I26" s="199"/>
      <c r="J26" s="24"/>
      <c r="K26" s="24"/>
      <c r="L26" s="24"/>
    </row>
    <row r="27" spans="1:12" ht="39" customHeight="1">
      <c r="A27" s="193" t="s">
        <v>153</v>
      </c>
      <c r="B27" s="193"/>
      <c r="C27" s="193"/>
      <c r="D27" s="192" t="s">
        <v>159</v>
      </c>
      <c r="E27" s="183" t="e">
        <f>E29</f>
        <v>#REF!</v>
      </c>
      <c r="F27" s="183">
        <f>F29</f>
        <v>117205.1</v>
      </c>
      <c r="G27" s="199"/>
      <c r="H27" s="199"/>
      <c r="I27" s="199"/>
      <c r="J27" s="24"/>
      <c r="K27" s="24"/>
      <c r="L27" s="24"/>
    </row>
    <row r="28" spans="1:12">
      <c r="A28" s="193"/>
      <c r="B28" s="193"/>
      <c r="C28" s="193"/>
      <c r="D28" s="195" t="s">
        <v>27</v>
      </c>
      <c r="E28" s="183"/>
      <c r="F28" s="183"/>
      <c r="G28" s="199"/>
      <c r="H28" s="199"/>
      <c r="I28" s="199"/>
      <c r="J28" s="24"/>
      <c r="K28" s="24"/>
      <c r="L28" s="24"/>
    </row>
    <row r="29" spans="1:12" ht="39" customHeight="1">
      <c r="A29" s="193"/>
      <c r="B29" s="193" t="s">
        <v>7</v>
      </c>
      <c r="C29" s="193"/>
      <c r="D29" s="192" t="s">
        <v>160</v>
      </c>
      <c r="E29" s="183" t="e">
        <f>E31</f>
        <v>#REF!</v>
      </c>
      <c r="F29" s="183">
        <f>F31</f>
        <v>117205.1</v>
      </c>
      <c r="G29" s="199"/>
      <c r="H29" s="199"/>
      <c r="I29" s="199"/>
      <c r="J29" s="24"/>
      <c r="K29" s="24"/>
      <c r="L29" s="24"/>
    </row>
    <row r="30" spans="1:12">
      <c r="A30" s="193"/>
      <c r="B30" s="193"/>
      <c r="C30" s="193"/>
      <c r="D30" s="195" t="s">
        <v>27</v>
      </c>
      <c r="E30" s="183"/>
      <c r="F30" s="183"/>
      <c r="G30" s="199"/>
      <c r="H30" s="199"/>
      <c r="I30" s="199"/>
      <c r="J30" s="24"/>
      <c r="K30" s="24"/>
      <c r="L30" s="24"/>
    </row>
    <row r="31" spans="1:12" ht="27">
      <c r="A31" s="193"/>
      <c r="B31" s="193"/>
      <c r="C31" s="193" t="s">
        <v>5</v>
      </c>
      <c r="D31" s="195" t="s">
        <v>160</v>
      </c>
      <c r="E31" s="183" t="e">
        <f>'[1]N 6'!E159</f>
        <v>#REF!</v>
      </c>
      <c r="F31" s="183">
        <f>'[1]N 6'!F159</f>
        <v>117205.1</v>
      </c>
      <c r="G31" s="199"/>
      <c r="H31" s="199"/>
      <c r="I31" s="199"/>
      <c r="J31" s="24"/>
      <c r="K31" s="24"/>
      <c r="L31" s="24"/>
    </row>
    <row r="32" spans="1:12" ht="30" customHeight="1">
      <c r="A32" s="194" t="s">
        <v>8</v>
      </c>
      <c r="B32" s="193"/>
      <c r="C32" s="193"/>
      <c r="D32" s="201" t="s">
        <v>31</v>
      </c>
      <c r="E32" s="198" t="e">
        <f>E34</f>
        <v>#REF!</v>
      </c>
      <c r="F32" s="198">
        <f>'[1]N 6'!F170</f>
        <v>-1124568.6000000001</v>
      </c>
      <c r="G32" s="199"/>
      <c r="H32" s="199"/>
      <c r="I32" s="199"/>
      <c r="J32" s="24"/>
      <c r="K32" s="24"/>
      <c r="L32" s="24"/>
    </row>
    <row r="33" spans="1:12" ht="20.25" customHeight="1">
      <c r="A33" s="194"/>
      <c r="B33" s="193"/>
      <c r="C33" s="193"/>
      <c r="D33" s="202" t="s">
        <v>25</v>
      </c>
      <c r="E33" s="203"/>
      <c r="F33" s="203"/>
      <c r="G33" s="199"/>
      <c r="H33" s="199"/>
      <c r="I33" s="200"/>
      <c r="J33" s="24"/>
      <c r="K33" s="24"/>
      <c r="L33" s="24"/>
    </row>
    <row r="34" spans="1:12" ht="23.25" customHeight="1">
      <c r="A34" s="194"/>
      <c r="B34" s="193" t="s">
        <v>6</v>
      </c>
      <c r="C34" s="193"/>
      <c r="D34" s="194" t="s">
        <v>32</v>
      </c>
      <c r="E34" s="198" t="e">
        <f>E35</f>
        <v>#REF!</v>
      </c>
      <c r="F34" s="198">
        <f>F35</f>
        <v>-1124568.6000000001</v>
      </c>
      <c r="G34" s="199"/>
      <c r="H34" s="199"/>
      <c r="I34" s="199"/>
      <c r="J34" s="24"/>
      <c r="K34" s="24"/>
      <c r="L34" s="24"/>
    </row>
    <row r="35" spans="1:12" ht="21.75" customHeight="1">
      <c r="A35" s="194"/>
      <c r="B35" s="193"/>
      <c r="C35" s="194" t="s">
        <v>5</v>
      </c>
      <c r="D35" s="194" t="s">
        <v>32</v>
      </c>
      <c r="E35" s="198" t="e">
        <f>'[1]N 6'!E174</f>
        <v>#REF!</v>
      </c>
      <c r="F35" s="198">
        <f>'[1]N 6'!F174</f>
        <v>-1124568.6000000001</v>
      </c>
      <c r="G35" s="199"/>
      <c r="H35" s="199"/>
      <c r="I35" s="199"/>
      <c r="J35" s="24"/>
      <c r="K35" s="24"/>
      <c r="L35" s="24"/>
    </row>
    <row r="36" spans="1:12" ht="24.75" customHeight="1">
      <c r="A36" s="194" t="s">
        <v>161</v>
      </c>
      <c r="B36" s="193"/>
      <c r="C36" s="193"/>
      <c r="D36" s="201" t="s">
        <v>162</v>
      </c>
      <c r="E36" s="198" t="e">
        <f>E38</f>
        <v>#REF!</v>
      </c>
      <c r="F36" s="198">
        <f>F38</f>
        <v>108000</v>
      </c>
      <c r="G36" s="24"/>
      <c r="H36" s="24"/>
      <c r="I36" s="24"/>
      <c r="J36" s="24"/>
      <c r="K36" s="24"/>
      <c r="L36" s="24"/>
    </row>
    <row r="37" spans="1:12" ht="21" customHeight="1">
      <c r="A37" s="194"/>
      <c r="B37" s="193"/>
      <c r="C37" s="193"/>
      <c r="D37" s="202" t="s">
        <v>25</v>
      </c>
      <c r="E37" s="203"/>
      <c r="F37" s="203"/>
      <c r="G37" s="199"/>
      <c r="H37" s="199"/>
      <c r="I37" s="200"/>
      <c r="J37" s="24"/>
      <c r="K37" s="24"/>
      <c r="L37" s="24"/>
    </row>
    <row r="38" spans="1:12" ht="29.25" customHeight="1">
      <c r="A38" s="194"/>
      <c r="B38" s="193" t="s">
        <v>8</v>
      </c>
      <c r="C38" s="193"/>
      <c r="D38" s="194" t="s">
        <v>163</v>
      </c>
      <c r="E38" s="198" t="e">
        <f>E39</f>
        <v>#REF!</v>
      </c>
      <c r="F38" s="198">
        <f>F39</f>
        <v>108000</v>
      </c>
      <c r="G38" s="199"/>
      <c r="H38" s="199"/>
      <c r="I38" s="199"/>
      <c r="J38" s="24"/>
      <c r="K38" s="24"/>
      <c r="L38" s="24"/>
    </row>
    <row r="39" spans="1:12" ht="30" customHeight="1">
      <c r="A39" s="194"/>
      <c r="B39" s="193"/>
      <c r="C39" s="194" t="s">
        <v>5</v>
      </c>
      <c r="D39" s="194" t="s">
        <v>164</v>
      </c>
      <c r="E39" s="198" t="e">
        <f>'[1]N 6'!E224</f>
        <v>#REF!</v>
      </c>
      <c r="F39" s="198">
        <f>'[1]N 6'!F224</f>
        <v>108000</v>
      </c>
      <c r="G39" s="199"/>
      <c r="H39" s="199"/>
      <c r="I39" s="199"/>
      <c r="J39" s="24"/>
      <c r="K39" s="24"/>
      <c r="L39" s="24"/>
    </row>
    <row r="40" spans="1:12" ht="23.25" customHeight="1">
      <c r="A40" s="194" t="s">
        <v>165</v>
      </c>
      <c r="B40" s="193"/>
      <c r="C40" s="193"/>
      <c r="D40" s="204" t="s">
        <v>166</v>
      </c>
      <c r="E40" s="205" t="e">
        <f>E42</f>
        <v>#REF!</v>
      </c>
      <c r="F40" s="205">
        <f>F42</f>
        <v>-2148806</v>
      </c>
      <c r="G40" s="24"/>
      <c r="H40" s="24"/>
      <c r="I40" s="24"/>
      <c r="J40" s="24"/>
      <c r="K40" s="24"/>
      <c r="L40" s="24"/>
    </row>
    <row r="41" spans="1:12" ht="18.75" customHeight="1">
      <c r="A41" s="194"/>
      <c r="B41" s="193"/>
      <c r="C41" s="193"/>
      <c r="D41" s="202" t="s">
        <v>25</v>
      </c>
      <c r="E41" s="203"/>
      <c r="F41" s="203"/>
      <c r="G41" s="199"/>
      <c r="H41" s="199"/>
      <c r="I41" s="200"/>
      <c r="J41" s="24"/>
      <c r="K41" s="24"/>
      <c r="L41" s="24"/>
    </row>
    <row r="42" spans="1:12" ht="18.75" customHeight="1">
      <c r="A42" s="194"/>
      <c r="B42" s="193" t="s">
        <v>9</v>
      </c>
      <c r="C42" s="193"/>
      <c r="D42" s="194" t="s">
        <v>167</v>
      </c>
      <c r="E42" s="198" t="e">
        <f>E43</f>
        <v>#REF!</v>
      </c>
      <c r="F42" s="198">
        <f>F43</f>
        <v>-2148806</v>
      </c>
      <c r="G42" s="199"/>
      <c r="H42" s="199"/>
      <c r="I42" s="199"/>
      <c r="J42" s="24"/>
      <c r="K42" s="24"/>
      <c r="L42" s="24"/>
    </row>
    <row r="43" spans="1:12" ht="18" customHeight="1">
      <c r="A43" s="194"/>
      <c r="B43" s="193"/>
      <c r="C43" s="194" t="s">
        <v>153</v>
      </c>
      <c r="D43" s="194" t="s">
        <v>168</v>
      </c>
      <c r="E43" s="198" t="e">
        <f>'[1]N 6'!E236</f>
        <v>#REF!</v>
      </c>
      <c r="F43" s="198">
        <f>'[1]N 6'!F236</f>
        <v>-2148806</v>
      </c>
      <c r="G43" s="199"/>
      <c r="H43" s="199"/>
      <c r="I43" s="199"/>
      <c r="J43" s="24"/>
      <c r="K43" s="24"/>
      <c r="L43" s="24"/>
    </row>
    <row r="44" spans="1:12" ht="27">
      <c r="A44" s="194" t="s">
        <v>169</v>
      </c>
      <c r="B44" s="193"/>
      <c r="C44" s="193"/>
      <c r="D44" s="204" t="s">
        <v>170</v>
      </c>
      <c r="E44" s="205">
        <f>E46</f>
        <v>675000</v>
      </c>
      <c r="F44" s="205">
        <f>F46</f>
        <v>675000</v>
      </c>
      <c r="G44" s="24"/>
      <c r="H44" s="24"/>
      <c r="I44" s="24"/>
      <c r="J44" s="24"/>
      <c r="K44" s="24"/>
      <c r="L44" s="24"/>
    </row>
    <row r="45" spans="1:12" ht="22.5" customHeight="1">
      <c r="A45" s="194"/>
      <c r="B45" s="193"/>
      <c r="C45" s="193"/>
      <c r="D45" s="206" t="s">
        <v>25</v>
      </c>
      <c r="E45" s="203"/>
      <c r="F45" s="203"/>
      <c r="G45" s="24"/>
      <c r="H45" s="24"/>
      <c r="I45" s="24"/>
      <c r="J45" s="24"/>
      <c r="K45" s="24"/>
      <c r="L45" s="24"/>
    </row>
    <row r="46" spans="1:12" ht="27">
      <c r="A46" s="194"/>
      <c r="B46" s="193" t="s">
        <v>5</v>
      </c>
      <c r="C46" s="193"/>
      <c r="D46" s="207" t="s">
        <v>171</v>
      </c>
      <c r="E46" s="198">
        <f>E47</f>
        <v>675000</v>
      </c>
      <c r="F46" s="198">
        <f>F47</f>
        <v>675000</v>
      </c>
      <c r="G46" s="24"/>
      <c r="H46" s="24"/>
      <c r="I46" s="24"/>
      <c r="J46" s="24"/>
      <c r="K46" s="24"/>
      <c r="L46" s="24"/>
    </row>
    <row r="47" spans="1:12" ht="19.5" customHeight="1">
      <c r="A47" s="194"/>
      <c r="B47" s="193"/>
      <c r="C47" s="194" t="s">
        <v>5</v>
      </c>
      <c r="D47" s="207" t="s">
        <v>172</v>
      </c>
      <c r="E47" s="198">
        <f>'[1]N 6'!E247</f>
        <v>675000</v>
      </c>
      <c r="F47" s="198">
        <f>'[1]N 6'!F247</f>
        <v>675000</v>
      </c>
      <c r="G47" s="24"/>
      <c r="H47" s="24"/>
      <c r="I47" s="24"/>
      <c r="J47" s="24"/>
      <c r="K47" s="24"/>
      <c r="L47" s="24"/>
    </row>
    <row r="48" spans="1:12">
      <c r="D48" s="33"/>
      <c r="E48" s="24"/>
      <c r="F48" s="24"/>
      <c r="G48" s="24"/>
      <c r="H48" s="24"/>
      <c r="I48" s="24"/>
      <c r="J48" s="24"/>
      <c r="K48" s="24"/>
      <c r="L48" s="24"/>
    </row>
    <row r="49" spans="4:12">
      <c r="D49" s="33"/>
      <c r="E49" s="24"/>
      <c r="F49" s="24"/>
      <c r="G49" s="24"/>
      <c r="H49" s="24"/>
      <c r="I49" s="24"/>
      <c r="J49" s="24"/>
      <c r="K49" s="24"/>
      <c r="L49" s="24"/>
    </row>
    <row r="50" spans="4:12">
      <c r="D50" s="33"/>
      <c r="E50" s="24"/>
      <c r="F50" s="24"/>
      <c r="G50" s="24"/>
      <c r="H50" s="24"/>
      <c r="I50" s="24"/>
      <c r="J50" s="24"/>
      <c r="K50" s="24"/>
      <c r="L50" s="24"/>
    </row>
    <row r="51" spans="4:12">
      <c r="D51" s="33"/>
      <c r="E51" s="24"/>
      <c r="F51" s="24"/>
      <c r="G51" s="24"/>
      <c r="H51" s="24"/>
      <c r="I51" s="24"/>
      <c r="J51" s="24"/>
      <c r="K51" s="24"/>
      <c r="L51" s="24"/>
    </row>
    <row r="52" spans="4:12">
      <c r="D52" s="33"/>
      <c r="E52" s="24"/>
      <c r="F52" s="24"/>
      <c r="G52" s="24"/>
      <c r="H52" s="24"/>
      <c r="I52" s="24"/>
      <c r="J52" s="24"/>
      <c r="K52" s="24"/>
      <c r="L52" s="24"/>
    </row>
    <row r="53" spans="4:12">
      <c r="D53" s="33"/>
      <c r="E53" s="24"/>
      <c r="F53" s="24"/>
      <c r="G53" s="24"/>
      <c r="H53" s="24"/>
      <c r="I53" s="24"/>
      <c r="J53" s="24"/>
      <c r="K53" s="24"/>
      <c r="L53" s="24"/>
    </row>
    <row r="54" spans="4:12">
      <c r="D54" s="33"/>
      <c r="E54" s="24"/>
      <c r="F54" s="24"/>
      <c r="G54" s="24"/>
      <c r="H54" s="24"/>
      <c r="I54" s="24"/>
      <c r="J54" s="24"/>
      <c r="K54" s="24"/>
      <c r="L54" s="24"/>
    </row>
    <row r="55" spans="4:12">
      <c r="D55" s="33"/>
      <c r="E55" s="24"/>
      <c r="F55" s="24"/>
      <c r="G55" s="24"/>
      <c r="H55" s="24"/>
      <c r="I55" s="24"/>
      <c r="J55" s="24"/>
      <c r="K55" s="24"/>
      <c r="L55" s="24"/>
    </row>
    <row r="56" spans="4:12">
      <c r="D56" s="33"/>
      <c r="E56" s="24"/>
      <c r="F56" s="24"/>
      <c r="G56" s="24"/>
      <c r="H56" s="24"/>
      <c r="I56" s="24"/>
      <c r="J56" s="24"/>
      <c r="K56" s="24"/>
      <c r="L56" s="24"/>
    </row>
    <row r="57" spans="4:12">
      <c r="D57" s="33"/>
      <c r="E57" s="24"/>
      <c r="F57" s="24"/>
      <c r="G57" s="24"/>
      <c r="H57" s="24"/>
      <c r="I57" s="24"/>
      <c r="J57" s="24"/>
      <c r="K57" s="24"/>
      <c r="L57" s="24"/>
    </row>
    <row r="58" spans="4:12">
      <c r="D58" s="33"/>
      <c r="E58" s="24"/>
      <c r="F58" s="24"/>
      <c r="G58" s="24"/>
      <c r="H58" s="24"/>
      <c r="I58" s="24"/>
      <c r="J58" s="24"/>
      <c r="K58" s="24"/>
      <c r="L58" s="24"/>
    </row>
    <row r="59" spans="4:12">
      <c r="D59" s="33"/>
      <c r="E59" s="24"/>
      <c r="F59" s="24"/>
      <c r="G59" s="24"/>
      <c r="H59" s="24"/>
      <c r="I59" s="24"/>
      <c r="J59" s="24"/>
      <c r="K59" s="24"/>
      <c r="L59" s="24"/>
    </row>
    <row r="60" spans="4:12">
      <c r="D60" s="33"/>
      <c r="E60" s="24"/>
      <c r="F60" s="24"/>
      <c r="G60" s="24"/>
      <c r="H60" s="24"/>
      <c r="I60" s="24"/>
      <c r="J60" s="24"/>
      <c r="K60" s="24"/>
      <c r="L60" s="24"/>
    </row>
    <row r="61" spans="4:12">
      <c r="D61" s="33"/>
      <c r="E61" s="24"/>
      <c r="F61" s="24"/>
      <c r="G61" s="24"/>
      <c r="H61" s="24"/>
      <c r="I61" s="24"/>
      <c r="J61" s="24"/>
      <c r="K61" s="24"/>
      <c r="L61" s="24"/>
    </row>
    <row r="62" spans="4:12">
      <c r="D62" s="33"/>
      <c r="E62" s="24"/>
      <c r="F62" s="24"/>
      <c r="G62" s="24"/>
      <c r="H62" s="24"/>
      <c r="I62" s="24"/>
      <c r="J62" s="24"/>
      <c r="K62" s="24"/>
      <c r="L62" s="24"/>
    </row>
    <row r="63" spans="4:12">
      <c r="D63" s="33"/>
      <c r="E63" s="24"/>
      <c r="F63" s="24"/>
      <c r="G63" s="24"/>
      <c r="H63" s="24"/>
      <c r="I63" s="24"/>
      <c r="J63" s="24"/>
      <c r="K63" s="24"/>
      <c r="L63" s="24"/>
    </row>
    <row r="64" spans="4:12">
      <c r="D64" s="33"/>
      <c r="E64" s="24"/>
      <c r="F64" s="24"/>
      <c r="G64" s="24"/>
      <c r="H64" s="24"/>
      <c r="I64" s="24"/>
      <c r="J64" s="24"/>
      <c r="K64" s="24"/>
      <c r="L64" s="24"/>
    </row>
    <row r="65" spans="4:12">
      <c r="D65" s="33"/>
      <c r="E65" s="24"/>
      <c r="F65" s="24"/>
      <c r="G65" s="24"/>
      <c r="H65" s="24"/>
      <c r="I65" s="24"/>
      <c r="J65" s="24"/>
      <c r="K65" s="24"/>
      <c r="L65" s="24"/>
    </row>
    <row r="66" spans="4:12">
      <c r="D66" s="33"/>
      <c r="E66" s="24"/>
      <c r="F66" s="24"/>
      <c r="G66" s="24"/>
      <c r="H66" s="24"/>
      <c r="I66" s="24"/>
      <c r="J66" s="24"/>
      <c r="K66" s="24"/>
      <c r="L66" s="24"/>
    </row>
    <row r="67" spans="4:12">
      <c r="D67" s="33"/>
      <c r="E67" s="24"/>
      <c r="F67" s="24"/>
      <c r="G67" s="24"/>
      <c r="H67" s="24"/>
      <c r="I67" s="24"/>
      <c r="J67" s="24"/>
      <c r="K67" s="24"/>
      <c r="L67" s="24"/>
    </row>
    <row r="68" spans="4:12">
      <c r="D68" s="33"/>
      <c r="E68" s="24"/>
      <c r="F68" s="24"/>
      <c r="G68" s="24"/>
      <c r="H68" s="24"/>
      <c r="I68" s="24"/>
      <c r="J68" s="24"/>
      <c r="K68" s="24"/>
      <c r="L68" s="24"/>
    </row>
    <row r="69" spans="4:12">
      <c r="D69" s="33"/>
      <c r="E69" s="24"/>
      <c r="F69" s="24"/>
      <c r="G69" s="24"/>
      <c r="H69" s="24"/>
      <c r="I69" s="24"/>
      <c r="J69" s="24"/>
      <c r="K69" s="24"/>
      <c r="L69" s="24"/>
    </row>
    <row r="70" spans="4:12">
      <c r="D70" s="33"/>
      <c r="E70" s="24"/>
      <c r="F70" s="24"/>
      <c r="G70" s="24"/>
      <c r="H70" s="24"/>
      <c r="I70" s="24"/>
      <c r="J70" s="24"/>
      <c r="K70" s="24"/>
      <c r="L70" s="24"/>
    </row>
    <row r="71" spans="4:12">
      <c r="D71" s="33"/>
      <c r="E71" s="24"/>
      <c r="F71" s="24"/>
      <c r="G71" s="24"/>
      <c r="H71" s="24"/>
      <c r="I71" s="24"/>
      <c r="J71" s="24"/>
      <c r="K71" s="24"/>
      <c r="L71" s="24"/>
    </row>
    <row r="72" spans="4:12">
      <c r="D72" s="33"/>
      <c r="E72" s="24"/>
      <c r="F72" s="24"/>
      <c r="G72" s="24"/>
      <c r="H72" s="24"/>
      <c r="I72" s="24"/>
      <c r="J72" s="24"/>
      <c r="K72" s="24"/>
      <c r="L72" s="24"/>
    </row>
    <row r="73" spans="4:12">
      <c r="D73" s="33"/>
      <c r="E73" s="24"/>
      <c r="F73" s="24"/>
      <c r="G73" s="24"/>
      <c r="H73" s="24"/>
      <c r="I73" s="24"/>
      <c r="J73" s="24"/>
      <c r="K73" s="24"/>
      <c r="L73" s="24"/>
    </row>
    <row r="74" spans="4:12">
      <c r="D74" s="33"/>
      <c r="E74" s="24"/>
      <c r="F74" s="24"/>
      <c r="G74" s="24"/>
      <c r="H74" s="24"/>
      <c r="I74" s="24"/>
      <c r="J74" s="24"/>
      <c r="K74" s="24"/>
      <c r="L74" s="24"/>
    </row>
    <row r="75" spans="4:12">
      <c r="D75" s="33"/>
      <c r="E75" s="24"/>
      <c r="F75" s="24"/>
      <c r="G75" s="24"/>
      <c r="H75" s="24"/>
      <c r="I75" s="24"/>
      <c r="J75" s="24"/>
      <c r="K75" s="24"/>
      <c r="L75" s="24"/>
    </row>
    <row r="76" spans="4:12">
      <c r="D76" s="33"/>
      <c r="E76" s="24"/>
      <c r="F76" s="24"/>
      <c r="G76" s="24"/>
      <c r="H76" s="24"/>
      <c r="I76" s="24"/>
      <c r="J76" s="24"/>
      <c r="K76" s="24"/>
      <c r="L76" s="24"/>
    </row>
    <row r="77" spans="4:12">
      <c r="D77" s="33"/>
      <c r="E77" s="24"/>
      <c r="F77" s="24"/>
      <c r="G77" s="24"/>
      <c r="H77" s="24"/>
      <c r="I77" s="24"/>
      <c r="J77" s="24"/>
      <c r="K77" s="24"/>
      <c r="L77" s="24"/>
    </row>
    <row r="78" spans="4:12">
      <c r="D78" s="33"/>
      <c r="E78" s="24"/>
      <c r="F78" s="24"/>
      <c r="G78" s="24"/>
      <c r="H78" s="24"/>
      <c r="I78" s="24"/>
      <c r="J78" s="24"/>
      <c r="K78" s="24"/>
      <c r="L78" s="24"/>
    </row>
    <row r="79" spans="4:12">
      <c r="D79" s="33"/>
      <c r="E79" s="24"/>
      <c r="F79" s="24"/>
      <c r="G79" s="24"/>
      <c r="H79" s="24"/>
      <c r="I79" s="24"/>
      <c r="J79" s="24"/>
      <c r="K79" s="24"/>
      <c r="L79" s="24"/>
    </row>
    <row r="80" spans="4:12">
      <c r="D80" s="33"/>
      <c r="E80" s="24"/>
      <c r="F80" s="24"/>
      <c r="G80" s="24"/>
      <c r="H80" s="24"/>
      <c r="I80" s="24"/>
      <c r="J80" s="24"/>
      <c r="K80" s="24"/>
      <c r="L80" s="24"/>
    </row>
    <row r="81" spans="4:12">
      <c r="D81" s="33"/>
      <c r="E81" s="24"/>
      <c r="F81" s="24"/>
      <c r="G81" s="24"/>
      <c r="H81" s="24"/>
      <c r="I81" s="24"/>
      <c r="J81" s="24"/>
      <c r="K81" s="24"/>
      <c r="L81" s="24"/>
    </row>
    <row r="82" spans="4:12">
      <c r="D82" s="33"/>
      <c r="E82" s="24"/>
      <c r="F82" s="24"/>
      <c r="G82" s="24"/>
      <c r="H82" s="24"/>
      <c r="I82" s="24"/>
      <c r="J82" s="24"/>
      <c r="K82" s="24"/>
      <c r="L82" s="24"/>
    </row>
    <row r="83" spans="4:12">
      <c r="D83" s="33"/>
      <c r="E83" s="24"/>
      <c r="F83" s="24"/>
      <c r="G83" s="24"/>
      <c r="H83" s="24"/>
      <c r="I83" s="24"/>
      <c r="J83" s="24"/>
      <c r="K83" s="24"/>
      <c r="L83" s="24"/>
    </row>
    <row r="84" spans="4:12">
      <c r="D84" s="33"/>
      <c r="E84" s="24"/>
      <c r="F84" s="24"/>
      <c r="G84" s="24"/>
      <c r="H84" s="24"/>
      <c r="I84" s="24"/>
      <c r="J84" s="24"/>
      <c r="K84" s="24"/>
      <c r="L84" s="24"/>
    </row>
    <row r="85" spans="4:12">
      <c r="D85" s="33"/>
      <c r="E85" s="24"/>
      <c r="F85" s="24"/>
      <c r="G85" s="24"/>
      <c r="H85" s="24"/>
      <c r="I85" s="24"/>
      <c r="J85" s="24"/>
      <c r="K85" s="24"/>
      <c r="L85" s="24"/>
    </row>
    <row r="86" spans="4:12">
      <c r="D86" s="33"/>
      <c r="E86" s="24"/>
      <c r="F86" s="24"/>
      <c r="G86" s="24"/>
      <c r="H86" s="24"/>
      <c r="I86" s="24"/>
      <c r="J86" s="24"/>
      <c r="K86" s="24"/>
      <c r="L86" s="24"/>
    </row>
    <row r="87" spans="4:12">
      <c r="D87" s="33"/>
      <c r="E87" s="24"/>
      <c r="F87" s="24"/>
      <c r="G87" s="24"/>
      <c r="H87" s="24"/>
      <c r="I87" s="24"/>
      <c r="J87" s="24"/>
      <c r="K87" s="24"/>
      <c r="L87" s="24"/>
    </row>
    <row r="88" spans="4:12">
      <c r="D88" s="33"/>
      <c r="E88" s="24"/>
      <c r="F88" s="24"/>
      <c r="G88" s="24"/>
      <c r="H88" s="24"/>
      <c r="I88" s="24"/>
      <c r="J88" s="24"/>
      <c r="K88" s="24"/>
      <c r="L88" s="24"/>
    </row>
    <row r="89" spans="4:12">
      <c r="D89" s="33"/>
      <c r="E89" s="24"/>
      <c r="F89" s="24"/>
      <c r="G89" s="24"/>
      <c r="H89" s="24"/>
      <c r="I89" s="24"/>
      <c r="J89" s="24"/>
      <c r="K89" s="24"/>
      <c r="L89" s="24"/>
    </row>
    <row r="90" spans="4:12">
      <c r="D90" s="33"/>
      <c r="E90" s="24"/>
      <c r="F90" s="24"/>
      <c r="G90" s="24"/>
      <c r="H90" s="24"/>
      <c r="I90" s="24"/>
      <c r="J90" s="24"/>
      <c r="K90" s="24"/>
      <c r="L90" s="24"/>
    </row>
    <row r="91" spans="4:12">
      <c r="D91" s="33"/>
      <c r="E91" s="24"/>
      <c r="F91" s="24"/>
      <c r="G91" s="24"/>
      <c r="H91" s="24"/>
      <c r="I91" s="24"/>
      <c r="J91" s="24"/>
      <c r="K91" s="24"/>
      <c r="L91" s="24"/>
    </row>
    <row r="92" spans="4:12">
      <c r="D92" s="33"/>
      <c r="E92" s="24"/>
      <c r="F92" s="24"/>
      <c r="G92" s="24"/>
      <c r="H92" s="24"/>
      <c r="I92" s="24"/>
      <c r="J92" s="24"/>
      <c r="K92" s="24"/>
      <c r="L92" s="24"/>
    </row>
    <row r="93" spans="4:12">
      <c r="D93" s="33"/>
      <c r="E93" s="24"/>
      <c r="F93" s="24"/>
      <c r="G93" s="24"/>
      <c r="H93" s="24"/>
      <c r="I93" s="24"/>
      <c r="J93" s="24"/>
      <c r="K93" s="24"/>
      <c r="L93" s="24"/>
    </row>
    <row r="94" spans="4:12">
      <c r="D94" s="33"/>
      <c r="E94" s="24"/>
      <c r="F94" s="24"/>
      <c r="G94" s="24"/>
      <c r="H94" s="24"/>
      <c r="I94" s="24"/>
      <c r="J94" s="24"/>
      <c r="K94" s="24"/>
      <c r="L94" s="24"/>
    </row>
    <row r="95" spans="4:12">
      <c r="D95" s="33"/>
      <c r="E95" s="24"/>
      <c r="F95" s="24"/>
      <c r="G95" s="24"/>
      <c r="H95" s="24"/>
      <c r="I95" s="24"/>
      <c r="J95" s="24"/>
      <c r="K95" s="24"/>
      <c r="L95" s="24"/>
    </row>
    <row r="96" spans="4:12">
      <c r="D96" s="33"/>
      <c r="E96" s="24"/>
      <c r="F96" s="24"/>
      <c r="G96" s="24"/>
      <c r="H96" s="24"/>
      <c r="I96" s="24"/>
      <c r="J96" s="24"/>
      <c r="K96" s="24"/>
      <c r="L96" s="24"/>
    </row>
    <row r="97" spans="4:12">
      <c r="D97" s="33"/>
      <c r="E97" s="24"/>
      <c r="F97" s="24"/>
      <c r="G97" s="24"/>
      <c r="H97" s="24"/>
      <c r="I97" s="24"/>
      <c r="J97" s="24"/>
      <c r="K97" s="24"/>
      <c r="L97" s="24"/>
    </row>
    <row r="98" spans="4:12">
      <c r="D98" s="33"/>
      <c r="E98" s="24"/>
      <c r="F98" s="24"/>
      <c r="G98" s="24"/>
      <c r="H98" s="24"/>
      <c r="I98" s="24"/>
      <c r="J98" s="24"/>
      <c r="K98" s="24"/>
      <c r="L98" s="24"/>
    </row>
    <row r="99" spans="4:12">
      <c r="D99" s="33"/>
      <c r="E99" s="24"/>
      <c r="F99" s="24"/>
      <c r="G99" s="24"/>
      <c r="H99" s="24"/>
      <c r="I99" s="24"/>
      <c r="J99" s="24"/>
      <c r="K99" s="24"/>
      <c r="L99" s="24"/>
    </row>
    <row r="100" spans="4:12">
      <c r="D100" s="33"/>
      <c r="E100" s="24"/>
      <c r="F100" s="24"/>
      <c r="G100" s="24"/>
      <c r="H100" s="24"/>
      <c r="I100" s="24"/>
      <c r="J100" s="24"/>
      <c r="K100" s="24"/>
      <c r="L100" s="24"/>
    </row>
    <row r="101" spans="4:12">
      <c r="D101" s="33"/>
      <c r="E101" s="24"/>
      <c r="F101" s="24"/>
      <c r="G101" s="24"/>
      <c r="H101" s="24"/>
      <c r="I101" s="24"/>
      <c r="J101" s="24"/>
      <c r="K101" s="24"/>
      <c r="L101" s="24"/>
    </row>
    <row r="102" spans="4:12">
      <c r="D102" s="33"/>
      <c r="E102" s="24"/>
      <c r="F102" s="24"/>
      <c r="G102" s="24"/>
      <c r="H102" s="24"/>
      <c r="I102" s="24"/>
      <c r="J102" s="24"/>
      <c r="K102" s="24"/>
      <c r="L102" s="24"/>
    </row>
    <row r="103" spans="4:12">
      <c r="D103" s="33"/>
      <c r="E103" s="24"/>
      <c r="F103" s="24"/>
      <c r="G103" s="24"/>
      <c r="H103" s="24"/>
      <c r="I103" s="24"/>
      <c r="J103" s="24"/>
      <c r="K103" s="24"/>
      <c r="L103" s="24"/>
    </row>
    <row r="104" spans="4:12">
      <c r="D104" s="33"/>
      <c r="E104" s="24"/>
      <c r="F104" s="24"/>
      <c r="G104" s="24"/>
      <c r="H104" s="24"/>
      <c r="I104" s="24"/>
      <c r="J104" s="24"/>
      <c r="K104" s="24"/>
      <c r="L104" s="24"/>
    </row>
    <row r="105" spans="4:12">
      <c r="D105" s="33"/>
      <c r="E105" s="24"/>
      <c r="F105" s="24"/>
      <c r="G105" s="24"/>
      <c r="H105" s="24"/>
      <c r="I105" s="24"/>
      <c r="J105" s="24"/>
      <c r="K105" s="24"/>
      <c r="L105" s="24"/>
    </row>
    <row r="106" spans="4:12">
      <c r="D106" s="33"/>
      <c r="E106" s="24"/>
      <c r="F106" s="24"/>
      <c r="G106" s="24"/>
      <c r="H106" s="24"/>
      <c r="I106" s="24"/>
      <c r="J106" s="24"/>
      <c r="K106" s="24"/>
      <c r="L106" s="24"/>
    </row>
    <row r="107" spans="4:12">
      <c r="D107" s="33"/>
      <c r="E107" s="24"/>
      <c r="F107" s="24"/>
      <c r="G107" s="24"/>
      <c r="H107" s="24"/>
      <c r="I107" s="24"/>
      <c r="J107" s="24"/>
      <c r="K107" s="24"/>
      <c r="L107" s="24"/>
    </row>
    <row r="108" spans="4:12">
      <c r="D108" s="33"/>
      <c r="E108" s="24"/>
      <c r="F108" s="24"/>
      <c r="G108" s="24"/>
      <c r="H108" s="24"/>
      <c r="I108" s="24"/>
      <c r="J108" s="24"/>
      <c r="K108" s="24"/>
      <c r="L108" s="24"/>
    </row>
    <row r="109" spans="4:12">
      <c r="D109" s="33"/>
      <c r="E109" s="24"/>
      <c r="F109" s="24"/>
      <c r="G109" s="24"/>
      <c r="H109" s="24"/>
      <c r="I109" s="24"/>
      <c r="J109" s="24"/>
      <c r="K109" s="24"/>
      <c r="L109" s="24"/>
    </row>
    <row r="110" spans="4:12">
      <c r="D110" s="33"/>
      <c r="E110" s="24"/>
      <c r="F110" s="24"/>
      <c r="G110" s="24"/>
      <c r="H110" s="24"/>
      <c r="I110" s="24"/>
      <c r="J110" s="24"/>
      <c r="K110" s="24"/>
      <c r="L110" s="24"/>
    </row>
    <row r="111" spans="4:12">
      <c r="D111" s="33"/>
      <c r="E111" s="24"/>
      <c r="F111" s="24"/>
      <c r="G111" s="24"/>
      <c r="H111" s="24"/>
      <c r="I111" s="24"/>
      <c r="J111" s="24"/>
      <c r="K111" s="24"/>
      <c r="L111" s="24"/>
    </row>
    <row r="112" spans="4:12">
      <c r="D112" s="33"/>
      <c r="E112" s="24"/>
      <c r="F112" s="24"/>
      <c r="G112" s="24"/>
      <c r="H112" s="24"/>
      <c r="I112" s="24"/>
      <c r="J112" s="24"/>
      <c r="K112" s="24"/>
      <c r="L112" s="24"/>
    </row>
    <row r="113" spans="4:12">
      <c r="D113" s="33"/>
      <c r="E113" s="24"/>
      <c r="F113" s="24"/>
      <c r="G113" s="24"/>
      <c r="H113" s="24"/>
      <c r="I113" s="24"/>
      <c r="J113" s="24"/>
      <c r="K113" s="24"/>
      <c r="L113" s="24"/>
    </row>
    <row r="114" spans="4:12">
      <c r="D114" s="33"/>
      <c r="E114" s="24"/>
      <c r="F114" s="24"/>
      <c r="G114" s="24"/>
      <c r="H114" s="24"/>
      <c r="I114" s="24"/>
      <c r="J114" s="24"/>
      <c r="K114" s="24"/>
      <c r="L114" s="24"/>
    </row>
    <row r="115" spans="4:12">
      <c r="D115" s="33"/>
      <c r="E115" s="24"/>
      <c r="F115" s="24"/>
      <c r="G115" s="24"/>
      <c r="H115" s="24"/>
      <c r="I115" s="24"/>
      <c r="J115" s="24"/>
      <c r="K115" s="24"/>
      <c r="L115" s="24"/>
    </row>
    <row r="116" spans="4:12">
      <c r="D116" s="33"/>
      <c r="E116" s="24"/>
      <c r="F116" s="24"/>
      <c r="G116" s="24"/>
      <c r="H116" s="24"/>
      <c r="I116" s="24"/>
      <c r="J116" s="24"/>
      <c r="K116" s="24"/>
      <c r="L116" s="24"/>
    </row>
    <row r="117" spans="4:12">
      <c r="D117" s="33"/>
      <c r="E117" s="24"/>
      <c r="F117" s="24"/>
      <c r="G117" s="24"/>
      <c r="H117" s="24"/>
      <c r="I117" s="24"/>
      <c r="J117" s="24"/>
      <c r="K117" s="24"/>
      <c r="L117" s="24"/>
    </row>
    <row r="118" spans="4:12">
      <c r="D118" s="33"/>
      <c r="E118" s="24"/>
      <c r="F118" s="24"/>
      <c r="G118" s="24"/>
      <c r="H118" s="24"/>
      <c r="I118" s="24"/>
      <c r="J118" s="24"/>
      <c r="K118" s="24"/>
      <c r="L118" s="24"/>
    </row>
    <row r="119" spans="4:12">
      <c r="D119" s="33"/>
      <c r="E119" s="24"/>
      <c r="F119" s="24"/>
      <c r="G119" s="24"/>
      <c r="H119" s="24"/>
      <c r="I119" s="24"/>
      <c r="J119" s="24"/>
      <c r="K119" s="24"/>
      <c r="L119" s="24"/>
    </row>
    <row r="120" spans="4:12">
      <c r="D120" s="33"/>
      <c r="E120" s="24"/>
      <c r="F120" s="24"/>
      <c r="G120" s="24"/>
      <c r="H120" s="24"/>
      <c r="I120" s="24"/>
      <c r="J120" s="24"/>
      <c r="K120" s="24"/>
      <c r="L120" s="24"/>
    </row>
    <row r="121" spans="4:12">
      <c r="D121" s="33"/>
      <c r="E121" s="24"/>
      <c r="F121" s="24"/>
      <c r="G121" s="24"/>
      <c r="H121" s="24"/>
      <c r="I121" s="24"/>
      <c r="J121" s="24"/>
      <c r="K121" s="24"/>
      <c r="L121" s="24"/>
    </row>
    <row r="122" spans="4:12">
      <c r="D122" s="33"/>
      <c r="E122" s="24"/>
      <c r="F122" s="24"/>
      <c r="G122" s="24"/>
      <c r="H122" s="24"/>
      <c r="I122" s="24"/>
      <c r="J122" s="24"/>
      <c r="K122" s="24"/>
      <c r="L122" s="24"/>
    </row>
    <row r="123" spans="4:12">
      <c r="D123" s="33"/>
      <c r="E123" s="24"/>
      <c r="F123" s="24"/>
      <c r="G123" s="24"/>
      <c r="H123" s="24"/>
      <c r="I123" s="24"/>
      <c r="J123" s="24"/>
      <c r="K123" s="24"/>
      <c r="L123" s="24"/>
    </row>
    <row r="124" spans="4:12">
      <c r="D124" s="33"/>
      <c r="E124" s="24"/>
      <c r="F124" s="24"/>
      <c r="G124" s="24"/>
      <c r="H124" s="24"/>
      <c r="I124" s="24"/>
      <c r="J124" s="24"/>
      <c r="K124" s="24"/>
      <c r="L124" s="24"/>
    </row>
    <row r="125" spans="4:12">
      <c r="D125" s="33"/>
      <c r="E125" s="24"/>
      <c r="F125" s="24"/>
      <c r="G125" s="24"/>
      <c r="H125" s="24"/>
      <c r="I125" s="24"/>
      <c r="J125" s="24"/>
      <c r="K125" s="24"/>
      <c r="L125" s="24"/>
    </row>
    <row r="126" spans="4:12">
      <c r="D126" s="33"/>
      <c r="E126" s="24"/>
      <c r="F126" s="24"/>
      <c r="G126" s="24"/>
      <c r="H126" s="24"/>
      <c r="I126" s="24"/>
      <c r="J126" s="24"/>
      <c r="K126" s="24"/>
      <c r="L126" s="24"/>
    </row>
    <row r="127" spans="4:12">
      <c r="D127" s="33"/>
      <c r="E127" s="24"/>
      <c r="F127" s="24"/>
      <c r="G127" s="24"/>
      <c r="H127" s="24"/>
      <c r="I127" s="24"/>
      <c r="J127" s="24"/>
      <c r="K127" s="24"/>
      <c r="L127" s="24"/>
    </row>
    <row r="128" spans="4:12">
      <c r="D128" s="33"/>
      <c r="E128" s="24"/>
      <c r="F128" s="24"/>
      <c r="G128" s="24"/>
      <c r="H128" s="24"/>
      <c r="I128" s="24"/>
      <c r="J128" s="24"/>
      <c r="K128" s="24"/>
      <c r="L128" s="24"/>
    </row>
    <row r="129" spans="4:12">
      <c r="D129" s="33"/>
      <c r="E129" s="24"/>
      <c r="F129" s="24"/>
      <c r="G129" s="24"/>
      <c r="H129" s="24"/>
      <c r="I129" s="24"/>
      <c r="J129" s="24"/>
      <c r="K129" s="24"/>
      <c r="L129" s="24"/>
    </row>
    <row r="130" spans="4:12">
      <c r="D130" s="33"/>
      <c r="E130" s="24"/>
      <c r="F130" s="24"/>
      <c r="G130" s="24"/>
      <c r="H130" s="24"/>
      <c r="I130" s="24"/>
      <c r="J130" s="24"/>
      <c r="K130" s="24"/>
      <c r="L130" s="24"/>
    </row>
    <row r="131" spans="4:12">
      <c r="D131" s="33"/>
      <c r="E131" s="24"/>
      <c r="F131" s="24"/>
      <c r="G131" s="24"/>
      <c r="H131" s="24"/>
      <c r="I131" s="24"/>
      <c r="J131" s="24"/>
      <c r="K131" s="24"/>
      <c r="L131" s="24"/>
    </row>
    <row r="132" spans="4:12">
      <c r="D132" s="33"/>
      <c r="E132" s="24"/>
      <c r="F132" s="24"/>
      <c r="G132" s="24"/>
      <c r="H132" s="24"/>
      <c r="I132" s="24"/>
      <c r="J132" s="24"/>
      <c r="K132" s="24"/>
      <c r="L132" s="24"/>
    </row>
    <row r="133" spans="4:12">
      <c r="D133" s="33"/>
      <c r="E133" s="24"/>
      <c r="F133" s="24"/>
      <c r="G133" s="24"/>
      <c r="H133" s="24"/>
      <c r="I133" s="24"/>
      <c r="J133" s="24"/>
      <c r="K133" s="24"/>
      <c r="L133" s="24"/>
    </row>
    <row r="134" spans="4:12">
      <c r="D134" s="33"/>
      <c r="E134" s="24"/>
      <c r="F134" s="24"/>
      <c r="G134" s="24"/>
      <c r="H134" s="24"/>
      <c r="I134" s="24"/>
      <c r="J134" s="24"/>
      <c r="K134" s="24"/>
      <c r="L134" s="24"/>
    </row>
    <row r="135" spans="4:12">
      <c r="D135" s="33"/>
      <c r="E135" s="24"/>
      <c r="F135" s="24"/>
      <c r="G135" s="24"/>
      <c r="H135" s="24"/>
      <c r="I135" s="24"/>
      <c r="J135" s="24"/>
      <c r="K135" s="24"/>
      <c r="L135" s="24"/>
    </row>
    <row r="136" spans="4:12">
      <c r="D136" s="33"/>
      <c r="E136" s="24"/>
      <c r="F136" s="24"/>
      <c r="G136" s="24"/>
      <c r="H136" s="24"/>
      <c r="I136" s="24"/>
      <c r="J136" s="24"/>
      <c r="K136" s="24"/>
      <c r="L136" s="24"/>
    </row>
    <row r="137" spans="4:12">
      <c r="D137" s="33"/>
      <c r="E137" s="24"/>
      <c r="F137" s="24"/>
      <c r="G137" s="24"/>
      <c r="H137" s="24"/>
      <c r="I137" s="24"/>
      <c r="J137" s="24"/>
      <c r="K137" s="24"/>
      <c r="L137" s="24"/>
    </row>
    <row r="138" spans="4:12">
      <c r="D138" s="33"/>
      <c r="E138" s="24"/>
      <c r="F138" s="24"/>
      <c r="G138" s="24"/>
      <c r="H138" s="24"/>
      <c r="I138" s="24"/>
      <c r="J138" s="24"/>
      <c r="K138" s="24"/>
      <c r="L138" s="24"/>
    </row>
    <row r="139" spans="4:12">
      <c r="D139" s="33"/>
      <c r="E139" s="24"/>
      <c r="F139" s="24"/>
      <c r="G139" s="24"/>
      <c r="H139" s="24"/>
      <c r="I139" s="24"/>
      <c r="J139" s="24"/>
      <c r="K139" s="24"/>
      <c r="L139" s="24"/>
    </row>
    <row r="140" spans="4:12">
      <c r="D140" s="33"/>
      <c r="E140" s="24"/>
      <c r="F140" s="24"/>
      <c r="G140" s="24"/>
      <c r="H140" s="24"/>
      <c r="I140" s="24"/>
      <c r="J140" s="24"/>
      <c r="K140" s="24"/>
      <c r="L140" s="24"/>
    </row>
    <row r="141" spans="4:12">
      <c r="D141" s="33"/>
      <c r="E141" s="24"/>
      <c r="F141" s="24"/>
      <c r="G141" s="24"/>
      <c r="H141" s="24"/>
      <c r="I141" s="24"/>
      <c r="J141" s="24"/>
      <c r="K141" s="24"/>
      <c r="L141" s="24"/>
    </row>
    <row r="142" spans="4:12">
      <c r="D142" s="33"/>
      <c r="E142" s="24"/>
      <c r="F142" s="24"/>
      <c r="G142" s="24"/>
      <c r="H142" s="24"/>
      <c r="I142" s="24"/>
      <c r="J142" s="24"/>
      <c r="K142" s="24"/>
      <c r="L142" s="24"/>
    </row>
    <row r="143" spans="4:12">
      <c r="D143" s="33"/>
      <c r="E143" s="24"/>
      <c r="F143" s="24"/>
      <c r="G143" s="24"/>
      <c r="H143" s="24"/>
      <c r="I143" s="24"/>
      <c r="J143" s="24"/>
      <c r="K143" s="24"/>
      <c r="L143" s="24"/>
    </row>
    <row r="144" spans="4:12">
      <c r="D144" s="33"/>
      <c r="E144" s="24"/>
      <c r="F144" s="24"/>
      <c r="G144" s="24"/>
      <c r="H144" s="24"/>
      <c r="I144" s="24"/>
      <c r="J144" s="24"/>
      <c r="K144" s="24"/>
      <c r="L144" s="24"/>
    </row>
    <row r="145" spans="4:12">
      <c r="D145" s="33"/>
      <c r="E145" s="24"/>
      <c r="F145" s="24"/>
      <c r="G145" s="24"/>
      <c r="H145" s="24"/>
      <c r="I145" s="24"/>
      <c r="J145" s="24"/>
      <c r="K145" s="24"/>
      <c r="L145" s="24"/>
    </row>
    <row r="146" spans="4:12">
      <c r="D146" s="33"/>
      <c r="E146" s="24"/>
      <c r="F146" s="24"/>
      <c r="G146" s="24"/>
      <c r="H146" s="24"/>
      <c r="I146" s="24"/>
      <c r="J146" s="24"/>
      <c r="K146" s="24"/>
      <c r="L146" s="24"/>
    </row>
    <row r="147" spans="4:12">
      <c r="D147" s="33"/>
      <c r="E147" s="24"/>
      <c r="F147" s="24"/>
      <c r="G147" s="24"/>
      <c r="H147" s="24"/>
      <c r="I147" s="24"/>
      <c r="J147" s="24"/>
      <c r="K147" s="24"/>
      <c r="L147" s="24"/>
    </row>
    <row r="148" spans="4:12">
      <c r="D148" s="33"/>
      <c r="E148" s="24"/>
      <c r="F148" s="24"/>
      <c r="G148" s="24"/>
      <c r="H148" s="24"/>
      <c r="I148" s="24"/>
      <c r="J148" s="24"/>
      <c r="K148" s="24"/>
      <c r="L148" s="24"/>
    </row>
    <row r="149" spans="4:12">
      <c r="D149" s="33"/>
      <c r="E149" s="24"/>
      <c r="F149" s="24"/>
      <c r="G149" s="24"/>
      <c r="H149" s="24"/>
      <c r="I149" s="24"/>
      <c r="J149" s="24"/>
      <c r="K149" s="24"/>
      <c r="L149" s="24"/>
    </row>
    <row r="150" spans="4:12">
      <c r="D150" s="33"/>
      <c r="E150" s="24"/>
      <c r="F150" s="24"/>
      <c r="G150" s="24"/>
      <c r="H150" s="24"/>
      <c r="I150" s="24"/>
      <c r="J150" s="24"/>
      <c r="K150" s="24"/>
      <c r="L150" s="24"/>
    </row>
    <row r="151" spans="4:12">
      <c r="D151" s="33"/>
      <c r="E151" s="24"/>
      <c r="F151" s="24"/>
      <c r="G151" s="24"/>
      <c r="H151" s="24"/>
      <c r="I151" s="24"/>
      <c r="J151" s="24"/>
      <c r="K151" s="24"/>
      <c r="L151" s="24"/>
    </row>
    <row r="152" spans="4:12">
      <c r="D152" s="33"/>
      <c r="E152" s="24"/>
      <c r="F152" s="24"/>
      <c r="G152" s="24"/>
      <c r="H152" s="24"/>
      <c r="I152" s="24"/>
      <c r="J152" s="24"/>
      <c r="K152" s="24"/>
      <c r="L152" s="24"/>
    </row>
    <row r="153" spans="4:12">
      <c r="D153" s="33"/>
      <c r="E153" s="24"/>
      <c r="F153" s="24"/>
      <c r="G153" s="24"/>
      <c r="H153" s="24"/>
      <c r="I153" s="24"/>
      <c r="J153" s="24"/>
      <c r="K153" s="24"/>
      <c r="L153" s="24"/>
    </row>
    <row r="154" spans="4:12">
      <c r="D154" s="33"/>
      <c r="E154" s="24"/>
      <c r="F154" s="24"/>
      <c r="G154" s="24"/>
      <c r="H154" s="24"/>
      <c r="I154" s="24"/>
      <c r="J154" s="24"/>
      <c r="K154" s="24"/>
      <c r="L154" s="24"/>
    </row>
    <row r="155" spans="4:12">
      <c r="D155" s="33"/>
      <c r="E155" s="24"/>
      <c r="F155" s="24"/>
      <c r="G155" s="24"/>
      <c r="H155" s="24"/>
      <c r="I155" s="24"/>
      <c r="J155" s="24"/>
      <c r="K155" s="24"/>
      <c r="L155" s="24"/>
    </row>
    <row r="156" spans="4:12">
      <c r="D156" s="33"/>
      <c r="E156" s="24"/>
      <c r="F156" s="24"/>
      <c r="G156" s="24"/>
      <c r="H156" s="24"/>
      <c r="I156" s="24"/>
      <c r="J156" s="24"/>
      <c r="K156" s="24"/>
      <c r="L156" s="24"/>
    </row>
    <row r="157" spans="4:12">
      <c r="D157" s="33"/>
      <c r="E157" s="24"/>
      <c r="F157" s="24"/>
      <c r="G157" s="24"/>
      <c r="H157" s="24"/>
      <c r="I157" s="24"/>
      <c r="J157" s="24"/>
      <c r="K157" s="24"/>
      <c r="L157" s="24"/>
    </row>
    <row r="158" spans="4:12">
      <c r="D158" s="33"/>
      <c r="E158" s="24"/>
      <c r="F158" s="24"/>
      <c r="G158" s="24"/>
      <c r="H158" s="24"/>
      <c r="I158" s="24"/>
      <c r="J158" s="24"/>
      <c r="K158" s="24"/>
      <c r="L158" s="24"/>
    </row>
    <row r="159" spans="4:12">
      <c r="D159" s="33"/>
      <c r="E159" s="24"/>
      <c r="F159" s="24"/>
      <c r="G159" s="24"/>
      <c r="H159" s="24"/>
      <c r="I159" s="24"/>
      <c r="J159" s="24"/>
      <c r="K159" s="24"/>
      <c r="L159" s="24"/>
    </row>
    <row r="160" spans="4:12">
      <c r="D160" s="33"/>
      <c r="E160" s="24"/>
      <c r="F160" s="24"/>
      <c r="G160" s="24"/>
      <c r="H160" s="24"/>
      <c r="I160" s="24"/>
      <c r="J160" s="24"/>
      <c r="K160" s="24"/>
      <c r="L160" s="24"/>
    </row>
    <row r="161" spans="4:12">
      <c r="D161" s="33"/>
      <c r="E161" s="24"/>
      <c r="F161" s="24"/>
      <c r="G161" s="24"/>
      <c r="H161" s="24"/>
      <c r="I161" s="24"/>
      <c r="J161" s="24"/>
      <c r="K161" s="24"/>
      <c r="L161" s="24"/>
    </row>
    <row r="162" spans="4:12">
      <c r="D162" s="33"/>
      <c r="E162" s="24"/>
      <c r="F162" s="24"/>
      <c r="G162" s="24"/>
      <c r="H162" s="24"/>
      <c r="I162" s="24"/>
      <c r="J162" s="24"/>
      <c r="K162" s="24"/>
      <c r="L162" s="24"/>
    </row>
    <row r="163" spans="4:12">
      <c r="D163" s="33"/>
      <c r="E163" s="24"/>
      <c r="F163" s="24"/>
      <c r="G163" s="24"/>
      <c r="H163" s="24"/>
      <c r="I163" s="24"/>
      <c r="J163" s="24"/>
      <c r="K163" s="24"/>
      <c r="L163" s="24"/>
    </row>
    <row r="164" spans="4:12">
      <c r="D164" s="33"/>
      <c r="E164" s="24"/>
      <c r="F164" s="24"/>
      <c r="G164" s="24"/>
      <c r="H164" s="24"/>
      <c r="I164" s="24"/>
      <c r="J164" s="24"/>
      <c r="K164" s="24"/>
      <c r="L164" s="24"/>
    </row>
    <row r="165" spans="4:12">
      <c r="D165" s="33"/>
      <c r="E165" s="24"/>
      <c r="F165" s="24"/>
      <c r="G165" s="24"/>
      <c r="H165" s="24"/>
      <c r="I165" s="24"/>
      <c r="J165" s="24"/>
      <c r="K165" s="24"/>
      <c r="L165" s="24"/>
    </row>
    <row r="166" spans="4:12">
      <c r="D166" s="33"/>
      <c r="E166" s="24"/>
      <c r="F166" s="24"/>
      <c r="G166" s="24"/>
      <c r="H166" s="24"/>
      <c r="I166" s="24"/>
      <c r="J166" s="24"/>
      <c r="K166" s="24"/>
      <c r="L166" s="24"/>
    </row>
    <row r="167" spans="4:12">
      <c r="D167" s="33"/>
      <c r="E167" s="24"/>
      <c r="F167" s="24"/>
      <c r="G167" s="24"/>
      <c r="H167" s="24"/>
      <c r="I167" s="24"/>
      <c r="J167" s="24"/>
      <c r="K167" s="24"/>
      <c r="L167" s="24"/>
    </row>
    <row r="168" spans="4:12">
      <c r="D168" s="33"/>
      <c r="E168" s="24"/>
      <c r="F168" s="24"/>
      <c r="G168" s="24"/>
      <c r="H168" s="24"/>
      <c r="I168" s="24"/>
      <c r="J168" s="24"/>
      <c r="K168" s="24"/>
      <c r="L168" s="24"/>
    </row>
    <row r="169" spans="4:12">
      <c r="D169" s="33"/>
      <c r="E169" s="24"/>
      <c r="F169" s="24"/>
      <c r="G169" s="24"/>
      <c r="H169" s="24"/>
      <c r="I169" s="24"/>
      <c r="J169" s="24"/>
      <c r="K169" s="24"/>
      <c r="L169" s="24"/>
    </row>
    <row r="170" spans="4:12">
      <c r="D170" s="33"/>
      <c r="E170" s="24"/>
      <c r="F170" s="24"/>
      <c r="G170" s="24"/>
      <c r="H170" s="24"/>
      <c r="I170" s="24"/>
      <c r="J170" s="24"/>
      <c r="K170" s="24"/>
      <c r="L170" s="24"/>
    </row>
    <row r="171" spans="4:12">
      <c r="D171" s="33"/>
      <c r="E171" s="24"/>
      <c r="F171" s="24"/>
      <c r="L171" s="24"/>
    </row>
    <row r="172" spans="4:12">
      <c r="D172" s="33"/>
      <c r="E172" s="24"/>
      <c r="F172" s="24"/>
      <c r="L172" s="24"/>
    </row>
    <row r="173" spans="4:12">
      <c r="D173" s="33"/>
      <c r="E173" s="24"/>
      <c r="F173" s="24"/>
      <c r="L173" s="24"/>
    </row>
    <row r="174" spans="4:12">
      <c r="D174" s="33"/>
      <c r="E174" s="24"/>
      <c r="F174" s="24"/>
      <c r="L174" s="24"/>
    </row>
  </sheetData>
  <mergeCells count="2">
    <mergeCell ref="A4:F4"/>
    <mergeCell ref="E7: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9"/>
  <sheetViews>
    <sheetView workbookViewId="0">
      <selection activeCell="E9" sqref="E9"/>
    </sheetView>
  </sheetViews>
  <sheetFormatPr defaultRowHeight="13.5"/>
  <cols>
    <col min="1" max="1" width="52.7109375" style="24" customWidth="1"/>
    <col min="2" max="2" width="19.28515625" style="32" customWidth="1"/>
    <col min="3" max="3" width="21.140625" style="32" customWidth="1"/>
    <col min="4" max="4" width="9.140625" style="32"/>
    <col min="5" max="5" width="18.28515625" style="32" customWidth="1"/>
    <col min="6" max="6" width="23.85546875" style="32" customWidth="1"/>
    <col min="7" max="9" width="9.140625" style="32"/>
    <col min="10" max="16384" width="9.140625" style="24"/>
  </cols>
  <sheetData>
    <row r="1" spans="1:9">
      <c r="C1" s="185" t="s">
        <v>120</v>
      </c>
    </row>
    <row r="3" spans="1:9">
      <c r="A3" s="33"/>
    </row>
    <row r="4" spans="1:9" ht="74.25" customHeight="1">
      <c r="A4" s="547" t="s">
        <v>121</v>
      </c>
      <c r="B4" s="547"/>
      <c r="C4" s="547"/>
    </row>
    <row r="5" spans="1:9">
      <c r="A5" s="170"/>
    </row>
    <row r="6" spans="1:9">
      <c r="A6" s="170"/>
      <c r="B6" s="24"/>
      <c r="C6" s="34" t="s">
        <v>122</v>
      </c>
      <c r="D6" s="24"/>
      <c r="E6" s="24"/>
      <c r="F6" s="24"/>
      <c r="G6" s="24"/>
      <c r="H6" s="24"/>
      <c r="I6" s="24"/>
    </row>
    <row r="7" spans="1:9" ht="96" customHeight="1">
      <c r="A7" s="64" t="s">
        <v>123</v>
      </c>
      <c r="B7" s="542" t="s">
        <v>124</v>
      </c>
      <c r="C7" s="544"/>
      <c r="D7" s="171"/>
      <c r="E7" s="24"/>
      <c r="F7" s="24"/>
      <c r="G7" s="24"/>
      <c r="H7" s="24"/>
      <c r="I7" s="24"/>
    </row>
    <row r="8" spans="1:9" ht="15">
      <c r="A8" s="64"/>
      <c r="B8" s="172" t="s">
        <v>74</v>
      </c>
      <c r="C8" s="172" t="s">
        <v>125</v>
      </c>
      <c r="D8" s="24"/>
      <c r="E8" s="24"/>
      <c r="F8" s="24"/>
      <c r="G8" s="24"/>
      <c r="H8" s="24"/>
      <c r="I8" s="24"/>
    </row>
    <row r="9" spans="1:9" ht="21" customHeight="1">
      <c r="A9" s="145" t="s">
        <v>23</v>
      </c>
      <c r="B9" s="173" t="e">
        <f>B11+B20</f>
        <v>#REF!</v>
      </c>
      <c r="C9" s="173">
        <f>C11+C20</f>
        <v>29501096.34</v>
      </c>
      <c r="D9" s="24"/>
      <c r="E9" s="37"/>
      <c r="F9" s="174"/>
      <c r="G9" s="24"/>
      <c r="H9" s="24"/>
      <c r="I9" s="24"/>
    </row>
    <row r="10" spans="1:9" s="32" customFormat="1" ht="17.25" customHeight="1">
      <c r="A10" s="145" t="s">
        <v>126</v>
      </c>
      <c r="B10" s="173"/>
      <c r="C10" s="173"/>
      <c r="D10" s="175"/>
      <c r="E10" s="176"/>
      <c r="F10" s="176"/>
    </row>
    <row r="11" spans="1:9" s="32" customFormat="1" ht="17.25" customHeight="1">
      <c r="A11" s="145" t="s">
        <v>127</v>
      </c>
      <c r="B11" s="173" t="e">
        <f>B13+B16</f>
        <v>#REF!</v>
      </c>
      <c r="C11" s="173">
        <f>C13+C16</f>
        <v>8195579.0000000009</v>
      </c>
      <c r="D11" s="175"/>
      <c r="E11" s="184"/>
      <c r="F11" s="184"/>
    </row>
    <row r="12" spans="1:9" s="32" customFormat="1" ht="19.5" customHeight="1">
      <c r="A12" s="145" t="s">
        <v>126</v>
      </c>
      <c r="B12" s="177"/>
      <c r="C12" s="177"/>
    </row>
    <row r="13" spans="1:9" s="32" customFormat="1" ht="39" customHeight="1">
      <c r="A13" s="145" t="s">
        <v>128</v>
      </c>
      <c r="B13" s="173">
        <f>B15</f>
        <v>30902.400000000001</v>
      </c>
      <c r="C13" s="173">
        <f>C15</f>
        <v>30902.400000000001</v>
      </c>
      <c r="D13" s="175"/>
    </row>
    <row r="14" spans="1:9" s="32" customFormat="1" ht="19.5" customHeight="1">
      <c r="A14" s="145" t="s">
        <v>126</v>
      </c>
      <c r="B14" s="173"/>
      <c r="C14" s="173"/>
    </row>
    <row r="15" spans="1:9" s="32" customFormat="1" ht="18" customHeight="1">
      <c r="A15" s="178" t="s">
        <v>129</v>
      </c>
      <c r="B15" s="173">
        <f>'[1]N 6'!E38</f>
        <v>30902.400000000001</v>
      </c>
      <c r="C15" s="173">
        <f>'[1]N 6'!F38</f>
        <v>30902.400000000001</v>
      </c>
    </row>
    <row r="16" spans="1:9" s="32" customFormat="1" ht="23.25" customHeight="1">
      <c r="A16" s="145" t="s">
        <v>130</v>
      </c>
      <c r="B16" s="173" t="e">
        <f>B18+B19</f>
        <v>#REF!</v>
      </c>
      <c r="C16" s="173">
        <f>C18+C19</f>
        <v>8164676.6000000006</v>
      </c>
    </row>
    <row r="17" spans="1:9" ht="21" customHeight="1">
      <c r="A17" s="145" t="s">
        <v>126</v>
      </c>
      <c r="B17" s="173"/>
      <c r="C17" s="173"/>
    </row>
    <row r="18" spans="1:9" ht="19.5" customHeight="1">
      <c r="A18" s="178" t="s">
        <v>131</v>
      </c>
      <c r="B18" s="173" t="e">
        <f>'[1]N 6'!E29+'[1]N 6'!E34+'[1]N 6'!E42+'[1]N 6'!E53+'[1]N 6'!E58+'[1]N 6'!E62+'[1]N 6'!E68+'[1]N 6'!E74+'[1]N 6'!E79+'[1]N 6'!E84+'[1]N 6'!E92+'[1]N 6'!E97+'[1]N 6'!E104+'[1]N 6'!E112+'[1]N 6'!E117+'[1]N 6'!E122+'[1]N 6'!E128+'[1]N 6'!E147+'[1]N 6'!E154+'[1]N 6'!E179+'[1]N 6'!E185+'[1]N 6'!E207+'[1]N 6'!E219</f>
        <v>#REF!</v>
      </c>
      <c r="C18" s="173">
        <f>'[1]N 6'!F29+'[1]N 6'!F34+'[1]N 6'!F42+'[1]N 6'!F53+'[1]N 6'!F58+'[1]N 6'!F62+'[1]N 6'!F68+'[1]N 6'!F74+'[1]N 6'!F79+'[1]N 6'!F84+'[1]N 6'!F92+'[1]N 6'!F97+'[1]N 6'!F104+'[1]N 6'!F112+'[1]N 6'!F117+'[1]N 6'!F122+'[1]N 6'!F128+'[1]N 6'!F147+'[1]N 6'!F154+'[1]N 6'!F179+'[1]N 6'!F185+'[1]N 6'!F207+'[1]N 6'!F219</f>
        <v>7489676.6000000006</v>
      </c>
    </row>
    <row r="19" spans="1:9" ht="18.75" customHeight="1">
      <c r="A19" s="178" t="s">
        <v>132</v>
      </c>
      <c r="B19" s="173">
        <f>'[1]N 6'!E247</f>
        <v>675000</v>
      </c>
      <c r="C19" s="173">
        <f>'[1]N 6'!F247</f>
        <v>675000</v>
      </c>
    </row>
    <row r="20" spans="1:9" ht="27">
      <c r="A20" s="145" t="s">
        <v>133</v>
      </c>
      <c r="B20" s="179" t="e">
        <f>B22</f>
        <v>#REF!</v>
      </c>
      <c r="C20" s="179">
        <f>C22</f>
        <v>21305517.34</v>
      </c>
      <c r="D20" s="175"/>
    </row>
    <row r="21" spans="1:9">
      <c r="A21" s="145" t="s">
        <v>126</v>
      </c>
      <c r="B21" s="177"/>
      <c r="C21" s="177"/>
    </row>
    <row r="22" spans="1:9" ht="23.25" customHeight="1">
      <c r="A22" s="145" t="s">
        <v>20</v>
      </c>
      <c r="B22" s="179" t="e">
        <f>B24</f>
        <v>#REF!</v>
      </c>
      <c r="C22" s="179">
        <f>C24</f>
        <v>21305517.34</v>
      </c>
    </row>
    <row r="23" spans="1:9" ht="21" customHeight="1">
      <c r="A23" s="145" t="s">
        <v>126</v>
      </c>
      <c r="B23" s="177"/>
      <c r="C23" s="177"/>
    </row>
    <row r="24" spans="1:9">
      <c r="A24" s="63" t="s">
        <v>134</v>
      </c>
      <c r="B24" s="179" t="e">
        <f>B26+B29+B33</f>
        <v>#REF!</v>
      </c>
      <c r="C24" s="179">
        <f>C26+C29+C33</f>
        <v>21305517.34</v>
      </c>
    </row>
    <row r="25" spans="1:9" ht="21" customHeight="1">
      <c r="A25" s="145" t="s">
        <v>126</v>
      </c>
      <c r="B25" s="177"/>
      <c r="C25" s="177"/>
    </row>
    <row r="26" spans="1:9">
      <c r="A26" s="63" t="s">
        <v>135</v>
      </c>
      <c r="B26" s="179" t="e">
        <f>B27+B28</f>
        <v>#REF!</v>
      </c>
      <c r="C26" s="179">
        <f>C27+C28</f>
        <v>-4124116.1599999992</v>
      </c>
    </row>
    <row r="27" spans="1:9" ht="18" customHeight="1">
      <c r="A27" s="180" t="s">
        <v>136</v>
      </c>
      <c r="B27" s="179" t="e">
        <f>'[1]N 6'!E69+'[1]N 6'!E80+'[1]N 6'!E113+'[1]N 6'!E118+'[1]N 6'!E129+'[1]N 6'!E133+'[1]N 6'!E139+'[1]N 6'!E148+'[1]N 6'!E155+'[1]N 6'!E211+'[1]N 6'!E215+'[1]N 6'!E20</f>
        <v>#REF!</v>
      </c>
      <c r="C27" s="179">
        <f>'[1]N 6'!F69+'[1]N 6'!F80+'[1]N 6'!F113+'[1]N 6'!F118+'[1]N 6'!F129+'[1]N 6'!F133+'[1]N 6'!F139+'[1]N 6'!F148+'[1]N 6'!F155+'[1]N 6'!F211+'[1]N 6'!F215+'[1]N 6'!F20</f>
        <v>-5151656.8599999994</v>
      </c>
      <c r="D27" s="24"/>
      <c r="E27" s="24"/>
      <c r="F27" s="24"/>
      <c r="G27" s="24"/>
      <c r="H27" s="24"/>
      <c r="I27" s="24"/>
    </row>
    <row r="28" spans="1:9" ht="20.25" customHeight="1">
      <c r="A28" s="180" t="s">
        <v>137</v>
      </c>
      <c r="B28" s="181" t="e">
        <f>'[1]N 6'!E123+'[1]N 6'!E149+'[1]N 6'!E156+'[1]N 6'!E168+'[1]N 6'!E180+'[1]N 6'!E189+'[1]N 6'!E193+'[1]N 6'!E198+'[1]N 6'!E229</f>
        <v>#REF!</v>
      </c>
      <c r="C28" s="177">
        <f>'[1]N 6'!F123+'[1]N 6'!F149+'[1]N 6'!F156+'[1]N 6'!F168+'[1]N 6'!F180+'[1]N 6'!F189+'[1]N 6'!F193+'[1]N 6'!F198+'[1]N 6'!F229</f>
        <v>1027540.7</v>
      </c>
      <c r="D28" s="24"/>
      <c r="F28" s="24"/>
      <c r="G28" s="24"/>
      <c r="H28" s="24"/>
      <c r="I28" s="24"/>
    </row>
    <row r="29" spans="1:9" ht="27">
      <c r="A29" s="63" t="s">
        <v>138</v>
      </c>
      <c r="B29" s="177" t="e">
        <f>B31+B32</f>
        <v>#REF!</v>
      </c>
      <c r="C29" s="177">
        <f>C31+C32</f>
        <v>25493438.5</v>
      </c>
    </row>
    <row r="30" spans="1:9" ht="21" customHeight="1">
      <c r="A30" s="145" t="s">
        <v>126</v>
      </c>
      <c r="B30" s="177"/>
      <c r="C30" s="177"/>
    </row>
    <row r="31" spans="1:9">
      <c r="A31" s="178" t="s">
        <v>139</v>
      </c>
      <c r="B31" s="182" t="e">
        <f>'[1]N 6'!E43+'[1]N 6'!E134+'[1]N 6'!E157</f>
        <v>#REF!</v>
      </c>
      <c r="C31" s="173">
        <f>'[1]N 6'!F43+'[1]N 6'!F134+'[1]N 6'!F157</f>
        <v>127578.20000000001</v>
      </c>
      <c r="D31" s="24"/>
      <c r="E31" s="24"/>
      <c r="F31" s="24"/>
      <c r="G31" s="24"/>
      <c r="H31" s="24"/>
      <c r="I31" s="24"/>
    </row>
    <row r="32" spans="1:9">
      <c r="A32" s="178" t="s">
        <v>140</v>
      </c>
      <c r="B32" s="181" t="e">
        <f>'[1]N 6'!E21+'[1]N 6'!E25+'[1]N 6'!E54+'[1]N 6'!E70+'[1]N 6'!E75+'[1]N 6'!E93+'[1]N 6'!E98+'[1]N 6'!E181+'[1]N 6'!E202+'[1]N 6'!E230+'[1]N 6'!E241+'[1]N 6'!E30</f>
        <v>#REF!</v>
      </c>
      <c r="C32" s="177">
        <f>'[1]N 6'!F21+'[1]N 6'!F25+'[1]N 6'!F54+'[1]N 6'!F70+'[1]N 6'!F75+'[1]N 6'!F93+'[1]N 6'!F98+'[1]N 6'!F181+'[1]N 6'!F202+'[1]N 6'!F230+'[1]N 6'!F241+'[1]N 6'!F30</f>
        <v>25365860.300000001</v>
      </c>
      <c r="D32" s="24"/>
      <c r="E32" s="24"/>
      <c r="F32" s="24"/>
      <c r="G32" s="24"/>
      <c r="H32" s="24"/>
      <c r="I32" s="24"/>
    </row>
    <row r="33" spans="1:9" s="32" customFormat="1">
      <c r="A33" s="63" t="s">
        <v>141</v>
      </c>
      <c r="B33" s="177" t="e">
        <f>B35+B36</f>
        <v>#REF!</v>
      </c>
      <c r="C33" s="177">
        <f>C35+C36</f>
        <v>-63805</v>
      </c>
    </row>
    <row r="34" spans="1:9" s="32" customFormat="1" ht="21" customHeight="1">
      <c r="A34" s="145" t="s">
        <v>126</v>
      </c>
      <c r="B34" s="177"/>
      <c r="C34" s="177"/>
    </row>
    <row r="35" spans="1:9" s="32" customFormat="1">
      <c r="A35" s="178" t="s">
        <v>142</v>
      </c>
      <c r="B35" s="177" t="e">
        <f>'[1]N 6'!E135</f>
        <v>#REF!</v>
      </c>
      <c r="C35" s="183">
        <f>'[1]N 6'!F135</f>
        <v>-873.8</v>
      </c>
    </row>
    <row r="36" spans="1:9" ht="18" customHeight="1">
      <c r="A36" s="180" t="s">
        <v>143</v>
      </c>
      <c r="B36" s="182" t="e">
        <f>'[1]N 6'!E124+'[1]N 6'!E150+'[1]N 6'!E158+'[1]N 6'!E169+'[1]N 6'!E194+'[1]N 6'!E203+'[1]N 6'!E231</f>
        <v>#REF!</v>
      </c>
      <c r="C36" s="173">
        <f>'[1]N 6'!F124+'[1]N 6'!F150+'[1]N 6'!F158+'[1]N 6'!F169+'[1]N 6'!F194+'[1]N 6'!F203+'[1]N 6'!F231</f>
        <v>-62931.199999999997</v>
      </c>
      <c r="D36" s="24"/>
      <c r="E36" s="24"/>
      <c r="F36" s="24"/>
      <c r="G36" s="24"/>
      <c r="H36" s="24"/>
      <c r="I36" s="24"/>
    </row>
    <row r="37" spans="1:9">
      <c r="A37" s="33"/>
      <c r="B37" s="24"/>
      <c r="C37" s="24"/>
      <c r="D37" s="24"/>
      <c r="E37" s="24"/>
      <c r="F37" s="24"/>
      <c r="G37" s="24"/>
      <c r="H37" s="24"/>
      <c r="I37" s="24"/>
    </row>
    <row r="38" spans="1:9">
      <c r="A38" s="33"/>
      <c r="B38" s="24"/>
      <c r="C38" s="24"/>
      <c r="D38" s="24"/>
      <c r="E38" s="24"/>
      <c r="F38" s="24"/>
      <c r="G38" s="24"/>
      <c r="H38" s="24"/>
      <c r="I38" s="24"/>
    </row>
    <row r="39" spans="1:9">
      <c r="A39" s="33"/>
      <c r="B39" s="24"/>
      <c r="C39" s="24"/>
      <c r="D39" s="24"/>
      <c r="E39" s="24"/>
      <c r="F39" s="24"/>
      <c r="G39" s="24"/>
      <c r="H39" s="24"/>
      <c r="I39" s="24"/>
    </row>
    <row r="40" spans="1:9">
      <c r="A40" s="33"/>
      <c r="B40" s="24"/>
      <c r="C40" s="24"/>
      <c r="D40" s="24"/>
      <c r="E40" s="24"/>
      <c r="F40" s="24"/>
      <c r="G40" s="24"/>
      <c r="H40" s="24"/>
      <c r="I40" s="24"/>
    </row>
    <row r="41" spans="1:9">
      <c r="A41" s="33"/>
      <c r="B41" s="24"/>
      <c r="C41" s="24"/>
      <c r="D41" s="24"/>
      <c r="E41" s="24"/>
      <c r="F41" s="24"/>
      <c r="G41" s="24"/>
      <c r="H41" s="24"/>
      <c r="I41" s="24"/>
    </row>
    <row r="42" spans="1:9">
      <c r="A42" s="33"/>
      <c r="B42" s="24"/>
      <c r="C42" s="24"/>
      <c r="D42" s="24"/>
      <c r="E42" s="24"/>
      <c r="F42" s="24"/>
      <c r="G42" s="24"/>
      <c r="H42" s="24"/>
      <c r="I42" s="24"/>
    </row>
    <row r="43" spans="1:9">
      <c r="A43" s="33"/>
      <c r="B43" s="24"/>
      <c r="C43" s="24"/>
      <c r="D43" s="24"/>
      <c r="E43" s="24"/>
      <c r="F43" s="24"/>
      <c r="G43" s="24"/>
      <c r="H43" s="24"/>
      <c r="I43" s="24"/>
    </row>
    <row r="44" spans="1:9">
      <c r="A44" s="33"/>
      <c r="B44" s="24"/>
      <c r="C44" s="24"/>
      <c r="D44" s="24"/>
      <c r="E44" s="24"/>
      <c r="F44" s="24"/>
      <c r="G44" s="24"/>
      <c r="H44" s="24"/>
      <c r="I44" s="24"/>
    </row>
    <row r="45" spans="1:9">
      <c r="A45" s="33"/>
      <c r="B45" s="24"/>
      <c r="C45" s="24"/>
      <c r="D45" s="24"/>
      <c r="E45" s="24"/>
      <c r="F45" s="24"/>
      <c r="G45" s="24"/>
      <c r="H45" s="24"/>
      <c r="I45" s="24"/>
    </row>
    <row r="46" spans="1:9">
      <c r="A46" s="33"/>
      <c r="B46" s="24"/>
      <c r="C46" s="24"/>
      <c r="D46" s="24"/>
      <c r="E46" s="24"/>
      <c r="F46" s="24"/>
      <c r="G46" s="24"/>
      <c r="H46" s="24"/>
      <c r="I46" s="24"/>
    </row>
    <row r="47" spans="1:9">
      <c r="A47" s="33"/>
      <c r="B47" s="24"/>
      <c r="C47" s="24"/>
      <c r="D47" s="24"/>
      <c r="E47" s="24"/>
      <c r="F47" s="24"/>
      <c r="G47" s="24"/>
      <c r="H47" s="24"/>
      <c r="I47" s="24"/>
    </row>
    <row r="48" spans="1:9">
      <c r="A48" s="33"/>
      <c r="B48" s="24"/>
      <c r="C48" s="24"/>
      <c r="D48" s="24"/>
      <c r="E48" s="24"/>
      <c r="F48" s="24"/>
      <c r="G48" s="24"/>
      <c r="H48" s="24"/>
      <c r="I48" s="24"/>
    </row>
    <row r="49" spans="1:9">
      <c r="A49" s="33"/>
      <c r="B49" s="24"/>
      <c r="C49" s="24"/>
      <c r="D49" s="24"/>
      <c r="E49" s="24"/>
      <c r="F49" s="24"/>
      <c r="G49" s="24"/>
      <c r="H49" s="24"/>
      <c r="I49" s="24"/>
    </row>
    <row r="50" spans="1:9">
      <c r="A50" s="33"/>
      <c r="B50" s="24"/>
      <c r="C50" s="24"/>
      <c r="D50" s="24"/>
      <c r="E50" s="24"/>
      <c r="F50" s="24"/>
      <c r="G50" s="24"/>
      <c r="H50" s="24"/>
      <c r="I50" s="24"/>
    </row>
    <row r="51" spans="1:9">
      <c r="A51" s="33"/>
      <c r="B51" s="24"/>
      <c r="C51" s="24"/>
      <c r="D51" s="24"/>
      <c r="E51" s="24"/>
      <c r="F51" s="24"/>
      <c r="G51" s="24"/>
      <c r="H51" s="24"/>
      <c r="I51" s="24"/>
    </row>
    <row r="52" spans="1:9">
      <c r="A52" s="33"/>
      <c r="B52" s="24"/>
      <c r="C52" s="24"/>
      <c r="D52" s="24"/>
      <c r="E52" s="24"/>
      <c r="F52" s="24"/>
      <c r="G52" s="24"/>
      <c r="H52" s="24"/>
      <c r="I52" s="24"/>
    </row>
    <row r="53" spans="1:9">
      <c r="A53" s="33"/>
      <c r="B53" s="24"/>
      <c r="C53" s="24"/>
      <c r="D53" s="24"/>
      <c r="E53" s="24"/>
      <c r="F53" s="24"/>
      <c r="G53" s="24"/>
      <c r="H53" s="24"/>
      <c r="I53" s="24"/>
    </row>
    <row r="54" spans="1:9">
      <c r="A54" s="33"/>
      <c r="B54" s="24"/>
      <c r="C54" s="24"/>
      <c r="D54" s="24"/>
      <c r="E54" s="24"/>
      <c r="F54" s="24"/>
      <c r="G54" s="24"/>
      <c r="H54" s="24"/>
      <c r="I54" s="24"/>
    </row>
    <row r="55" spans="1:9">
      <c r="A55" s="33"/>
      <c r="B55" s="24"/>
      <c r="C55" s="24"/>
      <c r="D55" s="24"/>
      <c r="E55" s="24"/>
      <c r="F55" s="24"/>
      <c r="G55" s="24"/>
      <c r="H55" s="24"/>
      <c r="I55" s="24"/>
    </row>
    <row r="56" spans="1:9">
      <c r="A56" s="33"/>
      <c r="B56" s="24"/>
      <c r="C56" s="24"/>
      <c r="D56" s="24"/>
      <c r="E56" s="24"/>
      <c r="F56" s="24"/>
      <c r="G56" s="24"/>
      <c r="H56" s="24"/>
      <c r="I56" s="24"/>
    </row>
    <row r="57" spans="1:9">
      <c r="A57" s="33"/>
      <c r="B57" s="24"/>
      <c r="C57" s="24"/>
      <c r="D57" s="24"/>
      <c r="E57" s="24"/>
      <c r="F57" s="24"/>
      <c r="G57" s="24"/>
      <c r="H57" s="24"/>
      <c r="I57" s="24"/>
    </row>
    <row r="58" spans="1:9">
      <c r="A58" s="33"/>
      <c r="B58" s="24"/>
      <c r="C58" s="24"/>
      <c r="D58" s="24"/>
      <c r="E58" s="24"/>
      <c r="F58" s="24"/>
      <c r="G58" s="24"/>
      <c r="H58" s="24"/>
      <c r="I58" s="24"/>
    </row>
    <row r="59" spans="1:9">
      <c r="A59" s="33"/>
      <c r="B59" s="24"/>
      <c r="C59" s="24"/>
      <c r="D59" s="24"/>
      <c r="E59" s="24"/>
      <c r="F59" s="24"/>
      <c r="G59" s="24"/>
      <c r="H59" s="24"/>
      <c r="I59" s="24"/>
    </row>
    <row r="60" spans="1:9">
      <c r="A60" s="33"/>
      <c r="B60" s="24"/>
      <c r="C60" s="24"/>
      <c r="D60" s="24"/>
      <c r="E60" s="24"/>
      <c r="F60" s="24"/>
      <c r="G60" s="24"/>
      <c r="H60" s="24"/>
      <c r="I60" s="24"/>
    </row>
    <row r="61" spans="1:9">
      <c r="A61" s="33"/>
      <c r="B61" s="24"/>
      <c r="C61" s="24"/>
      <c r="D61" s="24"/>
      <c r="E61" s="24"/>
      <c r="F61" s="24"/>
      <c r="G61" s="24"/>
      <c r="H61" s="24"/>
      <c r="I61" s="24"/>
    </row>
    <row r="62" spans="1:9">
      <c r="A62" s="33"/>
      <c r="B62" s="24"/>
      <c r="C62" s="24"/>
      <c r="D62" s="24"/>
      <c r="E62" s="24"/>
      <c r="F62" s="24"/>
      <c r="G62" s="24"/>
      <c r="H62" s="24"/>
      <c r="I62" s="24"/>
    </row>
    <row r="63" spans="1:9">
      <c r="A63" s="33"/>
      <c r="B63" s="24"/>
      <c r="C63" s="24"/>
      <c r="D63" s="24"/>
      <c r="E63" s="24"/>
      <c r="F63" s="24"/>
      <c r="G63" s="24"/>
      <c r="H63" s="24"/>
      <c r="I63" s="24"/>
    </row>
    <row r="64" spans="1:9">
      <c r="A64" s="33"/>
      <c r="B64" s="24"/>
      <c r="C64" s="24"/>
      <c r="D64" s="24"/>
      <c r="E64" s="24"/>
      <c r="F64" s="24"/>
      <c r="G64" s="24"/>
      <c r="H64" s="24"/>
      <c r="I64" s="24"/>
    </row>
    <row r="65" spans="1:9">
      <c r="A65" s="33"/>
      <c r="B65" s="24"/>
      <c r="C65" s="24"/>
      <c r="D65" s="24"/>
      <c r="E65" s="24"/>
      <c r="F65" s="24"/>
      <c r="G65" s="24"/>
      <c r="H65" s="24"/>
      <c r="I65" s="24"/>
    </row>
    <row r="66" spans="1:9">
      <c r="A66" s="33"/>
      <c r="B66" s="24"/>
      <c r="C66" s="24"/>
      <c r="D66" s="24"/>
      <c r="E66" s="24"/>
      <c r="F66" s="24"/>
      <c r="G66" s="24"/>
      <c r="H66" s="24"/>
      <c r="I66" s="24"/>
    </row>
    <row r="67" spans="1:9">
      <c r="A67" s="33"/>
      <c r="B67" s="24"/>
      <c r="C67" s="24"/>
      <c r="D67" s="24"/>
      <c r="E67" s="24"/>
      <c r="F67" s="24"/>
      <c r="G67" s="24"/>
      <c r="H67" s="24"/>
      <c r="I67" s="24"/>
    </row>
    <row r="68" spans="1:9">
      <c r="A68" s="33"/>
      <c r="B68" s="24"/>
      <c r="C68" s="24"/>
      <c r="D68" s="24"/>
      <c r="E68" s="24"/>
      <c r="F68" s="24"/>
      <c r="G68" s="24"/>
      <c r="H68" s="24"/>
      <c r="I68" s="24"/>
    </row>
    <row r="69" spans="1:9">
      <c r="A69" s="33"/>
      <c r="B69" s="24"/>
      <c r="C69" s="24"/>
      <c r="D69" s="24"/>
      <c r="E69" s="24"/>
      <c r="F69" s="24"/>
      <c r="G69" s="24"/>
      <c r="H69" s="24"/>
      <c r="I69" s="24"/>
    </row>
    <row r="70" spans="1:9">
      <c r="A70" s="33"/>
      <c r="B70" s="24"/>
      <c r="C70" s="24"/>
      <c r="D70" s="24"/>
      <c r="E70" s="24"/>
      <c r="F70" s="24"/>
      <c r="G70" s="24"/>
      <c r="H70" s="24"/>
      <c r="I70" s="24"/>
    </row>
    <row r="71" spans="1:9">
      <c r="A71" s="33"/>
      <c r="B71" s="24"/>
      <c r="C71" s="24"/>
      <c r="D71" s="24"/>
      <c r="E71" s="24"/>
      <c r="F71" s="24"/>
      <c r="G71" s="24"/>
      <c r="H71" s="24"/>
      <c r="I71" s="24"/>
    </row>
    <row r="72" spans="1:9">
      <c r="A72" s="33"/>
      <c r="B72" s="24"/>
      <c r="C72" s="24"/>
      <c r="D72" s="24"/>
      <c r="E72" s="24"/>
      <c r="F72" s="24"/>
      <c r="G72" s="24"/>
      <c r="H72" s="24"/>
      <c r="I72" s="24"/>
    </row>
    <row r="73" spans="1:9">
      <c r="A73" s="33"/>
      <c r="B73" s="24"/>
      <c r="C73" s="24"/>
      <c r="D73" s="24"/>
      <c r="E73" s="24"/>
      <c r="F73" s="24"/>
      <c r="G73" s="24"/>
      <c r="H73" s="24"/>
      <c r="I73" s="24"/>
    </row>
    <row r="74" spans="1:9">
      <c r="A74" s="33"/>
      <c r="B74" s="24"/>
      <c r="C74" s="24"/>
      <c r="D74" s="24"/>
      <c r="E74" s="24"/>
      <c r="F74" s="24"/>
      <c r="G74" s="24"/>
      <c r="H74" s="24"/>
      <c r="I74" s="24"/>
    </row>
    <row r="75" spans="1:9">
      <c r="A75" s="33"/>
      <c r="B75" s="24"/>
      <c r="C75" s="24"/>
      <c r="D75" s="24"/>
      <c r="E75" s="24"/>
      <c r="F75" s="24"/>
      <c r="G75" s="24"/>
      <c r="H75" s="24"/>
      <c r="I75" s="24"/>
    </row>
    <row r="76" spans="1:9">
      <c r="A76" s="33"/>
      <c r="B76" s="24"/>
      <c r="C76" s="24"/>
      <c r="D76" s="24"/>
      <c r="E76" s="24"/>
      <c r="F76" s="24"/>
      <c r="G76" s="24"/>
      <c r="H76" s="24"/>
      <c r="I76" s="24"/>
    </row>
    <row r="77" spans="1:9">
      <c r="A77" s="33"/>
      <c r="B77" s="24"/>
      <c r="C77" s="24"/>
      <c r="D77" s="24"/>
      <c r="E77" s="24"/>
      <c r="F77" s="24"/>
      <c r="G77" s="24"/>
      <c r="H77" s="24"/>
      <c r="I77" s="24"/>
    </row>
    <row r="78" spans="1:9">
      <c r="A78" s="33"/>
      <c r="B78" s="24"/>
      <c r="C78" s="24"/>
      <c r="D78" s="24"/>
      <c r="E78" s="24"/>
      <c r="F78" s="24"/>
      <c r="G78" s="24"/>
      <c r="H78" s="24"/>
      <c r="I78" s="24"/>
    </row>
    <row r="79" spans="1:9">
      <c r="A79" s="33"/>
      <c r="B79" s="24"/>
      <c r="C79" s="24"/>
      <c r="D79" s="24"/>
      <c r="E79" s="24"/>
      <c r="F79" s="24"/>
      <c r="G79" s="24"/>
      <c r="H79" s="24"/>
      <c r="I79" s="24"/>
    </row>
    <row r="80" spans="1:9">
      <c r="A80" s="33"/>
      <c r="B80" s="24"/>
      <c r="C80" s="24"/>
      <c r="D80" s="24"/>
      <c r="E80" s="24"/>
      <c r="F80" s="24"/>
      <c r="G80" s="24"/>
      <c r="H80" s="24"/>
      <c r="I80" s="24"/>
    </row>
    <row r="81" spans="1:9">
      <c r="A81" s="33"/>
      <c r="B81" s="24"/>
      <c r="C81" s="24"/>
      <c r="D81" s="24"/>
      <c r="E81" s="24"/>
      <c r="F81" s="24"/>
      <c r="G81" s="24"/>
      <c r="H81" s="24"/>
      <c r="I81" s="24"/>
    </row>
    <row r="82" spans="1:9">
      <c r="A82" s="33"/>
      <c r="B82" s="24"/>
      <c r="C82" s="24"/>
      <c r="D82" s="24"/>
      <c r="E82" s="24"/>
      <c r="F82" s="24"/>
      <c r="G82" s="24"/>
      <c r="H82" s="24"/>
      <c r="I82" s="24"/>
    </row>
    <row r="83" spans="1:9">
      <c r="A83" s="33"/>
      <c r="B83" s="24"/>
      <c r="C83" s="24"/>
      <c r="D83" s="24"/>
      <c r="E83" s="24"/>
      <c r="F83" s="24"/>
      <c r="G83" s="24"/>
      <c r="H83" s="24"/>
      <c r="I83" s="24"/>
    </row>
    <row r="84" spans="1:9">
      <c r="A84" s="33"/>
      <c r="B84" s="24"/>
      <c r="C84" s="24"/>
      <c r="D84" s="24"/>
      <c r="E84" s="24"/>
      <c r="F84" s="24"/>
      <c r="G84" s="24"/>
      <c r="H84" s="24"/>
      <c r="I84" s="24"/>
    </row>
    <row r="85" spans="1:9">
      <c r="A85" s="33"/>
      <c r="B85" s="24"/>
      <c r="C85" s="24"/>
      <c r="D85" s="24"/>
      <c r="E85" s="24"/>
      <c r="F85" s="24"/>
      <c r="G85" s="24"/>
      <c r="H85" s="24"/>
      <c r="I85" s="24"/>
    </row>
    <row r="86" spans="1:9">
      <c r="A86" s="33"/>
      <c r="B86" s="24"/>
      <c r="C86" s="24"/>
      <c r="D86" s="24"/>
      <c r="E86" s="24"/>
      <c r="F86" s="24"/>
      <c r="G86" s="24"/>
      <c r="H86" s="24"/>
      <c r="I86" s="24"/>
    </row>
    <row r="87" spans="1:9">
      <c r="A87" s="33"/>
      <c r="B87" s="24"/>
      <c r="C87" s="24"/>
      <c r="D87" s="24"/>
      <c r="E87" s="24"/>
      <c r="F87" s="24"/>
      <c r="G87" s="24"/>
      <c r="H87" s="24"/>
      <c r="I87" s="24"/>
    </row>
    <row r="88" spans="1:9">
      <c r="A88" s="33"/>
      <c r="B88" s="24"/>
      <c r="C88" s="24"/>
      <c r="D88" s="24"/>
      <c r="E88" s="24"/>
      <c r="F88" s="24"/>
      <c r="G88" s="24"/>
      <c r="H88" s="24"/>
      <c r="I88" s="24"/>
    </row>
    <row r="89" spans="1:9">
      <c r="A89" s="33"/>
      <c r="B89" s="24"/>
      <c r="C89" s="24"/>
      <c r="D89" s="24"/>
      <c r="E89" s="24"/>
      <c r="F89" s="24"/>
      <c r="G89" s="24"/>
      <c r="H89" s="24"/>
      <c r="I89" s="24"/>
    </row>
    <row r="90" spans="1:9">
      <c r="A90" s="33"/>
      <c r="B90" s="24"/>
      <c r="C90" s="24"/>
      <c r="D90" s="24"/>
      <c r="E90" s="24"/>
      <c r="F90" s="24"/>
      <c r="G90" s="24"/>
      <c r="H90" s="24"/>
      <c r="I90" s="24"/>
    </row>
    <row r="91" spans="1:9">
      <c r="A91" s="33"/>
      <c r="B91" s="24"/>
      <c r="C91" s="24"/>
      <c r="D91" s="24"/>
      <c r="E91" s="24"/>
      <c r="F91" s="24"/>
      <c r="G91" s="24"/>
      <c r="H91" s="24"/>
      <c r="I91" s="24"/>
    </row>
    <row r="92" spans="1:9">
      <c r="A92" s="33"/>
      <c r="B92" s="24"/>
      <c r="C92" s="24"/>
      <c r="D92" s="24"/>
      <c r="E92" s="24"/>
      <c r="F92" s="24"/>
      <c r="G92" s="24"/>
      <c r="H92" s="24"/>
      <c r="I92" s="24"/>
    </row>
    <row r="93" spans="1:9">
      <c r="A93" s="33"/>
      <c r="B93" s="24"/>
      <c r="C93" s="24"/>
      <c r="D93" s="24"/>
      <c r="E93" s="24"/>
      <c r="F93" s="24"/>
      <c r="G93" s="24"/>
      <c r="H93" s="24"/>
      <c r="I93" s="24"/>
    </row>
    <row r="94" spans="1:9">
      <c r="A94" s="33"/>
      <c r="B94" s="24"/>
      <c r="C94" s="24"/>
      <c r="D94" s="24"/>
      <c r="E94" s="24"/>
      <c r="F94" s="24"/>
      <c r="G94" s="24"/>
      <c r="H94" s="24"/>
      <c r="I94" s="24"/>
    </row>
    <row r="95" spans="1:9">
      <c r="A95" s="33"/>
      <c r="B95" s="24"/>
      <c r="C95" s="24"/>
      <c r="D95" s="24"/>
      <c r="E95" s="24"/>
      <c r="F95" s="24"/>
      <c r="G95" s="24"/>
      <c r="H95" s="24"/>
      <c r="I95" s="24"/>
    </row>
    <row r="96" spans="1:9">
      <c r="A96" s="33"/>
      <c r="B96" s="24"/>
      <c r="C96" s="24"/>
      <c r="D96" s="24"/>
      <c r="E96" s="24"/>
      <c r="F96" s="24"/>
      <c r="G96" s="24"/>
      <c r="H96" s="24"/>
      <c r="I96" s="24"/>
    </row>
    <row r="97" spans="1:9">
      <c r="A97" s="33"/>
      <c r="B97" s="24"/>
      <c r="C97" s="24"/>
      <c r="D97" s="24"/>
      <c r="E97" s="24"/>
      <c r="F97" s="24"/>
      <c r="G97" s="24"/>
      <c r="H97" s="24"/>
      <c r="I97" s="24"/>
    </row>
    <row r="98" spans="1:9">
      <c r="A98" s="33"/>
      <c r="B98" s="24"/>
      <c r="C98" s="24"/>
      <c r="D98" s="24"/>
      <c r="E98" s="24"/>
      <c r="F98" s="24"/>
      <c r="G98" s="24"/>
      <c r="H98" s="24"/>
      <c r="I98" s="24"/>
    </row>
    <row r="99" spans="1:9">
      <c r="A99" s="33"/>
      <c r="B99" s="24"/>
      <c r="C99" s="24"/>
      <c r="D99" s="24"/>
      <c r="E99" s="24"/>
      <c r="F99" s="24"/>
      <c r="G99" s="24"/>
      <c r="H99" s="24"/>
      <c r="I99" s="24"/>
    </row>
    <row r="100" spans="1:9">
      <c r="A100" s="33"/>
      <c r="B100" s="24"/>
      <c r="C100" s="24"/>
      <c r="D100" s="24"/>
      <c r="E100" s="24"/>
      <c r="F100" s="24"/>
      <c r="G100" s="24"/>
      <c r="H100" s="24"/>
      <c r="I100" s="24"/>
    </row>
    <row r="101" spans="1:9">
      <c r="A101" s="33"/>
      <c r="B101" s="24"/>
      <c r="C101" s="24"/>
      <c r="D101" s="24"/>
      <c r="E101" s="24"/>
      <c r="F101" s="24"/>
      <c r="G101" s="24"/>
      <c r="H101" s="24"/>
      <c r="I101" s="24"/>
    </row>
    <row r="102" spans="1:9">
      <c r="A102" s="33"/>
      <c r="B102" s="24"/>
      <c r="C102" s="24"/>
      <c r="D102" s="24"/>
      <c r="E102" s="24"/>
      <c r="F102" s="24"/>
      <c r="G102" s="24"/>
      <c r="H102" s="24"/>
      <c r="I102" s="24"/>
    </row>
    <row r="103" spans="1:9">
      <c r="A103" s="33"/>
      <c r="B103" s="24"/>
      <c r="C103" s="24"/>
      <c r="D103" s="24"/>
      <c r="E103" s="24"/>
      <c r="F103" s="24"/>
      <c r="G103" s="24"/>
      <c r="H103" s="24"/>
      <c r="I103" s="24"/>
    </row>
    <row r="104" spans="1:9">
      <c r="A104" s="33"/>
      <c r="B104" s="24"/>
      <c r="C104" s="24"/>
      <c r="D104" s="24"/>
      <c r="E104" s="24"/>
      <c r="F104" s="24"/>
      <c r="G104" s="24"/>
      <c r="H104" s="24"/>
      <c r="I104" s="24"/>
    </row>
    <row r="105" spans="1:9">
      <c r="A105" s="33"/>
      <c r="B105" s="24"/>
      <c r="C105" s="24"/>
      <c r="D105" s="24"/>
      <c r="E105" s="24"/>
      <c r="F105" s="24"/>
      <c r="G105" s="24"/>
      <c r="H105" s="24"/>
      <c r="I105" s="24"/>
    </row>
    <row r="106" spans="1:9">
      <c r="A106" s="33"/>
      <c r="B106" s="24"/>
      <c r="C106" s="24"/>
      <c r="D106" s="24"/>
      <c r="E106" s="24"/>
      <c r="F106" s="24"/>
      <c r="G106" s="24"/>
      <c r="H106" s="24"/>
      <c r="I106" s="24"/>
    </row>
    <row r="107" spans="1:9">
      <c r="A107" s="33"/>
      <c r="B107" s="24"/>
      <c r="C107" s="24"/>
      <c r="D107" s="24"/>
      <c r="E107" s="24"/>
      <c r="F107" s="24"/>
      <c r="G107" s="24"/>
      <c r="H107" s="24"/>
      <c r="I107" s="24"/>
    </row>
    <row r="108" spans="1:9">
      <c r="A108" s="33"/>
      <c r="B108" s="24"/>
      <c r="C108" s="24"/>
      <c r="D108" s="24"/>
      <c r="E108" s="24"/>
      <c r="F108" s="24"/>
      <c r="G108" s="24"/>
      <c r="H108" s="24"/>
      <c r="I108" s="24"/>
    </row>
    <row r="109" spans="1:9">
      <c r="A109" s="33"/>
      <c r="B109" s="24"/>
      <c r="C109" s="24"/>
      <c r="D109" s="24"/>
      <c r="E109" s="24"/>
      <c r="F109" s="24"/>
      <c r="G109" s="24"/>
      <c r="H109" s="24"/>
      <c r="I109" s="24"/>
    </row>
    <row r="110" spans="1:9">
      <c r="A110" s="33"/>
      <c r="B110" s="24"/>
      <c r="C110" s="24"/>
      <c r="D110" s="24"/>
      <c r="E110" s="24"/>
      <c r="F110" s="24"/>
      <c r="G110" s="24"/>
      <c r="H110" s="24"/>
      <c r="I110" s="24"/>
    </row>
    <row r="111" spans="1:9">
      <c r="A111" s="33"/>
      <c r="B111" s="24"/>
      <c r="C111" s="24"/>
      <c r="D111" s="24"/>
      <c r="E111" s="24"/>
      <c r="F111" s="24"/>
      <c r="G111" s="24"/>
      <c r="H111" s="24"/>
      <c r="I111" s="24"/>
    </row>
    <row r="112" spans="1:9">
      <c r="A112" s="33"/>
      <c r="B112" s="24"/>
      <c r="C112" s="24"/>
      <c r="D112" s="24"/>
      <c r="E112" s="24"/>
      <c r="F112" s="24"/>
      <c r="G112" s="24"/>
      <c r="H112" s="24"/>
      <c r="I112" s="24"/>
    </row>
    <row r="113" spans="1:9">
      <c r="A113" s="33"/>
      <c r="B113" s="24"/>
      <c r="C113" s="24"/>
      <c r="D113" s="24"/>
      <c r="E113" s="24"/>
      <c r="F113" s="24"/>
      <c r="G113" s="24"/>
      <c r="H113" s="24"/>
      <c r="I113" s="24"/>
    </row>
    <row r="114" spans="1:9">
      <c r="A114" s="33"/>
      <c r="B114" s="24"/>
      <c r="C114" s="24"/>
      <c r="D114" s="24"/>
      <c r="E114" s="24"/>
      <c r="F114" s="24"/>
      <c r="G114" s="24"/>
      <c r="H114" s="24"/>
      <c r="I114" s="24"/>
    </row>
    <row r="115" spans="1:9">
      <c r="A115" s="33"/>
      <c r="B115" s="24"/>
      <c r="C115" s="24"/>
      <c r="D115" s="24"/>
      <c r="E115" s="24"/>
      <c r="F115" s="24"/>
      <c r="G115" s="24"/>
      <c r="H115" s="24"/>
      <c r="I115" s="24"/>
    </row>
    <row r="116" spans="1:9">
      <c r="A116" s="33"/>
      <c r="B116" s="24"/>
      <c r="C116" s="24"/>
      <c r="D116" s="24"/>
      <c r="E116" s="24"/>
      <c r="F116" s="24"/>
      <c r="G116" s="24"/>
      <c r="H116" s="24"/>
      <c r="I116" s="24"/>
    </row>
    <row r="117" spans="1:9">
      <c r="A117" s="33"/>
      <c r="B117" s="24"/>
      <c r="C117" s="24"/>
      <c r="D117" s="24"/>
      <c r="E117" s="24"/>
      <c r="F117" s="24"/>
      <c r="G117" s="24"/>
      <c r="H117" s="24"/>
      <c r="I117" s="24"/>
    </row>
    <row r="118" spans="1:9">
      <c r="A118" s="33"/>
      <c r="B118" s="24"/>
      <c r="C118" s="24"/>
      <c r="D118" s="24"/>
      <c r="E118" s="24"/>
      <c r="F118" s="24"/>
      <c r="G118" s="24"/>
      <c r="H118" s="24"/>
      <c r="I118" s="24"/>
    </row>
    <row r="119" spans="1:9">
      <c r="A119" s="33"/>
      <c r="B119" s="24"/>
      <c r="C119" s="24"/>
      <c r="D119" s="24"/>
      <c r="E119" s="24"/>
      <c r="F119" s="24"/>
      <c r="G119" s="24"/>
      <c r="H119" s="24"/>
      <c r="I119" s="24"/>
    </row>
    <row r="120" spans="1:9">
      <c r="A120" s="33"/>
      <c r="B120" s="24"/>
      <c r="C120" s="24"/>
      <c r="D120" s="24"/>
      <c r="E120" s="24"/>
      <c r="F120" s="24"/>
      <c r="G120" s="24"/>
      <c r="H120" s="24"/>
      <c r="I120" s="24"/>
    </row>
    <row r="121" spans="1:9">
      <c r="A121" s="33"/>
      <c r="B121" s="24"/>
      <c r="C121" s="24"/>
      <c r="D121" s="24"/>
      <c r="E121" s="24"/>
      <c r="F121" s="24"/>
      <c r="G121" s="24"/>
      <c r="H121" s="24"/>
      <c r="I121" s="24"/>
    </row>
    <row r="122" spans="1:9">
      <c r="A122" s="33"/>
      <c r="B122" s="24"/>
      <c r="C122" s="24"/>
      <c r="D122" s="24"/>
      <c r="E122" s="24"/>
      <c r="F122" s="24"/>
      <c r="G122" s="24"/>
      <c r="H122" s="24"/>
      <c r="I122" s="24"/>
    </row>
    <row r="123" spans="1:9">
      <c r="A123" s="33"/>
      <c r="B123" s="24"/>
      <c r="C123" s="24"/>
      <c r="D123" s="24"/>
      <c r="E123" s="24"/>
      <c r="F123" s="24"/>
      <c r="G123" s="24"/>
      <c r="H123" s="24"/>
      <c r="I123" s="24"/>
    </row>
    <row r="124" spans="1:9">
      <c r="A124" s="33"/>
      <c r="B124" s="24"/>
      <c r="C124" s="24"/>
      <c r="D124" s="24"/>
      <c r="E124" s="24"/>
      <c r="F124" s="24"/>
      <c r="G124" s="24"/>
      <c r="H124" s="24"/>
      <c r="I124" s="24"/>
    </row>
    <row r="125" spans="1:9">
      <c r="A125" s="33"/>
      <c r="B125" s="24"/>
      <c r="C125" s="24"/>
      <c r="D125" s="24"/>
      <c r="E125" s="24"/>
      <c r="F125" s="24"/>
      <c r="G125" s="24"/>
      <c r="H125" s="24"/>
      <c r="I125" s="24"/>
    </row>
    <row r="126" spans="1:9">
      <c r="A126" s="33"/>
      <c r="B126" s="24"/>
      <c r="C126" s="24"/>
      <c r="D126" s="24"/>
      <c r="E126" s="24"/>
      <c r="F126" s="24"/>
      <c r="G126" s="24"/>
      <c r="H126" s="24"/>
      <c r="I126" s="24"/>
    </row>
    <row r="127" spans="1:9">
      <c r="A127" s="33"/>
      <c r="B127" s="24"/>
      <c r="C127" s="24"/>
      <c r="D127" s="24"/>
      <c r="E127" s="24"/>
      <c r="F127" s="24"/>
      <c r="G127" s="24"/>
      <c r="H127" s="24"/>
      <c r="I127" s="24"/>
    </row>
    <row r="128" spans="1:9">
      <c r="A128" s="33"/>
      <c r="B128" s="24"/>
      <c r="C128" s="24"/>
      <c r="D128" s="24"/>
      <c r="E128" s="24"/>
      <c r="F128" s="24"/>
      <c r="G128" s="24"/>
      <c r="H128" s="24"/>
      <c r="I128" s="24"/>
    </row>
    <row r="129" spans="1:9">
      <c r="A129" s="33"/>
      <c r="B129" s="24"/>
      <c r="C129" s="24"/>
      <c r="D129" s="24"/>
      <c r="E129" s="24"/>
      <c r="F129" s="24"/>
      <c r="G129" s="24"/>
      <c r="H129" s="24"/>
      <c r="I129" s="24"/>
    </row>
    <row r="130" spans="1:9">
      <c r="A130" s="33"/>
      <c r="B130" s="24"/>
      <c r="C130" s="24"/>
      <c r="D130" s="24"/>
      <c r="E130" s="24"/>
      <c r="F130" s="24"/>
      <c r="G130" s="24"/>
      <c r="H130" s="24"/>
      <c r="I130" s="24"/>
    </row>
    <row r="131" spans="1:9">
      <c r="A131" s="33"/>
      <c r="B131" s="24"/>
      <c r="C131" s="24"/>
      <c r="D131" s="24"/>
      <c r="E131" s="24"/>
      <c r="F131" s="24"/>
      <c r="G131" s="24"/>
      <c r="H131" s="24"/>
      <c r="I131" s="24"/>
    </row>
    <row r="132" spans="1:9">
      <c r="A132" s="33"/>
      <c r="B132" s="24"/>
      <c r="C132" s="24"/>
      <c r="D132" s="24"/>
      <c r="E132" s="24"/>
      <c r="F132" s="24"/>
      <c r="G132" s="24"/>
      <c r="H132" s="24"/>
      <c r="I132" s="24"/>
    </row>
    <row r="133" spans="1:9">
      <c r="A133" s="33"/>
      <c r="B133" s="24"/>
      <c r="C133" s="24"/>
      <c r="D133" s="24"/>
      <c r="E133" s="24"/>
      <c r="F133" s="24"/>
      <c r="G133" s="24"/>
      <c r="H133" s="24"/>
      <c r="I133" s="24"/>
    </row>
    <row r="134" spans="1:9">
      <c r="A134" s="33"/>
      <c r="B134" s="24"/>
      <c r="C134" s="24"/>
      <c r="D134" s="24"/>
      <c r="E134" s="24"/>
      <c r="F134" s="24"/>
      <c r="G134" s="24"/>
      <c r="H134" s="24"/>
      <c r="I134" s="24"/>
    </row>
    <row r="135" spans="1:9">
      <c r="A135" s="33"/>
      <c r="B135" s="24"/>
      <c r="C135" s="24"/>
      <c r="D135" s="24"/>
      <c r="E135" s="24"/>
      <c r="F135" s="24"/>
      <c r="G135" s="24"/>
      <c r="H135" s="24"/>
      <c r="I135" s="24"/>
    </row>
    <row r="136" spans="1:9">
      <c r="A136" s="33"/>
      <c r="B136" s="24"/>
      <c r="C136" s="24"/>
      <c r="D136" s="24"/>
      <c r="E136" s="24"/>
      <c r="F136" s="24"/>
      <c r="G136" s="24"/>
      <c r="H136" s="24"/>
      <c r="I136" s="24"/>
    </row>
    <row r="137" spans="1:9">
      <c r="A137" s="33"/>
      <c r="B137" s="24"/>
      <c r="C137" s="24"/>
      <c r="D137" s="24"/>
      <c r="E137" s="24"/>
      <c r="F137" s="24"/>
      <c r="G137" s="24"/>
      <c r="H137" s="24"/>
      <c r="I137" s="24"/>
    </row>
    <row r="138" spans="1:9">
      <c r="A138" s="33"/>
      <c r="B138" s="24"/>
      <c r="C138" s="24"/>
      <c r="D138" s="24"/>
      <c r="E138" s="24"/>
      <c r="F138" s="24"/>
      <c r="G138" s="24"/>
      <c r="H138" s="24"/>
      <c r="I138" s="24"/>
    </row>
    <row r="139" spans="1:9">
      <c r="A139" s="33"/>
      <c r="B139" s="24"/>
      <c r="C139" s="24"/>
      <c r="D139" s="24"/>
      <c r="E139" s="24"/>
      <c r="F139" s="24"/>
      <c r="G139" s="24"/>
      <c r="H139" s="24"/>
      <c r="I139" s="24"/>
    </row>
    <row r="140" spans="1:9">
      <c r="A140" s="33"/>
      <c r="B140" s="24"/>
      <c r="C140" s="24"/>
      <c r="D140" s="24"/>
      <c r="E140" s="24"/>
      <c r="F140" s="24"/>
      <c r="G140" s="24"/>
      <c r="H140" s="24"/>
      <c r="I140" s="24"/>
    </row>
    <row r="141" spans="1:9">
      <c r="A141" s="33"/>
      <c r="B141" s="24"/>
      <c r="C141" s="24"/>
      <c r="D141" s="24"/>
      <c r="E141" s="24"/>
      <c r="F141" s="24"/>
      <c r="G141" s="24"/>
      <c r="H141" s="24"/>
      <c r="I141" s="24"/>
    </row>
    <row r="142" spans="1:9">
      <c r="A142" s="33"/>
      <c r="B142" s="24"/>
      <c r="C142" s="24"/>
      <c r="D142" s="24"/>
      <c r="E142" s="24"/>
      <c r="F142" s="24"/>
      <c r="G142" s="24"/>
      <c r="H142" s="24"/>
      <c r="I142" s="24"/>
    </row>
    <row r="143" spans="1:9">
      <c r="A143" s="33"/>
      <c r="B143" s="24"/>
      <c r="C143" s="24"/>
      <c r="D143" s="24"/>
      <c r="E143" s="24"/>
      <c r="F143" s="24"/>
      <c r="G143" s="24"/>
      <c r="H143" s="24"/>
      <c r="I143" s="24"/>
    </row>
    <row r="144" spans="1:9">
      <c r="A144" s="33"/>
      <c r="B144" s="24"/>
      <c r="C144" s="24"/>
      <c r="D144" s="24"/>
      <c r="E144" s="24"/>
      <c r="F144" s="24"/>
      <c r="G144" s="24"/>
      <c r="H144" s="24"/>
      <c r="I144" s="24"/>
    </row>
    <row r="145" spans="1:9">
      <c r="A145" s="33"/>
      <c r="B145" s="24"/>
      <c r="C145" s="24"/>
      <c r="D145" s="24"/>
      <c r="E145" s="24"/>
      <c r="F145" s="24"/>
      <c r="G145" s="24"/>
      <c r="H145" s="24"/>
      <c r="I145" s="24"/>
    </row>
    <row r="146" spans="1:9">
      <c r="A146" s="33"/>
      <c r="B146" s="24"/>
      <c r="C146" s="24"/>
      <c r="D146" s="24"/>
      <c r="E146" s="24"/>
      <c r="F146" s="24"/>
      <c r="G146" s="24"/>
      <c r="H146" s="24"/>
      <c r="I146" s="24"/>
    </row>
    <row r="147" spans="1:9">
      <c r="A147" s="33"/>
      <c r="B147" s="24"/>
      <c r="C147" s="24"/>
      <c r="D147" s="24"/>
      <c r="E147" s="24"/>
      <c r="F147" s="24"/>
      <c r="G147" s="24"/>
      <c r="H147" s="24"/>
      <c r="I147" s="24"/>
    </row>
    <row r="148" spans="1:9">
      <c r="A148" s="33"/>
      <c r="B148" s="24"/>
      <c r="C148" s="24"/>
      <c r="D148" s="24"/>
      <c r="E148" s="24"/>
      <c r="F148" s="24"/>
      <c r="G148" s="24"/>
      <c r="H148" s="24"/>
      <c r="I148" s="24"/>
    </row>
    <row r="149" spans="1:9">
      <c r="A149" s="33"/>
      <c r="B149" s="24"/>
      <c r="C149" s="24"/>
      <c r="D149" s="24"/>
      <c r="E149" s="24"/>
      <c r="F149" s="24"/>
      <c r="G149" s="24"/>
      <c r="H149" s="24"/>
      <c r="I149" s="24"/>
    </row>
    <row r="150" spans="1:9">
      <c r="A150" s="33"/>
      <c r="B150" s="24"/>
      <c r="C150" s="24"/>
      <c r="D150" s="24"/>
      <c r="E150" s="24"/>
      <c r="F150" s="24"/>
      <c r="G150" s="24"/>
      <c r="H150" s="24"/>
      <c r="I150" s="24"/>
    </row>
    <row r="151" spans="1:9">
      <c r="A151" s="33"/>
      <c r="B151" s="24"/>
      <c r="C151" s="24"/>
      <c r="D151" s="24"/>
      <c r="E151" s="24"/>
      <c r="F151" s="24"/>
      <c r="G151" s="24"/>
      <c r="H151" s="24"/>
      <c r="I151" s="24"/>
    </row>
    <row r="152" spans="1:9">
      <c r="A152" s="33"/>
      <c r="B152" s="24"/>
      <c r="C152" s="24"/>
      <c r="D152" s="24"/>
      <c r="E152" s="24"/>
      <c r="F152" s="24"/>
      <c r="G152" s="24"/>
      <c r="H152" s="24"/>
      <c r="I152" s="24"/>
    </row>
    <row r="153" spans="1:9">
      <c r="A153" s="33"/>
      <c r="B153" s="24"/>
      <c r="C153" s="24"/>
      <c r="D153" s="24"/>
      <c r="E153" s="24"/>
      <c r="F153" s="24"/>
      <c r="G153" s="24"/>
      <c r="H153" s="24"/>
      <c r="I153" s="24"/>
    </row>
    <row r="154" spans="1:9">
      <c r="A154" s="33"/>
      <c r="B154" s="24"/>
      <c r="C154" s="24"/>
      <c r="D154" s="24"/>
      <c r="E154" s="24"/>
      <c r="F154" s="24"/>
      <c r="G154" s="24"/>
      <c r="H154" s="24"/>
      <c r="I154" s="24"/>
    </row>
    <row r="155" spans="1:9">
      <c r="A155" s="33"/>
      <c r="B155" s="24"/>
      <c r="C155" s="24"/>
      <c r="D155" s="24"/>
      <c r="E155" s="24"/>
      <c r="F155" s="24"/>
      <c r="G155" s="24"/>
      <c r="H155" s="24"/>
      <c r="I155" s="24"/>
    </row>
    <row r="156" spans="1:9">
      <c r="A156" s="33"/>
      <c r="B156" s="24"/>
      <c r="C156" s="24"/>
      <c r="D156" s="24"/>
      <c r="E156" s="24"/>
      <c r="F156" s="24"/>
      <c r="G156" s="24"/>
      <c r="H156" s="24"/>
      <c r="I156" s="24"/>
    </row>
    <row r="157" spans="1:9">
      <c r="A157" s="33"/>
      <c r="B157" s="24"/>
      <c r="C157" s="24"/>
      <c r="D157" s="24"/>
      <c r="E157" s="24"/>
      <c r="F157" s="24"/>
      <c r="G157" s="24"/>
      <c r="H157" s="24"/>
      <c r="I157" s="24"/>
    </row>
    <row r="158" spans="1:9">
      <c r="A158" s="33"/>
      <c r="B158" s="24"/>
      <c r="C158" s="24"/>
      <c r="D158" s="24"/>
      <c r="E158" s="24"/>
      <c r="F158" s="24"/>
      <c r="G158" s="24"/>
      <c r="H158" s="24"/>
      <c r="I158" s="24"/>
    </row>
    <row r="159" spans="1:9">
      <c r="A159" s="33"/>
      <c r="B159" s="24"/>
      <c r="C159" s="24"/>
      <c r="D159" s="24"/>
      <c r="E159" s="24"/>
      <c r="F159" s="24"/>
      <c r="G159" s="24"/>
      <c r="H159" s="24"/>
      <c r="I159" s="24"/>
    </row>
    <row r="160" spans="1:9">
      <c r="A160" s="33"/>
      <c r="B160" s="24"/>
      <c r="C160" s="24"/>
      <c r="D160" s="24"/>
      <c r="E160" s="24"/>
      <c r="F160" s="24"/>
      <c r="G160" s="24"/>
      <c r="H160" s="24"/>
      <c r="I160" s="24"/>
    </row>
    <row r="161" spans="1:9">
      <c r="A161" s="33"/>
      <c r="B161" s="24"/>
      <c r="C161" s="24"/>
      <c r="D161" s="24"/>
      <c r="E161" s="24"/>
      <c r="F161" s="24"/>
      <c r="G161" s="24"/>
      <c r="H161" s="24"/>
      <c r="I161" s="24"/>
    </row>
    <row r="162" spans="1:9">
      <c r="A162" s="33"/>
      <c r="B162" s="24"/>
      <c r="C162" s="24"/>
      <c r="D162" s="24"/>
      <c r="E162" s="24"/>
      <c r="F162" s="24"/>
      <c r="G162" s="24"/>
      <c r="H162" s="24"/>
      <c r="I162" s="24"/>
    </row>
    <row r="163" spans="1:9">
      <c r="A163" s="33"/>
      <c r="B163" s="24"/>
      <c r="C163" s="24"/>
      <c r="D163" s="24"/>
      <c r="E163" s="24"/>
      <c r="F163" s="24"/>
      <c r="G163" s="24"/>
      <c r="H163" s="24"/>
      <c r="I163" s="24"/>
    </row>
    <row r="164" spans="1:9">
      <c r="A164" s="33"/>
      <c r="B164" s="24"/>
      <c r="C164" s="24"/>
      <c r="D164" s="24"/>
      <c r="E164" s="24"/>
      <c r="F164" s="24"/>
      <c r="G164" s="24"/>
      <c r="H164" s="24"/>
      <c r="I164" s="24"/>
    </row>
    <row r="165" spans="1:9">
      <c r="A165" s="33"/>
      <c r="B165" s="24"/>
      <c r="C165" s="24"/>
      <c r="D165" s="24"/>
      <c r="E165" s="24"/>
      <c r="F165" s="24"/>
      <c r="G165" s="24"/>
      <c r="H165" s="24"/>
      <c r="I165" s="24"/>
    </row>
    <row r="166" spans="1:9">
      <c r="A166" s="33"/>
      <c r="B166" s="24"/>
      <c r="C166" s="24"/>
      <c r="D166" s="24"/>
      <c r="E166" s="24"/>
      <c r="F166" s="24"/>
      <c r="G166" s="24"/>
      <c r="H166" s="24"/>
      <c r="I166" s="24"/>
    </row>
    <row r="167" spans="1:9">
      <c r="A167" s="33"/>
      <c r="B167" s="24"/>
      <c r="C167" s="24"/>
      <c r="D167" s="24"/>
      <c r="E167" s="24"/>
      <c r="F167" s="24"/>
      <c r="G167" s="24"/>
      <c r="H167" s="24"/>
      <c r="I167" s="24"/>
    </row>
    <row r="168" spans="1:9">
      <c r="A168" s="33"/>
      <c r="B168" s="24"/>
      <c r="C168" s="24"/>
      <c r="D168" s="24"/>
      <c r="E168" s="24"/>
      <c r="F168" s="24"/>
      <c r="G168" s="24"/>
      <c r="H168" s="24"/>
      <c r="I168" s="24"/>
    </row>
    <row r="169" spans="1:9">
      <c r="A169" s="33"/>
      <c r="B169" s="24"/>
      <c r="C169" s="24"/>
      <c r="D169" s="24"/>
      <c r="E169" s="24"/>
      <c r="F169" s="24"/>
      <c r="G169" s="24"/>
      <c r="H169" s="24"/>
      <c r="I169" s="24"/>
    </row>
    <row r="170" spans="1:9">
      <c r="A170" s="33"/>
      <c r="B170" s="24"/>
      <c r="C170" s="24"/>
      <c r="D170" s="24"/>
      <c r="E170" s="24"/>
      <c r="F170" s="24"/>
      <c r="G170" s="24"/>
      <c r="H170" s="24"/>
      <c r="I170" s="24"/>
    </row>
    <row r="171" spans="1:9">
      <c r="A171" s="33"/>
      <c r="B171" s="24"/>
      <c r="C171" s="24"/>
      <c r="D171" s="24"/>
      <c r="E171" s="24"/>
      <c r="F171" s="24"/>
      <c r="G171" s="24"/>
      <c r="H171" s="24"/>
      <c r="I171" s="24"/>
    </row>
    <row r="172" spans="1:9">
      <c r="A172" s="33"/>
      <c r="B172" s="24"/>
      <c r="C172" s="24"/>
      <c r="D172" s="24"/>
      <c r="E172" s="24"/>
      <c r="F172" s="24"/>
      <c r="G172" s="24"/>
      <c r="H172" s="24"/>
      <c r="I172" s="24"/>
    </row>
    <row r="173" spans="1:9">
      <c r="A173" s="33"/>
      <c r="B173" s="24"/>
      <c r="C173" s="24"/>
      <c r="D173" s="24"/>
      <c r="E173" s="24"/>
      <c r="F173" s="24"/>
      <c r="G173" s="24"/>
      <c r="H173" s="24"/>
      <c r="I173" s="24"/>
    </row>
    <row r="174" spans="1:9">
      <c r="A174" s="33"/>
      <c r="B174" s="24"/>
      <c r="C174" s="24"/>
      <c r="D174" s="24"/>
      <c r="E174" s="24"/>
      <c r="F174" s="24"/>
      <c r="G174" s="24"/>
      <c r="H174" s="24"/>
      <c r="I174" s="24"/>
    </row>
    <row r="175" spans="1:9">
      <c r="A175" s="33"/>
      <c r="B175" s="24"/>
      <c r="C175" s="24"/>
      <c r="D175" s="24"/>
      <c r="E175" s="24"/>
      <c r="F175" s="24"/>
      <c r="G175" s="24"/>
      <c r="H175" s="24"/>
      <c r="I175" s="24"/>
    </row>
    <row r="176" spans="1:9">
      <c r="A176" s="33"/>
      <c r="B176" s="24"/>
      <c r="C176" s="24"/>
      <c r="D176" s="24"/>
      <c r="E176" s="24"/>
      <c r="F176" s="24"/>
      <c r="G176" s="24"/>
      <c r="H176" s="24"/>
      <c r="I176" s="24"/>
    </row>
    <row r="177" spans="1:9">
      <c r="A177" s="33"/>
      <c r="B177" s="24"/>
      <c r="C177" s="24"/>
      <c r="D177" s="24"/>
      <c r="E177" s="24"/>
      <c r="F177" s="24"/>
      <c r="G177" s="24"/>
      <c r="H177" s="24"/>
      <c r="I177" s="24"/>
    </row>
    <row r="178" spans="1:9">
      <c r="A178" s="33"/>
      <c r="B178" s="24"/>
      <c r="C178" s="24"/>
      <c r="D178" s="24"/>
      <c r="E178" s="24"/>
      <c r="F178" s="24"/>
      <c r="G178" s="24"/>
      <c r="H178" s="24"/>
      <c r="I178" s="24"/>
    </row>
    <row r="179" spans="1:9">
      <c r="A179" s="33"/>
      <c r="B179" s="24"/>
      <c r="C179" s="24"/>
      <c r="D179" s="24"/>
      <c r="E179" s="24"/>
      <c r="F179" s="24"/>
      <c r="G179" s="24"/>
      <c r="H179" s="24"/>
      <c r="I179" s="24"/>
    </row>
  </sheetData>
  <mergeCells count="2">
    <mergeCell ref="A4:C4"/>
    <mergeCell ref="B7:C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6"/>
  <sheetViews>
    <sheetView tabSelected="1" view="pageBreakPreview" topLeftCell="A28" zoomScale="70" zoomScaleNormal="70" zoomScaleSheetLayoutView="70" workbookViewId="0">
      <selection activeCell="C38" sqref="C38"/>
    </sheetView>
  </sheetViews>
  <sheetFormatPr defaultRowHeight="16.5"/>
  <cols>
    <col min="1" max="1" width="11.42578125" style="23" customWidth="1"/>
    <col min="2" max="2" width="15.42578125" style="23" customWidth="1"/>
    <col min="3" max="3" width="64.5703125" style="22" customWidth="1"/>
    <col min="4" max="4" width="20.7109375" style="22" hidden="1" customWidth="1"/>
    <col min="5" max="5" width="21.42578125" style="22" customWidth="1"/>
    <col min="6" max="6" width="19.140625" style="48" customWidth="1"/>
    <col min="7" max="7" width="19.7109375" style="32" customWidth="1"/>
    <col min="8" max="8" width="18.28515625" style="24" customWidth="1"/>
    <col min="9" max="9" width="19.5703125" style="24" customWidth="1"/>
    <col min="10" max="10" width="14.140625" style="24" customWidth="1"/>
    <col min="11" max="11" width="17.42578125" style="24" customWidth="1"/>
    <col min="12" max="12" width="21.5703125" style="24" customWidth="1"/>
    <col min="13" max="13" width="16" style="24" customWidth="1"/>
    <col min="14" max="14" width="20.7109375" style="24" customWidth="1"/>
    <col min="15" max="16384" width="9.140625" style="24"/>
  </cols>
  <sheetData>
    <row r="2" spans="1:16" ht="21" customHeight="1">
      <c r="E2" s="313"/>
      <c r="F2" s="321" t="s">
        <v>273</v>
      </c>
      <c r="H2" s="34"/>
    </row>
    <row r="3" spans="1:16" ht="14.25" customHeight="1">
      <c r="E3" s="24"/>
      <c r="F3" s="322" t="s">
        <v>265</v>
      </c>
      <c r="H3" s="34"/>
    </row>
    <row r="4" spans="1:16" ht="13.5" customHeight="1">
      <c r="E4" s="24"/>
      <c r="F4" s="314" t="s">
        <v>280</v>
      </c>
      <c r="H4" s="34"/>
    </row>
    <row r="5" spans="1:16" ht="21" customHeight="1">
      <c r="F5" s="47"/>
      <c r="H5" s="34"/>
    </row>
    <row r="6" spans="1:16" ht="116.25" customHeight="1">
      <c r="A6" s="564" t="s">
        <v>315</v>
      </c>
      <c r="B6" s="564"/>
      <c r="C6" s="564"/>
      <c r="D6" s="564"/>
      <c r="E6" s="564"/>
      <c r="F6" s="564"/>
      <c r="G6" s="45"/>
      <c r="H6" s="45"/>
      <c r="I6" s="554"/>
      <c r="J6" s="554"/>
      <c r="K6" s="554"/>
      <c r="L6" s="554"/>
      <c r="M6" s="554"/>
      <c r="N6" s="554"/>
      <c r="O6" s="554"/>
      <c r="P6" s="554"/>
    </row>
    <row r="7" spans="1:16" ht="21.75" customHeight="1" thickBot="1">
      <c r="A7" s="26"/>
      <c r="B7" s="26"/>
      <c r="C7" s="26"/>
      <c r="D7" s="26"/>
      <c r="E7" s="26"/>
      <c r="F7" s="290" t="s">
        <v>42</v>
      </c>
      <c r="G7" s="555"/>
      <c r="H7" s="555"/>
    </row>
    <row r="8" spans="1:16" ht="54" customHeight="1" thickTop="1">
      <c r="A8" s="558" t="s">
        <v>36</v>
      </c>
      <c r="B8" s="559"/>
      <c r="C8" s="556" t="s">
        <v>281</v>
      </c>
      <c r="D8" s="560" t="s">
        <v>335</v>
      </c>
      <c r="E8" s="560"/>
      <c r="F8" s="561"/>
      <c r="H8" s="32"/>
    </row>
    <row r="9" spans="1:16" ht="29.25" customHeight="1">
      <c r="A9" s="417" t="s">
        <v>43</v>
      </c>
      <c r="B9" s="363" t="s">
        <v>44</v>
      </c>
      <c r="C9" s="557"/>
      <c r="D9" s="562"/>
      <c r="E9" s="562"/>
      <c r="F9" s="563"/>
      <c r="H9" s="32"/>
    </row>
    <row r="10" spans="1:16" ht="31.5" customHeight="1">
      <c r="A10" s="418"/>
      <c r="B10" s="49"/>
      <c r="C10" s="51"/>
      <c r="D10" s="64" t="s">
        <v>303</v>
      </c>
      <c r="E10" s="64" t="s">
        <v>302</v>
      </c>
      <c r="F10" s="419" t="s">
        <v>301</v>
      </c>
      <c r="G10" s="24"/>
    </row>
    <row r="11" spans="1:16" s="68" customFormat="1" ht="49.5" customHeight="1">
      <c r="A11" s="420"/>
      <c r="B11" s="360"/>
      <c r="C11" s="362" t="s">
        <v>278</v>
      </c>
      <c r="D11" s="361">
        <f>+D12+D43</f>
        <v>0</v>
      </c>
      <c r="E11" s="361">
        <f>+E12+E43</f>
        <v>0</v>
      </c>
      <c r="F11" s="421">
        <f>+F12+F43</f>
        <v>0</v>
      </c>
      <c r="G11" s="72"/>
      <c r="H11" s="72"/>
      <c r="I11" s="72"/>
      <c r="J11" s="72"/>
      <c r="K11" s="73"/>
      <c r="L11" s="73"/>
    </row>
    <row r="12" spans="1:16" ht="28.5" customHeight="1">
      <c r="A12" s="431">
        <v>1004</v>
      </c>
      <c r="B12" s="365"/>
      <c r="C12" s="366" t="s">
        <v>268</v>
      </c>
      <c r="D12" s="369">
        <f>+D19+D25+D37</f>
        <v>1031600</v>
      </c>
      <c r="E12" s="369">
        <f>+E19+E25+E37</f>
        <v>1031600</v>
      </c>
      <c r="F12" s="432">
        <f>+F19+F25+F37+F31</f>
        <v>1031600</v>
      </c>
      <c r="G12" s="24"/>
      <c r="H12" s="93"/>
      <c r="I12" s="36"/>
      <c r="J12" s="36"/>
      <c r="K12" s="36"/>
      <c r="L12" s="36"/>
    </row>
    <row r="13" spans="1:16" ht="26.25" customHeight="1">
      <c r="A13" s="422"/>
      <c r="B13" s="35"/>
      <c r="C13" s="362" t="s">
        <v>270</v>
      </c>
      <c r="D13" s="25"/>
      <c r="E13" s="25"/>
      <c r="F13" s="423"/>
      <c r="G13" s="24"/>
      <c r="H13" s="93"/>
      <c r="I13" s="36"/>
      <c r="J13" s="36"/>
      <c r="K13" s="36"/>
      <c r="L13" s="36"/>
    </row>
    <row r="14" spans="1:16" ht="27.75" customHeight="1">
      <c r="A14" s="422"/>
      <c r="B14" s="35"/>
      <c r="C14" s="362" t="s">
        <v>282</v>
      </c>
      <c r="D14" s="25"/>
      <c r="E14" s="25"/>
      <c r="F14" s="423"/>
      <c r="G14" s="24"/>
      <c r="H14" s="93"/>
      <c r="I14" s="36"/>
      <c r="J14" s="36"/>
      <c r="K14" s="36"/>
      <c r="L14" s="36"/>
    </row>
    <row r="15" spans="1:16" ht="48.75" customHeight="1">
      <c r="A15" s="422"/>
      <c r="B15" s="35"/>
      <c r="C15" s="362" t="s">
        <v>283</v>
      </c>
      <c r="D15" s="25"/>
      <c r="E15" s="25"/>
      <c r="F15" s="423"/>
      <c r="G15" s="24"/>
      <c r="H15" s="93"/>
      <c r="I15" s="36"/>
      <c r="J15" s="36"/>
      <c r="K15" s="36"/>
      <c r="L15" s="36"/>
    </row>
    <row r="16" spans="1:16" ht="26.25" customHeight="1">
      <c r="A16" s="422"/>
      <c r="B16" s="35"/>
      <c r="C16" s="362" t="s">
        <v>55</v>
      </c>
      <c r="D16" s="25"/>
      <c r="E16" s="25"/>
      <c r="F16" s="423"/>
      <c r="G16" s="24"/>
      <c r="H16" s="93"/>
      <c r="I16" s="36"/>
      <c r="J16" s="36"/>
      <c r="K16" s="36"/>
      <c r="L16" s="36"/>
    </row>
    <row r="17" spans="1:12" ht="72" customHeight="1">
      <c r="A17" s="422"/>
      <c r="B17" s="35"/>
      <c r="C17" s="362" t="s">
        <v>284</v>
      </c>
      <c r="D17" s="25"/>
      <c r="E17" s="25"/>
      <c r="F17" s="423"/>
      <c r="G17" s="24"/>
      <c r="H17" s="93"/>
      <c r="I17" s="36"/>
      <c r="J17" s="36"/>
      <c r="K17" s="36"/>
      <c r="L17" s="36"/>
    </row>
    <row r="18" spans="1:12" ht="36.75" customHeight="1">
      <c r="A18" s="548" t="s">
        <v>285</v>
      </c>
      <c r="B18" s="549"/>
      <c r="C18" s="549"/>
      <c r="D18" s="549"/>
      <c r="E18" s="549"/>
      <c r="F18" s="550"/>
      <c r="G18" s="24"/>
      <c r="H18" s="93"/>
      <c r="I18" s="36"/>
      <c r="J18" s="36"/>
      <c r="K18" s="36"/>
      <c r="L18" s="36"/>
    </row>
    <row r="19" spans="1:12" ht="36.75" customHeight="1">
      <c r="A19" s="424"/>
      <c r="B19" s="367">
        <v>11006</v>
      </c>
      <c r="C19" s="416" t="s">
        <v>286</v>
      </c>
      <c r="D19" s="368">
        <f>+'Հավելված 3'!D19</f>
        <v>166095</v>
      </c>
      <c r="E19" s="368">
        <f>+'Հավելված 3'!G19</f>
        <v>166095</v>
      </c>
      <c r="F19" s="425">
        <f>+'Հավելված 3'!J19</f>
        <v>166095</v>
      </c>
      <c r="G19" s="24"/>
      <c r="H19" s="93"/>
      <c r="I19" s="36"/>
      <c r="J19" s="36"/>
      <c r="K19" s="36"/>
      <c r="L19" s="36"/>
    </row>
    <row r="20" spans="1:12" s="71" customFormat="1" ht="72.75" customHeight="1">
      <c r="A20" s="426"/>
      <c r="B20" s="286"/>
      <c r="C20" s="364" t="s">
        <v>323</v>
      </c>
      <c r="D20" s="338"/>
      <c r="E20" s="338"/>
      <c r="F20" s="427"/>
    </row>
    <row r="21" spans="1:12" s="23" customFormat="1" ht="32.25" customHeight="1">
      <c r="A21" s="428"/>
      <c r="B21" s="41"/>
      <c r="C21" s="364" t="s">
        <v>287</v>
      </c>
      <c r="D21" s="335"/>
      <c r="E21" s="335"/>
      <c r="F21" s="429"/>
    </row>
    <row r="22" spans="1:12" s="23" customFormat="1" ht="64.5" customHeight="1">
      <c r="A22" s="428"/>
      <c r="B22" s="41"/>
      <c r="C22" s="364" t="s">
        <v>325</v>
      </c>
      <c r="D22" s="335"/>
      <c r="E22" s="335"/>
      <c r="F22" s="429"/>
    </row>
    <row r="23" spans="1:12" s="23" customFormat="1" ht="30" customHeight="1">
      <c r="A23" s="428"/>
      <c r="B23" s="41"/>
      <c r="C23" s="364" t="s">
        <v>288</v>
      </c>
      <c r="D23" s="335"/>
      <c r="E23" s="335"/>
      <c r="F23" s="429"/>
    </row>
    <row r="24" spans="1:12" ht="24.75" customHeight="1">
      <c r="A24" s="430"/>
      <c r="B24" s="29"/>
      <c r="C24" s="364" t="s">
        <v>289</v>
      </c>
      <c r="D24" s="335"/>
      <c r="E24" s="335"/>
      <c r="F24" s="429"/>
      <c r="G24" s="24"/>
    </row>
    <row r="25" spans="1:12" ht="30.75" customHeight="1">
      <c r="A25" s="424"/>
      <c r="B25" s="367">
        <v>31001</v>
      </c>
      <c r="C25" s="416" t="s">
        <v>286</v>
      </c>
      <c r="D25" s="368">
        <f>+'Հավելված 3'!D30</f>
        <v>722505</v>
      </c>
      <c r="E25" s="368">
        <f>+'Հավելված 3'!G30</f>
        <v>722505</v>
      </c>
      <c r="F25" s="425">
        <f>+'Հավելված 3'!J30</f>
        <v>1792701.1</v>
      </c>
      <c r="G25" s="24"/>
      <c r="H25" s="93"/>
      <c r="I25" s="36"/>
      <c r="J25" s="36"/>
      <c r="K25" s="36"/>
      <c r="L25" s="36"/>
    </row>
    <row r="26" spans="1:12" s="71" customFormat="1" ht="57.75" customHeight="1">
      <c r="A26" s="426"/>
      <c r="B26" s="286"/>
      <c r="C26" s="364" t="s">
        <v>324</v>
      </c>
      <c r="D26" s="338"/>
      <c r="E26" s="338"/>
      <c r="F26" s="427"/>
    </row>
    <row r="27" spans="1:12" s="23" customFormat="1" ht="30.75" customHeight="1">
      <c r="A27" s="428"/>
      <c r="B27" s="41"/>
      <c r="C27" s="364" t="s">
        <v>287</v>
      </c>
      <c r="D27" s="335"/>
      <c r="E27" s="335"/>
      <c r="F27" s="429"/>
    </row>
    <row r="28" spans="1:12" s="23" customFormat="1" ht="53.25" customHeight="1">
      <c r="A28" s="428"/>
      <c r="B28" s="41"/>
      <c r="C28" s="364" t="s">
        <v>326</v>
      </c>
      <c r="D28" s="335"/>
      <c r="E28" s="335"/>
      <c r="F28" s="429"/>
    </row>
    <row r="29" spans="1:12" s="23" customFormat="1" ht="23.25" customHeight="1">
      <c r="A29" s="428"/>
      <c r="B29" s="41"/>
      <c r="C29" s="364" t="s">
        <v>288</v>
      </c>
      <c r="D29" s="335"/>
      <c r="E29" s="335"/>
      <c r="F29" s="429"/>
    </row>
    <row r="30" spans="1:12" ht="38.25" customHeight="1">
      <c r="A30" s="430"/>
      <c r="B30" s="29"/>
      <c r="C30" s="364" t="s">
        <v>291</v>
      </c>
      <c r="D30" s="335"/>
      <c r="E30" s="335"/>
      <c r="F30" s="429"/>
      <c r="G30" s="24"/>
    </row>
    <row r="31" spans="1:12" ht="37.5" customHeight="1">
      <c r="A31" s="424"/>
      <c r="B31" s="367">
        <v>31004</v>
      </c>
      <c r="C31" s="416" t="s">
        <v>286</v>
      </c>
      <c r="D31" s="368">
        <f>+'Հավելված 3'!D36</f>
        <v>0</v>
      </c>
      <c r="E31" s="368">
        <f>+'Հավելված 3'!G36</f>
        <v>0</v>
      </c>
      <c r="F31" s="425">
        <f>+'Հավելված 3'!J36</f>
        <v>-1070196.1000000001</v>
      </c>
      <c r="G31" s="24"/>
      <c r="H31" s="93"/>
      <c r="I31" s="36"/>
      <c r="J31" s="36"/>
      <c r="K31" s="36"/>
      <c r="L31" s="36"/>
    </row>
    <row r="32" spans="1:12" s="71" customFormat="1" ht="88.5" customHeight="1">
      <c r="A32" s="426"/>
      <c r="B32" s="286"/>
      <c r="C32" s="364" t="s">
        <v>343</v>
      </c>
      <c r="D32" s="338"/>
      <c r="E32" s="338"/>
      <c r="F32" s="427"/>
    </row>
    <row r="33" spans="1:12" s="23" customFormat="1" ht="30.75" customHeight="1">
      <c r="A33" s="428"/>
      <c r="B33" s="41"/>
      <c r="C33" s="364" t="s">
        <v>287</v>
      </c>
      <c r="D33" s="335"/>
      <c r="E33" s="335"/>
      <c r="F33" s="429"/>
    </row>
    <row r="34" spans="1:12" s="23" customFormat="1" ht="65.25" customHeight="1">
      <c r="A34" s="428"/>
      <c r="B34" s="41"/>
      <c r="C34" s="364" t="s">
        <v>344</v>
      </c>
      <c r="D34" s="335"/>
      <c r="E34" s="335"/>
      <c r="F34" s="429"/>
    </row>
    <row r="35" spans="1:12" s="23" customFormat="1" ht="23.25" customHeight="1">
      <c r="A35" s="428"/>
      <c r="B35" s="41"/>
      <c r="C35" s="364" t="s">
        <v>288</v>
      </c>
      <c r="D35" s="335"/>
      <c r="E35" s="335"/>
      <c r="F35" s="429"/>
    </row>
    <row r="36" spans="1:12" ht="44.25" customHeight="1">
      <c r="A36" s="430"/>
      <c r="B36" s="29"/>
      <c r="C36" s="364" t="s">
        <v>291</v>
      </c>
      <c r="D36" s="335"/>
      <c r="E36" s="335"/>
      <c r="F36" s="429"/>
      <c r="G36" s="24"/>
    </row>
    <row r="37" spans="1:12" ht="36.75" customHeight="1">
      <c r="A37" s="424"/>
      <c r="B37" s="367">
        <v>31005</v>
      </c>
      <c r="C37" s="416" t="s">
        <v>286</v>
      </c>
      <c r="D37" s="368">
        <f>+'Հավելված 3'!D37</f>
        <v>143000</v>
      </c>
      <c r="E37" s="368">
        <f>+'Հավելված 3'!G37</f>
        <v>143000</v>
      </c>
      <c r="F37" s="425">
        <f>+'Հավելված 3'!J37</f>
        <v>143000</v>
      </c>
      <c r="G37" s="24"/>
      <c r="H37" s="93"/>
      <c r="I37" s="36"/>
      <c r="J37" s="36"/>
      <c r="K37" s="36"/>
      <c r="L37" s="36"/>
    </row>
    <row r="38" spans="1:12" s="71" customFormat="1" ht="82.5" customHeight="1">
      <c r="A38" s="426"/>
      <c r="B38" s="286"/>
      <c r="C38" s="364" t="s">
        <v>206</v>
      </c>
      <c r="D38" s="338"/>
      <c r="E38" s="338"/>
      <c r="F38" s="427"/>
    </row>
    <row r="39" spans="1:12" s="23" customFormat="1" ht="27" customHeight="1">
      <c r="A39" s="428"/>
      <c r="B39" s="41"/>
      <c r="C39" s="364" t="s">
        <v>287</v>
      </c>
      <c r="D39" s="335"/>
      <c r="E39" s="335"/>
      <c r="F39" s="429"/>
    </row>
    <row r="40" spans="1:12" s="23" customFormat="1" ht="53.25" customHeight="1">
      <c r="A40" s="428"/>
      <c r="B40" s="41"/>
      <c r="C40" s="364" t="s">
        <v>290</v>
      </c>
      <c r="D40" s="335"/>
      <c r="E40" s="335"/>
      <c r="F40" s="429"/>
    </row>
    <row r="41" spans="1:12" s="23" customFormat="1" ht="23.25" customHeight="1">
      <c r="A41" s="428"/>
      <c r="B41" s="41"/>
      <c r="C41" s="364" t="s">
        <v>288</v>
      </c>
      <c r="D41" s="335"/>
      <c r="E41" s="335"/>
      <c r="F41" s="429"/>
    </row>
    <row r="42" spans="1:12" ht="43.5" customHeight="1">
      <c r="A42" s="430"/>
      <c r="B42" s="29"/>
      <c r="C42" s="364" t="s">
        <v>291</v>
      </c>
      <c r="D42" s="335"/>
      <c r="E42" s="335"/>
      <c r="F42" s="429"/>
      <c r="G42" s="24"/>
    </row>
    <row r="43" spans="1:12" ht="28.5" customHeight="1">
      <c r="A43" s="431">
        <v>1072</v>
      </c>
      <c r="B43" s="365"/>
      <c r="C43" s="366" t="s">
        <v>268</v>
      </c>
      <c r="D43" s="369">
        <f>+D50+D56+D68+D74+D80+D86+D62</f>
        <v>-1031600.0000000001</v>
      </c>
      <c r="E43" s="369">
        <f>+E50+E56+E68+E74+E80+E86+E62</f>
        <v>-1031600</v>
      </c>
      <c r="F43" s="432">
        <f>+F50+F56+F68+F74+F80+F86+F62</f>
        <v>-1031600.0000000001</v>
      </c>
      <c r="G43" s="24"/>
      <c r="H43" s="93"/>
      <c r="I43" s="36"/>
      <c r="J43" s="36"/>
      <c r="K43" s="36"/>
      <c r="L43" s="36"/>
    </row>
    <row r="44" spans="1:12" ht="30" customHeight="1">
      <c r="A44" s="422"/>
      <c r="B44" s="35"/>
      <c r="C44" s="438" t="s">
        <v>292</v>
      </c>
      <c r="D44" s="25"/>
      <c r="E44" s="25"/>
      <c r="F44" s="423"/>
      <c r="G44" s="24"/>
      <c r="H44" s="93"/>
      <c r="I44" s="36"/>
      <c r="J44" s="36"/>
      <c r="K44" s="36"/>
      <c r="L44" s="36"/>
    </row>
    <row r="45" spans="1:12" ht="27.75" customHeight="1">
      <c r="A45" s="422"/>
      <c r="B45" s="35"/>
      <c r="C45" s="438" t="s">
        <v>282</v>
      </c>
      <c r="D45" s="25"/>
      <c r="E45" s="25"/>
      <c r="F45" s="423"/>
      <c r="G45" s="24"/>
      <c r="H45" s="93"/>
      <c r="I45" s="36"/>
      <c r="J45" s="36"/>
      <c r="K45" s="36"/>
      <c r="L45" s="36"/>
    </row>
    <row r="46" spans="1:12" ht="48.75" customHeight="1">
      <c r="A46" s="422"/>
      <c r="B46" s="35"/>
      <c r="C46" s="438" t="s">
        <v>58</v>
      </c>
      <c r="D46" s="25"/>
      <c r="E46" s="25"/>
      <c r="F46" s="423"/>
      <c r="G46" s="24"/>
      <c r="H46" s="93"/>
      <c r="I46" s="36"/>
      <c r="J46" s="36"/>
      <c r="K46" s="36"/>
      <c r="L46" s="36"/>
    </row>
    <row r="47" spans="1:12" ht="27.75" customHeight="1">
      <c r="A47" s="422"/>
      <c r="B47" s="35"/>
      <c r="C47" s="438" t="s">
        <v>55</v>
      </c>
      <c r="D47" s="25"/>
      <c r="E47" s="25"/>
      <c r="F47" s="423"/>
      <c r="G47" s="24"/>
      <c r="H47" s="93"/>
      <c r="I47" s="36"/>
      <c r="J47" s="36"/>
      <c r="K47" s="36"/>
      <c r="L47" s="36"/>
    </row>
    <row r="48" spans="1:12" ht="51.75" customHeight="1">
      <c r="A48" s="422"/>
      <c r="B48" s="35"/>
      <c r="C48" s="438" t="s">
        <v>336</v>
      </c>
      <c r="D48" s="25"/>
      <c r="E48" s="25"/>
      <c r="F48" s="423"/>
      <c r="G48" s="24"/>
      <c r="H48" s="93"/>
      <c r="I48" s="36"/>
      <c r="J48" s="36"/>
      <c r="K48" s="36"/>
      <c r="L48" s="36"/>
    </row>
    <row r="49" spans="1:12" ht="30" customHeight="1">
      <c r="A49" s="551" t="s">
        <v>285</v>
      </c>
      <c r="B49" s="552"/>
      <c r="C49" s="552"/>
      <c r="D49" s="552"/>
      <c r="E49" s="552"/>
      <c r="F49" s="553"/>
      <c r="G49" s="24"/>
      <c r="H49" s="93"/>
      <c r="I49" s="36"/>
      <c r="J49" s="36"/>
      <c r="K49" s="36"/>
      <c r="L49" s="36"/>
    </row>
    <row r="50" spans="1:12" ht="36.75" customHeight="1">
      <c r="A50" s="424"/>
      <c r="B50" s="367">
        <v>11003</v>
      </c>
      <c r="C50" s="416" t="s">
        <v>286</v>
      </c>
      <c r="D50" s="368">
        <f>+'Հավելված 4'!D19</f>
        <v>10000</v>
      </c>
      <c r="E50" s="368">
        <f>+'Հավելված 4'!G19</f>
        <v>10000</v>
      </c>
      <c r="F50" s="425">
        <f>+'Հավելված 4'!J19</f>
        <v>10000</v>
      </c>
      <c r="G50" s="24"/>
      <c r="H50" s="93"/>
      <c r="I50" s="36"/>
      <c r="J50" s="36"/>
      <c r="K50" s="36"/>
      <c r="L50" s="36"/>
    </row>
    <row r="51" spans="1:12" s="71" customFormat="1" ht="75" customHeight="1">
      <c r="A51" s="426"/>
      <c r="B51" s="286"/>
      <c r="C51" s="364" t="s">
        <v>321</v>
      </c>
      <c r="D51" s="338"/>
      <c r="E51" s="338"/>
      <c r="F51" s="427"/>
    </row>
    <row r="52" spans="1:12" s="23" customFormat="1" ht="32.25" customHeight="1">
      <c r="A52" s="428"/>
      <c r="B52" s="41"/>
      <c r="C52" s="364" t="s">
        <v>287</v>
      </c>
      <c r="D52" s="335"/>
      <c r="E52" s="335"/>
      <c r="F52" s="429"/>
    </row>
    <row r="53" spans="1:12" s="23" customFormat="1" ht="48" customHeight="1">
      <c r="A53" s="428"/>
      <c r="B53" s="41"/>
      <c r="C53" s="415" t="s">
        <v>327</v>
      </c>
      <c r="D53" s="335"/>
      <c r="E53" s="335"/>
      <c r="F53" s="429"/>
    </row>
    <row r="54" spans="1:12" s="23" customFormat="1" ht="30" customHeight="1">
      <c r="A54" s="428"/>
      <c r="B54" s="41"/>
      <c r="C54" s="364" t="s">
        <v>288</v>
      </c>
      <c r="D54" s="335"/>
      <c r="E54" s="335"/>
      <c r="F54" s="429"/>
    </row>
    <row r="55" spans="1:12" ht="24.75" customHeight="1">
      <c r="A55" s="430"/>
      <c r="B55" s="29"/>
      <c r="C55" s="364" t="s">
        <v>289</v>
      </c>
      <c r="D55" s="335"/>
      <c r="E55" s="335"/>
      <c r="F55" s="429"/>
      <c r="G55" s="24"/>
    </row>
    <row r="56" spans="1:12" ht="36.75" customHeight="1">
      <c r="A56" s="424"/>
      <c r="B56" s="367">
        <v>11004</v>
      </c>
      <c r="C56" s="416" t="s">
        <v>286</v>
      </c>
      <c r="D56" s="368">
        <f>+'Հավելված 4'!D25</f>
        <v>227578.4</v>
      </c>
      <c r="E56" s="368">
        <f>+'Հավելված 4'!G25</f>
        <v>227578.4</v>
      </c>
      <c r="F56" s="425">
        <f>+'Հավելված 4'!J25</f>
        <v>227578.4</v>
      </c>
      <c r="G56" s="24"/>
      <c r="H56" s="93"/>
      <c r="I56" s="36"/>
      <c r="J56" s="36"/>
      <c r="K56" s="36"/>
      <c r="L56" s="36"/>
    </row>
    <row r="57" spans="1:12" s="71" customFormat="1" ht="79.5" customHeight="1">
      <c r="A57" s="426"/>
      <c r="B57" s="286"/>
      <c r="C57" s="364" t="s">
        <v>319</v>
      </c>
      <c r="D57" s="338"/>
      <c r="E57" s="338"/>
      <c r="F57" s="427"/>
    </row>
    <row r="58" spans="1:12" s="23" customFormat="1" ht="27.75" customHeight="1">
      <c r="A58" s="428"/>
      <c r="B58" s="41"/>
      <c r="C58" s="364" t="s">
        <v>287</v>
      </c>
      <c r="D58" s="335"/>
      <c r="E58" s="335"/>
      <c r="F58" s="429"/>
    </row>
    <row r="59" spans="1:12" s="23" customFormat="1" ht="52.5" customHeight="1">
      <c r="A59" s="428"/>
      <c r="B59" s="41"/>
      <c r="C59" s="525" t="s">
        <v>333</v>
      </c>
      <c r="D59" s="335"/>
      <c r="E59" s="335"/>
      <c r="F59" s="429"/>
    </row>
    <row r="60" spans="1:12" s="23" customFormat="1" ht="24" customHeight="1">
      <c r="A60" s="428"/>
      <c r="B60" s="41"/>
      <c r="C60" s="364" t="s">
        <v>288</v>
      </c>
      <c r="D60" s="335"/>
      <c r="E60" s="335"/>
      <c r="F60" s="429"/>
    </row>
    <row r="61" spans="1:12" ht="24.75" customHeight="1">
      <c r="A61" s="430"/>
      <c r="B61" s="29"/>
      <c r="C61" s="364" t="s">
        <v>289</v>
      </c>
      <c r="D61" s="335"/>
      <c r="E61" s="335"/>
      <c r="F61" s="429"/>
      <c r="G61" s="24"/>
    </row>
    <row r="62" spans="1:12" ht="31.5" customHeight="1">
      <c r="A62" s="424"/>
      <c r="B62" s="367">
        <v>11005</v>
      </c>
      <c r="C62" s="416" t="s">
        <v>286</v>
      </c>
      <c r="D62" s="368">
        <f>+'Հավելված 3'!D45</f>
        <v>0</v>
      </c>
      <c r="E62" s="368">
        <f>+'Հավելված 3'!G45</f>
        <v>0</v>
      </c>
      <c r="F62" s="425">
        <f>+'Հավելված 3'!J45</f>
        <v>10000</v>
      </c>
      <c r="G62" s="24"/>
      <c r="H62" s="93"/>
      <c r="I62" s="36"/>
      <c r="J62" s="36"/>
      <c r="K62" s="36"/>
      <c r="L62" s="36"/>
    </row>
    <row r="63" spans="1:12" s="71" customFormat="1" ht="64.5" customHeight="1">
      <c r="A63" s="426"/>
      <c r="B63" s="286"/>
      <c r="C63" s="364" t="s">
        <v>86</v>
      </c>
      <c r="D63" s="338"/>
      <c r="E63" s="338"/>
      <c r="F63" s="427"/>
    </row>
    <row r="64" spans="1:12" s="23" customFormat="1" ht="32.25" customHeight="1">
      <c r="A64" s="428"/>
      <c r="B64" s="41"/>
      <c r="C64" s="364" t="s">
        <v>287</v>
      </c>
      <c r="D64" s="335"/>
      <c r="E64" s="335"/>
      <c r="F64" s="429"/>
    </row>
    <row r="65" spans="1:12" s="23" customFormat="1" ht="52.5" customHeight="1">
      <c r="A65" s="428"/>
      <c r="B65" s="41"/>
      <c r="C65" s="415" t="s">
        <v>337</v>
      </c>
      <c r="D65" s="335"/>
      <c r="E65" s="335"/>
      <c r="F65" s="429"/>
    </row>
    <row r="66" spans="1:12" s="23" customFormat="1" ht="30" customHeight="1">
      <c r="A66" s="428"/>
      <c r="B66" s="41"/>
      <c r="C66" s="364" t="s">
        <v>288</v>
      </c>
      <c r="D66" s="335"/>
      <c r="E66" s="335"/>
      <c r="F66" s="429"/>
    </row>
    <row r="67" spans="1:12" ht="24.75" customHeight="1">
      <c r="A67" s="430"/>
      <c r="B67" s="29"/>
      <c r="C67" s="364" t="s">
        <v>289</v>
      </c>
      <c r="D67" s="335"/>
      <c r="E67" s="335"/>
      <c r="F67" s="429"/>
      <c r="G67" s="24"/>
    </row>
    <row r="68" spans="1:12" ht="39.75" customHeight="1">
      <c r="A68" s="424"/>
      <c r="B68" s="367">
        <v>31001</v>
      </c>
      <c r="C68" s="416" t="s">
        <v>286</v>
      </c>
      <c r="D68" s="368">
        <f>+'Հավելված 3'!D51</f>
        <v>94652.2</v>
      </c>
      <c r="E68" s="368">
        <f>+'Հավելված 3'!G51</f>
        <v>134365.6</v>
      </c>
      <c r="F68" s="425">
        <f>+'Հավելված 3'!J51</f>
        <v>94652.2</v>
      </c>
      <c r="G68" s="24"/>
      <c r="H68" s="93"/>
      <c r="I68" s="36"/>
      <c r="J68" s="36"/>
      <c r="K68" s="36"/>
      <c r="L68" s="36"/>
    </row>
    <row r="69" spans="1:12" s="71" customFormat="1" ht="115.5" customHeight="1">
      <c r="A69" s="426"/>
      <c r="B69" s="286"/>
      <c r="C69" s="364" t="s">
        <v>317</v>
      </c>
      <c r="D69" s="338"/>
      <c r="E69" s="338"/>
      <c r="F69" s="427"/>
    </row>
    <row r="70" spans="1:12" s="23" customFormat="1" ht="30.75" customHeight="1">
      <c r="A70" s="428"/>
      <c r="B70" s="41"/>
      <c r="C70" s="364" t="s">
        <v>287</v>
      </c>
      <c r="D70" s="335"/>
      <c r="E70" s="335"/>
      <c r="F70" s="429"/>
    </row>
    <row r="71" spans="1:12" s="23" customFormat="1" ht="75.75" customHeight="1">
      <c r="A71" s="428"/>
      <c r="B71" s="41"/>
      <c r="C71" s="364" t="s">
        <v>328</v>
      </c>
      <c r="D71" s="335"/>
      <c r="E71" s="335"/>
      <c r="F71" s="429"/>
    </row>
    <row r="72" spans="1:12" s="23" customFormat="1" ht="23.25" customHeight="1">
      <c r="A72" s="428"/>
      <c r="B72" s="41"/>
      <c r="C72" s="364" t="s">
        <v>288</v>
      </c>
      <c r="D72" s="335"/>
      <c r="E72" s="335"/>
      <c r="F72" s="429"/>
    </row>
    <row r="73" spans="1:12" ht="46.5" customHeight="1">
      <c r="A73" s="430"/>
      <c r="B73" s="29"/>
      <c r="C73" s="364" t="s">
        <v>291</v>
      </c>
      <c r="D73" s="335"/>
      <c r="E73" s="335"/>
      <c r="F73" s="429"/>
      <c r="G73" s="24"/>
    </row>
    <row r="74" spans="1:12" ht="36.75" customHeight="1">
      <c r="A74" s="481"/>
      <c r="B74" s="482">
        <v>31002</v>
      </c>
      <c r="C74" s="483" t="s">
        <v>286</v>
      </c>
      <c r="D74" s="484">
        <f>+'Հավելված 3'!D57</f>
        <v>-94652.2</v>
      </c>
      <c r="E74" s="484">
        <f>+'Հավելված 3'!G57</f>
        <v>-134365.6</v>
      </c>
      <c r="F74" s="485">
        <f>+'Հավելված 3'!J57</f>
        <v>-94652.2</v>
      </c>
      <c r="G74" s="24"/>
      <c r="H74" s="93"/>
      <c r="I74" s="36"/>
      <c r="J74" s="36"/>
      <c r="K74" s="36"/>
      <c r="L74" s="36"/>
    </row>
    <row r="75" spans="1:12" s="71" customFormat="1" ht="106.5" customHeight="1">
      <c r="A75" s="426"/>
      <c r="B75" s="286"/>
      <c r="C75" s="364" t="s">
        <v>318</v>
      </c>
      <c r="D75" s="338"/>
      <c r="E75" s="338"/>
      <c r="F75" s="427"/>
    </row>
    <row r="76" spans="1:12" s="23" customFormat="1" ht="30.75" customHeight="1">
      <c r="A76" s="428"/>
      <c r="B76" s="41"/>
      <c r="C76" s="364" t="s">
        <v>287</v>
      </c>
      <c r="D76" s="335"/>
      <c r="E76" s="335"/>
      <c r="F76" s="429"/>
    </row>
    <row r="77" spans="1:12" s="23" customFormat="1" ht="85.5" customHeight="1">
      <c r="A77" s="428"/>
      <c r="B77" s="41"/>
      <c r="C77" s="364" t="s">
        <v>328</v>
      </c>
      <c r="D77" s="335"/>
      <c r="E77" s="335"/>
      <c r="F77" s="429"/>
    </row>
    <row r="78" spans="1:12" s="23" customFormat="1" ht="23.25" customHeight="1">
      <c r="A78" s="428"/>
      <c r="B78" s="41"/>
      <c r="C78" s="364" t="s">
        <v>288</v>
      </c>
      <c r="D78" s="335"/>
      <c r="E78" s="335"/>
      <c r="F78" s="429"/>
    </row>
    <row r="79" spans="1:12" ht="46.5" customHeight="1">
      <c r="A79" s="430"/>
      <c r="B79" s="29"/>
      <c r="C79" s="364" t="s">
        <v>291</v>
      </c>
      <c r="D79" s="335"/>
      <c r="E79" s="335"/>
      <c r="F79" s="429"/>
      <c r="G79" s="24"/>
    </row>
    <row r="80" spans="1:12" ht="36.75" customHeight="1">
      <c r="A80" s="481"/>
      <c r="B80" s="482">
        <v>31003</v>
      </c>
      <c r="C80" s="483" t="s">
        <v>286</v>
      </c>
      <c r="D80" s="484">
        <f>+'Հավելված 3'!D63</f>
        <v>-1031600</v>
      </c>
      <c r="E80" s="484">
        <f>+'Հավելված 3'!G63</f>
        <v>-1031600</v>
      </c>
      <c r="F80" s="485">
        <f>+'Հավելված 3'!J63</f>
        <v>-1041600</v>
      </c>
      <c r="G80" s="24"/>
      <c r="H80" s="93"/>
      <c r="I80" s="36"/>
      <c r="J80" s="36"/>
      <c r="K80" s="36"/>
      <c r="L80" s="36"/>
    </row>
    <row r="81" spans="1:12" s="71" customFormat="1" ht="108.75" customHeight="1">
      <c r="A81" s="426"/>
      <c r="B81" s="286"/>
      <c r="C81" s="364" t="s">
        <v>279</v>
      </c>
      <c r="D81" s="338"/>
      <c r="E81" s="338"/>
      <c r="F81" s="427"/>
    </row>
    <row r="82" spans="1:12" s="23" customFormat="1" ht="30.75" customHeight="1">
      <c r="A82" s="428"/>
      <c r="B82" s="41"/>
      <c r="C82" s="364" t="s">
        <v>287</v>
      </c>
      <c r="D82" s="335"/>
      <c r="E82" s="335"/>
      <c r="F82" s="429"/>
    </row>
    <row r="83" spans="1:12" s="23" customFormat="1" ht="51.75" customHeight="1">
      <c r="A83" s="428"/>
      <c r="B83" s="41"/>
      <c r="C83" s="364" t="s">
        <v>100</v>
      </c>
      <c r="D83" s="335"/>
      <c r="E83" s="335"/>
      <c r="F83" s="429"/>
    </row>
    <row r="84" spans="1:12" s="23" customFormat="1" ht="23.25" customHeight="1">
      <c r="A84" s="428"/>
      <c r="B84" s="41"/>
      <c r="C84" s="364" t="s">
        <v>288</v>
      </c>
      <c r="D84" s="335"/>
      <c r="E84" s="335"/>
      <c r="F84" s="429"/>
    </row>
    <row r="85" spans="1:12" ht="46.5" customHeight="1">
      <c r="A85" s="430"/>
      <c r="B85" s="29"/>
      <c r="C85" s="364" t="s">
        <v>291</v>
      </c>
      <c r="D85" s="335"/>
      <c r="E85" s="335"/>
      <c r="F85" s="429"/>
      <c r="G85" s="24"/>
    </row>
    <row r="86" spans="1:12" ht="36.75" customHeight="1">
      <c r="A86" s="481"/>
      <c r="B86" s="482">
        <v>31004</v>
      </c>
      <c r="C86" s="483" t="s">
        <v>286</v>
      </c>
      <c r="D86" s="484">
        <f>+'Հավելված 4'!D31</f>
        <v>-237578.4</v>
      </c>
      <c r="E86" s="484">
        <f>+'Հավելված 4'!G31</f>
        <v>-237578.4</v>
      </c>
      <c r="F86" s="485">
        <f>+'Հավելված 4'!J31</f>
        <v>-237578.4</v>
      </c>
      <c r="G86" s="24"/>
      <c r="H86" s="93"/>
      <c r="I86" s="36"/>
      <c r="J86" s="36"/>
      <c r="K86" s="36"/>
      <c r="L86" s="36"/>
    </row>
    <row r="87" spans="1:12" s="71" customFormat="1" ht="121.5" customHeight="1">
      <c r="A87" s="426"/>
      <c r="B87" s="286"/>
      <c r="C87" s="364" t="s">
        <v>322</v>
      </c>
      <c r="D87" s="338"/>
      <c r="E87" s="338"/>
      <c r="F87" s="427"/>
    </row>
    <row r="88" spans="1:12" s="23" customFormat="1" ht="30.75" customHeight="1">
      <c r="A88" s="428"/>
      <c r="B88" s="41"/>
      <c r="C88" s="364" t="s">
        <v>287</v>
      </c>
      <c r="D88" s="335"/>
      <c r="E88" s="335"/>
      <c r="F88" s="429"/>
    </row>
    <row r="89" spans="1:12" s="23" customFormat="1" ht="45.75" customHeight="1">
      <c r="A89" s="428"/>
      <c r="B89" s="41"/>
      <c r="C89" s="364" t="s">
        <v>100</v>
      </c>
      <c r="D89" s="335"/>
      <c r="E89" s="335"/>
      <c r="F89" s="429"/>
    </row>
    <row r="90" spans="1:12" s="23" customFormat="1" ht="23.25" customHeight="1">
      <c r="A90" s="428"/>
      <c r="B90" s="41"/>
      <c r="C90" s="364" t="s">
        <v>288</v>
      </c>
      <c r="D90" s="335"/>
      <c r="E90" s="335"/>
      <c r="F90" s="429"/>
    </row>
    <row r="91" spans="1:12" ht="46.5" customHeight="1" thickBot="1">
      <c r="A91" s="433"/>
      <c r="B91" s="434"/>
      <c r="C91" s="435" t="s">
        <v>291</v>
      </c>
      <c r="D91" s="436"/>
      <c r="E91" s="436"/>
      <c r="F91" s="437"/>
      <c r="G91" s="24"/>
    </row>
    <row r="92" spans="1:12" ht="24" customHeight="1" thickTop="1">
      <c r="A92" s="100"/>
      <c r="B92" s="100"/>
      <c r="C92" s="101"/>
      <c r="D92" s="125"/>
      <c r="E92" s="125"/>
      <c r="F92" s="102"/>
      <c r="G92" s="24"/>
    </row>
    <row r="93" spans="1:12" ht="24" customHeight="1">
      <c r="A93" s="100"/>
      <c r="B93" s="100"/>
      <c r="C93" s="101"/>
      <c r="D93" s="125"/>
      <c r="E93" s="125"/>
      <c r="F93" s="102"/>
      <c r="G93" s="24"/>
    </row>
    <row r="94" spans="1:12" ht="24" customHeight="1">
      <c r="A94" s="100"/>
      <c r="B94" s="100"/>
      <c r="C94" s="101"/>
      <c r="D94" s="125"/>
      <c r="E94" s="125"/>
      <c r="F94" s="125"/>
      <c r="G94" s="24"/>
    </row>
    <row r="95" spans="1:12" ht="26.25" customHeight="1">
      <c r="A95" s="100"/>
      <c r="B95" s="100"/>
      <c r="C95" s="101"/>
      <c r="D95" s="101"/>
      <c r="E95" s="101"/>
      <c r="F95" s="102"/>
      <c r="G95" s="36"/>
      <c r="H95" s="36"/>
      <c r="I95" s="36"/>
      <c r="J95" s="36"/>
    </row>
    <row r="96" spans="1:12">
      <c r="D96" s="121"/>
      <c r="E96" s="121"/>
      <c r="F96" s="121"/>
    </row>
  </sheetData>
  <mergeCells count="8">
    <mergeCell ref="A18:F18"/>
    <mergeCell ref="A49:F49"/>
    <mergeCell ref="I6:P6"/>
    <mergeCell ref="G7:H7"/>
    <mergeCell ref="C8:C9"/>
    <mergeCell ref="A8:B8"/>
    <mergeCell ref="D8:F9"/>
    <mergeCell ref="A6:F6"/>
  </mergeCells>
  <phoneticPr fontId="20" type="noConversion"/>
  <printOptions horizontalCentered="1"/>
  <pageMargins left="0.19685039370078741" right="0.19685039370078741" top="0.23622047244094491" bottom="0.35433070866141736" header="0.19685039370078741" footer="0.31496062992125984"/>
  <pageSetup paperSize="9" scale="70" orientation="portrait" horizontalDpi="4294967294" verticalDpi="4294967294" r:id="rId1"/>
  <rowBreaks count="1" manualBreakCount="1">
    <brk id="73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9"/>
  <sheetViews>
    <sheetView view="pageBreakPreview" zoomScale="80" zoomScaleNormal="70" zoomScaleSheetLayoutView="80" workbookViewId="0">
      <selection activeCell="H19" sqref="H1:H1048576"/>
    </sheetView>
  </sheetViews>
  <sheetFormatPr defaultRowHeight="16.5"/>
  <cols>
    <col min="1" max="1" width="5.7109375" style="23" customWidth="1"/>
    <col min="2" max="2" width="6" style="23" customWidth="1"/>
    <col min="3" max="3" width="5.140625" style="23" customWidth="1"/>
    <col min="4" max="4" width="10.85546875" style="23" customWidth="1"/>
    <col min="5" max="5" width="15.7109375" style="23" customWidth="1"/>
    <col min="6" max="6" width="64.5703125" style="22" customWidth="1"/>
    <col min="7" max="7" width="19" style="22" hidden="1" customWidth="1"/>
    <col min="8" max="8" width="20.7109375" style="22" hidden="1" customWidth="1"/>
    <col min="9" max="9" width="21.42578125" style="22" customWidth="1"/>
    <col min="10" max="10" width="19.140625" style="48" customWidth="1"/>
    <col min="11" max="11" width="19.7109375" style="32" customWidth="1"/>
    <col min="12" max="12" width="18.28515625" style="24" customWidth="1"/>
    <col min="13" max="13" width="19.5703125" style="24" customWidth="1"/>
    <col min="14" max="14" width="14.140625" style="24" customWidth="1"/>
    <col min="15" max="15" width="17.42578125" style="24" customWidth="1"/>
    <col min="16" max="16" width="21.5703125" style="24" customWidth="1"/>
    <col min="17" max="17" width="16" style="24" customWidth="1"/>
    <col min="18" max="18" width="20.7109375" style="24" customWidth="1"/>
    <col min="19" max="16384" width="9.140625" style="24"/>
  </cols>
  <sheetData>
    <row r="2" spans="1:20" ht="21" customHeight="1">
      <c r="I2" s="313"/>
      <c r="J2" s="321" t="s">
        <v>277</v>
      </c>
      <c r="L2" s="34"/>
    </row>
    <row r="3" spans="1:20" ht="14.25" customHeight="1">
      <c r="I3" s="24"/>
      <c r="J3" s="322" t="s">
        <v>265</v>
      </c>
      <c r="L3" s="34"/>
    </row>
    <row r="4" spans="1:20" ht="13.5" customHeight="1">
      <c r="I4" s="24"/>
      <c r="J4" s="314" t="s">
        <v>280</v>
      </c>
      <c r="L4" s="34"/>
    </row>
    <row r="5" spans="1:20" ht="21" customHeight="1">
      <c r="J5" s="47"/>
      <c r="L5" s="34"/>
    </row>
    <row r="6" spans="1:20" ht="75.75" customHeight="1">
      <c r="A6" s="564" t="s">
        <v>316</v>
      </c>
      <c r="B6" s="564"/>
      <c r="C6" s="564"/>
      <c r="D6" s="564"/>
      <c r="E6" s="564"/>
      <c r="F6" s="564"/>
      <c r="G6" s="564"/>
      <c r="H6" s="564"/>
      <c r="I6" s="564"/>
      <c r="J6" s="564"/>
      <c r="K6" s="45"/>
      <c r="L6" s="45"/>
      <c r="M6" s="554"/>
      <c r="N6" s="554"/>
      <c r="O6" s="554"/>
      <c r="P6" s="554"/>
      <c r="Q6" s="554"/>
      <c r="R6" s="554"/>
      <c r="S6" s="554"/>
      <c r="T6" s="554"/>
    </row>
    <row r="7" spans="1:20" ht="21.75" customHeight="1" thickBot="1">
      <c r="B7" s="22"/>
      <c r="C7" s="26"/>
      <c r="D7" s="26"/>
      <c r="E7" s="26"/>
      <c r="F7" s="26"/>
      <c r="G7" s="26"/>
      <c r="H7" s="26"/>
      <c r="I7" s="26"/>
      <c r="J7" s="290" t="s">
        <v>42</v>
      </c>
      <c r="K7" s="555"/>
      <c r="L7" s="555"/>
    </row>
    <row r="8" spans="1:20" ht="54" customHeight="1">
      <c r="A8" s="565" t="s">
        <v>202</v>
      </c>
      <c r="B8" s="566"/>
      <c r="C8" s="566"/>
      <c r="D8" s="566" t="s">
        <v>36</v>
      </c>
      <c r="E8" s="566"/>
      <c r="F8" s="567" t="s">
        <v>296</v>
      </c>
      <c r="G8" s="569" t="s">
        <v>298</v>
      </c>
      <c r="H8" s="569"/>
      <c r="I8" s="569"/>
      <c r="J8" s="570"/>
      <c r="L8" s="32"/>
    </row>
    <row r="9" spans="1:20" ht="77.25" customHeight="1">
      <c r="A9" s="323" t="s">
        <v>293</v>
      </c>
      <c r="B9" s="291" t="s">
        <v>294</v>
      </c>
      <c r="C9" s="291" t="s">
        <v>295</v>
      </c>
      <c r="D9" s="28" t="s">
        <v>43</v>
      </c>
      <c r="E9" s="28" t="s">
        <v>44</v>
      </c>
      <c r="F9" s="568"/>
      <c r="G9" s="562"/>
      <c r="H9" s="562"/>
      <c r="I9" s="562"/>
      <c r="J9" s="571"/>
      <c r="L9" s="32"/>
    </row>
    <row r="10" spans="1:20" ht="31.5" customHeight="1">
      <c r="A10" s="55"/>
      <c r="B10" s="49"/>
      <c r="C10" s="49"/>
      <c r="D10" s="49"/>
      <c r="E10" s="49"/>
      <c r="F10" s="51"/>
      <c r="G10" s="64" t="s">
        <v>204</v>
      </c>
      <c r="H10" s="64" t="s">
        <v>303</v>
      </c>
      <c r="I10" s="64" t="s">
        <v>302</v>
      </c>
      <c r="J10" s="50" t="s">
        <v>301</v>
      </c>
      <c r="K10" s="24"/>
    </row>
    <row r="11" spans="1:20" s="68" customFormat="1" ht="49.5" customHeight="1">
      <c r="A11" s="328"/>
      <c r="B11" s="329"/>
      <c r="C11" s="330"/>
      <c r="D11" s="330"/>
      <c r="E11" s="330"/>
      <c r="F11" s="331" t="s">
        <v>297</v>
      </c>
      <c r="G11" s="332" t="e">
        <f>+G13+G39</f>
        <v>#REF!</v>
      </c>
      <c r="H11" s="511">
        <f>+H13+H39</f>
        <v>0</v>
      </c>
      <c r="I11" s="511">
        <f>+I13+I39</f>
        <v>0</v>
      </c>
      <c r="J11" s="512">
        <f>+J13+J39</f>
        <v>0</v>
      </c>
      <c r="K11" s="72"/>
      <c r="L11" s="72"/>
      <c r="M11" s="72"/>
      <c r="N11" s="72"/>
      <c r="O11" s="73"/>
      <c r="P11" s="73"/>
    </row>
    <row r="12" spans="1:20" ht="20.25" customHeight="1">
      <c r="A12" s="56"/>
      <c r="B12" s="35"/>
      <c r="C12" s="35"/>
      <c r="D12" s="35"/>
      <c r="E12" s="35"/>
      <c r="F12" s="356" t="s">
        <v>25</v>
      </c>
      <c r="G12" s="25"/>
      <c r="H12" s="513"/>
      <c r="I12" s="513"/>
      <c r="J12" s="514"/>
      <c r="K12" s="24"/>
      <c r="L12" s="93"/>
      <c r="M12" s="36"/>
      <c r="N12" s="36"/>
      <c r="O12" s="36"/>
      <c r="P12" s="36"/>
    </row>
    <row r="13" spans="1:20" s="68" customFormat="1" ht="29.25" customHeight="1">
      <c r="A13" s="324" t="s">
        <v>7</v>
      </c>
      <c r="B13" s="325"/>
      <c r="C13" s="326"/>
      <c r="D13" s="326"/>
      <c r="E13" s="326"/>
      <c r="F13" s="327" t="s">
        <v>35</v>
      </c>
      <c r="G13" s="333" t="e">
        <f>+G15</f>
        <v>#REF!</v>
      </c>
      <c r="H13" s="515">
        <f>+H15</f>
        <v>1031600</v>
      </c>
      <c r="I13" s="515">
        <f>+I15</f>
        <v>1031600</v>
      </c>
      <c r="J13" s="516">
        <f>+J15</f>
        <v>1031600</v>
      </c>
      <c r="L13" s="74"/>
      <c r="M13" s="75"/>
      <c r="N13" s="75"/>
      <c r="O13" s="73"/>
      <c r="P13" s="73"/>
    </row>
    <row r="14" spans="1:20" ht="21" customHeight="1">
      <c r="A14" s="54"/>
      <c r="B14" s="27"/>
      <c r="C14" s="29"/>
      <c r="D14" s="29"/>
      <c r="E14" s="29"/>
      <c r="F14" s="31" t="s">
        <v>27</v>
      </c>
      <c r="G14" s="335"/>
      <c r="H14" s="517"/>
      <c r="I14" s="517"/>
      <c r="J14" s="518"/>
      <c r="K14" s="24"/>
      <c r="M14" s="38"/>
      <c r="N14" s="36"/>
      <c r="O14" s="36"/>
      <c r="P14" s="36"/>
    </row>
    <row r="15" spans="1:20" ht="33.75" customHeight="1">
      <c r="A15" s="54"/>
      <c r="B15" s="28" t="s">
        <v>9</v>
      </c>
      <c r="C15" s="29"/>
      <c r="D15" s="29"/>
      <c r="E15" s="29"/>
      <c r="F15" s="30" t="s">
        <v>29</v>
      </c>
      <c r="G15" s="335" t="e">
        <f>+G17</f>
        <v>#REF!</v>
      </c>
      <c r="H15" s="517">
        <f>+H17</f>
        <v>1031600</v>
      </c>
      <c r="I15" s="517">
        <f>+I17</f>
        <v>1031600</v>
      </c>
      <c r="J15" s="519">
        <f>+J17</f>
        <v>1031600</v>
      </c>
      <c r="K15" s="24"/>
      <c r="M15" s="36"/>
      <c r="N15" s="36"/>
      <c r="O15" s="36"/>
      <c r="P15" s="36"/>
    </row>
    <row r="16" spans="1:20" ht="27" customHeight="1">
      <c r="A16" s="54"/>
      <c r="B16" s="28"/>
      <c r="C16" s="29"/>
      <c r="D16" s="29"/>
      <c r="E16" s="29"/>
      <c r="F16" s="31" t="s">
        <v>27</v>
      </c>
      <c r="G16" s="335"/>
      <c r="H16" s="520"/>
      <c r="I16" s="520"/>
      <c r="J16" s="514"/>
      <c r="K16" s="24"/>
      <c r="M16" s="36"/>
      <c r="N16" s="36"/>
      <c r="O16" s="36"/>
      <c r="P16" s="36"/>
    </row>
    <row r="17" spans="1:16" ht="25.5" customHeight="1">
      <c r="A17" s="54"/>
      <c r="B17" s="27"/>
      <c r="C17" s="29" t="s">
        <v>7</v>
      </c>
      <c r="D17" s="29"/>
      <c r="E17" s="29"/>
      <c r="F17" s="30" t="s">
        <v>30</v>
      </c>
      <c r="G17" s="335" t="e">
        <f>+G19</f>
        <v>#REF!</v>
      </c>
      <c r="H17" s="517">
        <f>+H19</f>
        <v>1031600</v>
      </c>
      <c r="I17" s="517">
        <f>+I19</f>
        <v>1031600</v>
      </c>
      <c r="J17" s="519">
        <f>+J19</f>
        <v>1031600</v>
      </c>
      <c r="K17" s="37"/>
    </row>
    <row r="18" spans="1:16" ht="19.5" customHeight="1">
      <c r="A18" s="54"/>
      <c r="B18" s="27"/>
      <c r="C18" s="29"/>
      <c r="D18" s="29"/>
      <c r="E18" s="29"/>
      <c r="F18" s="31" t="s">
        <v>25</v>
      </c>
      <c r="G18" s="335"/>
      <c r="H18" s="517"/>
      <c r="I18" s="517"/>
      <c r="J18" s="518"/>
      <c r="K18" s="24"/>
      <c r="M18" s="36"/>
      <c r="N18" s="36"/>
      <c r="O18" s="36"/>
      <c r="P18" s="36"/>
    </row>
    <row r="19" spans="1:16" ht="36.75" customHeight="1">
      <c r="A19" s="54"/>
      <c r="B19" s="27"/>
      <c r="C19" s="29"/>
      <c r="D19" s="29"/>
      <c r="E19" s="29"/>
      <c r="F19" s="31" t="s">
        <v>299</v>
      </c>
      <c r="G19" s="335" t="e">
        <f>+G21</f>
        <v>#REF!</v>
      </c>
      <c r="H19" s="517">
        <f>+H21</f>
        <v>1031600</v>
      </c>
      <c r="I19" s="517">
        <f>+I21</f>
        <v>1031600</v>
      </c>
      <c r="J19" s="518">
        <f>+J21</f>
        <v>1031600</v>
      </c>
      <c r="K19" s="24"/>
      <c r="M19" s="36"/>
      <c r="N19" s="36"/>
      <c r="O19" s="36"/>
      <c r="P19" s="36"/>
    </row>
    <row r="20" spans="1:16" ht="19.5" customHeight="1">
      <c r="A20" s="54"/>
      <c r="B20" s="27"/>
      <c r="C20" s="29"/>
      <c r="D20" s="29"/>
      <c r="E20" s="29"/>
      <c r="F20" s="31" t="s">
        <v>27</v>
      </c>
      <c r="G20" s="335"/>
      <c r="H20" s="517"/>
      <c r="I20" s="517"/>
      <c r="J20" s="518"/>
      <c r="K20" s="24"/>
      <c r="M20" s="36"/>
      <c r="N20" s="36"/>
      <c r="O20" s="36"/>
      <c r="P20" s="36"/>
    </row>
    <row r="21" spans="1:16" ht="33.75" customHeight="1">
      <c r="A21" s="370"/>
      <c r="B21" s="371"/>
      <c r="C21" s="372"/>
      <c r="D21" s="367" t="s">
        <v>205</v>
      </c>
      <c r="E21" s="372"/>
      <c r="F21" s="374" t="s">
        <v>270</v>
      </c>
      <c r="G21" s="373" t="e">
        <f>+G23+G27+G35</f>
        <v>#REF!</v>
      </c>
      <c r="H21" s="521">
        <f>+H23+H27+H35</f>
        <v>1031600</v>
      </c>
      <c r="I21" s="521">
        <f>+I23+I27+I35</f>
        <v>1031600</v>
      </c>
      <c r="J21" s="522">
        <f>+J23+J27+J35+J31</f>
        <v>1031600</v>
      </c>
      <c r="K21" s="24"/>
      <c r="M21" s="36"/>
      <c r="N21" s="36"/>
      <c r="O21" s="36"/>
      <c r="P21" s="36"/>
    </row>
    <row r="22" spans="1:16" ht="19.5" customHeight="1">
      <c r="A22" s="54"/>
      <c r="B22" s="27"/>
      <c r="C22" s="29"/>
      <c r="D22" s="29"/>
      <c r="E22" s="29"/>
      <c r="F22" s="31" t="s">
        <v>27</v>
      </c>
      <c r="G22" s="335"/>
      <c r="H22" s="517"/>
      <c r="I22" s="517"/>
      <c r="J22" s="518"/>
      <c r="K22" s="24"/>
      <c r="M22" s="36"/>
      <c r="N22" s="36"/>
      <c r="O22" s="36"/>
      <c r="P22" s="36"/>
    </row>
    <row r="23" spans="1:16" s="71" customFormat="1" ht="57.75" customHeight="1">
      <c r="A23" s="70"/>
      <c r="B23" s="76"/>
      <c r="C23" s="76"/>
      <c r="D23" s="286"/>
      <c r="E23" s="286">
        <f>+'Հավելված 1'!B19</f>
        <v>11006</v>
      </c>
      <c r="F23" s="287" t="str">
        <f>+'Հավելված 1'!C20</f>
        <v>Ֆրանսիայի Հանրապետության կառավարության աջակցությամբ իրականացվող Վեդու ջրամբարի կառուցման ծրագրի խորհրդատվություն և կառավարում</v>
      </c>
      <c r="G23" s="338" t="e">
        <f>G26</f>
        <v>#REF!</v>
      </c>
      <c r="H23" s="523">
        <f>H26</f>
        <v>166095</v>
      </c>
      <c r="I23" s="523">
        <f>I26</f>
        <v>166095</v>
      </c>
      <c r="J23" s="524">
        <f>J26</f>
        <v>166095</v>
      </c>
    </row>
    <row r="24" spans="1:16" s="23" customFormat="1" ht="39" customHeight="1">
      <c r="A24" s="57"/>
      <c r="B24" s="41"/>
      <c r="C24" s="41"/>
      <c r="D24" s="41"/>
      <c r="E24" s="41"/>
      <c r="F24" s="51" t="s">
        <v>203</v>
      </c>
      <c r="G24" s="335" t="e">
        <f>+G26</f>
        <v>#REF!</v>
      </c>
      <c r="H24" s="517">
        <f>+H26</f>
        <v>166095</v>
      </c>
      <c r="I24" s="517">
        <f>+I26</f>
        <v>166095</v>
      </c>
      <c r="J24" s="519">
        <f>+J26</f>
        <v>166095</v>
      </c>
    </row>
    <row r="25" spans="1:16" s="23" customFormat="1" ht="23.25" customHeight="1">
      <c r="A25" s="57"/>
      <c r="B25" s="41"/>
      <c r="C25" s="41"/>
      <c r="D25" s="41"/>
      <c r="E25" s="41"/>
      <c r="F25" s="46" t="s">
        <v>28</v>
      </c>
      <c r="G25" s="335"/>
      <c r="H25" s="517"/>
      <c r="I25" s="517"/>
      <c r="J25" s="519"/>
    </row>
    <row r="26" spans="1:16" ht="24.75" customHeight="1">
      <c r="A26" s="54"/>
      <c r="B26" s="27"/>
      <c r="C26" s="29"/>
      <c r="D26" s="29"/>
      <c r="E26" s="29"/>
      <c r="F26" s="168" t="s">
        <v>4</v>
      </c>
      <c r="G26" s="335" t="e">
        <f>+'Հավելված 3'!#REF!</f>
        <v>#REF!</v>
      </c>
      <c r="H26" s="517">
        <f>+'Հավելված 3'!D24</f>
        <v>166095</v>
      </c>
      <c r="I26" s="517">
        <f>+'Հավելված 3'!G24</f>
        <v>166095</v>
      </c>
      <c r="J26" s="519">
        <f>+'Հավելված 3'!J24</f>
        <v>166095</v>
      </c>
      <c r="K26" s="24"/>
    </row>
    <row r="27" spans="1:16" s="71" customFormat="1" ht="43.5" customHeight="1">
      <c r="A27" s="70"/>
      <c r="B27" s="76"/>
      <c r="C27" s="76"/>
      <c r="D27" s="286"/>
      <c r="E27" s="286">
        <f>+'Հավելված 1'!B25</f>
        <v>31001</v>
      </c>
      <c r="F27" s="287" t="str">
        <f>+'Հավելված 1'!C26</f>
        <v>Ֆրանսիայի Հանրապետության կառավարության աջակցությամբ իրականացվող Վեդու ջրամբարի կառուցում</v>
      </c>
      <c r="G27" s="338" t="e">
        <f>G30</f>
        <v>#REF!</v>
      </c>
      <c r="H27" s="523">
        <f>H30</f>
        <v>722505</v>
      </c>
      <c r="I27" s="523">
        <f>I30</f>
        <v>722505</v>
      </c>
      <c r="J27" s="524">
        <f>J30</f>
        <v>1792701.1</v>
      </c>
    </row>
    <row r="28" spans="1:16" s="23" customFormat="1" ht="39" customHeight="1">
      <c r="A28" s="57"/>
      <c r="B28" s="41"/>
      <c r="C28" s="41"/>
      <c r="D28" s="41"/>
      <c r="E28" s="41"/>
      <c r="F28" s="31" t="s">
        <v>203</v>
      </c>
      <c r="G28" s="336" t="e">
        <f>G27</f>
        <v>#REF!</v>
      </c>
      <c r="H28" s="520">
        <f>H27</f>
        <v>722505</v>
      </c>
      <c r="I28" s="520">
        <f>I27</f>
        <v>722505</v>
      </c>
      <c r="J28" s="514">
        <f>J27</f>
        <v>1792701.1</v>
      </c>
    </row>
    <row r="29" spans="1:16" s="23" customFormat="1" ht="23.25" customHeight="1">
      <c r="A29" s="57"/>
      <c r="B29" s="41"/>
      <c r="C29" s="41"/>
      <c r="D29" s="41"/>
      <c r="E29" s="41"/>
      <c r="F29" s="46" t="s">
        <v>28</v>
      </c>
      <c r="G29" s="335"/>
      <c r="H29" s="517"/>
      <c r="I29" s="517"/>
      <c r="J29" s="519"/>
    </row>
    <row r="30" spans="1:16" s="23" customFormat="1" ht="23.25" customHeight="1">
      <c r="A30" s="57"/>
      <c r="B30" s="41"/>
      <c r="C30" s="41"/>
      <c r="D30" s="41"/>
      <c r="E30" s="41"/>
      <c r="F30" s="376" t="s">
        <v>136</v>
      </c>
      <c r="G30" s="335" t="e">
        <f>+'Հավելված 3'!#REF!</f>
        <v>#REF!</v>
      </c>
      <c r="H30" s="517">
        <f>+'Հավելված 3'!D30</f>
        <v>722505</v>
      </c>
      <c r="I30" s="517">
        <f>+'Հավելված 3'!G30</f>
        <v>722505</v>
      </c>
      <c r="J30" s="519">
        <f>+'Հավելված 3'!J30</f>
        <v>1792701.1</v>
      </c>
    </row>
    <row r="31" spans="1:16" s="71" customFormat="1" ht="68.25" customHeight="1">
      <c r="A31" s="70"/>
      <c r="B31" s="76"/>
      <c r="C31" s="76"/>
      <c r="D31" s="286"/>
      <c r="E31" s="286">
        <v>31004</v>
      </c>
      <c r="F31" s="287" t="s">
        <v>343</v>
      </c>
      <c r="G31" s="338" t="e">
        <f>G34</f>
        <v>#REF!</v>
      </c>
      <c r="H31" s="523">
        <f>H34</f>
        <v>0</v>
      </c>
      <c r="I31" s="523">
        <f>I34</f>
        <v>0</v>
      </c>
      <c r="J31" s="524">
        <f>J34</f>
        <v>-1070196.1000000001</v>
      </c>
    </row>
    <row r="32" spans="1:16" s="23" customFormat="1" ht="39" customHeight="1">
      <c r="A32" s="57"/>
      <c r="B32" s="41"/>
      <c r="C32" s="41"/>
      <c r="D32" s="41"/>
      <c r="E32" s="41"/>
      <c r="F32" s="51" t="s">
        <v>203</v>
      </c>
      <c r="G32" s="336" t="e">
        <f>G31</f>
        <v>#REF!</v>
      </c>
      <c r="H32" s="520">
        <f>H31</f>
        <v>0</v>
      </c>
      <c r="I32" s="520">
        <f>I31</f>
        <v>0</v>
      </c>
      <c r="J32" s="514">
        <f>J31</f>
        <v>-1070196.1000000001</v>
      </c>
    </row>
    <row r="33" spans="1:16" s="23" customFormat="1" ht="23.25" customHeight="1">
      <c r="A33" s="57"/>
      <c r="B33" s="41"/>
      <c r="C33" s="41"/>
      <c r="D33" s="41"/>
      <c r="E33" s="41"/>
      <c r="F33" s="46" t="s">
        <v>28</v>
      </c>
      <c r="G33" s="335"/>
      <c r="H33" s="517"/>
      <c r="I33" s="517"/>
      <c r="J33" s="514"/>
    </row>
    <row r="34" spans="1:16" ht="24" customHeight="1">
      <c r="A34" s="54"/>
      <c r="B34" s="27"/>
      <c r="C34" s="29"/>
      <c r="D34" s="29"/>
      <c r="E34" s="29"/>
      <c r="F34" s="288" t="s">
        <v>80</v>
      </c>
      <c r="G34" s="335" t="e">
        <f>+'Հավելված 3'!#REF!</f>
        <v>#REF!</v>
      </c>
      <c r="H34" s="517">
        <f>+'Հավելված 3'!D36</f>
        <v>0</v>
      </c>
      <c r="I34" s="517">
        <f>+'Հավելված 3'!G36</f>
        <v>0</v>
      </c>
      <c r="J34" s="519">
        <f>+'Հավելված 3'!J36</f>
        <v>-1070196.1000000001</v>
      </c>
      <c r="K34" s="24"/>
    </row>
    <row r="35" spans="1:16" s="71" customFormat="1" ht="68.25" customHeight="1">
      <c r="A35" s="70"/>
      <c r="B35" s="76"/>
      <c r="C35" s="76"/>
      <c r="D35" s="286"/>
      <c r="E35" s="286">
        <v>31005</v>
      </c>
      <c r="F35" s="287" t="s">
        <v>206</v>
      </c>
      <c r="G35" s="338" t="e">
        <f>G38</f>
        <v>#REF!</v>
      </c>
      <c r="H35" s="523">
        <f>H38</f>
        <v>143000</v>
      </c>
      <c r="I35" s="523">
        <f>I38</f>
        <v>143000</v>
      </c>
      <c r="J35" s="524">
        <f>J38</f>
        <v>143000</v>
      </c>
    </row>
    <row r="36" spans="1:16" s="23" customFormat="1" ht="39" customHeight="1">
      <c r="A36" s="57"/>
      <c r="B36" s="41"/>
      <c r="C36" s="41"/>
      <c r="D36" s="41"/>
      <c r="E36" s="41"/>
      <c r="F36" s="51" t="s">
        <v>203</v>
      </c>
      <c r="G36" s="336" t="e">
        <f>G35</f>
        <v>#REF!</v>
      </c>
      <c r="H36" s="520">
        <f>H35</f>
        <v>143000</v>
      </c>
      <c r="I36" s="520">
        <f>I35</f>
        <v>143000</v>
      </c>
      <c r="J36" s="514">
        <f>J35</f>
        <v>143000</v>
      </c>
    </row>
    <row r="37" spans="1:16" s="23" customFormat="1" ht="23.25" customHeight="1">
      <c r="A37" s="57"/>
      <c r="B37" s="41"/>
      <c r="C37" s="41"/>
      <c r="D37" s="41"/>
      <c r="E37" s="41"/>
      <c r="F37" s="46" t="s">
        <v>28</v>
      </c>
      <c r="G37" s="335"/>
      <c r="H37" s="517"/>
      <c r="I37" s="517"/>
      <c r="J37" s="514"/>
    </row>
    <row r="38" spans="1:16" ht="24" customHeight="1">
      <c r="A38" s="54"/>
      <c r="B38" s="27"/>
      <c r="C38" s="29"/>
      <c r="D38" s="29"/>
      <c r="E38" s="29"/>
      <c r="F38" s="288" t="s">
        <v>80</v>
      </c>
      <c r="G38" s="335" t="e">
        <f>+'Հավելված 3'!#REF!</f>
        <v>#REF!</v>
      </c>
      <c r="H38" s="517">
        <f>+'Հավելված 3'!D42</f>
        <v>143000</v>
      </c>
      <c r="I38" s="517">
        <f>+'Հավելված 3'!G42</f>
        <v>143000</v>
      </c>
      <c r="J38" s="519">
        <f>+'Հավելված 3'!J42</f>
        <v>143000</v>
      </c>
      <c r="K38" s="24"/>
    </row>
    <row r="39" spans="1:16" s="68" customFormat="1" ht="45" customHeight="1">
      <c r="A39" s="324" t="s">
        <v>8</v>
      </c>
      <c r="B39" s="325"/>
      <c r="C39" s="326"/>
      <c r="D39" s="326"/>
      <c r="E39" s="326"/>
      <c r="F39" s="327" t="s">
        <v>274</v>
      </c>
      <c r="G39" s="333" t="e">
        <f>G41</f>
        <v>#REF!</v>
      </c>
      <c r="H39" s="333">
        <f>H41</f>
        <v>-1031600.0000000001</v>
      </c>
      <c r="I39" s="333">
        <f>I41</f>
        <v>-1031600</v>
      </c>
      <c r="J39" s="334">
        <f>J41</f>
        <v>-1031600.0000000001</v>
      </c>
      <c r="L39" s="74"/>
      <c r="M39" s="75"/>
      <c r="N39" s="75"/>
      <c r="O39" s="73"/>
      <c r="P39" s="73"/>
    </row>
    <row r="40" spans="1:16" s="23" customFormat="1" ht="21" customHeight="1">
      <c r="A40" s="57"/>
      <c r="B40" s="42"/>
      <c r="C40" s="42"/>
      <c r="D40" s="42"/>
      <c r="E40" s="42"/>
      <c r="F40" s="44" t="s">
        <v>25</v>
      </c>
      <c r="G40" s="340"/>
      <c r="H40" s="340"/>
      <c r="I40" s="340"/>
      <c r="J40" s="341"/>
    </row>
    <row r="41" spans="1:16" s="23" customFormat="1" ht="25.5" customHeight="1">
      <c r="A41" s="57"/>
      <c r="B41" s="42" t="s">
        <v>6</v>
      </c>
      <c r="C41" s="42"/>
      <c r="D41" s="42"/>
      <c r="E41" s="42"/>
      <c r="F41" s="43" t="s">
        <v>32</v>
      </c>
      <c r="G41" s="336" t="e">
        <f>+G43</f>
        <v>#REF!</v>
      </c>
      <c r="H41" s="336">
        <f>+H43</f>
        <v>-1031600.0000000001</v>
      </c>
      <c r="I41" s="336">
        <f>+I43</f>
        <v>-1031600</v>
      </c>
      <c r="J41" s="337">
        <f>+J43</f>
        <v>-1031600.0000000001</v>
      </c>
    </row>
    <row r="42" spans="1:16" s="23" customFormat="1" ht="21" customHeight="1">
      <c r="A42" s="57"/>
      <c r="B42" s="42"/>
      <c r="C42" s="42"/>
      <c r="D42" s="42"/>
      <c r="E42" s="42"/>
      <c r="F42" s="44" t="s">
        <v>25</v>
      </c>
      <c r="G42" s="340"/>
      <c r="H42" s="340"/>
      <c r="I42" s="340"/>
      <c r="J42" s="341"/>
    </row>
    <row r="43" spans="1:16" s="23" customFormat="1" ht="28.5" customHeight="1">
      <c r="A43" s="57"/>
      <c r="B43" s="42"/>
      <c r="C43" s="42" t="s">
        <v>5</v>
      </c>
      <c r="D43" s="42"/>
      <c r="E43" s="42"/>
      <c r="F43" s="43" t="s">
        <v>32</v>
      </c>
      <c r="G43" s="338" t="e">
        <f>+G45</f>
        <v>#REF!</v>
      </c>
      <c r="H43" s="338">
        <f>+H45</f>
        <v>-1031600.0000000001</v>
      </c>
      <c r="I43" s="338">
        <f>+I45</f>
        <v>-1031600</v>
      </c>
      <c r="J43" s="339">
        <f>+J45</f>
        <v>-1031600.0000000001</v>
      </c>
    </row>
    <row r="44" spans="1:16" s="23" customFormat="1" ht="18.75" customHeight="1">
      <c r="A44" s="57"/>
      <c r="B44" s="42"/>
      <c r="C44" s="41"/>
      <c r="D44" s="41"/>
      <c r="E44" s="41"/>
      <c r="F44" s="44" t="s">
        <v>25</v>
      </c>
      <c r="G44" s="340"/>
      <c r="H44" s="340"/>
      <c r="I44" s="340"/>
      <c r="J44" s="337"/>
    </row>
    <row r="45" spans="1:16" ht="33.75" customHeight="1">
      <c r="A45" s="370"/>
      <c r="B45" s="371"/>
      <c r="C45" s="372"/>
      <c r="D45" s="367">
        <v>1072</v>
      </c>
      <c r="E45" s="372"/>
      <c r="F45" s="374" t="s">
        <v>292</v>
      </c>
      <c r="G45" s="373" t="e">
        <f>+G47+G67</f>
        <v>#REF!</v>
      </c>
      <c r="H45" s="501">
        <f>+H47+H51+H59+H63+H67+H71+H55</f>
        <v>-1031600.0000000001</v>
      </c>
      <c r="I45" s="501">
        <f>+I47+I51+I59+I63+I67+I71+I55</f>
        <v>-1031600</v>
      </c>
      <c r="J45" s="502">
        <f>+J47+J51+J59+J63+J67+J71+J55</f>
        <v>-1031600.0000000001</v>
      </c>
      <c r="K45" s="24"/>
      <c r="M45" s="36"/>
      <c r="N45" s="36"/>
      <c r="O45" s="36"/>
      <c r="P45" s="36"/>
    </row>
    <row r="46" spans="1:16" s="23" customFormat="1" ht="28.5" customHeight="1">
      <c r="A46" s="57"/>
      <c r="B46" s="42"/>
      <c r="C46" s="41"/>
      <c r="D46" s="286"/>
      <c r="E46" s="41"/>
      <c r="F46" s="44" t="s">
        <v>25</v>
      </c>
      <c r="G46" s="340"/>
      <c r="H46" s="503"/>
      <c r="I46" s="503"/>
      <c r="J46" s="69"/>
    </row>
    <row r="47" spans="1:16" s="71" customFormat="1" ht="60.75" customHeight="1">
      <c r="A47" s="70"/>
      <c r="B47" s="76"/>
      <c r="C47" s="76"/>
      <c r="D47" s="286"/>
      <c r="E47" s="286">
        <v>11003</v>
      </c>
      <c r="F47" s="289" t="s">
        <v>321</v>
      </c>
      <c r="G47" s="338" t="e">
        <f>G50</f>
        <v>#REF!</v>
      </c>
      <c r="H47" s="504">
        <f>H50</f>
        <v>10000</v>
      </c>
      <c r="I47" s="504">
        <f>I50</f>
        <v>10000</v>
      </c>
      <c r="J47" s="505">
        <f>J50</f>
        <v>10000</v>
      </c>
    </row>
    <row r="48" spans="1:16" s="23" customFormat="1" ht="39" customHeight="1">
      <c r="A48" s="57"/>
      <c r="B48" s="41"/>
      <c r="C48" s="41"/>
      <c r="D48" s="41"/>
      <c r="E48" s="41"/>
      <c r="F48" s="51" t="s">
        <v>203</v>
      </c>
      <c r="G48" s="336" t="e">
        <f>G47</f>
        <v>#REF!</v>
      </c>
      <c r="H48" s="506">
        <f>H47</f>
        <v>10000</v>
      </c>
      <c r="I48" s="506">
        <f>I47</f>
        <v>10000</v>
      </c>
      <c r="J48" s="69">
        <f>J47</f>
        <v>10000</v>
      </c>
    </row>
    <row r="49" spans="1:11" s="23" customFormat="1" ht="23.25" customHeight="1">
      <c r="A49" s="57"/>
      <c r="B49" s="41"/>
      <c r="C49" s="41"/>
      <c r="D49" s="41"/>
      <c r="E49" s="41"/>
      <c r="F49" s="46" t="s">
        <v>28</v>
      </c>
      <c r="G49" s="336"/>
      <c r="H49" s="506"/>
      <c r="I49" s="506"/>
      <c r="J49" s="69"/>
    </row>
    <row r="50" spans="1:11" ht="24" customHeight="1">
      <c r="A50" s="54"/>
      <c r="B50" s="27"/>
      <c r="C50" s="29"/>
      <c r="D50" s="29"/>
      <c r="E50" s="29"/>
      <c r="F50" s="288" t="s">
        <v>320</v>
      </c>
      <c r="G50" s="336" t="e">
        <f>+'Հավելված 3'!#REF!</f>
        <v>#REF!</v>
      </c>
      <c r="H50" s="506">
        <f>+'Հավելված 4'!D24</f>
        <v>10000</v>
      </c>
      <c r="I50" s="506">
        <f>+'Հավելված 4'!G24</f>
        <v>10000</v>
      </c>
      <c r="J50" s="69">
        <f>+'Հավելված 4'!J24</f>
        <v>10000</v>
      </c>
      <c r="K50" s="24"/>
    </row>
    <row r="51" spans="1:11" s="71" customFormat="1" ht="60.75" customHeight="1">
      <c r="A51" s="70"/>
      <c r="B51" s="76"/>
      <c r="C51" s="76"/>
      <c r="D51" s="286"/>
      <c r="E51" s="286">
        <v>11004</v>
      </c>
      <c r="F51" s="289" t="s">
        <v>319</v>
      </c>
      <c r="G51" s="338" t="e">
        <f>G54</f>
        <v>#REF!</v>
      </c>
      <c r="H51" s="504">
        <f>H54</f>
        <v>227578.4</v>
      </c>
      <c r="I51" s="504">
        <f>I54</f>
        <v>227578.4</v>
      </c>
      <c r="J51" s="505">
        <f>J54</f>
        <v>227578.4</v>
      </c>
    </row>
    <row r="52" spans="1:11" s="23" customFormat="1" ht="39" customHeight="1">
      <c r="A52" s="57"/>
      <c r="B52" s="41"/>
      <c r="C52" s="41"/>
      <c r="D52" s="41"/>
      <c r="E52" s="41"/>
      <c r="F52" s="51" t="s">
        <v>203</v>
      </c>
      <c r="G52" s="336" t="e">
        <f>G51</f>
        <v>#REF!</v>
      </c>
      <c r="H52" s="506">
        <f>H51</f>
        <v>227578.4</v>
      </c>
      <c r="I52" s="506">
        <f>I51</f>
        <v>227578.4</v>
      </c>
      <c r="J52" s="69">
        <f>J51</f>
        <v>227578.4</v>
      </c>
    </row>
    <row r="53" spans="1:11" s="23" customFormat="1" ht="23.25" customHeight="1">
      <c r="A53" s="57"/>
      <c r="B53" s="41"/>
      <c r="C53" s="41"/>
      <c r="D53" s="41"/>
      <c r="E53" s="41"/>
      <c r="F53" s="46" t="s">
        <v>28</v>
      </c>
      <c r="G53" s="336"/>
      <c r="H53" s="506"/>
      <c r="I53" s="506"/>
      <c r="J53" s="69"/>
    </row>
    <row r="54" spans="1:11" ht="24" customHeight="1">
      <c r="A54" s="54"/>
      <c r="B54" s="27"/>
      <c r="C54" s="29"/>
      <c r="D54" s="29"/>
      <c r="E54" s="29"/>
      <c r="F54" s="288" t="s">
        <v>320</v>
      </c>
      <c r="G54" s="336" t="e">
        <f>+'Հավելված 3'!#REF!</f>
        <v>#REF!</v>
      </c>
      <c r="H54" s="506">
        <f>+'Հավելված 4'!D30</f>
        <v>227578.4</v>
      </c>
      <c r="I54" s="506">
        <f>+'Հավելված 4'!G30</f>
        <v>227578.4</v>
      </c>
      <c r="J54" s="69">
        <f>+'Հավելված 4'!J30</f>
        <v>227578.4</v>
      </c>
      <c r="K54" s="24"/>
    </row>
    <row r="55" spans="1:11" s="71" customFormat="1" ht="56.25" customHeight="1">
      <c r="A55" s="70"/>
      <c r="B55" s="76"/>
      <c r="C55" s="76"/>
      <c r="D55" s="286"/>
      <c r="E55" s="286">
        <v>11005</v>
      </c>
      <c r="F55" s="289" t="str">
        <f>+'Հավելված 3'!C45</f>
        <v>Եվրոպական ներդրումային բանկի աջակցությամբ իրականացվող Երևանի ջրամատակարարման բարելավման ծրագիր</v>
      </c>
      <c r="G55" s="338" t="e">
        <f>G58</f>
        <v>#REF!</v>
      </c>
      <c r="H55" s="504">
        <f>H58</f>
        <v>0</v>
      </c>
      <c r="I55" s="504">
        <f>I58</f>
        <v>0</v>
      </c>
      <c r="J55" s="505">
        <f>J58</f>
        <v>10000</v>
      </c>
    </row>
    <row r="56" spans="1:11" s="23" customFormat="1" ht="39" customHeight="1">
      <c r="A56" s="57"/>
      <c r="B56" s="41"/>
      <c r="C56" s="41"/>
      <c r="D56" s="41"/>
      <c r="E56" s="41"/>
      <c r="F56" s="51" t="s">
        <v>203</v>
      </c>
      <c r="G56" s="336" t="e">
        <f>G55</f>
        <v>#REF!</v>
      </c>
      <c r="H56" s="506">
        <f>H55</f>
        <v>0</v>
      </c>
      <c r="I56" s="506">
        <f>I55</f>
        <v>0</v>
      </c>
      <c r="J56" s="69">
        <f>J55</f>
        <v>10000</v>
      </c>
    </row>
    <row r="57" spans="1:11" s="23" customFormat="1" ht="23.25" customHeight="1">
      <c r="A57" s="57"/>
      <c r="B57" s="41"/>
      <c r="C57" s="41"/>
      <c r="D57" s="41"/>
      <c r="E57" s="41"/>
      <c r="F57" s="46" t="s">
        <v>28</v>
      </c>
      <c r="G57" s="336"/>
      <c r="H57" s="506"/>
      <c r="I57" s="506"/>
      <c r="J57" s="69"/>
    </row>
    <row r="58" spans="1:11" ht="24" customHeight="1">
      <c r="A58" s="54"/>
      <c r="B58" s="27"/>
      <c r="C58" s="29"/>
      <c r="D58" s="29"/>
      <c r="E58" s="29"/>
      <c r="F58" s="288" t="s">
        <v>320</v>
      </c>
      <c r="G58" s="336" t="e">
        <f>+'Հավելված 3'!#REF!</f>
        <v>#REF!</v>
      </c>
      <c r="H58" s="506">
        <f>+'Հավելված 3'!D45</f>
        <v>0</v>
      </c>
      <c r="I58" s="506">
        <f>+'Հավելված 3'!G45</f>
        <v>0</v>
      </c>
      <c r="J58" s="69">
        <f>+'Հավելված 3'!J45</f>
        <v>10000</v>
      </c>
      <c r="K58" s="24"/>
    </row>
    <row r="59" spans="1:11" s="71" customFormat="1" ht="93" customHeight="1">
      <c r="A59" s="70"/>
      <c r="B59" s="76"/>
      <c r="C59" s="76"/>
      <c r="D59" s="286"/>
      <c r="E59" s="286">
        <v>31001</v>
      </c>
      <c r="F59" s="289" t="s">
        <v>317</v>
      </c>
      <c r="G59" s="338" t="e">
        <f>G62</f>
        <v>#REF!</v>
      </c>
      <c r="H59" s="504">
        <f>H62</f>
        <v>94652.2</v>
      </c>
      <c r="I59" s="504">
        <f>I62</f>
        <v>134365.6</v>
      </c>
      <c r="J59" s="505">
        <f>J62</f>
        <v>94652.2</v>
      </c>
    </row>
    <row r="60" spans="1:11" s="23" customFormat="1" ht="39" customHeight="1">
      <c r="A60" s="57"/>
      <c r="B60" s="41"/>
      <c r="C60" s="41"/>
      <c r="D60" s="41"/>
      <c r="E60" s="41"/>
      <c r="F60" s="51" t="s">
        <v>203</v>
      </c>
      <c r="G60" s="336" t="e">
        <f>G59</f>
        <v>#REF!</v>
      </c>
      <c r="H60" s="506">
        <f>H59</f>
        <v>94652.2</v>
      </c>
      <c r="I60" s="506">
        <f>I59</f>
        <v>134365.6</v>
      </c>
      <c r="J60" s="69">
        <f>J59</f>
        <v>94652.2</v>
      </c>
    </row>
    <row r="61" spans="1:11" s="23" customFormat="1" ht="23.25" customHeight="1">
      <c r="A61" s="57"/>
      <c r="B61" s="41"/>
      <c r="C61" s="41"/>
      <c r="D61" s="41"/>
      <c r="E61" s="41"/>
      <c r="F61" s="46" t="s">
        <v>28</v>
      </c>
      <c r="G61" s="336"/>
      <c r="H61" s="506"/>
      <c r="I61" s="506"/>
      <c r="J61" s="69"/>
    </row>
    <row r="62" spans="1:11" ht="24" customHeight="1">
      <c r="A62" s="54"/>
      <c r="B62" s="27"/>
      <c r="C62" s="29"/>
      <c r="D62" s="29"/>
      <c r="E62" s="29"/>
      <c r="F62" s="288" t="s">
        <v>143</v>
      </c>
      <c r="G62" s="336" t="e">
        <f>+'Հավելված 3'!#REF!</f>
        <v>#REF!</v>
      </c>
      <c r="H62" s="506">
        <f>+'Հավելված 3'!D56</f>
        <v>94652.2</v>
      </c>
      <c r="I62" s="506">
        <f>+'Հավելված 3'!G56</f>
        <v>134365.6</v>
      </c>
      <c r="J62" s="69">
        <f>+'Հավելված 3'!J56</f>
        <v>94652.2</v>
      </c>
      <c r="K62" s="24"/>
    </row>
    <row r="63" spans="1:11" s="71" customFormat="1" ht="96.75" customHeight="1">
      <c r="A63" s="70"/>
      <c r="B63" s="76"/>
      <c r="C63" s="76"/>
      <c r="D63" s="286"/>
      <c r="E63" s="286">
        <v>31002</v>
      </c>
      <c r="F63" s="289" t="s">
        <v>318</v>
      </c>
      <c r="G63" s="338" t="e">
        <f>G66</f>
        <v>#REF!</v>
      </c>
      <c r="H63" s="504">
        <f>H66</f>
        <v>-94652.2</v>
      </c>
      <c r="I63" s="504">
        <f>I66</f>
        <v>-134365.6</v>
      </c>
      <c r="J63" s="505">
        <f>J66</f>
        <v>-94652.2</v>
      </c>
    </row>
    <row r="64" spans="1:11" s="23" customFormat="1" ht="39" customHeight="1">
      <c r="A64" s="57"/>
      <c r="B64" s="41"/>
      <c r="C64" s="41"/>
      <c r="D64" s="41"/>
      <c r="E64" s="41"/>
      <c r="F64" s="51" t="s">
        <v>203</v>
      </c>
      <c r="G64" s="336" t="e">
        <f>G63</f>
        <v>#REF!</v>
      </c>
      <c r="H64" s="506">
        <f>H63</f>
        <v>-94652.2</v>
      </c>
      <c r="I64" s="506">
        <f>I63</f>
        <v>-134365.6</v>
      </c>
      <c r="J64" s="69">
        <f>J63</f>
        <v>-94652.2</v>
      </c>
    </row>
    <row r="65" spans="1:14" s="23" customFormat="1" ht="23.25" customHeight="1">
      <c r="A65" s="57"/>
      <c r="B65" s="41"/>
      <c r="C65" s="41"/>
      <c r="D65" s="41"/>
      <c r="E65" s="41"/>
      <c r="F65" s="46" t="s">
        <v>28</v>
      </c>
      <c r="G65" s="336"/>
      <c r="H65" s="506"/>
      <c r="I65" s="506"/>
      <c r="J65" s="69"/>
    </row>
    <row r="66" spans="1:14" ht="24" customHeight="1">
      <c r="A66" s="54"/>
      <c r="B66" s="27"/>
      <c r="C66" s="29"/>
      <c r="D66" s="29"/>
      <c r="E66" s="29"/>
      <c r="F66" s="288" t="s">
        <v>143</v>
      </c>
      <c r="G66" s="336" t="e">
        <f>+'Հավելված 3'!#REF!</f>
        <v>#REF!</v>
      </c>
      <c r="H66" s="506">
        <f>+'Հավելված 3'!D62</f>
        <v>-94652.2</v>
      </c>
      <c r="I66" s="506">
        <f>+'Հավելված 3'!G62</f>
        <v>-134365.6</v>
      </c>
      <c r="J66" s="69">
        <f>+'Հավելված 3'!J62</f>
        <v>-94652.2</v>
      </c>
      <c r="K66" s="24"/>
    </row>
    <row r="67" spans="1:14" s="71" customFormat="1" ht="83.25" customHeight="1">
      <c r="A67" s="70"/>
      <c r="B67" s="76"/>
      <c r="C67" s="76"/>
      <c r="D67" s="286"/>
      <c r="E67" s="286">
        <f>+'Հավելված 3'!B63</f>
        <v>31003</v>
      </c>
      <c r="F67" s="289" t="str">
        <f>+'Հավելված 3'!C63</f>
        <v>Եվրոպական ներդրումային բանկի աջակցությամբ իրականացվող Երևանի ջրամատակարարման բարելավման ծրագրի շրջանակներում ջրամատակարարման և ջրահեռացման ենթակառուցվածքների հիմնանորոգում</v>
      </c>
      <c r="G67" s="338" t="e">
        <f>G70</f>
        <v>#REF!</v>
      </c>
      <c r="H67" s="504">
        <f>H70</f>
        <v>-1031600</v>
      </c>
      <c r="I67" s="504">
        <f>I70</f>
        <v>-1031600</v>
      </c>
      <c r="J67" s="505">
        <f>J70</f>
        <v>-1041600</v>
      </c>
    </row>
    <row r="68" spans="1:14" s="23" customFormat="1" ht="39" customHeight="1">
      <c r="A68" s="57"/>
      <c r="B68" s="41"/>
      <c r="C68" s="41"/>
      <c r="D68" s="41"/>
      <c r="E68" s="41"/>
      <c r="F68" s="51" t="s">
        <v>203</v>
      </c>
      <c r="G68" s="336" t="e">
        <f>G67</f>
        <v>#REF!</v>
      </c>
      <c r="H68" s="506">
        <f>H67</f>
        <v>-1031600</v>
      </c>
      <c r="I68" s="506">
        <f>I67</f>
        <v>-1031600</v>
      </c>
      <c r="J68" s="69">
        <f>J67</f>
        <v>-1041600</v>
      </c>
    </row>
    <row r="69" spans="1:14" s="23" customFormat="1" ht="23.25" customHeight="1">
      <c r="A69" s="57"/>
      <c r="B69" s="41"/>
      <c r="C69" s="41"/>
      <c r="D69" s="41"/>
      <c r="E69" s="41"/>
      <c r="F69" s="46" t="s">
        <v>28</v>
      </c>
      <c r="G69" s="336"/>
      <c r="H69" s="506"/>
      <c r="I69" s="506"/>
      <c r="J69" s="69"/>
    </row>
    <row r="70" spans="1:14" ht="24" customHeight="1">
      <c r="A70" s="54"/>
      <c r="B70" s="27"/>
      <c r="C70" s="29"/>
      <c r="D70" s="29"/>
      <c r="E70" s="29"/>
      <c r="F70" s="288" t="str">
        <f>+'Հավելված 3'!C68</f>
        <v>Շենքերի և շինությունների կապիտալ վերանորոգում</v>
      </c>
      <c r="G70" s="336" t="e">
        <f>+'Հավելված 3'!#REF!</f>
        <v>#REF!</v>
      </c>
      <c r="H70" s="506">
        <f>+'Հավելված 3'!D68</f>
        <v>-1031600</v>
      </c>
      <c r="I70" s="506">
        <f>+'Հավելված 3'!G68</f>
        <v>-1031600</v>
      </c>
      <c r="J70" s="69">
        <f>+'Հավելված 3'!J68</f>
        <v>-1041600</v>
      </c>
      <c r="K70" s="24"/>
    </row>
    <row r="71" spans="1:14" s="71" customFormat="1" ht="83.25" customHeight="1">
      <c r="A71" s="486"/>
      <c r="B71" s="487"/>
      <c r="C71" s="487"/>
      <c r="D71" s="488"/>
      <c r="E71" s="488">
        <v>31004</v>
      </c>
      <c r="F71" s="489" t="s">
        <v>322</v>
      </c>
      <c r="G71" s="490" t="e">
        <f>G74</f>
        <v>#REF!</v>
      </c>
      <c r="H71" s="507">
        <f>H74</f>
        <v>-237578.4</v>
      </c>
      <c r="I71" s="507">
        <f>I74</f>
        <v>-237578.4</v>
      </c>
      <c r="J71" s="508">
        <f>J74</f>
        <v>-237578.4</v>
      </c>
    </row>
    <row r="72" spans="1:14" s="23" customFormat="1" ht="39" customHeight="1">
      <c r="A72" s="57"/>
      <c r="B72" s="41"/>
      <c r="C72" s="41"/>
      <c r="D72" s="41"/>
      <c r="E72" s="41"/>
      <c r="F72" s="51" t="s">
        <v>203</v>
      </c>
      <c r="G72" s="336" t="e">
        <f>G71</f>
        <v>#REF!</v>
      </c>
      <c r="H72" s="506">
        <f>H71</f>
        <v>-237578.4</v>
      </c>
      <c r="I72" s="506">
        <f>I71</f>
        <v>-237578.4</v>
      </c>
      <c r="J72" s="69">
        <f>J71</f>
        <v>-237578.4</v>
      </c>
    </row>
    <row r="73" spans="1:14" s="23" customFormat="1" ht="23.25" customHeight="1">
      <c r="A73" s="57"/>
      <c r="B73" s="41"/>
      <c r="C73" s="41"/>
      <c r="D73" s="41"/>
      <c r="E73" s="41"/>
      <c r="F73" s="46" t="s">
        <v>28</v>
      </c>
      <c r="G73" s="336"/>
      <c r="H73" s="506"/>
      <c r="I73" s="506"/>
      <c r="J73" s="69"/>
    </row>
    <row r="74" spans="1:14" ht="24" customHeight="1" thickBot="1">
      <c r="A74" s="377"/>
      <c r="B74" s="378"/>
      <c r="C74" s="379"/>
      <c r="D74" s="379"/>
      <c r="E74" s="379"/>
      <c r="F74" s="380" t="s">
        <v>137</v>
      </c>
      <c r="G74" s="381" t="e">
        <f>+'Հավելված 3'!#REF!</f>
        <v>#REF!</v>
      </c>
      <c r="H74" s="509">
        <f>+'Հավելված 4'!D36</f>
        <v>-237578.4</v>
      </c>
      <c r="I74" s="509">
        <f>+'Հավելված 4'!G36</f>
        <v>-237578.4</v>
      </c>
      <c r="J74" s="510">
        <f>+'Հավելված 4'!J36</f>
        <v>-237578.4</v>
      </c>
      <c r="K74" s="24"/>
    </row>
    <row r="75" spans="1:14" ht="24" customHeight="1">
      <c r="A75" s="99"/>
      <c r="B75" s="99"/>
      <c r="C75" s="100"/>
      <c r="D75" s="100"/>
      <c r="E75" s="100"/>
      <c r="F75" s="101"/>
      <c r="G75" s="101"/>
      <c r="H75" s="125"/>
      <c r="I75" s="125"/>
      <c r="J75" s="102"/>
      <c r="K75" s="24"/>
    </row>
    <row r="76" spans="1:14" ht="24" customHeight="1">
      <c r="A76" s="99"/>
      <c r="B76" s="99"/>
      <c r="C76" s="100"/>
      <c r="D76" s="100"/>
      <c r="E76" s="100"/>
      <c r="F76" s="101"/>
      <c r="G76" s="101"/>
      <c r="H76" s="125"/>
      <c r="I76" s="125"/>
      <c r="J76" s="102"/>
      <c r="K76" s="24"/>
    </row>
    <row r="77" spans="1:14" ht="24" customHeight="1">
      <c r="A77" s="99"/>
      <c r="B77" s="99"/>
      <c r="C77" s="100"/>
      <c r="D77" s="100"/>
      <c r="E77" s="100"/>
      <c r="F77" s="101"/>
      <c r="G77" s="101"/>
      <c r="H77" s="125"/>
      <c r="I77" s="125"/>
      <c r="J77" s="125"/>
      <c r="K77" s="24"/>
    </row>
    <row r="78" spans="1:14" ht="26.25" customHeight="1">
      <c r="A78" s="99"/>
      <c r="B78" s="99"/>
      <c r="C78" s="100"/>
      <c r="D78" s="100"/>
      <c r="E78" s="100"/>
      <c r="F78" s="101"/>
      <c r="G78" s="101"/>
      <c r="H78" s="101"/>
      <c r="I78" s="101"/>
      <c r="J78" s="102"/>
      <c r="K78" s="36"/>
      <c r="L78" s="36"/>
      <c r="M78" s="36"/>
      <c r="N78" s="36"/>
    </row>
    <row r="79" spans="1:14">
      <c r="H79" s="121"/>
      <c r="I79" s="121"/>
      <c r="J79" s="121"/>
    </row>
  </sheetData>
  <mergeCells count="7">
    <mergeCell ref="A6:J6"/>
    <mergeCell ref="M6:T6"/>
    <mergeCell ref="K7:L7"/>
    <mergeCell ref="A8:C8"/>
    <mergeCell ref="D8:E8"/>
    <mergeCell ref="F8:F9"/>
    <mergeCell ref="G8:J9"/>
  </mergeCells>
  <printOptions horizontalCentered="1"/>
  <pageMargins left="0.19685039370078741" right="0.19685039370078741" top="0.55000000000000004" bottom="0.64" header="0.2" footer="0.36"/>
  <pageSetup paperSize="9" scale="60" orientation="portrait" horizontalDpi="4294967294" verticalDpi="4294967294" r:id="rId1"/>
  <rowBreaks count="1" manualBreakCount="1">
    <brk id="66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view="pageBreakPreview" topLeftCell="A10" zoomScaleNormal="100" zoomScaleSheetLayoutView="100" workbookViewId="0">
      <selection activeCell="D1" sqref="D1:F1048576"/>
    </sheetView>
  </sheetViews>
  <sheetFormatPr defaultColWidth="9.42578125" defaultRowHeight="13.5"/>
  <cols>
    <col min="1" max="1" width="7.85546875" style="1" customWidth="1"/>
    <col min="2" max="2" width="7" style="1" customWidth="1"/>
    <col min="3" max="3" width="47.5703125" style="1" customWidth="1"/>
    <col min="4" max="4" width="17.28515625" style="1" hidden="1" customWidth="1"/>
    <col min="5" max="5" width="15.42578125" style="1" hidden="1" customWidth="1"/>
    <col min="6" max="6" width="16.28515625" style="1" hidden="1" customWidth="1"/>
    <col min="7" max="7" width="18.28515625" style="1" customWidth="1"/>
    <col min="8" max="8" width="16.140625" style="1" customWidth="1"/>
    <col min="9" max="9" width="16.85546875" style="1" customWidth="1"/>
    <col min="10" max="10" width="18.5703125" style="1" customWidth="1"/>
    <col min="11" max="11" width="16.140625" style="1" customWidth="1"/>
    <col min="12" max="12" width="17.28515625" style="1" customWidth="1"/>
    <col min="13" max="14" width="18.5703125" style="1" customWidth="1"/>
    <col min="15" max="15" width="16.7109375" style="1" customWidth="1"/>
    <col min="16" max="16" width="12.5703125" style="1" bestFit="1" customWidth="1"/>
    <col min="17" max="17" width="12.140625" style="1" bestFit="1" customWidth="1"/>
    <col min="18" max="16384" width="9.42578125" style="1"/>
  </cols>
  <sheetData>
    <row r="1" spans="1:14" s="32" customFormat="1" ht="21" customHeight="1">
      <c r="C1" s="39"/>
      <c r="D1" s="1"/>
      <c r="E1" s="572"/>
      <c r="F1" s="572"/>
      <c r="G1" s="1"/>
      <c r="H1" s="572"/>
      <c r="I1" s="572"/>
      <c r="J1" s="1"/>
      <c r="L1" s="321" t="s">
        <v>264</v>
      </c>
      <c r="M1" s="1"/>
    </row>
    <row r="2" spans="1:14" s="32" customFormat="1" ht="18" customHeight="1">
      <c r="C2" s="40"/>
      <c r="D2" s="40"/>
      <c r="E2" s="573"/>
      <c r="F2" s="573"/>
      <c r="G2" s="40"/>
      <c r="H2" s="573"/>
      <c r="I2" s="573"/>
      <c r="J2" s="40"/>
      <c r="L2" s="322" t="s">
        <v>265</v>
      </c>
      <c r="M2" s="1"/>
    </row>
    <row r="3" spans="1:14" s="32" customFormat="1" ht="18" customHeight="1">
      <c r="C3" s="40"/>
      <c r="D3" s="40"/>
      <c r="E3" s="285"/>
      <c r="F3" s="285"/>
      <c r="G3" s="40"/>
      <c r="H3" s="285"/>
      <c r="I3" s="285"/>
      <c r="J3" s="40"/>
      <c r="L3" s="314" t="s">
        <v>266</v>
      </c>
      <c r="M3" s="1"/>
    </row>
    <row r="4" spans="1:14" s="32" customFormat="1" ht="18" customHeight="1">
      <c r="C4" s="40"/>
      <c r="D4" s="40"/>
      <c r="E4" s="285"/>
      <c r="F4" s="285"/>
      <c r="G4" s="40"/>
      <c r="H4" s="285"/>
      <c r="I4" s="285"/>
      <c r="J4" s="40"/>
      <c r="K4" s="285"/>
      <c r="L4" s="285"/>
      <c r="M4" s="1"/>
    </row>
    <row r="5" spans="1:14" s="32" customFormat="1" ht="52.5" customHeight="1">
      <c r="A5" s="577" t="s">
        <v>300</v>
      </c>
      <c r="B5" s="577"/>
      <c r="C5" s="577"/>
      <c r="D5" s="577"/>
      <c r="E5" s="577"/>
      <c r="F5" s="577"/>
      <c r="G5" s="577"/>
      <c r="H5" s="577"/>
      <c r="I5" s="577"/>
      <c r="J5" s="577"/>
      <c r="K5" s="577"/>
      <c r="L5" s="577"/>
      <c r="M5" s="1"/>
    </row>
    <row r="6" spans="1:14" s="32" customFormat="1" ht="6.75" customHeight="1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1"/>
    </row>
    <row r="7" spans="1:14" ht="13.5" customHeight="1" thickBot="1">
      <c r="A7" s="5"/>
      <c r="B7" s="5"/>
      <c r="C7" s="12"/>
      <c r="D7" s="53"/>
      <c r="E7" s="53"/>
      <c r="F7" s="122"/>
      <c r="G7" s="53"/>
      <c r="H7" s="53"/>
      <c r="I7" s="122"/>
      <c r="J7" s="53"/>
      <c r="K7" s="53"/>
      <c r="L7" s="122" t="s">
        <v>42</v>
      </c>
    </row>
    <row r="8" spans="1:14" ht="9.75" customHeight="1">
      <c r="A8" s="578" t="s">
        <v>36</v>
      </c>
      <c r="B8" s="579"/>
      <c r="C8" s="612" t="s">
        <v>207</v>
      </c>
      <c r="D8" s="584"/>
      <c r="E8" s="584"/>
      <c r="F8" s="584"/>
      <c r="G8" s="584"/>
      <c r="H8" s="584"/>
      <c r="I8" s="584"/>
      <c r="J8" s="584"/>
      <c r="K8" s="584"/>
      <c r="L8" s="585"/>
    </row>
    <row r="9" spans="1:14" ht="9.75" customHeight="1">
      <c r="A9" s="580"/>
      <c r="B9" s="581"/>
      <c r="C9" s="613"/>
      <c r="D9" s="586"/>
      <c r="E9" s="586"/>
      <c r="F9" s="586"/>
      <c r="G9" s="586"/>
      <c r="H9" s="586"/>
      <c r="I9" s="586"/>
      <c r="J9" s="586"/>
      <c r="K9" s="586"/>
      <c r="L9" s="587"/>
    </row>
    <row r="10" spans="1:14" ht="22.5" customHeight="1">
      <c r="A10" s="582"/>
      <c r="B10" s="583"/>
      <c r="C10" s="613"/>
      <c r="D10" s="610" t="s">
        <v>303</v>
      </c>
      <c r="E10" s="610"/>
      <c r="F10" s="611"/>
      <c r="G10" s="615" t="s">
        <v>302</v>
      </c>
      <c r="H10" s="610"/>
      <c r="I10" s="611"/>
      <c r="J10" s="610" t="s">
        <v>301</v>
      </c>
      <c r="K10" s="610"/>
      <c r="L10" s="611"/>
    </row>
    <row r="11" spans="1:14" s="4" customFormat="1" ht="17.25" customHeight="1">
      <c r="A11" s="589" t="s">
        <v>43</v>
      </c>
      <c r="B11" s="591" t="s">
        <v>44</v>
      </c>
      <c r="C11" s="614"/>
      <c r="D11" s="588" t="s">
        <v>305</v>
      </c>
      <c r="E11" s="575" t="s">
        <v>306</v>
      </c>
      <c r="F11" s="576"/>
      <c r="G11" s="574" t="s">
        <v>305</v>
      </c>
      <c r="H11" s="575" t="s">
        <v>306</v>
      </c>
      <c r="I11" s="576"/>
      <c r="J11" s="588" t="s">
        <v>305</v>
      </c>
      <c r="K11" s="575" t="s">
        <v>306</v>
      </c>
      <c r="L11" s="576"/>
    </row>
    <row r="12" spans="1:14" s="4" customFormat="1" ht="39" customHeight="1">
      <c r="A12" s="590"/>
      <c r="B12" s="592"/>
      <c r="C12" s="614"/>
      <c r="D12" s="588"/>
      <c r="E12" s="342" t="s">
        <v>307</v>
      </c>
      <c r="F12" s="439" t="s">
        <v>308</v>
      </c>
      <c r="G12" s="574"/>
      <c r="H12" s="342" t="s">
        <v>307</v>
      </c>
      <c r="I12" s="439" t="s">
        <v>308</v>
      </c>
      <c r="J12" s="588"/>
      <c r="K12" s="342" t="s">
        <v>307</v>
      </c>
      <c r="L12" s="439" t="s">
        <v>308</v>
      </c>
    </row>
    <row r="13" spans="1:14" ht="36" customHeight="1">
      <c r="A13" s="440"/>
      <c r="B13" s="343"/>
      <c r="C13" s="344" t="s">
        <v>16</v>
      </c>
      <c r="D13" s="473">
        <f>E13+F13</f>
        <v>0</v>
      </c>
      <c r="E13" s="382">
        <f>E14+E15</f>
        <v>0</v>
      </c>
      <c r="F13" s="441">
        <f>F14+F15</f>
        <v>0</v>
      </c>
      <c r="G13" s="473">
        <f>H13+I13</f>
        <v>0</v>
      </c>
      <c r="H13" s="382">
        <f>H14+H15</f>
        <v>0</v>
      </c>
      <c r="I13" s="441">
        <f>I14+I15</f>
        <v>0</v>
      </c>
      <c r="J13" s="473">
        <f>K13+L13</f>
        <v>0</v>
      </c>
      <c r="K13" s="382">
        <f>K14+K15</f>
        <v>0</v>
      </c>
      <c r="L13" s="441">
        <f>L14+L15</f>
        <v>0</v>
      </c>
      <c r="N13" s="58"/>
    </row>
    <row r="14" spans="1:14" ht="19.5" customHeight="1">
      <c r="A14" s="440"/>
      <c r="B14" s="343"/>
      <c r="C14" s="345" t="s">
        <v>17</v>
      </c>
      <c r="D14" s="473">
        <f>+E14+F14</f>
        <v>166095</v>
      </c>
      <c r="E14" s="382">
        <f>+E23+E49</f>
        <v>138412.5</v>
      </c>
      <c r="F14" s="441">
        <f>+F23+F49</f>
        <v>27682.5</v>
      </c>
      <c r="G14" s="473">
        <f>+H14+I14</f>
        <v>166095</v>
      </c>
      <c r="H14" s="382">
        <f>+H23+H49</f>
        <v>138412.5</v>
      </c>
      <c r="I14" s="441">
        <f>+I23+I49</f>
        <v>27682.5</v>
      </c>
      <c r="J14" s="473">
        <f>+K14+L14</f>
        <v>176095</v>
      </c>
      <c r="K14" s="382">
        <f>+K23+K49</f>
        <v>138412.5</v>
      </c>
      <c r="L14" s="441">
        <f>+L23+L49</f>
        <v>37682.5</v>
      </c>
    </row>
    <row r="15" spans="1:14" ht="30" customHeight="1">
      <c r="A15" s="440"/>
      <c r="B15" s="343"/>
      <c r="C15" s="345" t="s">
        <v>18</v>
      </c>
      <c r="D15" s="474">
        <f>E15+F15</f>
        <v>-166095</v>
      </c>
      <c r="E15" s="382">
        <f>+E29+E41+E55+E61+E67+E35</f>
        <v>-138412.5</v>
      </c>
      <c r="F15" s="382">
        <f>+F29+F41+F55+F61+F67+F35</f>
        <v>-27682.5</v>
      </c>
      <c r="G15" s="474">
        <f>H15+I15</f>
        <v>-166095</v>
      </c>
      <c r="H15" s="382">
        <f>+H29+H41+H55+H61+H67+H35</f>
        <v>-138412.5</v>
      </c>
      <c r="I15" s="382">
        <f>+I29+I41+I55+I61+I67+I35</f>
        <v>-27682.5</v>
      </c>
      <c r="J15" s="474">
        <f>K15+L15</f>
        <v>-176095</v>
      </c>
      <c r="K15" s="382">
        <f>+K29+K41+K55+K61+K67+K35</f>
        <v>-138412.5</v>
      </c>
      <c r="L15" s="441">
        <f>+L29+L41+L55+L61+L67+L35</f>
        <v>-37682.5</v>
      </c>
    </row>
    <row r="16" spans="1:14" ht="50.25" customHeight="1">
      <c r="A16" s="440"/>
      <c r="B16" s="343"/>
      <c r="C16" s="345" t="s">
        <v>309</v>
      </c>
      <c r="D16" s="474">
        <f>+D17+D43</f>
        <v>0</v>
      </c>
      <c r="E16" s="382">
        <f>+E17+E43</f>
        <v>0</v>
      </c>
      <c r="F16" s="441">
        <f>+F17+F43</f>
        <v>0</v>
      </c>
      <c r="G16" s="474">
        <f t="shared" ref="G16:L16" si="0">+G17+G43</f>
        <v>0</v>
      </c>
      <c r="H16" s="382">
        <f t="shared" si="0"/>
        <v>0</v>
      </c>
      <c r="I16" s="441">
        <f t="shared" si="0"/>
        <v>0</v>
      </c>
      <c r="J16" s="474">
        <f t="shared" si="0"/>
        <v>1070196.1000000001</v>
      </c>
      <c r="K16" s="382">
        <f t="shared" si="0"/>
        <v>1070196.1000000001</v>
      </c>
      <c r="L16" s="441">
        <f t="shared" si="0"/>
        <v>0</v>
      </c>
    </row>
    <row r="17" spans="1:14" ht="25.5" customHeight="1">
      <c r="A17" s="452">
        <v>1004</v>
      </c>
      <c r="B17" s="453"/>
      <c r="C17" s="454" t="s">
        <v>270</v>
      </c>
      <c r="D17" s="475">
        <f t="shared" ref="D17:L17" si="1">+D19+D25+D37</f>
        <v>1031600</v>
      </c>
      <c r="E17" s="401">
        <f>+E19+E25+E37</f>
        <v>960917.5</v>
      </c>
      <c r="F17" s="442">
        <f t="shared" si="1"/>
        <v>70682.5</v>
      </c>
      <c r="G17" s="475">
        <f t="shared" si="1"/>
        <v>1031600</v>
      </c>
      <c r="H17" s="401">
        <f>+H19+H25+H37</f>
        <v>960917.5</v>
      </c>
      <c r="I17" s="442">
        <f t="shared" si="1"/>
        <v>70682.5</v>
      </c>
      <c r="J17" s="466">
        <f t="shared" si="1"/>
        <v>2101796.1</v>
      </c>
      <c r="K17" s="401">
        <f t="shared" si="1"/>
        <v>2031113.6</v>
      </c>
      <c r="L17" s="442">
        <f t="shared" si="1"/>
        <v>70682.5</v>
      </c>
      <c r="N17" s="1">
        <f>+'[2]2. 07.03.2019  178-Ն որոշում'!$L$37-E17</f>
        <v>88705.899999999907</v>
      </c>
    </row>
    <row r="18" spans="1:14" ht="15" customHeight="1">
      <c r="A18" s="443"/>
      <c r="B18" s="383"/>
      <c r="C18" s="385" t="s">
        <v>310</v>
      </c>
      <c r="D18" s="476"/>
      <c r="E18" s="384"/>
      <c r="F18" s="444"/>
      <c r="G18" s="476"/>
      <c r="H18" s="384"/>
      <c r="I18" s="444"/>
      <c r="J18" s="467"/>
      <c r="K18" s="384"/>
      <c r="L18" s="444"/>
    </row>
    <row r="19" spans="1:14" ht="69.75" customHeight="1">
      <c r="A19" s="445"/>
      <c r="B19" s="390">
        <v>11006</v>
      </c>
      <c r="C19" s="391" t="s">
        <v>323</v>
      </c>
      <c r="D19" s="477">
        <f>+E19+F19</f>
        <v>166095</v>
      </c>
      <c r="E19" s="392">
        <f>+E23</f>
        <v>138412.5</v>
      </c>
      <c r="F19" s="393">
        <f>+F23</f>
        <v>27682.5</v>
      </c>
      <c r="G19" s="477">
        <f>+H19+I19</f>
        <v>166095</v>
      </c>
      <c r="H19" s="392">
        <f>+H23</f>
        <v>138412.5</v>
      </c>
      <c r="I19" s="393">
        <f>+I23</f>
        <v>27682.5</v>
      </c>
      <c r="J19" s="468">
        <f>+K19+L19</f>
        <v>166095</v>
      </c>
      <c r="K19" s="392">
        <f>+K23</f>
        <v>138412.5</v>
      </c>
      <c r="L19" s="393">
        <f>+L23</f>
        <v>27682.5</v>
      </c>
    </row>
    <row r="20" spans="1:14" ht="15.75" customHeight="1">
      <c r="A20" s="601"/>
      <c r="B20" s="599"/>
      <c r="C20" s="394" t="s">
        <v>209</v>
      </c>
      <c r="D20" s="2"/>
      <c r="E20" s="388"/>
      <c r="F20" s="389"/>
      <c r="G20" s="2"/>
      <c r="H20" s="388"/>
      <c r="I20" s="389"/>
      <c r="J20" s="469"/>
      <c r="K20" s="388"/>
      <c r="L20" s="389"/>
    </row>
    <row r="21" spans="1:14" ht="37.5" customHeight="1">
      <c r="A21" s="601"/>
      <c r="B21" s="600"/>
      <c r="C21" s="536" t="s">
        <v>210</v>
      </c>
      <c r="D21" s="472">
        <f>E21+F21</f>
        <v>166095</v>
      </c>
      <c r="E21" s="294">
        <f>E19</f>
        <v>138412.5</v>
      </c>
      <c r="F21" s="346">
        <f>F19</f>
        <v>27682.5</v>
      </c>
      <c r="G21" s="472">
        <f>H21+I21</f>
        <v>166095</v>
      </c>
      <c r="H21" s="294">
        <f>H19</f>
        <v>138412.5</v>
      </c>
      <c r="I21" s="346">
        <f>I19</f>
        <v>27682.5</v>
      </c>
      <c r="J21" s="464">
        <f>K21+L21</f>
        <v>166095</v>
      </c>
      <c r="K21" s="294">
        <f>K19</f>
        <v>138412.5</v>
      </c>
      <c r="L21" s="346">
        <f>L19</f>
        <v>27682.5</v>
      </c>
    </row>
    <row r="22" spans="1:14" ht="28.5" customHeight="1">
      <c r="A22" s="601"/>
      <c r="B22" s="600"/>
      <c r="C22" s="395" t="s">
        <v>208</v>
      </c>
      <c r="D22" s="3"/>
      <c r="E22" s="294"/>
      <c r="F22" s="346"/>
      <c r="G22" s="3"/>
      <c r="H22" s="294"/>
      <c r="I22" s="346"/>
      <c r="J22" s="355"/>
      <c r="K22" s="294"/>
      <c r="L22" s="346"/>
    </row>
    <row r="23" spans="1:14" ht="18.75" customHeight="1">
      <c r="A23" s="601"/>
      <c r="B23" s="600"/>
      <c r="C23" s="396" t="s">
        <v>19</v>
      </c>
      <c r="D23" s="3">
        <f>E23+F23</f>
        <v>166095</v>
      </c>
      <c r="E23" s="293">
        <f>+E24</f>
        <v>138412.5</v>
      </c>
      <c r="F23" s="347">
        <f>+F24</f>
        <v>27682.5</v>
      </c>
      <c r="G23" s="3">
        <f>H23+I23</f>
        <v>166095</v>
      </c>
      <c r="H23" s="293">
        <f>+H24</f>
        <v>138412.5</v>
      </c>
      <c r="I23" s="347">
        <f>+I24</f>
        <v>27682.5</v>
      </c>
      <c r="J23" s="355">
        <f>K23+L23</f>
        <v>166095</v>
      </c>
      <c r="K23" s="293">
        <f>+K24</f>
        <v>138412.5</v>
      </c>
      <c r="L23" s="347">
        <f>+L24</f>
        <v>27682.5</v>
      </c>
    </row>
    <row r="24" spans="1:14" ht="19.5" customHeight="1">
      <c r="A24" s="601"/>
      <c r="B24" s="600"/>
      <c r="C24" s="397" t="s">
        <v>4</v>
      </c>
      <c r="D24" s="478">
        <f>E24+F24</f>
        <v>166095</v>
      </c>
      <c r="E24" s="399">
        <v>138412.5</v>
      </c>
      <c r="F24" s="446">
        <v>27682.5</v>
      </c>
      <c r="G24" s="478">
        <f>H24+I24</f>
        <v>166095</v>
      </c>
      <c r="H24" s="399">
        <f>+E24</f>
        <v>138412.5</v>
      </c>
      <c r="I24" s="446">
        <f>+F24</f>
        <v>27682.5</v>
      </c>
      <c r="J24" s="398">
        <f>K24+L24</f>
        <v>166095</v>
      </c>
      <c r="K24" s="399">
        <f>+H24</f>
        <v>138412.5</v>
      </c>
      <c r="L24" s="446">
        <f>+I24</f>
        <v>27682.5</v>
      </c>
    </row>
    <row r="25" spans="1:14" ht="59.25" customHeight="1">
      <c r="A25" s="445"/>
      <c r="B25" s="390">
        <v>31001</v>
      </c>
      <c r="C25" s="391" t="s">
        <v>324</v>
      </c>
      <c r="D25" s="477">
        <f>+E25+F25</f>
        <v>722505</v>
      </c>
      <c r="E25" s="392">
        <f>+E29</f>
        <v>722505</v>
      </c>
      <c r="F25" s="393">
        <f>+F29</f>
        <v>0</v>
      </c>
      <c r="G25" s="477">
        <f>+H25+I25</f>
        <v>722505</v>
      </c>
      <c r="H25" s="392">
        <f>+H29</f>
        <v>722505</v>
      </c>
      <c r="I25" s="393">
        <f>+I29</f>
        <v>0</v>
      </c>
      <c r="J25" s="468">
        <f>+K25+L25</f>
        <v>1792701.1</v>
      </c>
      <c r="K25" s="392">
        <f>+K29</f>
        <v>1792701.1</v>
      </c>
      <c r="L25" s="393">
        <f>+L29</f>
        <v>0</v>
      </c>
    </row>
    <row r="26" spans="1:14" ht="15.75" customHeight="1">
      <c r="A26" s="608"/>
      <c r="B26" s="599"/>
      <c r="C26" s="387" t="s">
        <v>209</v>
      </c>
      <c r="D26" s="2"/>
      <c r="E26" s="388"/>
      <c r="F26" s="389"/>
      <c r="G26" s="2"/>
      <c r="H26" s="388"/>
      <c r="I26" s="389"/>
      <c r="J26" s="469"/>
      <c r="K26" s="388"/>
      <c r="L26" s="389"/>
    </row>
    <row r="27" spans="1:14" ht="36" customHeight="1">
      <c r="A27" s="601"/>
      <c r="B27" s="600"/>
      <c r="C27" s="127" t="s">
        <v>210</v>
      </c>
      <c r="D27" s="472">
        <f>E27+F27</f>
        <v>722505</v>
      </c>
      <c r="E27" s="294">
        <f>E25</f>
        <v>722505</v>
      </c>
      <c r="F27" s="346">
        <f>F25</f>
        <v>0</v>
      </c>
      <c r="G27" s="472">
        <f>H27+I27</f>
        <v>722505</v>
      </c>
      <c r="H27" s="294">
        <f>H25</f>
        <v>722505</v>
      </c>
      <c r="I27" s="346">
        <f>I25</f>
        <v>0</v>
      </c>
      <c r="J27" s="464">
        <f>K27+L27</f>
        <v>1792701.1</v>
      </c>
      <c r="K27" s="294">
        <f>K25</f>
        <v>1792701.1</v>
      </c>
      <c r="L27" s="346">
        <f>L25</f>
        <v>0</v>
      </c>
    </row>
    <row r="28" spans="1:14" ht="28.5" customHeight="1">
      <c r="A28" s="601"/>
      <c r="B28" s="600"/>
      <c r="C28" s="292" t="s">
        <v>208</v>
      </c>
      <c r="D28" s="3"/>
      <c r="E28" s="294"/>
      <c r="F28" s="346"/>
      <c r="G28" s="3"/>
      <c r="H28" s="294"/>
      <c r="I28" s="346"/>
      <c r="J28" s="355"/>
      <c r="K28" s="294"/>
      <c r="L28" s="346"/>
    </row>
    <row r="29" spans="1:14" ht="31.5" customHeight="1">
      <c r="A29" s="601"/>
      <c r="B29" s="600"/>
      <c r="C29" s="289" t="s">
        <v>20</v>
      </c>
      <c r="D29" s="3">
        <f>E29+F29</f>
        <v>722505</v>
      </c>
      <c r="E29" s="293">
        <f>+E30</f>
        <v>722505</v>
      </c>
      <c r="F29" s="347">
        <f>+F30</f>
        <v>0</v>
      </c>
      <c r="G29" s="3">
        <f>H29+I29</f>
        <v>722505</v>
      </c>
      <c r="H29" s="293">
        <f>+H30</f>
        <v>722505</v>
      </c>
      <c r="I29" s="347">
        <f>+I30</f>
        <v>0</v>
      </c>
      <c r="J29" s="355">
        <f>K29+L29</f>
        <v>1792701.1</v>
      </c>
      <c r="K29" s="293">
        <f>+K30</f>
        <v>1792701.1</v>
      </c>
      <c r="L29" s="347">
        <f>+L30</f>
        <v>0</v>
      </c>
    </row>
    <row r="30" spans="1:14" ht="17.25" customHeight="1">
      <c r="A30" s="609"/>
      <c r="B30" s="602"/>
      <c r="C30" s="375" t="s">
        <v>136</v>
      </c>
      <c r="D30" s="3">
        <f>E30+F30</f>
        <v>722505</v>
      </c>
      <c r="E30" s="293">
        <v>722505</v>
      </c>
      <c r="F30" s="347"/>
      <c r="G30" s="3">
        <f>H30+I30</f>
        <v>722505</v>
      </c>
      <c r="H30" s="293">
        <f>+E30</f>
        <v>722505</v>
      </c>
      <c r="I30" s="347">
        <f>+F30</f>
        <v>0</v>
      </c>
      <c r="J30" s="355">
        <f>K30+L30</f>
        <v>1792701.1</v>
      </c>
      <c r="K30" s="293">
        <f>+H30+1070196.1</f>
        <v>1792701.1</v>
      </c>
      <c r="L30" s="347">
        <f>+I30</f>
        <v>0</v>
      </c>
    </row>
    <row r="31" spans="1:14" ht="96.75" customHeight="1">
      <c r="A31" s="447"/>
      <c r="B31" s="400">
        <v>31004</v>
      </c>
      <c r="C31" s="391" t="s">
        <v>342</v>
      </c>
      <c r="D31" s="477">
        <f>+E31+F31</f>
        <v>0</v>
      </c>
      <c r="E31" s="392">
        <f>+E33</f>
        <v>0</v>
      </c>
      <c r="F31" s="393">
        <f>+F33</f>
        <v>0</v>
      </c>
      <c r="G31" s="477">
        <f>+H31+I31</f>
        <v>0</v>
      </c>
      <c r="H31" s="392">
        <f>+H33</f>
        <v>0</v>
      </c>
      <c r="I31" s="393">
        <f>+I33</f>
        <v>0</v>
      </c>
      <c r="J31" s="468">
        <f>+K31+L31</f>
        <v>-1070196.1000000001</v>
      </c>
      <c r="K31" s="392">
        <f>+K33</f>
        <v>-1070196.1000000001</v>
      </c>
      <c r="L31" s="393">
        <f>+L33</f>
        <v>0</v>
      </c>
    </row>
    <row r="32" spans="1:14" ht="19.5" customHeight="1">
      <c r="A32" s="594"/>
      <c r="B32" s="597"/>
      <c r="C32" s="292" t="s">
        <v>209</v>
      </c>
      <c r="D32" s="3"/>
      <c r="E32" s="293"/>
      <c r="F32" s="347"/>
      <c r="G32" s="3"/>
      <c r="H32" s="293"/>
      <c r="I32" s="347"/>
      <c r="J32" s="355"/>
      <c r="K32" s="293"/>
      <c r="L32" s="347"/>
    </row>
    <row r="33" spans="1:15" ht="48" customHeight="1">
      <c r="A33" s="594"/>
      <c r="B33" s="597"/>
      <c r="C33" s="127" t="s">
        <v>210</v>
      </c>
      <c r="D33" s="472">
        <f>E33+F33</f>
        <v>0</v>
      </c>
      <c r="E33" s="294">
        <f>+E35</f>
        <v>0</v>
      </c>
      <c r="F33" s="346">
        <f>+F35</f>
        <v>0</v>
      </c>
      <c r="G33" s="472">
        <f>H33+I33</f>
        <v>0</v>
      </c>
      <c r="H33" s="294">
        <f>+H35</f>
        <v>0</v>
      </c>
      <c r="I33" s="346">
        <f>+I35</f>
        <v>0</v>
      </c>
      <c r="J33" s="464">
        <f>K33+L33</f>
        <v>-1070196.1000000001</v>
      </c>
      <c r="K33" s="294">
        <f>+K35</f>
        <v>-1070196.1000000001</v>
      </c>
      <c r="L33" s="346">
        <f>+L35</f>
        <v>0</v>
      </c>
    </row>
    <row r="34" spans="1:15" ht="30" customHeight="1">
      <c r="A34" s="594"/>
      <c r="B34" s="597"/>
      <c r="C34" s="292" t="s">
        <v>208</v>
      </c>
      <c r="D34" s="3"/>
      <c r="E34" s="293"/>
      <c r="F34" s="347"/>
      <c r="G34" s="3"/>
      <c r="H34" s="293"/>
      <c r="I34" s="347"/>
      <c r="J34" s="355"/>
      <c r="K34" s="293"/>
      <c r="L34" s="347"/>
    </row>
    <row r="35" spans="1:15" ht="33" customHeight="1">
      <c r="A35" s="594"/>
      <c r="B35" s="597"/>
      <c r="C35" s="289" t="s">
        <v>20</v>
      </c>
      <c r="D35" s="3">
        <f>E35+F35</f>
        <v>0</v>
      </c>
      <c r="E35" s="293">
        <f>+E36</f>
        <v>0</v>
      </c>
      <c r="F35" s="347">
        <f>+F36</f>
        <v>0</v>
      </c>
      <c r="G35" s="3">
        <f>H35+I35</f>
        <v>0</v>
      </c>
      <c r="H35" s="293">
        <f>+H36</f>
        <v>0</v>
      </c>
      <c r="I35" s="347">
        <f>+I36</f>
        <v>0</v>
      </c>
      <c r="J35" s="355">
        <f>K35+L35</f>
        <v>-1070196.1000000001</v>
      </c>
      <c r="K35" s="293">
        <f>+K36</f>
        <v>-1070196.1000000001</v>
      </c>
      <c r="L35" s="347">
        <f>+L36</f>
        <v>0</v>
      </c>
    </row>
    <row r="36" spans="1:15" ht="20.25" customHeight="1">
      <c r="A36" s="594"/>
      <c r="B36" s="603"/>
      <c r="C36" s="129" t="s">
        <v>136</v>
      </c>
      <c r="D36" s="3">
        <f>E36+F36</f>
        <v>0</v>
      </c>
      <c r="E36" s="499"/>
      <c r="F36" s="500"/>
      <c r="G36" s="3">
        <f>H36+I36</f>
        <v>0</v>
      </c>
      <c r="H36" s="499"/>
      <c r="I36" s="500"/>
      <c r="J36" s="355">
        <f>K36+L36</f>
        <v>-1070196.1000000001</v>
      </c>
      <c r="K36" s="499">
        <v>-1070196.1000000001</v>
      </c>
      <c r="L36" s="500"/>
      <c r="N36" s="1">
        <f>+E36/0.78*0.22</f>
        <v>0</v>
      </c>
      <c r="O36" s="1">
        <f>505/0.78*0.22</f>
        <v>142.43589743589743</v>
      </c>
    </row>
    <row r="37" spans="1:15" ht="96.75" customHeight="1">
      <c r="A37" s="447"/>
      <c r="B37" s="400">
        <v>31005</v>
      </c>
      <c r="C37" s="391" t="s">
        <v>206</v>
      </c>
      <c r="D37" s="477">
        <f>+E37+F37</f>
        <v>143000</v>
      </c>
      <c r="E37" s="392">
        <f>+E39</f>
        <v>100000</v>
      </c>
      <c r="F37" s="393">
        <f>+F39</f>
        <v>43000</v>
      </c>
      <c r="G37" s="477">
        <f>+H37+I37</f>
        <v>143000</v>
      </c>
      <c r="H37" s="392">
        <f>+H39</f>
        <v>100000</v>
      </c>
      <c r="I37" s="393">
        <f>+I39</f>
        <v>43000</v>
      </c>
      <c r="J37" s="468">
        <f>+K37+L37</f>
        <v>143000</v>
      </c>
      <c r="K37" s="392">
        <f>+K39</f>
        <v>100000</v>
      </c>
      <c r="L37" s="393">
        <f>+L39</f>
        <v>43000</v>
      </c>
    </row>
    <row r="38" spans="1:15" ht="19.5" customHeight="1">
      <c r="A38" s="594"/>
      <c r="B38" s="597"/>
      <c r="C38" s="292" t="s">
        <v>209</v>
      </c>
      <c r="D38" s="3"/>
      <c r="E38" s="293"/>
      <c r="F38" s="347"/>
      <c r="G38" s="3"/>
      <c r="H38" s="293"/>
      <c r="I38" s="347"/>
      <c r="J38" s="355"/>
      <c r="K38" s="293"/>
      <c r="L38" s="347"/>
    </row>
    <row r="39" spans="1:15" ht="37.5" customHeight="1">
      <c r="A39" s="594"/>
      <c r="B39" s="597"/>
      <c r="C39" s="127" t="s">
        <v>210</v>
      </c>
      <c r="D39" s="472">
        <f>E39+F39</f>
        <v>143000</v>
      </c>
      <c r="E39" s="294">
        <f>+E41</f>
        <v>100000</v>
      </c>
      <c r="F39" s="346">
        <f>+F41</f>
        <v>43000</v>
      </c>
      <c r="G39" s="472">
        <f>H39+I39</f>
        <v>143000</v>
      </c>
      <c r="H39" s="294">
        <f>+H41</f>
        <v>100000</v>
      </c>
      <c r="I39" s="346">
        <f>+I41</f>
        <v>43000</v>
      </c>
      <c r="J39" s="464">
        <f>K39+L39</f>
        <v>143000</v>
      </c>
      <c r="K39" s="294">
        <f>+K41</f>
        <v>100000</v>
      </c>
      <c r="L39" s="346">
        <f>+L41</f>
        <v>43000</v>
      </c>
    </row>
    <row r="40" spans="1:15" ht="30" customHeight="1">
      <c r="A40" s="594"/>
      <c r="B40" s="597"/>
      <c r="C40" s="292" t="s">
        <v>208</v>
      </c>
      <c r="D40" s="3"/>
      <c r="E40" s="293"/>
      <c r="F40" s="347"/>
      <c r="G40" s="3"/>
      <c r="H40" s="293"/>
      <c r="I40" s="347"/>
      <c r="J40" s="355"/>
      <c r="K40" s="293"/>
      <c r="L40" s="347"/>
    </row>
    <row r="41" spans="1:15" ht="33" customHeight="1">
      <c r="A41" s="594"/>
      <c r="B41" s="597"/>
      <c r="C41" s="289" t="s">
        <v>20</v>
      </c>
      <c r="D41" s="3">
        <f>E41+F41</f>
        <v>143000</v>
      </c>
      <c r="E41" s="293">
        <f>+E42</f>
        <v>100000</v>
      </c>
      <c r="F41" s="347">
        <f>+F42</f>
        <v>43000</v>
      </c>
      <c r="G41" s="3">
        <f>H41+I41</f>
        <v>143000</v>
      </c>
      <c r="H41" s="293">
        <f>+H42</f>
        <v>100000</v>
      </c>
      <c r="I41" s="347">
        <f>+I42</f>
        <v>43000</v>
      </c>
      <c r="J41" s="355">
        <f>K41+L41</f>
        <v>143000</v>
      </c>
      <c r="K41" s="293">
        <f>+K42</f>
        <v>100000</v>
      </c>
      <c r="L41" s="347">
        <f>+L42</f>
        <v>43000</v>
      </c>
    </row>
    <row r="42" spans="1:15" ht="20.25" customHeight="1">
      <c r="A42" s="594"/>
      <c r="B42" s="603"/>
      <c r="C42" s="129" t="s">
        <v>136</v>
      </c>
      <c r="D42" s="3">
        <f>E42+F42</f>
        <v>143000</v>
      </c>
      <c r="E42" s="499">
        <v>100000</v>
      </c>
      <c r="F42" s="500">
        <v>43000</v>
      </c>
      <c r="G42" s="3">
        <f>H42+I42</f>
        <v>143000</v>
      </c>
      <c r="H42" s="499">
        <f>+E42</f>
        <v>100000</v>
      </c>
      <c r="I42" s="500">
        <f>+F42</f>
        <v>43000</v>
      </c>
      <c r="J42" s="355">
        <f>K42+L42</f>
        <v>143000</v>
      </c>
      <c r="K42" s="499">
        <f>+H42</f>
        <v>100000</v>
      </c>
      <c r="L42" s="500">
        <f>+I42</f>
        <v>43000</v>
      </c>
      <c r="N42" s="1">
        <f>+E42/0.78*0.22</f>
        <v>28205.128205128203</v>
      </c>
      <c r="O42" s="1">
        <f>505/0.78*0.22</f>
        <v>142.43589743589743</v>
      </c>
    </row>
    <row r="43" spans="1:15" ht="36" customHeight="1">
      <c r="A43" s="452">
        <v>1072</v>
      </c>
      <c r="B43" s="453"/>
      <c r="C43" s="454" t="s">
        <v>292</v>
      </c>
      <c r="D43" s="475">
        <f>+E43+F43</f>
        <v>-1031600</v>
      </c>
      <c r="E43" s="401">
        <f>+E51+E57+E63+E45</f>
        <v>-960917.5</v>
      </c>
      <c r="F43" s="442">
        <f>+F51+F57+F63+F45</f>
        <v>-70682.5</v>
      </c>
      <c r="G43" s="475">
        <f>+H43+I43</f>
        <v>-1031600</v>
      </c>
      <c r="H43" s="401">
        <f>+H51+H57+H63+H45</f>
        <v>-960917.5</v>
      </c>
      <c r="I43" s="442">
        <f>+I51+I57+I63+I45</f>
        <v>-70682.5</v>
      </c>
      <c r="J43" s="475">
        <f>+K43+L43</f>
        <v>-1031600</v>
      </c>
      <c r="K43" s="401">
        <f>+K51+K57+K63+K45</f>
        <v>-960917.5</v>
      </c>
      <c r="L43" s="442">
        <f>+L51+L57+L63+L45</f>
        <v>-70682.5</v>
      </c>
    </row>
    <row r="44" spans="1:15" ht="19.5" customHeight="1">
      <c r="A44" s="449"/>
      <c r="B44" s="343"/>
      <c r="C44" s="386" t="s">
        <v>310</v>
      </c>
      <c r="D44" s="474"/>
      <c r="E44" s="382"/>
      <c r="F44" s="441"/>
      <c r="G44" s="474"/>
      <c r="H44" s="382"/>
      <c r="I44" s="441"/>
      <c r="J44" s="465"/>
      <c r="K44" s="382"/>
      <c r="L44" s="441"/>
    </row>
    <row r="45" spans="1:15" ht="58.5" customHeight="1">
      <c r="A45" s="447"/>
      <c r="B45" s="400">
        <v>11005</v>
      </c>
      <c r="C45" s="404" t="s">
        <v>86</v>
      </c>
      <c r="D45" s="479">
        <f>+E45+F45</f>
        <v>0</v>
      </c>
      <c r="E45" s="405">
        <f>+E47</f>
        <v>0</v>
      </c>
      <c r="F45" s="406">
        <f>+F47</f>
        <v>0</v>
      </c>
      <c r="G45" s="479">
        <f>+H45+I45</f>
        <v>0</v>
      </c>
      <c r="H45" s="405">
        <f>+H47</f>
        <v>0</v>
      </c>
      <c r="I45" s="406">
        <f>+I47</f>
        <v>0</v>
      </c>
      <c r="J45" s="470">
        <f>+K45+L45</f>
        <v>10000</v>
      </c>
      <c r="K45" s="405">
        <f>+K47</f>
        <v>0</v>
      </c>
      <c r="L45" s="406">
        <f>+L47</f>
        <v>10000</v>
      </c>
    </row>
    <row r="46" spans="1:15" ht="19.5" customHeight="1">
      <c r="A46" s="606"/>
      <c r="B46" s="604"/>
      <c r="C46" s="387" t="s">
        <v>209</v>
      </c>
      <c r="D46" s="2"/>
      <c r="E46" s="402"/>
      <c r="F46" s="403"/>
      <c r="G46" s="2"/>
      <c r="H46" s="402"/>
      <c r="I46" s="403"/>
      <c r="J46" s="469"/>
      <c r="K46" s="402"/>
      <c r="L46" s="403"/>
    </row>
    <row r="47" spans="1:15" ht="34.5" customHeight="1">
      <c r="A47" s="607"/>
      <c r="B47" s="605"/>
      <c r="C47" s="127" t="s">
        <v>210</v>
      </c>
      <c r="D47" s="3">
        <f>E47+F47</f>
        <v>0</v>
      </c>
      <c r="E47" s="293">
        <f>+E49</f>
        <v>0</v>
      </c>
      <c r="F47" s="347">
        <f>+F49</f>
        <v>0</v>
      </c>
      <c r="G47" s="3">
        <f>H47+I47</f>
        <v>0</v>
      </c>
      <c r="H47" s="293">
        <f>+H49</f>
        <v>0</v>
      </c>
      <c r="I47" s="347">
        <f>+I49</f>
        <v>0</v>
      </c>
      <c r="J47" s="355">
        <f>K47+L47</f>
        <v>10000</v>
      </c>
      <c r="K47" s="293">
        <f>+K49</f>
        <v>0</v>
      </c>
      <c r="L47" s="347">
        <f>+L49</f>
        <v>10000</v>
      </c>
    </row>
    <row r="48" spans="1:15" ht="30" customHeight="1">
      <c r="A48" s="607"/>
      <c r="B48" s="605"/>
      <c r="C48" s="292" t="s">
        <v>208</v>
      </c>
      <c r="D48" s="3"/>
      <c r="E48" s="293"/>
      <c r="F48" s="347"/>
      <c r="G48" s="3"/>
      <c r="H48" s="293"/>
      <c r="I48" s="347"/>
      <c r="J48" s="355"/>
      <c r="K48" s="293"/>
      <c r="L48" s="347"/>
    </row>
    <row r="49" spans="1:12" ht="21.75" customHeight="1">
      <c r="A49" s="607"/>
      <c r="B49" s="605"/>
      <c r="C49" s="358" t="s">
        <v>19</v>
      </c>
      <c r="D49" s="3">
        <f>E49+F49</f>
        <v>0</v>
      </c>
      <c r="E49" s="293">
        <f>+SUM(E50:E50)</f>
        <v>0</v>
      </c>
      <c r="F49" s="347">
        <f>+SUM(F50:F50)</f>
        <v>0</v>
      </c>
      <c r="G49" s="3">
        <f>H49+I49</f>
        <v>0</v>
      </c>
      <c r="H49" s="293">
        <f>+SUM(H50:H50)</f>
        <v>0</v>
      </c>
      <c r="I49" s="347">
        <f>+SUM(I50:I50)</f>
        <v>0</v>
      </c>
      <c r="J49" s="355">
        <f>K49+L49</f>
        <v>10000</v>
      </c>
      <c r="K49" s="293">
        <f>+SUM(K50:K50)</f>
        <v>0</v>
      </c>
      <c r="L49" s="347">
        <f>+SUM(L50:L50)</f>
        <v>10000</v>
      </c>
    </row>
    <row r="50" spans="1:12" ht="20.25" customHeight="1">
      <c r="A50" s="593"/>
      <c r="B50" s="596"/>
      <c r="C50" s="288" t="s">
        <v>320</v>
      </c>
      <c r="D50" s="3">
        <f>E50+F50</f>
        <v>0</v>
      </c>
      <c r="E50" s="293"/>
      <c r="F50" s="347"/>
      <c r="G50" s="3">
        <f>H50+I50</f>
        <v>0</v>
      </c>
      <c r="H50" s="293">
        <f>+E50</f>
        <v>0</v>
      </c>
      <c r="I50" s="347">
        <f>+F50</f>
        <v>0</v>
      </c>
      <c r="J50" s="355">
        <f>K50+L50</f>
        <v>10000</v>
      </c>
      <c r="K50" s="293"/>
      <c r="L50" s="347">
        <v>10000</v>
      </c>
    </row>
    <row r="51" spans="1:12" ht="131.25" customHeight="1">
      <c r="A51" s="447"/>
      <c r="B51" s="400">
        <v>31001</v>
      </c>
      <c r="C51" s="404" t="s">
        <v>317</v>
      </c>
      <c r="D51" s="479">
        <f>+E51+F51</f>
        <v>94652.2</v>
      </c>
      <c r="E51" s="405">
        <f>+E53</f>
        <v>79426.8</v>
      </c>
      <c r="F51" s="406">
        <f>+F53</f>
        <v>15225.4</v>
      </c>
      <c r="G51" s="479">
        <f>+H51+I51</f>
        <v>134365.6</v>
      </c>
      <c r="H51" s="405">
        <f>+H53</f>
        <v>119140.2</v>
      </c>
      <c r="I51" s="406">
        <f>+I53</f>
        <v>15225.4</v>
      </c>
      <c r="J51" s="470">
        <f>+K51+L51</f>
        <v>94652.2</v>
      </c>
      <c r="K51" s="405">
        <f>+K53</f>
        <v>79426.8</v>
      </c>
      <c r="L51" s="406">
        <f>+L53</f>
        <v>15225.4</v>
      </c>
    </row>
    <row r="52" spans="1:12" ht="24" customHeight="1">
      <c r="A52" s="593"/>
      <c r="B52" s="596"/>
      <c r="C52" s="387" t="s">
        <v>209</v>
      </c>
      <c r="D52" s="2"/>
      <c r="E52" s="402"/>
      <c r="F52" s="403"/>
      <c r="G52" s="2"/>
      <c r="H52" s="402"/>
      <c r="I52" s="403"/>
      <c r="J52" s="469"/>
      <c r="K52" s="402"/>
      <c r="L52" s="403"/>
    </row>
    <row r="53" spans="1:12" ht="45" customHeight="1">
      <c r="A53" s="594"/>
      <c r="B53" s="597"/>
      <c r="C53" s="127" t="s">
        <v>210</v>
      </c>
      <c r="D53" s="3">
        <f>E53+F53</f>
        <v>94652.2</v>
      </c>
      <c r="E53" s="293">
        <f>+E55</f>
        <v>79426.8</v>
      </c>
      <c r="F53" s="347">
        <f>+F55</f>
        <v>15225.4</v>
      </c>
      <c r="G53" s="3">
        <f>H53+I53</f>
        <v>134365.6</v>
      </c>
      <c r="H53" s="293">
        <f>+H55</f>
        <v>119140.2</v>
      </c>
      <c r="I53" s="347">
        <f>+I55</f>
        <v>15225.4</v>
      </c>
      <c r="J53" s="355">
        <f>K53+L53</f>
        <v>94652.2</v>
      </c>
      <c r="K53" s="293">
        <f>+K55</f>
        <v>79426.8</v>
      </c>
      <c r="L53" s="347">
        <f>+L55</f>
        <v>15225.4</v>
      </c>
    </row>
    <row r="54" spans="1:12" ht="30" customHeight="1">
      <c r="A54" s="594"/>
      <c r="B54" s="597"/>
      <c r="C54" s="292" t="s">
        <v>208</v>
      </c>
      <c r="D54" s="3"/>
      <c r="E54" s="293"/>
      <c r="F54" s="347"/>
      <c r="G54" s="3"/>
      <c r="H54" s="293"/>
      <c r="I54" s="347"/>
      <c r="J54" s="355"/>
      <c r="K54" s="293"/>
      <c r="L54" s="347"/>
    </row>
    <row r="55" spans="1:12" ht="36" customHeight="1">
      <c r="A55" s="594"/>
      <c r="B55" s="597"/>
      <c r="C55" s="289" t="s">
        <v>20</v>
      </c>
      <c r="D55" s="472">
        <f>E55+F55</f>
        <v>94652.2</v>
      </c>
      <c r="E55" s="294">
        <f>+E56</f>
        <v>79426.8</v>
      </c>
      <c r="F55" s="346">
        <f>+F56</f>
        <v>15225.4</v>
      </c>
      <c r="G55" s="472">
        <f>H55+I55</f>
        <v>134365.6</v>
      </c>
      <c r="H55" s="294">
        <f>+H56</f>
        <v>119140.2</v>
      </c>
      <c r="I55" s="346">
        <f>+I56</f>
        <v>15225.4</v>
      </c>
      <c r="J55" s="464">
        <f>K55+L55</f>
        <v>94652.2</v>
      </c>
      <c r="K55" s="294">
        <f>+K56</f>
        <v>79426.8</v>
      </c>
      <c r="L55" s="346">
        <f>+L56</f>
        <v>15225.4</v>
      </c>
    </row>
    <row r="56" spans="1:12" ht="18" customHeight="1" thickBot="1">
      <c r="A56" s="595"/>
      <c r="B56" s="598"/>
      <c r="C56" s="380" t="s">
        <v>143</v>
      </c>
      <c r="D56" s="480">
        <f>E56+F56</f>
        <v>94652.2</v>
      </c>
      <c r="E56" s="450">
        <v>79426.8</v>
      </c>
      <c r="F56" s="451">
        <v>15225.4</v>
      </c>
      <c r="G56" s="480">
        <f>H56+I56</f>
        <v>134365.6</v>
      </c>
      <c r="H56" s="450">
        <v>119140.2</v>
      </c>
      <c r="I56" s="451">
        <f>15225.4</f>
        <v>15225.4</v>
      </c>
      <c r="J56" s="471">
        <f>K56+L56</f>
        <v>94652.2</v>
      </c>
      <c r="K56" s="450">
        <v>79426.8</v>
      </c>
      <c r="L56" s="451">
        <v>15225.4</v>
      </c>
    </row>
    <row r="57" spans="1:12" ht="133.5" customHeight="1">
      <c r="A57" s="447"/>
      <c r="B57" s="400">
        <v>31002</v>
      </c>
      <c r="C57" s="404" t="s">
        <v>318</v>
      </c>
      <c r="D57" s="479">
        <f>+E57+F57</f>
        <v>-94652.2</v>
      </c>
      <c r="E57" s="405">
        <f>+E59</f>
        <v>-79426.8</v>
      </c>
      <c r="F57" s="406">
        <f>+F59</f>
        <v>-15225.4</v>
      </c>
      <c r="G57" s="479">
        <f>+H57+I57</f>
        <v>-134365.6</v>
      </c>
      <c r="H57" s="405">
        <f>+H59</f>
        <v>-119140.2</v>
      </c>
      <c r="I57" s="406">
        <f>+I59</f>
        <v>-15225.4</v>
      </c>
      <c r="J57" s="470">
        <f>+K57+L57</f>
        <v>-94652.2</v>
      </c>
      <c r="K57" s="405">
        <f>+K59</f>
        <v>-79426.8</v>
      </c>
      <c r="L57" s="406">
        <f>+L59</f>
        <v>-15225.4</v>
      </c>
    </row>
    <row r="58" spans="1:12" ht="24" customHeight="1">
      <c r="A58" s="593"/>
      <c r="B58" s="596"/>
      <c r="C58" s="387" t="s">
        <v>209</v>
      </c>
      <c r="D58" s="2"/>
      <c r="E58" s="402"/>
      <c r="F58" s="403"/>
      <c r="G58" s="2"/>
      <c r="H58" s="402"/>
      <c r="I58" s="403"/>
      <c r="J58" s="469"/>
      <c r="K58" s="402"/>
      <c r="L58" s="403"/>
    </row>
    <row r="59" spans="1:12" ht="40.5" customHeight="1">
      <c r="A59" s="594"/>
      <c r="B59" s="597"/>
      <c r="C59" s="127" t="s">
        <v>210</v>
      </c>
      <c r="D59" s="3">
        <f>E59+F59</f>
        <v>-94652.2</v>
      </c>
      <c r="E59" s="293">
        <f>+E61</f>
        <v>-79426.8</v>
      </c>
      <c r="F59" s="347">
        <f>+F61</f>
        <v>-15225.4</v>
      </c>
      <c r="G59" s="3">
        <f>H59+I59</f>
        <v>-134365.6</v>
      </c>
      <c r="H59" s="293">
        <f>+H61</f>
        <v>-119140.2</v>
      </c>
      <c r="I59" s="347">
        <f>+I61</f>
        <v>-15225.4</v>
      </c>
      <c r="J59" s="355">
        <f>K59+L59</f>
        <v>-94652.2</v>
      </c>
      <c r="K59" s="293">
        <f>+K61</f>
        <v>-79426.8</v>
      </c>
      <c r="L59" s="347">
        <f>+L61</f>
        <v>-15225.4</v>
      </c>
    </row>
    <row r="60" spans="1:12" ht="30" customHeight="1">
      <c r="A60" s="594"/>
      <c r="B60" s="597"/>
      <c r="C60" s="292" t="s">
        <v>208</v>
      </c>
      <c r="D60" s="3"/>
      <c r="E60" s="293"/>
      <c r="F60" s="347"/>
      <c r="G60" s="3"/>
      <c r="H60" s="293"/>
      <c r="I60" s="347"/>
      <c r="J60" s="355"/>
      <c r="K60" s="293"/>
      <c r="L60" s="347"/>
    </row>
    <row r="61" spans="1:12" ht="36" customHeight="1">
      <c r="A61" s="594"/>
      <c r="B61" s="597"/>
      <c r="C61" s="289" t="s">
        <v>20</v>
      </c>
      <c r="D61" s="472">
        <f>E61+F61</f>
        <v>-94652.2</v>
      </c>
      <c r="E61" s="294">
        <f>+E62</f>
        <v>-79426.8</v>
      </c>
      <c r="F61" s="346">
        <f>+F62</f>
        <v>-15225.4</v>
      </c>
      <c r="G61" s="472">
        <f>H61+I61</f>
        <v>-134365.6</v>
      </c>
      <c r="H61" s="294">
        <f>+H62</f>
        <v>-119140.2</v>
      </c>
      <c r="I61" s="346">
        <f>+I62</f>
        <v>-15225.4</v>
      </c>
      <c r="J61" s="464">
        <f>K61+L61</f>
        <v>-94652.2</v>
      </c>
      <c r="K61" s="294">
        <f>+K62</f>
        <v>-79426.8</v>
      </c>
      <c r="L61" s="346">
        <f>+L62</f>
        <v>-15225.4</v>
      </c>
    </row>
    <row r="62" spans="1:12" ht="18.75" customHeight="1" thickBot="1">
      <c r="A62" s="595"/>
      <c r="B62" s="598"/>
      <c r="C62" s="380" t="s">
        <v>143</v>
      </c>
      <c r="D62" s="480">
        <f>E62+F62</f>
        <v>-94652.2</v>
      </c>
      <c r="E62" s="450">
        <v>-79426.8</v>
      </c>
      <c r="F62" s="451">
        <v>-15225.4</v>
      </c>
      <c r="G62" s="480">
        <f>H62+I62</f>
        <v>-134365.6</v>
      </c>
      <c r="H62" s="450">
        <v>-119140.2</v>
      </c>
      <c r="I62" s="451">
        <f>-15225.4</f>
        <v>-15225.4</v>
      </c>
      <c r="J62" s="471">
        <f>K62+L62</f>
        <v>-94652.2</v>
      </c>
      <c r="K62" s="450">
        <v>-79426.8</v>
      </c>
      <c r="L62" s="451">
        <v>-15225.4</v>
      </c>
    </row>
    <row r="63" spans="1:12" ht="112.5" customHeight="1">
      <c r="A63" s="447"/>
      <c r="B63" s="400">
        <v>31003</v>
      </c>
      <c r="C63" s="404" t="s">
        <v>279</v>
      </c>
      <c r="D63" s="479">
        <f>+E63+F63</f>
        <v>-1031600</v>
      </c>
      <c r="E63" s="405">
        <f>+E65</f>
        <v>-960917.5</v>
      </c>
      <c r="F63" s="406">
        <f>+F65</f>
        <v>-70682.5</v>
      </c>
      <c r="G63" s="479">
        <f>+H63+I63</f>
        <v>-1031600</v>
      </c>
      <c r="H63" s="405">
        <f>+H65</f>
        <v>-960917.5</v>
      </c>
      <c r="I63" s="406">
        <f>+I65</f>
        <v>-70682.5</v>
      </c>
      <c r="J63" s="470">
        <f>+K63+L63</f>
        <v>-1041600</v>
      </c>
      <c r="K63" s="405">
        <f>+K65</f>
        <v>-960917.5</v>
      </c>
      <c r="L63" s="406">
        <f>+L65</f>
        <v>-80682.5</v>
      </c>
    </row>
    <row r="64" spans="1:12" ht="24" customHeight="1">
      <c r="A64" s="593"/>
      <c r="B64" s="596"/>
      <c r="C64" s="387" t="s">
        <v>209</v>
      </c>
      <c r="D64" s="2"/>
      <c r="E64" s="402"/>
      <c r="F64" s="403"/>
      <c r="G64" s="2"/>
      <c r="H64" s="402"/>
      <c r="I64" s="403"/>
      <c r="J64" s="469"/>
      <c r="K64" s="402"/>
      <c r="L64" s="403"/>
    </row>
    <row r="65" spans="1:12" ht="40.5" customHeight="1">
      <c r="A65" s="594"/>
      <c r="B65" s="597"/>
      <c r="C65" s="127" t="s">
        <v>210</v>
      </c>
      <c r="D65" s="3">
        <f>E65+F65</f>
        <v>-1031600</v>
      </c>
      <c r="E65" s="293">
        <f>+E67</f>
        <v>-960917.5</v>
      </c>
      <c r="F65" s="347">
        <f>+F67</f>
        <v>-70682.5</v>
      </c>
      <c r="G65" s="3">
        <f>H65+I65</f>
        <v>-1031600</v>
      </c>
      <c r="H65" s="293">
        <f>+H67</f>
        <v>-960917.5</v>
      </c>
      <c r="I65" s="347">
        <f>+I67</f>
        <v>-70682.5</v>
      </c>
      <c r="J65" s="355">
        <f>K65+L65</f>
        <v>-1041600</v>
      </c>
      <c r="K65" s="293">
        <f>+K67</f>
        <v>-960917.5</v>
      </c>
      <c r="L65" s="347">
        <f>+L67</f>
        <v>-80682.5</v>
      </c>
    </row>
    <row r="66" spans="1:12" ht="30" customHeight="1">
      <c r="A66" s="594"/>
      <c r="B66" s="597"/>
      <c r="C66" s="292" t="s">
        <v>208</v>
      </c>
      <c r="D66" s="3"/>
      <c r="E66" s="293"/>
      <c r="F66" s="347"/>
      <c r="G66" s="3"/>
      <c r="H66" s="293"/>
      <c r="I66" s="347"/>
      <c r="J66" s="355"/>
      <c r="K66" s="293"/>
      <c r="L66" s="347"/>
    </row>
    <row r="67" spans="1:12" ht="36.75" customHeight="1">
      <c r="A67" s="594"/>
      <c r="B67" s="597"/>
      <c r="C67" s="289" t="s">
        <v>20</v>
      </c>
      <c r="D67" s="472">
        <f>E67+F67</f>
        <v>-1031600</v>
      </c>
      <c r="E67" s="294">
        <f>+E68</f>
        <v>-960917.5</v>
      </c>
      <c r="F67" s="346">
        <f>+F68</f>
        <v>-70682.5</v>
      </c>
      <c r="G67" s="472">
        <f>H67+I67</f>
        <v>-1031600</v>
      </c>
      <c r="H67" s="294">
        <f>+H68</f>
        <v>-960917.5</v>
      </c>
      <c r="I67" s="346">
        <f>+I68</f>
        <v>-70682.5</v>
      </c>
      <c r="J67" s="464">
        <f>K67+L67</f>
        <v>-1041600</v>
      </c>
      <c r="K67" s="294">
        <f>+K68</f>
        <v>-960917.5</v>
      </c>
      <c r="L67" s="346">
        <f>+L68</f>
        <v>-80682.5</v>
      </c>
    </row>
    <row r="68" spans="1:12" ht="33.75" customHeight="1" thickBot="1">
      <c r="A68" s="595"/>
      <c r="B68" s="598"/>
      <c r="C68" s="380" t="s">
        <v>3</v>
      </c>
      <c r="D68" s="480">
        <f>E68+F68</f>
        <v>-1031600</v>
      </c>
      <c r="E68" s="450">
        <f>-822505-138412.5</f>
        <v>-960917.5</v>
      </c>
      <c r="F68" s="451">
        <v>-70682.5</v>
      </c>
      <c r="G68" s="480">
        <f>H68+I68</f>
        <v>-1031600</v>
      </c>
      <c r="H68" s="450">
        <f>+E68</f>
        <v>-960917.5</v>
      </c>
      <c r="I68" s="451">
        <f>+F68</f>
        <v>-70682.5</v>
      </c>
      <c r="J68" s="471">
        <f>K68+L68</f>
        <v>-1041600</v>
      </c>
      <c r="K68" s="450">
        <f>+H68</f>
        <v>-960917.5</v>
      </c>
      <c r="L68" s="451">
        <f>+I68-10000</f>
        <v>-80682.5</v>
      </c>
    </row>
    <row r="69" spans="1:12">
      <c r="L69" s="1">
        <v>0</v>
      </c>
    </row>
    <row r="70" spans="1:12" hidden="1">
      <c r="D70" s="1" t="e">
        <f>+#REF!+#REF!+#REF!+D63+#REF!+#REF!+D37+#REF!+#REF!+D25+#REF!+D19</f>
        <v>#REF!</v>
      </c>
      <c r="E70" s="1" t="e">
        <f>+#REF!+#REF!+#REF!+E63+#REF!+#REF!+E37+#REF!+#REF!+E25+#REF!+E19</f>
        <v>#REF!</v>
      </c>
      <c r="F70" s="1" t="e">
        <f>+#REF!+#REF!+#REF!+F63+#REF!+#REF!+F37+#REF!+#REF!+F25+#REF!+F19</f>
        <v>#REF!</v>
      </c>
      <c r="G70" s="1" t="e">
        <f>+#REF!+#REF!+#REF!+G63+#REF!+#REF!+G37+#REF!+#REF!+G25+#REF!+G19</f>
        <v>#REF!</v>
      </c>
      <c r="H70" s="1" t="e">
        <f>+#REF!+#REF!+#REF!+H63+#REF!+#REF!+H37+#REF!+#REF!+H25+#REF!+H19</f>
        <v>#REF!</v>
      </c>
      <c r="I70" s="1" t="e">
        <f>+#REF!+#REF!+#REF!+I63+#REF!+#REF!+I37+#REF!+#REF!+I25+#REF!+I19</f>
        <v>#REF!</v>
      </c>
      <c r="J70" s="1" t="e">
        <f>+#REF!+#REF!+#REF!+J63+#REF!+#REF!+J37+#REF!+#REF!+J25+#REF!+J19</f>
        <v>#REF!</v>
      </c>
      <c r="K70" s="1" t="e">
        <f>+#REF!+#REF!+#REF!+K63+#REF!+#REF!+K37+#REF!+#REF!+K25+#REF!+K19</f>
        <v>#REF!</v>
      </c>
      <c r="L70" s="1" t="e">
        <f>+#REF!+#REF!+#REF!+L63+#REF!+#REF!+L37+#REF!+#REF!+L25+#REF!+L19</f>
        <v>#REF!</v>
      </c>
    </row>
    <row r="71" spans="1:12" hidden="1">
      <c r="D71" s="1" t="e">
        <f t="shared" ref="D71:L71" si="2">+D13-D70</f>
        <v>#REF!</v>
      </c>
      <c r="E71" s="1" t="e">
        <f t="shared" si="2"/>
        <v>#REF!</v>
      </c>
      <c r="F71" s="1" t="e">
        <f t="shared" si="2"/>
        <v>#REF!</v>
      </c>
      <c r="G71" s="1" t="e">
        <f t="shared" si="2"/>
        <v>#REF!</v>
      </c>
      <c r="H71" s="1" t="e">
        <f t="shared" si="2"/>
        <v>#REF!</v>
      </c>
      <c r="I71" s="1" t="e">
        <f t="shared" si="2"/>
        <v>#REF!</v>
      </c>
      <c r="J71" s="1" t="e">
        <f t="shared" si="2"/>
        <v>#REF!</v>
      </c>
      <c r="K71" s="1" t="e">
        <f t="shared" si="2"/>
        <v>#REF!</v>
      </c>
      <c r="L71" s="1" t="e">
        <f t="shared" si="2"/>
        <v>#REF!</v>
      </c>
    </row>
    <row r="72" spans="1:12" hidden="1"/>
    <row r="73" spans="1:12" hidden="1"/>
    <row r="74" spans="1:12" hidden="1"/>
    <row r="75" spans="1:12" hidden="1"/>
    <row r="76" spans="1:12" hidden="1"/>
    <row r="77" spans="1:12" hidden="1"/>
    <row r="78" spans="1:12" hidden="1"/>
    <row r="92" spans="10:11" ht="14.25">
      <c r="J92" s="491"/>
      <c r="K92" s="491"/>
    </row>
    <row r="96" spans="10:11" ht="14.25">
      <c r="J96" s="491"/>
    </row>
  </sheetData>
  <mergeCells count="35">
    <mergeCell ref="C8:C12"/>
    <mergeCell ref="D10:F10"/>
    <mergeCell ref="G10:I10"/>
    <mergeCell ref="A64:A68"/>
    <mergeCell ref="B64:B68"/>
    <mergeCell ref="B20:B24"/>
    <mergeCell ref="A20:A24"/>
    <mergeCell ref="B26:B30"/>
    <mergeCell ref="A58:A62"/>
    <mergeCell ref="B58:B62"/>
    <mergeCell ref="A52:A56"/>
    <mergeCell ref="B52:B56"/>
    <mergeCell ref="A38:A42"/>
    <mergeCell ref="B38:B42"/>
    <mergeCell ref="B46:B50"/>
    <mergeCell ref="A46:A50"/>
    <mergeCell ref="A26:A30"/>
    <mergeCell ref="A32:A36"/>
    <mergeCell ref="B32:B36"/>
    <mergeCell ref="H1:I1"/>
    <mergeCell ref="H2:I2"/>
    <mergeCell ref="G11:G12"/>
    <mergeCell ref="H11:I11"/>
    <mergeCell ref="E1:F1"/>
    <mergeCell ref="E11:F11"/>
    <mergeCell ref="E2:F2"/>
    <mergeCell ref="A5:L5"/>
    <mergeCell ref="A8:B10"/>
    <mergeCell ref="D8:L9"/>
    <mergeCell ref="D11:D12"/>
    <mergeCell ref="A11:A12"/>
    <mergeCell ref="B11:B12"/>
    <mergeCell ref="J10:L10"/>
    <mergeCell ref="K11:L11"/>
    <mergeCell ref="J11:J12"/>
  </mergeCells>
  <phoneticPr fontId="20" type="noConversion"/>
  <printOptions horizontalCentered="1"/>
  <pageMargins left="0" right="0" top="0" bottom="0" header="0" footer="0"/>
  <pageSetup paperSize="9" scale="70" orientation="landscape" horizontalDpi="4294967294" verticalDpi="4294967294" r:id="rId1"/>
  <rowBreaks count="3" manualBreakCount="3">
    <brk id="30" max="11" man="1"/>
    <brk id="50" max="11" man="1"/>
    <brk id="62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view="pageBreakPreview" topLeftCell="F16" zoomScale="90" zoomScaleNormal="100" zoomScaleSheetLayoutView="90" workbookViewId="0">
      <selection activeCell="E32" sqref="E32"/>
    </sheetView>
  </sheetViews>
  <sheetFormatPr defaultColWidth="9.42578125" defaultRowHeight="13.5" outlineLevelRow="1"/>
  <cols>
    <col min="1" max="1" width="4.7109375" style="1" customWidth="1"/>
    <col min="2" max="2" width="5.5703125" style="1" customWidth="1"/>
    <col min="3" max="3" width="4" style="1" customWidth="1"/>
    <col min="4" max="4" width="49.7109375" style="1" customWidth="1"/>
    <col min="5" max="5" width="14.85546875" style="1" customWidth="1"/>
    <col min="6" max="6" width="17.5703125" style="1" customWidth="1"/>
    <col min="7" max="7" width="15.42578125" style="1" customWidth="1"/>
    <col min="8" max="8" width="17.28515625" style="1" customWidth="1"/>
    <col min="9" max="9" width="15.42578125" style="1" customWidth="1"/>
    <col min="10" max="10" width="15.7109375" style="1" customWidth="1"/>
    <col min="11" max="11" width="16.85546875" style="1" customWidth="1"/>
    <col min="12" max="12" width="15.7109375" style="1" customWidth="1"/>
    <col min="13" max="13" width="14.140625" style="1" customWidth="1"/>
    <col min="14" max="15" width="18.5703125" style="1" hidden="1" customWidth="1"/>
    <col min="16" max="16" width="16.7109375" style="1" hidden="1" customWidth="1"/>
    <col min="17" max="17" width="12.5703125" style="1" bestFit="1" customWidth="1"/>
    <col min="18" max="18" width="12.140625" style="1" bestFit="1" customWidth="1"/>
    <col min="19" max="16384" width="9.42578125" style="1"/>
  </cols>
  <sheetData>
    <row r="1" spans="1:22" s="32" customFormat="1" ht="21" customHeight="1">
      <c r="D1" s="39"/>
      <c r="E1" s="1"/>
      <c r="F1" s="572"/>
      <c r="G1" s="572"/>
      <c r="H1" s="1"/>
      <c r="I1" s="572"/>
      <c r="J1" s="572"/>
      <c r="K1" s="1"/>
      <c r="L1" s="572" t="s">
        <v>118</v>
      </c>
      <c r="M1" s="572"/>
      <c r="N1" s="1"/>
    </row>
    <row r="2" spans="1:22" s="32" customFormat="1" ht="15.75" customHeight="1">
      <c r="D2" s="40"/>
      <c r="E2" s="40"/>
      <c r="F2" s="573"/>
      <c r="G2" s="573"/>
      <c r="H2" s="40"/>
      <c r="I2" s="573"/>
      <c r="J2" s="573"/>
      <c r="K2" s="40"/>
      <c r="L2" s="573" t="s">
        <v>33</v>
      </c>
      <c r="M2" s="573"/>
      <c r="N2" s="1"/>
    </row>
    <row r="3" spans="1:22" s="32" customFormat="1" ht="20.25" customHeight="1">
      <c r="E3" s="1"/>
      <c r="F3" s="1"/>
      <c r="G3" s="1"/>
      <c r="H3" s="1"/>
      <c r="I3" s="1"/>
      <c r="J3" s="1"/>
      <c r="K3" s="1"/>
      <c r="L3" s="1"/>
      <c r="M3" s="1"/>
      <c r="N3" s="1"/>
    </row>
    <row r="4" spans="1:22" s="32" customFormat="1" ht="81" customHeight="1">
      <c r="A4" s="639" t="s">
        <v>71</v>
      </c>
      <c r="B4" s="639"/>
      <c r="C4" s="639"/>
      <c r="D4" s="639"/>
      <c r="E4" s="639"/>
      <c r="F4" s="639"/>
      <c r="G4" s="639"/>
      <c r="H4" s="639"/>
      <c r="I4" s="639"/>
      <c r="J4" s="639"/>
      <c r="K4" s="639"/>
      <c r="L4" s="639"/>
      <c r="M4" s="639"/>
      <c r="N4" s="92"/>
      <c r="O4" s="92"/>
      <c r="P4" s="92"/>
      <c r="Q4" s="92"/>
      <c r="R4" s="92"/>
      <c r="S4" s="92"/>
      <c r="T4" s="92"/>
      <c r="U4" s="92"/>
      <c r="V4" s="92"/>
    </row>
    <row r="5" spans="1:22" ht="21" customHeight="1" thickBot="1">
      <c r="C5" s="5"/>
      <c r="D5" s="12"/>
      <c r="E5" s="53"/>
      <c r="F5" s="53"/>
      <c r="G5" s="59"/>
      <c r="H5" s="53"/>
      <c r="I5" s="53"/>
      <c r="J5" s="59"/>
      <c r="K5" s="53"/>
      <c r="L5" s="53"/>
      <c r="M5" s="59" t="s">
        <v>34</v>
      </c>
    </row>
    <row r="6" spans="1:22" ht="26.25" customHeight="1" thickBot="1">
      <c r="A6" s="640" t="s">
        <v>10</v>
      </c>
      <c r="B6" s="643" t="s">
        <v>11</v>
      </c>
      <c r="C6" s="646" t="s">
        <v>12</v>
      </c>
      <c r="D6" s="649" t="s">
        <v>70</v>
      </c>
      <c r="E6" s="652" t="s">
        <v>75</v>
      </c>
      <c r="F6" s="653"/>
      <c r="G6" s="654"/>
      <c r="H6" s="652" t="s">
        <v>74</v>
      </c>
      <c r="I6" s="653"/>
      <c r="J6" s="654"/>
      <c r="K6" s="652" t="s">
        <v>22</v>
      </c>
      <c r="L6" s="653"/>
      <c r="M6" s="654"/>
    </row>
    <row r="7" spans="1:22" s="4" customFormat="1" ht="22.5" customHeight="1">
      <c r="A7" s="641"/>
      <c r="B7" s="644"/>
      <c r="C7" s="647"/>
      <c r="D7" s="650"/>
      <c r="E7" s="617" t="s">
        <v>13</v>
      </c>
      <c r="F7" s="619" t="s">
        <v>14</v>
      </c>
      <c r="G7" s="620"/>
      <c r="H7" s="617" t="s">
        <v>13</v>
      </c>
      <c r="I7" s="619" t="s">
        <v>14</v>
      </c>
      <c r="J7" s="620"/>
      <c r="K7" s="617" t="s">
        <v>13</v>
      </c>
      <c r="L7" s="619" t="s">
        <v>14</v>
      </c>
      <c r="M7" s="620"/>
    </row>
    <row r="8" spans="1:22" s="4" customFormat="1" ht="65.25" customHeight="1" thickBot="1">
      <c r="A8" s="642"/>
      <c r="B8" s="645"/>
      <c r="C8" s="648"/>
      <c r="D8" s="651"/>
      <c r="E8" s="618"/>
      <c r="F8" s="103" t="s">
        <v>76</v>
      </c>
      <c r="G8" s="10" t="s">
        <v>15</v>
      </c>
      <c r="H8" s="618"/>
      <c r="I8" s="9" t="s">
        <v>69</v>
      </c>
      <c r="J8" s="10" t="s">
        <v>15</v>
      </c>
      <c r="K8" s="618"/>
      <c r="L8" s="9" t="s">
        <v>69</v>
      </c>
      <c r="M8" s="10" t="s">
        <v>15</v>
      </c>
    </row>
    <row r="9" spans="1:22" ht="33" customHeight="1">
      <c r="A9" s="630"/>
      <c r="B9" s="631"/>
      <c r="C9" s="632"/>
      <c r="D9" s="14" t="s">
        <v>16</v>
      </c>
      <c r="E9" s="15">
        <f>F9+G9</f>
        <v>106225.59999999999</v>
      </c>
      <c r="F9" s="16">
        <f>F10+F11</f>
        <v>75875.399999999994</v>
      </c>
      <c r="G9" s="13">
        <f>G10+G11</f>
        <v>30350.199999999997</v>
      </c>
      <c r="H9" s="15">
        <f>I9+J9</f>
        <v>212409.4</v>
      </c>
      <c r="I9" s="16">
        <f>I10+I11</f>
        <v>151721</v>
      </c>
      <c r="J9" s="13">
        <f>J10+J11</f>
        <v>60688.399999999994</v>
      </c>
      <c r="K9" s="15">
        <f>L9+M9</f>
        <v>318593.20000000007</v>
      </c>
      <c r="L9" s="16">
        <f>L10+L11</f>
        <v>227566.60000000003</v>
      </c>
      <c r="M9" s="13">
        <f>M10+M11</f>
        <v>91026.6</v>
      </c>
      <c r="O9" s="58"/>
    </row>
    <row r="10" spans="1:22" ht="20.25" customHeight="1">
      <c r="A10" s="633"/>
      <c r="B10" s="634"/>
      <c r="C10" s="635"/>
      <c r="D10" s="17" t="s">
        <v>17</v>
      </c>
      <c r="E10" s="109">
        <f>+F10+G10</f>
        <v>272102.3</v>
      </c>
      <c r="F10" s="110">
        <f>+F14+F19+F41+F27</f>
        <v>230456.1</v>
      </c>
      <c r="G10" s="110">
        <f>+G14+G19+G41+G27</f>
        <v>41646.199999999997</v>
      </c>
      <c r="H10" s="109">
        <f>+I10+J10</f>
        <v>407599.65</v>
      </c>
      <c r="I10" s="110">
        <f>+I14+I19+I41+I27</f>
        <v>332800.75</v>
      </c>
      <c r="J10" s="110">
        <f>+J14+J19+J41+J27</f>
        <v>74798.899999999994</v>
      </c>
      <c r="K10" s="109">
        <f>+L10+M10</f>
        <v>526813.70000000007</v>
      </c>
      <c r="L10" s="110">
        <f>+L14+L19+L41+L27</f>
        <v>419504.9</v>
      </c>
      <c r="M10" s="110">
        <f>+M14+M19+M41+M27</f>
        <v>107308.8</v>
      </c>
    </row>
    <row r="11" spans="1:22" ht="24.75" customHeight="1" thickBot="1">
      <c r="A11" s="636"/>
      <c r="B11" s="637"/>
      <c r="C11" s="638"/>
      <c r="D11" s="18" t="s">
        <v>18</v>
      </c>
      <c r="E11" s="112">
        <f t="shared" ref="E11:E38" si="0">F11+G11</f>
        <v>-165876.70000000001</v>
      </c>
      <c r="F11" s="110">
        <f>+F22+F35+F30</f>
        <v>-154580.70000000001</v>
      </c>
      <c r="G11" s="111">
        <f>+G22+G35+G30</f>
        <v>-11296</v>
      </c>
      <c r="H11" s="112">
        <f t="shared" ref="H11:H18" si="1">I11+J11</f>
        <v>-195190.25</v>
      </c>
      <c r="I11" s="110">
        <f>+I22+I35+I30</f>
        <v>-181079.75</v>
      </c>
      <c r="J11" s="111">
        <f>+J22+J35+J30</f>
        <v>-14110.5</v>
      </c>
      <c r="K11" s="112">
        <f t="shared" ref="K11:K16" si="2">L11+M11</f>
        <v>-208220.5</v>
      </c>
      <c r="L11" s="110">
        <f>+L22+L35+L30</f>
        <v>-191938.3</v>
      </c>
      <c r="M11" s="111">
        <f>+M22+M35+M30</f>
        <v>-16282.2</v>
      </c>
    </row>
    <row r="12" spans="1:22" ht="57" customHeight="1" thickBot="1">
      <c r="A12" s="52" t="s">
        <v>7</v>
      </c>
      <c r="B12" s="8" t="s">
        <v>9</v>
      </c>
      <c r="C12" s="11" t="s">
        <v>7</v>
      </c>
      <c r="D12" s="61" t="s">
        <v>73</v>
      </c>
      <c r="E12" s="77">
        <f t="shared" si="0"/>
        <v>79071.3</v>
      </c>
      <c r="F12" s="78">
        <f>+F13</f>
        <v>79071.3</v>
      </c>
      <c r="G12" s="79">
        <f>+G13</f>
        <v>0</v>
      </c>
      <c r="H12" s="77">
        <f t="shared" si="1"/>
        <v>79071.3</v>
      </c>
      <c r="I12" s="78">
        <f>+I13</f>
        <v>79071.3</v>
      </c>
      <c r="J12" s="79">
        <f>+J13</f>
        <v>0</v>
      </c>
      <c r="K12" s="77">
        <f t="shared" si="2"/>
        <v>79071.3</v>
      </c>
      <c r="L12" s="78">
        <f>+L13</f>
        <v>79071.3</v>
      </c>
      <c r="M12" s="79">
        <f>+M13</f>
        <v>0</v>
      </c>
    </row>
    <row r="13" spans="1:22" ht="43.5" customHeight="1">
      <c r="A13" s="621"/>
      <c r="B13" s="622"/>
      <c r="C13" s="623"/>
      <c r="D13" s="6" t="s">
        <v>21</v>
      </c>
      <c r="E13" s="80">
        <f t="shared" si="0"/>
        <v>79071.3</v>
      </c>
      <c r="F13" s="81">
        <f>+F14</f>
        <v>79071.3</v>
      </c>
      <c r="G13" s="82">
        <f>+G14</f>
        <v>0</v>
      </c>
      <c r="H13" s="80">
        <f t="shared" si="1"/>
        <v>79071.3</v>
      </c>
      <c r="I13" s="81">
        <f>+I14</f>
        <v>79071.3</v>
      </c>
      <c r="J13" s="82">
        <f>+J14</f>
        <v>0</v>
      </c>
      <c r="K13" s="80">
        <f t="shared" si="2"/>
        <v>79071.3</v>
      </c>
      <c r="L13" s="81">
        <f>+L14</f>
        <v>79071.3</v>
      </c>
      <c r="M13" s="82">
        <f>+M14</f>
        <v>0</v>
      </c>
    </row>
    <row r="14" spans="1:22" ht="21" customHeight="1">
      <c r="A14" s="624"/>
      <c r="B14" s="625"/>
      <c r="C14" s="626"/>
      <c r="D14" s="7" t="s">
        <v>19</v>
      </c>
      <c r="E14" s="2">
        <f t="shared" si="0"/>
        <v>79071.3</v>
      </c>
      <c r="F14" s="106">
        <f>F15</f>
        <v>79071.3</v>
      </c>
      <c r="G14" s="60">
        <f>G15</f>
        <v>0</v>
      </c>
      <c r="H14" s="2">
        <f t="shared" si="1"/>
        <v>79071.3</v>
      </c>
      <c r="I14" s="106">
        <f>I15</f>
        <v>79071.3</v>
      </c>
      <c r="J14" s="60">
        <f>J15</f>
        <v>0</v>
      </c>
      <c r="K14" s="2">
        <f t="shared" si="2"/>
        <v>79071.3</v>
      </c>
      <c r="L14" s="106">
        <f>L15</f>
        <v>79071.3</v>
      </c>
      <c r="M14" s="60">
        <f>M15</f>
        <v>0</v>
      </c>
    </row>
    <row r="15" spans="1:22" ht="17.25" customHeight="1">
      <c r="A15" s="624"/>
      <c r="B15" s="625"/>
      <c r="C15" s="626"/>
      <c r="D15" s="7" t="s">
        <v>0</v>
      </c>
      <c r="E15" s="2">
        <f t="shared" si="0"/>
        <v>79071.3</v>
      </c>
      <c r="F15" s="106">
        <f>F16</f>
        <v>79071.3</v>
      </c>
      <c r="G15" s="60">
        <f>G16</f>
        <v>0</v>
      </c>
      <c r="H15" s="2">
        <f t="shared" si="1"/>
        <v>79071.3</v>
      </c>
      <c r="I15" s="106">
        <f>I16</f>
        <v>79071.3</v>
      </c>
      <c r="J15" s="60">
        <f>J16</f>
        <v>0</v>
      </c>
      <c r="K15" s="2">
        <f t="shared" si="2"/>
        <v>79071.3</v>
      </c>
      <c r="L15" s="106">
        <f>L16</f>
        <v>79071.3</v>
      </c>
      <c r="M15" s="60">
        <f>M16</f>
        <v>0</v>
      </c>
    </row>
    <row r="16" spans="1:22" ht="18" customHeight="1" thickBot="1">
      <c r="A16" s="624"/>
      <c r="B16" s="625"/>
      <c r="C16" s="626"/>
      <c r="D16" s="7" t="s">
        <v>4</v>
      </c>
      <c r="E16" s="3">
        <f t="shared" si="0"/>
        <v>79071.3</v>
      </c>
      <c r="F16" s="132">
        <v>79071.3</v>
      </c>
      <c r="G16" s="133"/>
      <c r="H16" s="134">
        <f t="shared" si="1"/>
        <v>79071.3</v>
      </c>
      <c r="I16" s="132">
        <v>79071.3</v>
      </c>
      <c r="J16" s="133"/>
      <c r="K16" s="134">
        <f t="shared" si="2"/>
        <v>79071.3</v>
      </c>
      <c r="L16" s="132">
        <v>79071.3</v>
      </c>
      <c r="M16" s="60"/>
    </row>
    <row r="17" spans="1:16" ht="63.75" customHeight="1" thickBot="1">
      <c r="A17" s="52" t="s">
        <v>8</v>
      </c>
      <c r="B17" s="8" t="s">
        <v>6</v>
      </c>
      <c r="C17" s="11" t="s">
        <v>5</v>
      </c>
      <c r="D17" s="61" t="s">
        <v>72</v>
      </c>
      <c r="E17" s="77">
        <f t="shared" si="0"/>
        <v>0</v>
      </c>
      <c r="F17" s="78">
        <f>F22+F19</f>
        <v>0</v>
      </c>
      <c r="G17" s="79">
        <f>G22+G19</f>
        <v>0</v>
      </c>
      <c r="H17" s="77">
        <f t="shared" si="1"/>
        <v>0</v>
      </c>
      <c r="I17" s="78">
        <f>I22+I19</f>
        <v>0</v>
      </c>
      <c r="J17" s="79">
        <f>J22+J19</f>
        <v>0</v>
      </c>
      <c r="K17" s="77">
        <f>L17+M17</f>
        <v>0</v>
      </c>
      <c r="L17" s="78">
        <f>L22+L19</f>
        <v>0</v>
      </c>
      <c r="M17" s="79">
        <f>M22+M19</f>
        <v>0</v>
      </c>
    </row>
    <row r="18" spans="1:16" ht="43.5" customHeight="1">
      <c r="A18" s="621"/>
      <c r="B18" s="622"/>
      <c r="C18" s="623"/>
      <c r="D18" s="6" t="s">
        <v>21</v>
      </c>
      <c r="E18" s="80">
        <f t="shared" si="0"/>
        <v>0</v>
      </c>
      <c r="F18" s="81">
        <f>F17</f>
        <v>0</v>
      </c>
      <c r="G18" s="82">
        <f>G17</f>
        <v>0</v>
      </c>
      <c r="H18" s="80">
        <f t="shared" si="1"/>
        <v>0</v>
      </c>
      <c r="I18" s="81">
        <f>I17</f>
        <v>0</v>
      </c>
      <c r="J18" s="82">
        <f>J17</f>
        <v>0</v>
      </c>
      <c r="K18" s="80">
        <f t="shared" ref="K18:K24" si="3">L18+M18</f>
        <v>0</v>
      </c>
      <c r="L18" s="81">
        <f>L17</f>
        <v>0</v>
      </c>
      <c r="M18" s="82">
        <f>M17</f>
        <v>0</v>
      </c>
    </row>
    <row r="19" spans="1:16" ht="21" customHeight="1">
      <c r="A19" s="624"/>
      <c r="B19" s="625"/>
      <c r="C19" s="626"/>
      <c r="D19" s="7" t="s">
        <v>19</v>
      </c>
      <c r="E19" s="2">
        <f t="shared" si="0"/>
        <v>43606.5</v>
      </c>
      <c r="F19" s="106">
        <f>F20</f>
        <v>37453</v>
      </c>
      <c r="G19" s="106">
        <f>G20</f>
        <v>6153.5</v>
      </c>
      <c r="H19" s="2">
        <f t="shared" ref="H19:H24" si="4">I19+J19</f>
        <v>48796.3</v>
      </c>
      <c r="I19" s="106">
        <f>I20</f>
        <v>42000</v>
      </c>
      <c r="J19" s="106">
        <f>J20</f>
        <v>6796.3</v>
      </c>
      <c r="K19" s="2">
        <f t="shared" si="3"/>
        <v>48796.3</v>
      </c>
      <c r="L19" s="106">
        <f>L20</f>
        <v>42000</v>
      </c>
      <c r="M19" s="123">
        <f>M20</f>
        <v>6796.3</v>
      </c>
    </row>
    <row r="20" spans="1:16" ht="21.75" customHeight="1">
      <c r="A20" s="624"/>
      <c r="B20" s="625"/>
      <c r="C20" s="626"/>
      <c r="D20" s="7" t="s">
        <v>0</v>
      </c>
      <c r="E20" s="2">
        <f t="shared" si="0"/>
        <v>43606.5</v>
      </c>
      <c r="F20" s="106">
        <f>F21</f>
        <v>37453</v>
      </c>
      <c r="G20" s="106">
        <f>G21</f>
        <v>6153.5</v>
      </c>
      <c r="H20" s="2">
        <f t="shared" si="4"/>
        <v>48796.3</v>
      </c>
      <c r="I20" s="106">
        <f>I21</f>
        <v>42000</v>
      </c>
      <c r="J20" s="106">
        <f>J21</f>
        <v>6796.3</v>
      </c>
      <c r="K20" s="2">
        <f t="shared" si="3"/>
        <v>48796.3</v>
      </c>
      <c r="L20" s="106">
        <f>L21</f>
        <v>42000</v>
      </c>
      <c r="M20" s="123">
        <f>M21</f>
        <v>6796.3</v>
      </c>
    </row>
    <row r="21" spans="1:16" ht="18" customHeight="1">
      <c r="A21" s="624"/>
      <c r="B21" s="625"/>
      <c r="C21" s="626"/>
      <c r="D21" s="7" t="s">
        <v>4</v>
      </c>
      <c r="E21" s="3">
        <f t="shared" si="0"/>
        <v>43606.5</v>
      </c>
      <c r="F21" s="132">
        <v>37453</v>
      </c>
      <c r="G21" s="132">
        <v>6153.5</v>
      </c>
      <c r="H21" s="134">
        <f t="shared" si="4"/>
        <v>48796.3</v>
      </c>
      <c r="I21" s="132">
        <v>42000</v>
      </c>
      <c r="J21" s="132">
        <v>6796.3</v>
      </c>
      <c r="K21" s="134">
        <f t="shared" si="3"/>
        <v>48796.3</v>
      </c>
      <c r="L21" s="132">
        <v>42000</v>
      </c>
      <c r="M21" s="133">
        <v>6796.3</v>
      </c>
    </row>
    <row r="22" spans="1:16" ht="22.5" customHeight="1">
      <c r="A22" s="624"/>
      <c r="B22" s="625"/>
      <c r="C22" s="626"/>
      <c r="D22" s="83" t="s">
        <v>68</v>
      </c>
      <c r="E22" s="84">
        <f t="shared" si="0"/>
        <v>-43606.5</v>
      </c>
      <c r="F22" s="138">
        <f>+F23</f>
        <v>-37453</v>
      </c>
      <c r="G22" s="139">
        <f>+G23</f>
        <v>-6153.5</v>
      </c>
      <c r="H22" s="140">
        <f t="shared" si="4"/>
        <v>-48796.3</v>
      </c>
      <c r="I22" s="138">
        <f>+I23</f>
        <v>-42000</v>
      </c>
      <c r="J22" s="139">
        <f>+J23</f>
        <v>-6796.3</v>
      </c>
      <c r="K22" s="140">
        <f t="shared" si="3"/>
        <v>-48796.3</v>
      </c>
      <c r="L22" s="138">
        <f>+L23</f>
        <v>-42000</v>
      </c>
      <c r="M22" s="141">
        <f>+M23</f>
        <v>-6796.3</v>
      </c>
      <c r="O22" s="1">
        <v>3737.6200000000003</v>
      </c>
      <c r="P22" s="267">
        <f>+O33/O22</f>
        <v>0.58860986403112137</v>
      </c>
    </row>
    <row r="23" spans="1:16" ht="24.75" customHeight="1">
      <c r="A23" s="624"/>
      <c r="B23" s="625"/>
      <c r="C23" s="626"/>
      <c r="D23" s="107" t="s">
        <v>77</v>
      </c>
      <c r="E23" s="80">
        <f t="shared" si="0"/>
        <v>-43606.5</v>
      </c>
      <c r="F23" s="142">
        <f>F24</f>
        <v>-37453</v>
      </c>
      <c r="G23" s="143">
        <f>G24</f>
        <v>-6153.5</v>
      </c>
      <c r="H23" s="144">
        <f t="shared" si="4"/>
        <v>-48796.3</v>
      </c>
      <c r="I23" s="142">
        <f>I24</f>
        <v>-42000</v>
      </c>
      <c r="J23" s="143">
        <f>J24</f>
        <v>-6796.3</v>
      </c>
      <c r="K23" s="144">
        <f t="shared" si="3"/>
        <v>-48796.3</v>
      </c>
      <c r="L23" s="142">
        <f>L24</f>
        <v>-42000</v>
      </c>
      <c r="M23" s="143">
        <f>M24</f>
        <v>-6796.3</v>
      </c>
      <c r="N23" s="1">
        <f>+F24+I21</f>
        <v>4547</v>
      </c>
    </row>
    <row r="24" spans="1:16" ht="24" customHeight="1" thickBot="1">
      <c r="A24" s="627"/>
      <c r="B24" s="628"/>
      <c r="C24" s="629"/>
      <c r="D24" s="20" t="s">
        <v>78</v>
      </c>
      <c r="E24" s="91">
        <f t="shared" si="0"/>
        <v>-43606.5</v>
      </c>
      <c r="F24" s="132">
        <v>-37453</v>
      </c>
      <c r="G24" s="132">
        <v>-6153.5</v>
      </c>
      <c r="H24" s="137">
        <f t="shared" si="4"/>
        <v>-48796.3</v>
      </c>
      <c r="I24" s="132">
        <v>-42000</v>
      </c>
      <c r="J24" s="132">
        <v>-6796.3</v>
      </c>
      <c r="K24" s="137">
        <f t="shared" si="3"/>
        <v>-48796.3</v>
      </c>
      <c r="L24" s="132">
        <v>-42000</v>
      </c>
      <c r="M24" s="133">
        <v>-6796.3</v>
      </c>
      <c r="N24" s="264">
        <v>5506.1200000000008</v>
      </c>
      <c r="O24" s="1">
        <f>+N24/('[3]Չընդունված հաշիվ. ներառյ 17.01.'!$Z$19+'[3]Չընդունված հաշիվ. ներառյ 17.01.'!$W$19)*1000</f>
        <v>755.87520231507483</v>
      </c>
    </row>
    <row r="25" spans="1:16" ht="63.75" customHeight="1" thickBot="1">
      <c r="A25" s="268" t="s">
        <v>8</v>
      </c>
      <c r="B25" s="269" t="s">
        <v>6</v>
      </c>
      <c r="C25" s="270" t="s">
        <v>5</v>
      </c>
      <c r="D25" s="271" t="s">
        <v>197</v>
      </c>
      <c r="E25" s="272">
        <f t="shared" si="0"/>
        <v>0</v>
      </c>
      <c r="F25" s="273">
        <f>F30+F27</f>
        <v>0</v>
      </c>
      <c r="G25" s="274">
        <f>G30+G27</f>
        <v>0</v>
      </c>
      <c r="H25" s="272">
        <f>I25+J25</f>
        <v>0</v>
      </c>
      <c r="I25" s="273">
        <f>I30+I27</f>
        <v>0</v>
      </c>
      <c r="J25" s="274">
        <f>J30+J27</f>
        <v>0</v>
      </c>
      <c r="K25" s="272">
        <f>L25+M25</f>
        <v>0</v>
      </c>
      <c r="L25" s="273">
        <f>L30+L27</f>
        <v>0</v>
      </c>
      <c r="M25" s="274">
        <f>M30+M27</f>
        <v>0</v>
      </c>
    </row>
    <row r="26" spans="1:16" ht="43.5" customHeight="1">
      <c r="A26" s="621"/>
      <c r="B26" s="622"/>
      <c r="C26" s="623"/>
      <c r="D26" s="6" t="s">
        <v>21</v>
      </c>
      <c r="E26" s="80">
        <f t="shared" si="0"/>
        <v>0</v>
      </c>
      <c r="F26" s="81">
        <f>F25</f>
        <v>0</v>
      </c>
      <c r="G26" s="82">
        <f>G25</f>
        <v>0</v>
      </c>
      <c r="H26" s="80">
        <f t="shared" ref="H26:H32" si="5">I26+J26</f>
        <v>0</v>
      </c>
      <c r="I26" s="81">
        <f>I25</f>
        <v>0</v>
      </c>
      <c r="J26" s="82">
        <f>J25</f>
        <v>0</v>
      </c>
      <c r="K26" s="80">
        <f t="shared" ref="K26:K32" si="6">L26+M26</f>
        <v>0</v>
      </c>
      <c r="L26" s="81">
        <f>L25</f>
        <v>0</v>
      </c>
      <c r="M26" s="82">
        <f>M25</f>
        <v>0</v>
      </c>
    </row>
    <row r="27" spans="1:16" ht="21" customHeight="1">
      <c r="A27" s="624"/>
      <c r="B27" s="625"/>
      <c r="C27" s="626"/>
      <c r="D27" s="7" t="s">
        <v>19</v>
      </c>
      <c r="E27" s="2">
        <f t="shared" si="0"/>
        <v>43198.9</v>
      </c>
      <c r="F27" s="106">
        <f>F28</f>
        <v>38056.400000000001</v>
      </c>
      <c r="G27" s="106">
        <f>G28</f>
        <v>5142.5</v>
      </c>
      <c r="H27" s="2">
        <f t="shared" si="5"/>
        <v>67322.649999999994</v>
      </c>
      <c r="I27" s="106">
        <f>I28</f>
        <v>60008.45</v>
      </c>
      <c r="J27" s="106">
        <f>J28</f>
        <v>7314.2</v>
      </c>
      <c r="K27" s="2">
        <f t="shared" si="6"/>
        <v>80352.899999999994</v>
      </c>
      <c r="L27" s="106">
        <f>L28</f>
        <v>70867</v>
      </c>
      <c r="M27" s="123">
        <f>M28</f>
        <v>9485.9</v>
      </c>
    </row>
    <row r="28" spans="1:16" ht="21.75" customHeight="1">
      <c r="A28" s="624"/>
      <c r="B28" s="625"/>
      <c r="C28" s="626"/>
      <c r="D28" s="7" t="s">
        <v>0</v>
      </c>
      <c r="E28" s="2">
        <f t="shared" si="0"/>
        <v>43198.9</v>
      </c>
      <c r="F28" s="106">
        <f>F29</f>
        <v>38056.400000000001</v>
      </c>
      <c r="G28" s="106">
        <f>G29</f>
        <v>5142.5</v>
      </c>
      <c r="H28" s="2">
        <f t="shared" si="5"/>
        <v>67322.649999999994</v>
      </c>
      <c r="I28" s="106">
        <f>I29</f>
        <v>60008.45</v>
      </c>
      <c r="J28" s="106">
        <f>J29</f>
        <v>7314.2</v>
      </c>
      <c r="K28" s="2">
        <f t="shared" si="6"/>
        <v>80352.899999999994</v>
      </c>
      <c r="L28" s="106">
        <f>L29</f>
        <v>70867</v>
      </c>
      <c r="M28" s="123">
        <f>M29</f>
        <v>9485.9</v>
      </c>
    </row>
    <row r="29" spans="1:16" ht="18" customHeight="1">
      <c r="A29" s="624"/>
      <c r="B29" s="625"/>
      <c r="C29" s="626"/>
      <c r="D29" s="7" t="s">
        <v>4</v>
      </c>
      <c r="E29" s="3">
        <f t="shared" si="0"/>
        <v>43198.9</v>
      </c>
      <c r="F29" s="275">
        <f>76112.8/2</f>
        <v>38056.400000000001</v>
      </c>
      <c r="G29" s="276">
        <v>5142.5</v>
      </c>
      <c r="H29" s="3">
        <f t="shared" si="5"/>
        <v>67322.649999999994</v>
      </c>
      <c r="I29" s="275">
        <f>120016.9/2</f>
        <v>60008.45</v>
      </c>
      <c r="J29" s="276">
        <f>14628.4/2</f>
        <v>7314.2</v>
      </c>
      <c r="K29" s="3">
        <f t="shared" si="6"/>
        <v>80352.899999999994</v>
      </c>
      <c r="L29" s="275">
        <f>141734/2</f>
        <v>70867</v>
      </c>
      <c r="M29" s="277">
        <f>18971.8/2</f>
        <v>9485.9</v>
      </c>
    </row>
    <row r="30" spans="1:16" ht="22.5" customHeight="1">
      <c r="A30" s="624"/>
      <c r="B30" s="625"/>
      <c r="C30" s="626"/>
      <c r="D30" s="83" t="s">
        <v>68</v>
      </c>
      <c r="E30" s="84">
        <f t="shared" si="0"/>
        <v>-43198.9</v>
      </c>
      <c r="F30" s="138">
        <f>+F31</f>
        <v>-38056.400000000001</v>
      </c>
      <c r="G30" s="139">
        <f>+G31</f>
        <v>-5142.5</v>
      </c>
      <c r="H30" s="140">
        <f t="shared" si="5"/>
        <v>-67322.649999999994</v>
      </c>
      <c r="I30" s="138">
        <f>+I31</f>
        <v>-60008.45</v>
      </c>
      <c r="J30" s="139">
        <f>+J31</f>
        <v>-7314.2</v>
      </c>
      <c r="K30" s="140">
        <f t="shared" si="6"/>
        <v>-80352.899999999994</v>
      </c>
      <c r="L30" s="138">
        <f>+L31</f>
        <v>-70867</v>
      </c>
      <c r="M30" s="141">
        <f>+M31</f>
        <v>-9485.9</v>
      </c>
      <c r="O30" s="1">
        <v>3737.6200000000003</v>
      </c>
      <c r="P30" s="267">
        <f>+O41/O30</f>
        <v>0</v>
      </c>
    </row>
    <row r="31" spans="1:16" ht="24.75" customHeight="1">
      <c r="A31" s="624"/>
      <c r="B31" s="625"/>
      <c r="C31" s="626"/>
      <c r="D31" s="107" t="s">
        <v>77</v>
      </c>
      <c r="E31" s="80">
        <f t="shared" si="0"/>
        <v>-43198.9</v>
      </c>
      <c r="F31" s="142">
        <f>F32</f>
        <v>-38056.400000000001</v>
      </c>
      <c r="G31" s="143">
        <f>G32</f>
        <v>-5142.5</v>
      </c>
      <c r="H31" s="144">
        <f t="shared" si="5"/>
        <v>-67322.649999999994</v>
      </c>
      <c r="I31" s="142">
        <f>I32</f>
        <v>-60008.45</v>
      </c>
      <c r="J31" s="143">
        <f>J32</f>
        <v>-7314.2</v>
      </c>
      <c r="K31" s="144">
        <f t="shared" si="6"/>
        <v>-80352.899999999994</v>
      </c>
      <c r="L31" s="142">
        <f>L32</f>
        <v>-70867</v>
      </c>
      <c r="M31" s="143">
        <f>M32</f>
        <v>-9485.9</v>
      </c>
      <c r="N31" s="1">
        <f>+F32+I29</f>
        <v>21952.049999999996</v>
      </c>
    </row>
    <row r="32" spans="1:16" ht="24" customHeight="1" thickBot="1">
      <c r="A32" s="627"/>
      <c r="B32" s="628"/>
      <c r="C32" s="629"/>
      <c r="D32" s="19" t="s">
        <v>3</v>
      </c>
      <c r="E32" s="3">
        <f t="shared" si="0"/>
        <v>-43198.9</v>
      </c>
      <c r="F32" s="275">
        <v>-38056.400000000001</v>
      </c>
      <c r="G32" s="276">
        <v>-5142.5</v>
      </c>
      <c r="H32" s="3">
        <f t="shared" si="5"/>
        <v>-67322.649999999994</v>
      </c>
      <c r="I32" s="275">
        <f>-120016.9/2</f>
        <v>-60008.45</v>
      </c>
      <c r="J32" s="276">
        <f>-14628.4/2</f>
        <v>-7314.2</v>
      </c>
      <c r="K32" s="3">
        <f t="shared" si="6"/>
        <v>-80352.899999999994</v>
      </c>
      <c r="L32" s="275">
        <f>-141734/2</f>
        <v>-70867</v>
      </c>
      <c r="M32" s="277">
        <f>-18971.8/2</f>
        <v>-9485.9</v>
      </c>
      <c r="N32" s="264">
        <v>5506.1200000000008</v>
      </c>
      <c r="O32" s="1">
        <f>+N32/('[3]Չընդունված հաշիվ. ներառյ 17.01.'!$Z$19+'[3]Չընդունված հաշիվ. ներառյ 17.01.'!$W$19)*1000</f>
        <v>755.87520231507483</v>
      </c>
    </row>
    <row r="33" spans="1:16" ht="103.5" customHeight="1" thickBot="1">
      <c r="A33" s="52" t="s">
        <v>8</v>
      </c>
      <c r="B33" s="8" t="s">
        <v>6</v>
      </c>
      <c r="C33" s="11" t="s">
        <v>5</v>
      </c>
      <c r="D33" s="61" t="s">
        <v>79</v>
      </c>
      <c r="E33" s="77">
        <f t="shared" si="0"/>
        <v>-79071.3</v>
      </c>
      <c r="F33" s="78">
        <f>F35</f>
        <v>-79071.3</v>
      </c>
      <c r="G33" s="79">
        <f>G35</f>
        <v>0</v>
      </c>
      <c r="H33" s="77">
        <f t="shared" ref="H33:H39" si="7">I33+J33</f>
        <v>-79071.3</v>
      </c>
      <c r="I33" s="78">
        <f>I35</f>
        <v>-79071.3</v>
      </c>
      <c r="J33" s="79">
        <f>J35</f>
        <v>0</v>
      </c>
      <c r="K33" s="77">
        <f t="shared" ref="K33:K39" si="8">L33+M33</f>
        <v>-79071.3</v>
      </c>
      <c r="L33" s="78">
        <f>L35</f>
        <v>-79071.3</v>
      </c>
      <c r="M33" s="79">
        <f>M35</f>
        <v>0</v>
      </c>
      <c r="N33" s="266">
        <v>39653</v>
      </c>
      <c r="O33" s="1">
        <f>+N33+F24</f>
        <v>2200</v>
      </c>
      <c r="P33" s="265">
        <f>+O33/N24</f>
        <v>0.39955540380522031</v>
      </c>
    </row>
    <row r="34" spans="1:16" ht="43.5" customHeight="1">
      <c r="A34" s="621"/>
      <c r="B34" s="622"/>
      <c r="C34" s="623"/>
      <c r="D34" s="6" t="s">
        <v>21</v>
      </c>
      <c r="E34" s="80">
        <f t="shared" si="0"/>
        <v>-79071.3</v>
      </c>
      <c r="F34" s="81">
        <f>F33</f>
        <v>-79071.3</v>
      </c>
      <c r="G34" s="82">
        <f>G33</f>
        <v>0</v>
      </c>
      <c r="H34" s="80">
        <f t="shared" si="7"/>
        <v>-79071.3</v>
      </c>
      <c r="I34" s="81">
        <f>I33</f>
        <v>-79071.3</v>
      </c>
      <c r="J34" s="82">
        <f>J33</f>
        <v>0</v>
      </c>
      <c r="K34" s="80">
        <f t="shared" si="8"/>
        <v>-79071.3</v>
      </c>
      <c r="L34" s="81">
        <f>L33</f>
        <v>-79071.3</v>
      </c>
      <c r="M34" s="82">
        <f>M33</f>
        <v>0</v>
      </c>
    </row>
    <row r="35" spans="1:16" ht="21" customHeight="1">
      <c r="A35" s="624"/>
      <c r="B35" s="625"/>
      <c r="C35" s="626"/>
      <c r="D35" s="83" t="s">
        <v>68</v>
      </c>
      <c r="E35" s="84">
        <f t="shared" si="0"/>
        <v>-79071.3</v>
      </c>
      <c r="F35" s="85">
        <f t="shared" ref="F35:G37" si="9">F36</f>
        <v>-79071.3</v>
      </c>
      <c r="G35" s="86">
        <f t="shared" si="9"/>
        <v>0</v>
      </c>
      <c r="H35" s="84">
        <f t="shared" si="7"/>
        <v>-79071.3</v>
      </c>
      <c r="I35" s="85">
        <f t="shared" ref="I35:J37" si="10">I36</f>
        <v>-79071.3</v>
      </c>
      <c r="J35" s="86">
        <f t="shared" si="10"/>
        <v>0</v>
      </c>
      <c r="K35" s="84">
        <f t="shared" si="8"/>
        <v>-79071.3</v>
      </c>
      <c r="L35" s="85">
        <f t="shared" ref="L35:M37" si="11">L36</f>
        <v>-79071.3</v>
      </c>
      <c r="M35" s="86">
        <f t="shared" si="11"/>
        <v>0</v>
      </c>
    </row>
    <row r="36" spans="1:16" ht="21" customHeight="1">
      <c r="A36" s="624"/>
      <c r="B36" s="625"/>
      <c r="C36" s="626"/>
      <c r="D36" s="83" t="s">
        <v>1</v>
      </c>
      <c r="E36" s="87">
        <f t="shared" si="0"/>
        <v>-79071.3</v>
      </c>
      <c r="F36" s="88">
        <f t="shared" si="9"/>
        <v>-79071.3</v>
      </c>
      <c r="G36" s="89">
        <f t="shared" si="9"/>
        <v>0</v>
      </c>
      <c r="H36" s="87">
        <f t="shared" si="7"/>
        <v>-79071.3</v>
      </c>
      <c r="I36" s="88">
        <f t="shared" si="10"/>
        <v>-79071.3</v>
      </c>
      <c r="J36" s="89">
        <f t="shared" si="10"/>
        <v>0</v>
      </c>
      <c r="K36" s="87">
        <f t="shared" si="8"/>
        <v>-79071.3</v>
      </c>
      <c r="L36" s="88">
        <f t="shared" si="11"/>
        <v>-79071.3</v>
      </c>
      <c r="M36" s="89">
        <f t="shared" si="11"/>
        <v>0</v>
      </c>
    </row>
    <row r="37" spans="1:16" ht="21" customHeight="1">
      <c r="A37" s="624"/>
      <c r="B37" s="625"/>
      <c r="C37" s="626"/>
      <c r="D37" s="83" t="s">
        <v>2</v>
      </c>
      <c r="E37" s="84">
        <f t="shared" si="0"/>
        <v>-79071.3</v>
      </c>
      <c r="F37" s="90">
        <f t="shared" si="9"/>
        <v>-79071.3</v>
      </c>
      <c r="G37" s="86">
        <f t="shared" si="9"/>
        <v>0</v>
      </c>
      <c r="H37" s="84">
        <f t="shared" si="7"/>
        <v>-79071.3</v>
      </c>
      <c r="I37" s="90">
        <f t="shared" si="10"/>
        <v>-79071.3</v>
      </c>
      <c r="J37" s="86">
        <f t="shared" si="10"/>
        <v>0</v>
      </c>
      <c r="K37" s="84">
        <f t="shared" si="8"/>
        <v>-79071.3</v>
      </c>
      <c r="L37" s="90">
        <f t="shared" si="11"/>
        <v>-79071.3</v>
      </c>
      <c r="M37" s="86">
        <f t="shared" si="11"/>
        <v>0</v>
      </c>
    </row>
    <row r="38" spans="1:16" ht="20.25" customHeight="1" thickBot="1">
      <c r="A38" s="627"/>
      <c r="B38" s="628"/>
      <c r="C38" s="629"/>
      <c r="D38" s="124" t="s">
        <v>80</v>
      </c>
      <c r="E38" s="91">
        <f t="shared" si="0"/>
        <v>-79071.3</v>
      </c>
      <c r="F38" s="135">
        <v>-79071.3</v>
      </c>
      <c r="G38" s="136"/>
      <c r="H38" s="137">
        <f t="shared" si="7"/>
        <v>-79071.3</v>
      </c>
      <c r="I38" s="135">
        <v>-79071.3</v>
      </c>
      <c r="J38" s="136"/>
      <c r="K38" s="137">
        <f t="shared" si="8"/>
        <v>-79071.3</v>
      </c>
      <c r="L38" s="135">
        <v>-79071.3</v>
      </c>
      <c r="M38" s="108"/>
    </row>
    <row r="39" spans="1:16" ht="72" customHeight="1">
      <c r="A39" s="126" t="s">
        <v>8</v>
      </c>
      <c r="B39" s="126" t="s">
        <v>6</v>
      </c>
      <c r="C39" s="126" t="s">
        <v>5</v>
      </c>
      <c r="D39" s="278" t="s">
        <v>109</v>
      </c>
      <c r="E39" s="279">
        <f t="shared" ref="E39:M42" si="12">+E40</f>
        <v>106225.59999999999</v>
      </c>
      <c r="F39" s="279">
        <f t="shared" si="12"/>
        <v>75875.399999999994</v>
      </c>
      <c r="G39" s="279">
        <f t="shared" si="12"/>
        <v>30350.2</v>
      </c>
      <c r="H39" s="279">
        <f t="shared" si="7"/>
        <v>212409.4</v>
      </c>
      <c r="I39" s="279">
        <f t="shared" si="12"/>
        <v>151721</v>
      </c>
      <c r="J39" s="279">
        <f t="shared" si="12"/>
        <v>60688.4</v>
      </c>
      <c r="K39" s="279">
        <f t="shared" si="8"/>
        <v>318593.2</v>
      </c>
      <c r="L39" s="279">
        <f t="shared" si="12"/>
        <v>227566.6</v>
      </c>
      <c r="M39" s="279">
        <f t="shared" si="12"/>
        <v>91026.6</v>
      </c>
    </row>
    <row r="40" spans="1:16" ht="40.5">
      <c r="A40" s="616"/>
      <c r="B40" s="616"/>
      <c r="C40" s="616"/>
      <c r="D40" s="127" t="s">
        <v>21</v>
      </c>
      <c r="E40" s="128">
        <f>F40+G40</f>
        <v>106225.59999999999</v>
      </c>
      <c r="F40" s="128">
        <f>+F41</f>
        <v>75875.399999999994</v>
      </c>
      <c r="G40" s="128">
        <f>+G41</f>
        <v>30350.2</v>
      </c>
      <c r="H40" s="128">
        <f>+H41</f>
        <v>212409.4</v>
      </c>
      <c r="I40" s="128">
        <f t="shared" si="12"/>
        <v>151721</v>
      </c>
      <c r="J40" s="128">
        <f t="shared" si="12"/>
        <v>60688.4</v>
      </c>
      <c r="K40" s="128">
        <f t="shared" si="12"/>
        <v>318593.2</v>
      </c>
      <c r="L40" s="128">
        <f t="shared" si="12"/>
        <v>227566.6</v>
      </c>
      <c r="M40" s="128">
        <f t="shared" si="12"/>
        <v>91026.6</v>
      </c>
    </row>
    <row r="41" spans="1:16" ht="17.25" customHeight="1">
      <c r="A41" s="616"/>
      <c r="B41" s="616"/>
      <c r="C41" s="616"/>
      <c r="D41" s="129" t="s">
        <v>19</v>
      </c>
      <c r="E41" s="130">
        <f>+E42</f>
        <v>106225.59999999999</v>
      </c>
      <c r="F41" s="130">
        <f>+F42</f>
        <v>75875.399999999994</v>
      </c>
      <c r="G41" s="130">
        <f>+G42</f>
        <v>30350.2</v>
      </c>
      <c r="H41" s="130">
        <f t="shared" si="12"/>
        <v>212409.4</v>
      </c>
      <c r="I41" s="130">
        <f t="shared" si="12"/>
        <v>151721</v>
      </c>
      <c r="J41" s="130">
        <f t="shared" si="12"/>
        <v>60688.4</v>
      </c>
      <c r="K41" s="130">
        <f t="shared" si="12"/>
        <v>318593.2</v>
      </c>
      <c r="L41" s="130">
        <f t="shared" si="12"/>
        <v>227566.6</v>
      </c>
      <c r="M41" s="130">
        <f t="shared" si="12"/>
        <v>91026.6</v>
      </c>
    </row>
    <row r="42" spans="1:16" ht="18" customHeight="1">
      <c r="A42" s="616"/>
      <c r="B42" s="616"/>
      <c r="C42" s="616"/>
      <c r="D42" s="129" t="s">
        <v>110</v>
      </c>
      <c r="E42" s="130">
        <f>E43</f>
        <v>106225.59999999999</v>
      </c>
      <c r="F42" s="130">
        <f>F43</f>
        <v>75875.399999999994</v>
      </c>
      <c r="G42" s="130">
        <f t="shared" si="12"/>
        <v>30350.2</v>
      </c>
      <c r="H42" s="130">
        <f t="shared" si="12"/>
        <v>212409.4</v>
      </c>
      <c r="I42" s="130">
        <f t="shared" si="12"/>
        <v>151721</v>
      </c>
      <c r="J42" s="130">
        <f t="shared" si="12"/>
        <v>60688.4</v>
      </c>
      <c r="K42" s="130">
        <f t="shared" si="12"/>
        <v>318593.2</v>
      </c>
      <c r="L42" s="130">
        <f t="shared" si="12"/>
        <v>227566.6</v>
      </c>
      <c r="M42" s="130">
        <f t="shared" si="12"/>
        <v>91026.6</v>
      </c>
    </row>
    <row r="43" spans="1:16" ht="14.25" thickBot="1">
      <c r="A43" s="616"/>
      <c r="B43" s="616"/>
      <c r="C43" s="616"/>
      <c r="D43" s="280" t="s">
        <v>107</v>
      </c>
      <c r="E43" s="281">
        <f>+F43+G43</f>
        <v>106225.59999999999</v>
      </c>
      <c r="F43" s="281">
        <v>75875.399999999994</v>
      </c>
      <c r="G43" s="281">
        <v>30350.2</v>
      </c>
      <c r="H43" s="282">
        <f>I43+J43</f>
        <v>212409.4</v>
      </c>
      <c r="I43" s="283">
        <v>151721</v>
      </c>
      <c r="J43" s="283">
        <v>60688.4</v>
      </c>
      <c r="K43" s="282">
        <f>L43+M43</f>
        <v>318593.2</v>
      </c>
      <c r="L43" s="283">
        <v>227566.6</v>
      </c>
      <c r="M43" s="283">
        <v>91026.6</v>
      </c>
    </row>
    <row r="46" spans="1:16" hidden="1" outlineLevel="1">
      <c r="E46" s="1">
        <v>43198.9</v>
      </c>
      <c r="F46" s="1">
        <v>38056.400000000001</v>
      </c>
      <c r="G46" s="1">
        <v>5142.5</v>
      </c>
      <c r="H46" s="1">
        <v>67322.649999999994</v>
      </c>
      <c r="I46" s="1">
        <v>60008.45</v>
      </c>
      <c r="J46" s="1">
        <v>7314.2</v>
      </c>
      <c r="K46" s="1">
        <v>80352.899999999994</v>
      </c>
      <c r="L46" s="1">
        <v>70867</v>
      </c>
      <c r="M46" s="1">
        <v>9485.9</v>
      </c>
    </row>
    <row r="47" spans="1:16" hidden="1" outlineLevel="1">
      <c r="E47" s="1">
        <f>+E46-E29</f>
        <v>0</v>
      </c>
      <c r="F47" s="1">
        <f t="shared" ref="F47:M47" si="13">+F46-F29</f>
        <v>0</v>
      </c>
      <c r="G47" s="1">
        <f t="shared" si="13"/>
        <v>0</v>
      </c>
      <c r="H47" s="1">
        <f t="shared" si="13"/>
        <v>0</v>
      </c>
      <c r="I47" s="1">
        <f t="shared" si="13"/>
        <v>0</v>
      </c>
      <c r="J47" s="1">
        <f t="shared" si="13"/>
        <v>0</v>
      </c>
      <c r="K47" s="1">
        <f t="shared" si="13"/>
        <v>0</v>
      </c>
      <c r="L47" s="1">
        <f t="shared" si="13"/>
        <v>0</v>
      </c>
      <c r="M47" s="1">
        <f t="shared" si="13"/>
        <v>0</v>
      </c>
    </row>
    <row r="48" spans="1:16" collapsed="1"/>
  </sheetData>
  <mergeCells count="26">
    <mergeCell ref="L1:M1"/>
    <mergeCell ref="L2:M2"/>
    <mergeCell ref="A4:M4"/>
    <mergeCell ref="A6:A8"/>
    <mergeCell ref="B6:B8"/>
    <mergeCell ref="C6:C8"/>
    <mergeCell ref="D6:D8"/>
    <mergeCell ref="K6:M6"/>
    <mergeCell ref="I1:J1"/>
    <mergeCell ref="I2:J2"/>
    <mergeCell ref="H6:J6"/>
    <mergeCell ref="H7:H8"/>
    <mergeCell ref="I7:J7"/>
    <mergeCell ref="F1:G1"/>
    <mergeCell ref="F2:G2"/>
    <mergeCell ref="E6:G6"/>
    <mergeCell ref="A40:C43"/>
    <mergeCell ref="K7:K8"/>
    <mergeCell ref="L7:M7"/>
    <mergeCell ref="A34:C38"/>
    <mergeCell ref="A13:C16"/>
    <mergeCell ref="A9:C11"/>
    <mergeCell ref="A18:C24"/>
    <mergeCell ref="A26:C32"/>
    <mergeCell ref="E7:E8"/>
    <mergeCell ref="F7:G7"/>
  </mergeCells>
  <printOptions horizontalCentered="1"/>
  <pageMargins left="0" right="0" top="0" bottom="0" header="0" footer="0"/>
  <pageSetup paperSize="9" scale="77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Sheet5</vt:lpstr>
      <vt:lpstr>Sheet4</vt:lpstr>
      <vt:lpstr>Sheet3</vt:lpstr>
      <vt:lpstr>Sheet2</vt:lpstr>
      <vt:lpstr>Sheet1</vt:lpstr>
      <vt:lpstr>Հավելված 1</vt:lpstr>
      <vt:lpstr>Հավելված 2</vt:lpstr>
      <vt:lpstr>Հավելված 3</vt:lpstr>
      <vt:lpstr>N 2.2 </vt:lpstr>
      <vt:lpstr>Հավելված 4</vt:lpstr>
      <vt:lpstr>Հավելված 5 աղ. 1</vt:lpstr>
      <vt:lpstr>Հավելված 5 աղ․ 2</vt:lpstr>
      <vt:lpstr>N 3.2</vt:lpstr>
      <vt:lpstr>'N 2.2 '!Print_Area</vt:lpstr>
      <vt:lpstr>'N 3.2'!Print_Area</vt:lpstr>
      <vt:lpstr>'Հավելված 1'!Print_Area</vt:lpstr>
      <vt:lpstr>'Հավելված 2'!Print_Area</vt:lpstr>
      <vt:lpstr>'Հավելված 3'!Print_Area</vt:lpstr>
      <vt:lpstr>'Հավելված 4'!Print_Area</vt:lpstr>
      <vt:lpstr>'Հավելված 5 աղ. 1'!Print_Area</vt:lpstr>
      <vt:lpstr>'Հավելված 5 աղ․ 2'!Print_Area</vt:lpstr>
      <vt:lpstr>'N 2.2 '!Print_Titles</vt:lpstr>
      <vt:lpstr>'Հավելված 1'!Print_Titles</vt:lpstr>
      <vt:lpstr>'Հավելված 2'!Print_Titles</vt:lpstr>
      <vt:lpstr>'Հավելված 3'!Print_Titles</vt:lpstr>
      <vt:lpstr>'Հավելված 4'!Print_Titles</vt:lpstr>
    </vt:vector>
  </TitlesOfParts>
  <Company>MFE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V</dc:creator>
  <cp:lastModifiedBy>Knarik Sayadyan</cp:lastModifiedBy>
  <cp:lastPrinted>2019-06-05T10:49:46Z</cp:lastPrinted>
  <dcterms:created xsi:type="dcterms:W3CDTF">2007-03-02T10:56:04Z</dcterms:created>
  <dcterms:modified xsi:type="dcterms:W3CDTF">2019-07-18T07:57:01Z</dcterms:modified>
  <cp:keywords>https://mul2.gov.am/tasks/99202/oneclick/3Havelvacner ver.xlsx?token=e2e5f5a972d3f7bee59abbf3cc619669</cp:keywords>
</cp:coreProperties>
</file>