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848" firstSheet="1" activeTab="6"/>
  </bookViews>
  <sheets>
    <sheet name="Հավելված N 1" sheetId="27" r:id="rId1"/>
    <sheet name="Հավելված N 2" sheetId="32" r:id="rId2"/>
    <sheet name="Հավելված N 3" sheetId="36" r:id="rId3"/>
    <sheet name="Հավելված N 4" sheetId="35" r:id="rId4"/>
    <sheet name="Հավելված N 5" sheetId="29" r:id="rId5"/>
    <sheet name="Հավելված N 6" sheetId="57" r:id="rId6"/>
    <sheet name="Հավելված N 7" sheetId="41" r:id="rId7"/>
  </sheets>
  <definedNames>
    <definedName name="a" localSheetId="5">#REF!</definedName>
    <definedName name="a">#REF!</definedName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5" i="32"/>
  <c r="G30"/>
  <c r="G29" s="1"/>
  <c r="G28" s="1"/>
  <c r="G27" s="1"/>
  <c r="G25" s="1"/>
  <c r="G23" s="1"/>
  <c r="G21" s="1"/>
  <c r="G19" s="1"/>
  <c r="G17" s="1"/>
  <c r="G39"/>
  <c r="G38" s="1"/>
  <c r="G37" s="1"/>
  <c r="G36" s="1"/>
  <c r="G34" s="1"/>
  <c r="G32" s="1"/>
  <c r="F13" i="36"/>
  <c r="H13"/>
  <c r="I11" i="41"/>
  <c r="D26" i="57" l="1"/>
  <c r="D23" i="27"/>
  <c r="D26" i="29" l="1"/>
  <c r="D37" i="57"/>
  <c r="D29" i="27" l="1"/>
  <c r="D37" i="29" l="1"/>
  <c r="I13" i="41" l="1"/>
  <c r="E22" i="36"/>
  <c r="D22" s="1"/>
  <c r="E23" i="35" s="1"/>
  <c r="E28" i="36"/>
  <c r="D28" s="1"/>
  <c r="E29" i="35" s="1"/>
  <c r="E26" i="36"/>
  <c r="D26" s="1"/>
  <c r="E27" i="35" s="1"/>
  <c r="H25" i="36"/>
  <c r="G25"/>
  <c r="F25"/>
  <c r="E20"/>
  <c r="E18"/>
  <c r="E25" l="1"/>
  <c r="D25" s="1"/>
  <c r="D20"/>
  <c r="E21" i="35" s="1"/>
  <c r="E20" s="1"/>
  <c r="H19" i="36"/>
  <c r="G19"/>
  <c r="F19"/>
  <c r="E19"/>
  <c r="D18"/>
  <c r="E19" i="35" s="1"/>
  <c r="E18" s="1"/>
  <c r="H17" i="36"/>
  <c r="G17"/>
  <c r="F17"/>
  <c r="D19" l="1"/>
  <c r="E17"/>
  <c r="D17" s="1"/>
  <c r="E57" l="1"/>
  <c r="E41"/>
  <c r="I48" i="41"/>
  <c r="E58" i="36"/>
  <c r="I78" i="41"/>
  <c r="F75" i="36"/>
  <c r="H75"/>
  <c r="E77"/>
  <c r="D77" s="1"/>
  <c r="E80" i="35" s="1"/>
  <c r="E76" i="36"/>
  <c r="I76" i="41"/>
  <c r="E56" i="36" l="1"/>
  <c r="E75"/>
  <c r="E63"/>
  <c r="D63" s="1"/>
  <c r="E66" i="35" s="1"/>
  <c r="E62" i="36"/>
  <c r="D62" s="1"/>
  <c r="E65" i="35" s="1"/>
  <c r="E61" i="36"/>
  <c r="I73" i="41"/>
  <c r="F60" i="36"/>
  <c r="H60"/>
  <c r="E73"/>
  <c r="E72"/>
  <c r="E71"/>
  <c r="I75" i="41"/>
  <c r="F70" i="36"/>
  <c r="H70"/>
  <c r="F47"/>
  <c r="H47"/>
  <c r="E68"/>
  <c r="E67"/>
  <c r="E66"/>
  <c r="I74" i="41"/>
  <c r="E50" i="36"/>
  <c r="E49"/>
  <c r="E48"/>
  <c r="I71" i="41"/>
  <c r="F56" i="36"/>
  <c r="H56"/>
  <c r="F52"/>
  <c r="D58"/>
  <c r="E61" i="35" s="1"/>
  <c r="D57" i="36"/>
  <c r="E60" i="35" s="1"/>
  <c r="I72" i="41"/>
  <c r="I77"/>
  <c r="E54" i="36"/>
  <c r="E53"/>
  <c r="D53" l="1"/>
  <c r="E56" i="35" s="1"/>
  <c r="E52" i="36"/>
  <c r="E65"/>
  <c r="D48"/>
  <c r="E51" i="35" s="1"/>
  <c r="E47" i="36"/>
  <c r="E70"/>
  <c r="E60"/>
  <c r="D71"/>
  <c r="E74" i="35" s="1"/>
  <c r="I70" i="41" l="1"/>
  <c r="E40" i="36" l="1"/>
  <c r="E39" s="1"/>
  <c r="I90" i="41" l="1"/>
  <c r="G69" i="36" s="1"/>
  <c r="G65" s="1"/>
  <c r="F65" l="1"/>
  <c r="H65"/>
  <c r="D69"/>
  <c r="E72" i="35" s="1"/>
  <c r="E36" i="36" l="1"/>
  <c r="E35" s="1"/>
  <c r="E31"/>
  <c r="E29"/>
  <c r="E27" s="1"/>
  <c r="E24"/>
  <c r="D24" s="1"/>
  <c r="E25" i="35" s="1"/>
  <c r="E23" i="36"/>
  <c r="F21"/>
  <c r="G21"/>
  <c r="H21"/>
  <c r="F33"/>
  <c r="H33"/>
  <c r="E33"/>
  <c r="F27"/>
  <c r="G27"/>
  <c r="H27"/>
  <c r="F30"/>
  <c r="H30"/>
  <c r="F35"/>
  <c r="G35"/>
  <c r="H35"/>
  <c r="I45" i="41"/>
  <c r="I46"/>
  <c r="G32" i="36" s="1"/>
  <c r="G30" s="1"/>
  <c r="G34" l="1"/>
  <c r="G33" s="1"/>
  <c r="D33" s="1"/>
  <c r="I22" i="41"/>
  <c r="I12" s="1"/>
  <c r="D23" i="36"/>
  <c r="E24" i="35" s="1"/>
  <c r="E22" s="1"/>
  <c r="E21" i="36"/>
  <c r="D21" s="1"/>
  <c r="D31"/>
  <c r="E32" i="35" s="1"/>
  <c r="E30" i="36"/>
  <c r="D36"/>
  <c r="E37" i="35" s="1"/>
  <c r="E36" s="1"/>
  <c r="F15" i="36"/>
  <c r="H15"/>
  <c r="D29"/>
  <c r="E30" i="35" s="1"/>
  <c r="E28" s="1"/>
  <c r="D35" i="36"/>
  <c r="D32"/>
  <c r="E33" i="35" s="1"/>
  <c r="G59" i="32" l="1"/>
  <c r="G58" s="1"/>
  <c r="D34" i="36"/>
  <c r="E35" i="35" s="1"/>
  <c r="E34" s="1"/>
  <c r="E31"/>
  <c r="E26"/>
  <c r="G57" i="32" s="1"/>
  <c r="G56" s="1"/>
  <c r="G55" s="1"/>
  <c r="G54" s="1"/>
  <c r="G53" s="1"/>
  <c r="G51" s="1"/>
  <c r="G49" s="1"/>
  <c r="G47" s="1"/>
  <c r="G15" i="36"/>
  <c r="E15"/>
  <c r="D30"/>
  <c r="E16" i="35" l="1"/>
  <c r="H52" i="36"/>
  <c r="H45"/>
  <c r="F45"/>
  <c r="E45"/>
  <c r="H43"/>
  <c r="F43"/>
  <c r="E43"/>
  <c r="F39"/>
  <c r="H39"/>
  <c r="I100" i="41" l="1"/>
  <c r="I99"/>
  <c r="G78" i="36" s="1"/>
  <c r="I98" i="41"/>
  <c r="G74" i="36" s="1"/>
  <c r="G70" s="1"/>
  <c r="I97" i="41"/>
  <c r="G64" i="36" s="1"/>
  <c r="G60" s="1"/>
  <c r="I96" i="41"/>
  <c r="G59" i="36" s="1"/>
  <c r="G56" s="1"/>
  <c r="I95" i="41"/>
  <c r="G55" i="36" s="1"/>
  <c r="G52" s="1"/>
  <c r="I94" i="41"/>
  <c r="G51" i="36" s="1"/>
  <c r="G47" s="1"/>
  <c r="I93" i="41"/>
  <c r="G46" i="36" s="1"/>
  <c r="I92" i="41"/>
  <c r="G44" i="36" s="1"/>
  <c r="I91" i="41"/>
  <c r="D60" i="57" l="1"/>
  <c r="I69" i="41"/>
  <c r="G79" i="36"/>
  <c r="D79" s="1"/>
  <c r="E82" i="35" s="1"/>
  <c r="G42" i="36"/>
  <c r="D55"/>
  <c r="E58" i="35" s="1"/>
  <c r="D78" i="36"/>
  <c r="E81" i="35" s="1"/>
  <c r="D51" i="36"/>
  <c r="E54" i="35" s="1"/>
  <c r="D74" i="36"/>
  <c r="E77" i="35" s="1"/>
  <c r="D46" i="36"/>
  <c r="G45"/>
  <c r="D45" s="1"/>
  <c r="D64"/>
  <c r="E67" i="35" s="1"/>
  <c r="D44" i="36"/>
  <c r="G43"/>
  <c r="D43" s="1"/>
  <c r="D59"/>
  <c r="E62" i="35" s="1"/>
  <c r="E59" s="1"/>
  <c r="D56" i="36"/>
  <c r="E47" i="35" l="1"/>
  <c r="E46" s="1"/>
  <c r="E48"/>
  <c r="E49"/>
  <c r="D35" i="27"/>
  <c r="D16" s="1"/>
  <c r="G75" i="36"/>
  <c r="D42"/>
  <c r="G39"/>
  <c r="D49" i="29" l="1"/>
  <c r="E45" i="35"/>
  <c r="G72" i="32" s="1"/>
  <c r="G71" s="1"/>
  <c r="D27" i="36" l="1"/>
  <c r="E14" i="35" l="1"/>
  <c r="D73" i="36" l="1"/>
  <c r="E76" i="35" s="1"/>
  <c r="D68" i="36"/>
  <c r="E71" i="35" s="1"/>
  <c r="D50" i="36"/>
  <c r="E53" i="35" s="1"/>
  <c r="H37" i="36"/>
  <c r="G37"/>
  <c r="G13" s="1"/>
  <c r="F37"/>
  <c r="D66" l="1"/>
  <c r="E69" i="35" s="1"/>
  <c r="D65" i="36"/>
  <c r="D15"/>
  <c r="D76"/>
  <c r="E79" i="35" s="1"/>
  <c r="E78" s="1"/>
  <c r="D75" i="36"/>
  <c r="D40"/>
  <c r="E43" i="35" s="1"/>
  <c r="D61" i="36"/>
  <c r="E64" i="35" s="1"/>
  <c r="E63" s="1"/>
  <c r="D67" i="36"/>
  <c r="E70" i="35" s="1"/>
  <c r="D54" i="36"/>
  <c r="E57" i="35" s="1"/>
  <c r="E55" s="1"/>
  <c r="D41" i="36"/>
  <c r="E44" i="35" s="1"/>
  <c r="D52" i="36"/>
  <c r="E68" i="35" l="1"/>
  <c r="E42"/>
  <c r="E37" i="36"/>
  <c r="E13" s="1"/>
  <c r="D39"/>
  <c r="I47" i="41" l="1"/>
  <c r="I10" l="1"/>
  <c r="D72" i="36" l="1"/>
  <c r="E75" i="35" s="1"/>
  <c r="E73" s="1"/>
  <c r="D49" i="36"/>
  <c r="E52" i="35" s="1"/>
  <c r="G70" i="32" l="1"/>
  <c r="G69" s="1"/>
  <c r="G68" s="1"/>
  <c r="G67" s="1"/>
  <c r="G66" s="1"/>
  <c r="G64" s="1"/>
  <c r="G62" s="1"/>
  <c r="G60" s="1"/>
  <c r="G45" s="1"/>
  <c r="G43" s="1"/>
  <c r="G41" s="1"/>
  <c r="G13" s="1"/>
  <c r="E50" i="35"/>
  <c r="E40" s="1"/>
  <c r="D60" i="36"/>
  <c r="D70"/>
  <c r="D37" l="1"/>
  <c r="D47"/>
  <c r="D74" i="57" l="1"/>
  <c r="D48" i="27" l="1"/>
  <c r="D63" i="29" l="1"/>
  <c r="D41" i="27"/>
  <c r="D14" s="1"/>
  <c r="E38" i="35"/>
  <c r="E12" s="1"/>
  <c r="G12" i="32" l="1"/>
  <c r="G92" s="1"/>
  <c r="G91" s="1"/>
  <c r="G90" s="1"/>
  <c r="G89" s="1"/>
  <c r="G87" s="1"/>
  <c r="D94" i="57" s="1"/>
  <c r="G85" i="32" l="1"/>
  <c r="D62" i="27" s="1"/>
  <c r="D83" i="29" s="1"/>
  <c r="G83" i="32" l="1"/>
  <c r="G81" s="1"/>
  <c r="G79" s="1"/>
  <c r="G77" s="1"/>
  <c r="G75" s="1"/>
  <c r="G74" s="1"/>
  <c r="G10" s="1"/>
  <c r="D56" i="27"/>
  <c r="D54" s="1"/>
  <c r="D12" s="1"/>
  <c r="E11" i="36"/>
  <c r="D13"/>
  <c r="G11"/>
  <c r="F11"/>
  <c r="H11"/>
  <c r="D11" l="1"/>
</calcChain>
</file>

<file path=xl/sharedStrings.xml><?xml version="1.0" encoding="utf-8"?>
<sst xmlns="http://schemas.openxmlformats.org/spreadsheetml/2006/main" count="913" uniqueCount="350">
  <si>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</si>
  <si>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</si>
  <si>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</si>
  <si>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</si>
  <si>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</si>
  <si>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</si>
  <si>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</si>
  <si>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</si>
  <si>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</si>
  <si>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</si>
  <si>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</si>
  <si>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</si>
  <si>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</si>
  <si>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</si>
  <si>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</si>
  <si>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</si>
  <si>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</si>
  <si>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</si>
  <si>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</si>
  <si>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</si>
  <si>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</si>
  <si>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</si>
  <si>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</si>
  <si>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</si>
  <si>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</si>
  <si>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</si>
  <si>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</si>
  <si>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</si>
  <si>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</si>
  <si>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</si>
  <si>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</si>
  <si>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</si>
  <si>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</si>
  <si>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</si>
  <si>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</si>
  <si>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</si>
  <si>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</si>
  <si>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</si>
  <si>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</si>
  <si>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</si>
  <si>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</si>
  <si>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</si>
  <si>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</si>
  <si>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</si>
  <si>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</si>
  <si>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</si>
  <si>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</si>
  <si>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</si>
  <si>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</si>
  <si>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</si>
  <si>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</si>
  <si>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</si>
  <si>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</si>
  <si>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ՀՀ կառավարություն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</si>
  <si>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</si>
  <si>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</si>
  <si>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</si>
  <si>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</si>
  <si>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</si>
  <si>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</si>
  <si>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</si>
  <si>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</si>
  <si>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</si>
  <si>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</si>
  <si>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</si>
  <si>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</si>
  <si>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</si>
  <si>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</si>
  <si>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</si>
  <si>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</si>
  <si>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</si>
  <si>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</si>
  <si>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</si>
  <si>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</si>
  <si>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</si>
  <si>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</si>
  <si>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</si>
  <si>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</si>
  <si>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</si>
  <si>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</si>
  <si>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ՀՀ քաղաքաշինության կոմիտե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</si>
  <si>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</si>
  <si>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</si>
  <si>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</si>
  <si>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</si>
  <si>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</si>
  <si>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</si>
  <si>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</si>
  <si>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</si>
  <si>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</si>
  <si>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</si>
  <si>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</si>
  <si>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</si>
  <si>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</si>
  <si>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</si>
  <si>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</si>
  <si>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</si>
  <si>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</si>
  <si>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</si>
  <si>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</si>
  <si>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</si>
  <si>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</si>
  <si>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</si>
  <si>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</si>
  <si>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</si>
  <si>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</si>
  <si>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</si>
  <si>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</si>
  <si>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</si>
  <si>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</si>
  <si>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</si>
  <si>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</si>
  <si>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</si>
  <si>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</si>
  <si>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</si>
  <si>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>Աղյուսակ 9․1.14</t>
  </si>
  <si>
    <t>Աղյուսակ 9․1.42</t>
  </si>
  <si>
    <t>դրամ</t>
  </si>
  <si>
    <t>ՄԱ</t>
  </si>
  <si>
    <t xml:space="preserve">Ցուցանիշների փոփոխությունը (ավելացումները նշված են դրական նշանով)  </t>
  </si>
  <si>
    <t>Ընդամենը</t>
  </si>
  <si>
    <t>ՀՀ ԿԱՌԱՎԱՐՈՒԹՅՈՒՆ</t>
  </si>
  <si>
    <t>ՀՀ Լոռու մարզ</t>
  </si>
  <si>
    <t>ՀՀ Տավուշի մարզ</t>
  </si>
  <si>
    <t>ՀՀ Արմավիրի մարզ</t>
  </si>
  <si>
    <t>ՀՀ Գեղարքունիքի մարզ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</si>
  <si>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</si>
  <si>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</si>
  <si>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</si>
  <si>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</si>
  <si>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</si>
  <si>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</si>
  <si>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</si>
  <si>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</si>
  <si>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</si>
  <si>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</si>
  <si>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</si>
  <si>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</si>
  <si>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</si>
  <si>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</si>
  <si>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ԲՄ</t>
  </si>
  <si>
    <t xml:space="preserve"> Հաստատությունների քանակ, որոնց շինարարական աշխատանքների ավարտվածության աստիճանը 100% է, հատ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</si>
  <si>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</si>
  <si>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</si>
  <si>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</si>
  <si>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Աղյուսակ 9․1.59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</si>
  <si>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</si>
  <si>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</si>
  <si>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 xml:space="preserve">ՀՀ կառավարության  2022 թվականի </t>
  </si>
  <si>
    <t>ՀՀ կառավարության  2022 թվականի</t>
  </si>
  <si>
    <t>Հավելված N 5</t>
  </si>
  <si>
    <t>ՀՀ քաղաքաինության կոմիտե</t>
  </si>
  <si>
    <t>ՀՀ Արագածոտնի մարզ</t>
  </si>
  <si>
    <t>ՀՀ Կոտայքի մարզ</t>
  </si>
  <si>
    <t xml:space="preserve"> Փոքրաքանակ երեխաներով համալրված հանրակրթական դպրոցների  մոդուլային շենքերի կառուցում</t>
  </si>
  <si>
    <t>ՀՀ Վայոց Ձորի մարզ</t>
  </si>
  <si>
    <t>«Գոմքի միջնակարգ դպրոց» ՊՈԱԿ</t>
  </si>
  <si>
    <t>«Շատջրեք գյուղի միջնակարգ դպրոց» ՊՈԱԿ</t>
  </si>
  <si>
    <t>1183-32003</t>
  </si>
  <si>
    <t xml:space="preserve"> միջնակարգ դպրոցների կառուցման աշխատանքներ</t>
  </si>
  <si>
    <t>45211231-5</t>
  </si>
  <si>
    <t>45211231-21</t>
  </si>
  <si>
    <t>98111140-37</t>
  </si>
  <si>
    <t>ՀՀ Արարատի մարզ</t>
  </si>
  <si>
    <t>ՀՀ Սյունիքի մարզ</t>
  </si>
  <si>
    <t>ՀՀ Շիրակի մարզ</t>
  </si>
  <si>
    <t>Փոքրաքանակ երեխաներով համալրված հանրակրթական դպրոցների մոդուլային շենքերի կառուցում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</si>
  <si>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</si>
  <si>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</si>
  <si>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</si>
  <si>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 xml:space="preserve"> Կրթական հաստատությունների կառուցում  համայնքային կենտրոնների մոդելով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</si>
  <si>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</si>
  <si>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</si>
  <si>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</si>
  <si>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</si>
  <si>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</si>
  <si>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ԼՐԱՑՈՒՄՆԵՐԸ</t>
  </si>
  <si>
    <t>71351540-67</t>
  </si>
  <si>
    <t>71351540-72</t>
  </si>
  <si>
    <t>45211231-1</t>
  </si>
  <si>
    <t>45211231-2</t>
  </si>
  <si>
    <t>45211231-7</t>
  </si>
  <si>
    <t>45211231-9</t>
  </si>
  <si>
    <t>45211231-13</t>
  </si>
  <si>
    <t>45211231-16</t>
  </si>
  <si>
    <t>45211231-17</t>
  </si>
  <si>
    <t>45211231-18</t>
  </si>
  <si>
    <t>45211231-20</t>
  </si>
  <si>
    <t>45211231-22</t>
  </si>
  <si>
    <t>71351540-64</t>
  </si>
  <si>
    <t>71351540-74</t>
  </si>
  <si>
    <t>71351540-70</t>
  </si>
  <si>
    <t>71351540-71</t>
  </si>
  <si>
    <t>71351540-73</t>
  </si>
  <si>
    <t>«Գառնահովիտի  միջնակարգ դպրոց» ՊՈԱԿ</t>
  </si>
  <si>
    <t>«Լուսակնի միջնակարգ դպրոց» ՊՈԱԿ</t>
  </si>
  <si>
    <t>«Ջիլի միջնակարգ դպրոց» ՊՈԱԿ</t>
  </si>
  <si>
    <t>«Մեդովկայի միջնակարգ դպրոց» ՊՈԱԿ</t>
  </si>
  <si>
    <t>«Բերդաշենի միջնակարգ դպրոց» ՊՈԱԿ</t>
  </si>
  <si>
    <t>«Հարժիսի Համլետ Մինասյանի անվան միջնակարգ դպրոց» ՊՈԱԿ</t>
  </si>
  <si>
    <t>«Վաղատինի միջնակարգ դպրոց» ՊՈԱԿ</t>
  </si>
  <si>
    <t>«Դարբասի միջնակարգ դպրոց» ՊՈԱԿ</t>
  </si>
  <si>
    <t>«Չիվայի միջնակարգ դպրոց» ՊՈԱԿ</t>
  </si>
  <si>
    <t>«Կիրանցի Գ.Վարդանյանի անվ. հիմնական դպրոց» ՊՈԱԿ</t>
  </si>
  <si>
    <t>«Ջրառատի միջնակարգ դպրոց» ՊՈԱԿ</t>
  </si>
  <si>
    <t>նախագծերի պատրաստում, ծախսերի գնահատում</t>
  </si>
  <si>
    <t>փորձաքննության ծառայություններ</t>
  </si>
  <si>
    <t>Հավելված N 7</t>
  </si>
  <si>
    <t xml:space="preserve">ՀԱՅԱՍՏԱՆԻ ՀԱՆՐԱՊԵՏՈՒԹՅԱՆ ԿԱՌԱՎԱՐՈՒԹՅԱՆ 2021 ԹՎԱԿԱՆԻ ԴԵԿՏԵՄԲԵՐԻ 23-Ի N 2121-Ն ՈՐՈՇՄԱՆ N 9 ՀԱՎԵԼՎԱԾԻ N 9.13 ԵՎ 9.47 ԱՂՅՈՒՍԱԿՆԵՐՈՒՄ ԿԱՏԱՐՎՈՂ ՓՈՓՈԽՈՒԹՅՈՒՆՆԵՐԸ ԵՎ ԼՐԱՑՈՒՄՆԵՐԸ </t>
  </si>
  <si>
    <t>ՀԲՄ</t>
  </si>
  <si>
    <t>50531140-30</t>
  </si>
  <si>
    <t>50531140-31</t>
  </si>
  <si>
    <t>50531140-32</t>
  </si>
  <si>
    <t>50531140-33</t>
  </si>
  <si>
    <t>50531140-34</t>
  </si>
  <si>
    <t>50531140-35</t>
  </si>
  <si>
    <t>50531140-36</t>
  </si>
  <si>
    <t>50531140-37</t>
  </si>
  <si>
    <t>50531140-38</t>
  </si>
  <si>
    <t>50531140-39</t>
  </si>
  <si>
    <t>«Հացաշենի հիմնական դպրոց» ՊՈԱԿ</t>
  </si>
  <si>
    <t>«Նիզամիի միջնակարգ դպրոց» ՊՈԱԿ</t>
  </si>
  <si>
    <t>«Հայկաշենի Գ. Կիրակոսյանի անվան միջնակարգ դպրոց» ՊՈԱԿ</t>
  </si>
  <si>
    <t>«Արփունք գյուղի միջնակարգ դպրոց» ՊՈԱԿ</t>
  </si>
  <si>
    <t>«Բլագոդարնոյեի հիմնական դպրոց» ՊՈԱԿ</t>
  </si>
  <si>
    <t>«Հովունիի միջնակարգ դպրոց» ՊՈԱԿ</t>
  </si>
  <si>
    <t>«Նուռնուսի միջնակարգ դպրոց» ՊՈԱԿ</t>
  </si>
  <si>
    <t>«Գողթանիկի հիմնական դպրոց» ՊՈԱԿ</t>
  </si>
  <si>
    <t>«Գոշի միջնակարգ դպրոց» ՊՈԱԿ</t>
  </si>
  <si>
    <t>«Նավուրի միջնակարգ դպրոց» ՊՈԱԿ</t>
  </si>
  <si>
    <t>1146-12010</t>
  </si>
  <si>
    <t>«Մոդուլային» տիպի մանկապարտեզների շենքային ապահովում</t>
  </si>
  <si>
    <t>ընդհանուր շինարարական աշխատանքներ</t>
  </si>
  <si>
    <t>45221142-50</t>
  </si>
  <si>
    <t>71351540-54</t>
  </si>
  <si>
    <t>98111140-28</t>
  </si>
  <si>
    <t>45221142-44</t>
  </si>
  <si>
    <t>71351540-55</t>
  </si>
  <si>
    <t>98111140-29</t>
  </si>
  <si>
    <t>45221142-52</t>
  </si>
  <si>
    <t>71351540-57</t>
  </si>
  <si>
    <t>98111140-31</t>
  </si>
  <si>
    <t>45221142-55</t>
  </si>
  <si>
    <t>45221142-56</t>
  </si>
  <si>
    <t>71351540-113</t>
  </si>
  <si>
    <t>71351540-112</t>
  </si>
  <si>
    <t>98111140-93</t>
  </si>
  <si>
    <t>98111140-94</t>
  </si>
  <si>
    <t>71241200-32</t>
  </si>
  <si>
    <t>ՀՄԱ</t>
  </si>
  <si>
    <t>50531140-11</t>
  </si>
  <si>
    <t>71241200-22</t>
  </si>
  <si>
    <t>ՀՀ Լոռու մարզի Գոգարան համայնքում «Մոդուլային» տիպի 144 տեղ հզորությամբ մսուր-մանկապարտեզ</t>
  </si>
  <si>
    <t>ՀՀ Արմավիրի մարզի Գետաշեն համայնքում «Մոդուլային» տիպի 144 տեղ հզորությամբ մսուր-մանկապարտեզ</t>
  </si>
  <si>
    <t>ՀՀ Արմավիրի մարզի Լենուղի համայնքում «Մոդուլային» տիպի 144 տեղ հզորությամբ մսուր-մանկապարտեզ</t>
  </si>
  <si>
    <t xml:space="preserve">ՀՀ Կոտայքի մարզի Հրազդան համայնքում «Մոդուլային» տիպի 144 տեղ հզորությամբ մսուր-մանկապարտեզ </t>
  </si>
  <si>
    <t>ՀՀ Կոտայքի մարզի Չարենցավան համայնքի Ֆանտան բնակավայրում «Մոդուլային» տիպի 144 տեղ հզորությամբ մսուր-մանկապարտեզ</t>
  </si>
  <si>
    <t>ՀՀ Տավուշի մարզի Այրում համայնքի Բագրատաշեն բնակավայրում «Մոդուլային» տիպի 144 տեղ հզորությամբ մսուր-մանկապարտեզ</t>
  </si>
  <si>
    <t>ՀՀ Սյունիքի մարզի Սիսիան համայնքում «Մոդուլային» տիպի 144 տեղ հզորությամբ մսուր-մանկապարտեզ</t>
  </si>
  <si>
    <t>50531140-1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</si>
  <si>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</si>
  <si>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</si>
  <si>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</si>
  <si>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</si>
  <si>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«Մոդուլային» տիպի մանկապարտեզների շենքային ապահովում</t>
  </si>
  <si>
    <t xml:space="preserve"> Համայնքներում «Մոդուլային» տիպի մանկապարտեզների կառուցում և նախագծում</t>
  </si>
  <si>
    <t xml:space="preserve"> Տրանսֆերտների տրամադրում</t>
  </si>
  <si>
    <t xml:space="preserve"> Նախագծանախահաշվային փաստաթղթերի քանակ, հատ 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</si>
  <si>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</si>
  <si>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</si>
  <si>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Տրանսֆերտների տրամադրում </t>
  </si>
  <si>
    <t xml:space="preserve"> Շահառուների ընտրության չափանիշները </t>
  </si>
  <si>
    <t xml:space="preserve"> Նախադպրոցական կրթությույն իրականացնող ուսումնական հաստատություններ </t>
  </si>
  <si>
    <t xml:space="preserve"> Կառուցվող օբյեկտների քանակ, հատ </t>
  </si>
  <si>
    <t xml:space="preserve">Միջոցառման դասիչը` </t>
  </si>
  <si>
    <t>«Եղվարդի միջնակարգ դպրոց» ՊՈԱԿ</t>
  </si>
  <si>
    <t>71241200-37</t>
  </si>
  <si>
    <t>50531140-27</t>
  </si>
  <si>
    <t>71241200-48</t>
  </si>
  <si>
    <t>71241200-49</t>
  </si>
  <si>
    <t>71241200-50</t>
  </si>
  <si>
    <t>71241200-51</t>
  </si>
  <si>
    <t>71241200-52</t>
  </si>
  <si>
    <t>71241200-53</t>
  </si>
  <si>
    <t>71241200-54</t>
  </si>
  <si>
    <t>71241200-55</t>
  </si>
  <si>
    <t>71241200-56</t>
  </si>
  <si>
    <t>71241200-57</t>
  </si>
  <si>
    <t>«Հագվու հիմնական դպրոց» ՊՈԱԿ</t>
  </si>
  <si>
    <t>45211231-8</t>
  </si>
  <si>
    <t>«Կաթնաղբյուրի հիմնական դպրոց» ՊՈԱԿ</t>
  </si>
  <si>
    <t>45211231-10</t>
  </si>
  <si>
    <t>45211231-12</t>
  </si>
  <si>
    <t>71351540-69</t>
  </si>
  <si>
    <t>«Լեռնահովիտ գյուղի Վ. Բարեղամյանի անվան հիմնական դպրոց» ՊՈԱԿ</t>
  </si>
  <si>
    <t>45211231-4</t>
  </si>
  <si>
    <t>«Եղեգիսի միջնակարգ դպրոց» ՊՈԱԿ</t>
  </si>
  <si>
    <t>45211231-19</t>
  </si>
  <si>
    <t>«Արեգնադեմի միջնակարգ դպրոց» ՊՈԱԿ</t>
  </si>
  <si>
    <t>«Կապսի միջնակարգ դպրոց» ՊՈԱԿ</t>
  </si>
  <si>
    <t>45211231-14</t>
  </si>
  <si>
    <t>45211231-23</t>
  </si>
  <si>
    <t>«Դովեղի միջնակարգ դպրոց» ՊՈԱԿ</t>
  </si>
  <si>
    <t>45211231-24</t>
  </si>
  <si>
    <t xml:space="preserve">ՀՀ Արագածոտնի մարզի  Ալագյազ համայնքում «Մոդուլային» տիպի 144 տեղ հզորությամբ մսուր-մանկապարտեզ </t>
  </si>
  <si>
    <t xml:space="preserve">ՀՀ Արարատի մարզի Արալեզ համայնքում «Մոդուլային» տիպի 144 տեղ հզորությամբ մսուր-մանկապարտեզ </t>
  </si>
  <si>
    <t>45221142-45</t>
  </si>
  <si>
    <t xml:space="preserve"> ՀԲՄ</t>
  </si>
  <si>
    <t>71351540-49</t>
  </si>
  <si>
    <t>98111140-23</t>
  </si>
  <si>
    <t>45221142-46</t>
  </si>
  <si>
    <t>71351540-50</t>
  </si>
  <si>
    <t>98111140-24</t>
  </si>
  <si>
    <t xml:space="preserve">ՀՀ Գեղարքունիքի մարզի Աստղաձոր համայնքում «Մոդուլային» տիպի 144 տեղ հզորությամբ մսուր-մանկապարտեզ </t>
  </si>
  <si>
    <t>71351540-52</t>
  </si>
  <si>
    <t>98111140-26</t>
  </si>
  <si>
    <t xml:space="preserve">ՀՀ Լոռու մարզի Սպիտակ համայնքում «Մոդուլային» տիպի 144 տեղ հզորությամբ մսուր-մանկապարտեզ </t>
  </si>
  <si>
    <t>71351540-53</t>
  </si>
  <si>
    <t>98111140-27</t>
  </si>
  <si>
    <t>ՀՀ Արմավիրի մարզի Այգևան համայնքում «Մոդուլային» տիպի 144 տեղ հզորությամբ մսուր-մանկապարտեզ</t>
  </si>
  <si>
    <t>45221142-47</t>
  </si>
  <si>
    <t>71351540-51</t>
  </si>
  <si>
    <t>98111140-25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</si>
  <si>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</si>
  <si>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</si>
  <si>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</si>
  <si>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Միջնակարգ ընդհանուր կրթություն</t>
  </si>
  <si>
    <t>02</t>
  </si>
  <si>
    <t xml:space="preserve"> Միջնակարգ (լրիվ)  ընդհանուր կրթություն</t>
  </si>
  <si>
    <t xml:space="preserve"> Միջնակարգ մասնագիտացված հանրակրթություն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</si>
  <si>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</si>
  <si>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</si>
  <si>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</si>
  <si>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t xml:space="preserve"> ՀՀ ԿԳՄՍՆ ենթակայության մասնագիտացված հանրակրթական ուսումնական հաստատություններ </t>
  </si>
  <si>
    <t xml:space="preserve"> Սովորողների միջին տարեկան թիվը /մարդ /, որից՛ </t>
  </si>
  <si>
    <t xml:space="preserve"> տղա </t>
  </si>
  <si>
    <t xml:space="preserve"> աղջիկ </t>
  </si>
  <si>
    <t xml:space="preserve">Ցուցանիշների փոփոխությունը (ավելացումները նշված են դրական նշանով, իսկ նվազեցումները փակագծերում)  </t>
  </si>
  <si>
    <t xml:space="preserve"> 11012 </t>
  </si>
  <si>
    <t xml:space="preserve"> Միջնակարգ մասնագիտացված հանրակրթություն 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</si>
  <si>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 </t>
  </si>
  <si>
    <t xml:space="preserve"> ՀՀ կրթության, գիտության, մշակույթի և սպորտի նախարարության, ՀՀ պաշտպանության նախարարության ենթակայության մասնագիտացված հանրակրթական կրթություն իրականացնող ուսումնական հաստատություններ </t>
  </si>
  <si>
    <t xml:space="preserve"> Միջնակարգ հատուկ հանրակրթություն 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</si>
  <si>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 </t>
  </si>
  <si>
    <t xml:space="preserve"> ՀՀ ԿԳՄՍՆ ենթակայության հատուկ կրթություն իրականացնող ուսումնական հաստատություններ </t>
  </si>
  <si>
    <t xml:space="preserve"> Միջնակարգ հատուկ հանրակրթություն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</si>
  <si>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</t>
  </si>
  <si>
    <t>ՀԱՅԱՍՏԱՆԻ ՀԱՆՐԱՊԵՏՈՒԹՅԱՆ ԿԱՌԱՎԱՐՈՒԹՅԱՆ 2021 ԹՎԱԿԱՆԻ ԴԵԿՏԵՄԲԵՐԻ 23-Ի N 2121-Ն ՈՐՈՇՄԱՆ N 9.1 ՀԱՎԵԼՎԱԾԻ  N 9.1.14, 9.1.42 ԵՎ 9․1.59 ԱՂՅՈՒՍԱԿՆԵՐՈՒՄ ԿԱՏԱՐՎՈՂ ՓՈՓՈԽՈՒԹՅՈՒՆՆԵՐԸ ԵՎ ԼՐԱՑՈՒՄՆԵՐԸ</t>
  </si>
  <si>
    <t xml:space="preserve">ՀԱՅԱՍՏԱՆԻ ՀԱՆՐԱՊԵՏՈՒԹՅԱՆ ԿԱՌԱՎԱՐՈՒԹՅԱՆ 2021 ԹՎԱԿԱՆԻ ԴԵԿՏԵՄԲԵՐԻ 23-Ի 
N 2121-Ն ՈՐՈՇՄԱՆ N 10 ՀԱՎԵԼՎԱԾՈՒՄ ԿԱՏԱՐՎՈՂ ՓՈՓՈԽՈՒԹՅՈՒՆՆԵՐԸ 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</si>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</sst>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0_);\(0\)"/>
    <numFmt numFmtId="174" formatCode="_-* #,##0.0\ _р_._-;\-* #,##0.0\ _р_._-;_-* &quot;-&quot;?\ _р_._-;_-@_-"/>
    <numFmt numFmtId="175" formatCode="_(* #,##0_);_(* \(#,##0\);_(* &quot;-&quot;??_);_(@_)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3" fillId="0" borderId="39">
      <protection locked="0"/>
    </xf>
    <xf numFmtId="172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5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3" fillId="0" borderId="0"/>
    <xf numFmtId="43" fontId="93" fillId="0" borderId="0" applyFont="0" applyFill="0" applyBorder="0" applyAlignment="0" applyProtection="0"/>
  </cellStyleXfs>
  <cellXfs count="434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169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7" fontId="72" fillId="2" borderId="30" xfId="0" applyNumberFormat="1" applyFont="1" applyFill="1" applyBorder="1" applyAlignment="1">
      <alignment horizontal="center" vertical="center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72" fillId="2" borderId="30" xfId="0" applyNumberFormat="1" applyFont="1" applyFill="1" applyBorder="1"/>
    <xf numFmtId="0" fontId="16" fillId="2" borderId="30" xfId="0" applyFont="1" applyFill="1" applyBorder="1"/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72" fillId="2" borderId="1" xfId="0" applyFont="1" applyFill="1" applyBorder="1" applyAlignment="1">
      <alignment horizontal="left" vertical="top" wrapText="1"/>
    </xf>
    <xf numFmtId="0" fontId="72" fillId="2" borderId="30" xfId="0" applyFont="1" applyFill="1" applyBorder="1"/>
    <xf numFmtId="0" fontId="16" fillId="2" borderId="30" xfId="0" applyFont="1" applyFill="1" applyBorder="1" applyAlignment="1">
      <alignment horizontal="left" vertical="top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87" fillId="2" borderId="1" xfId="0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top" wrapText="1"/>
    </xf>
    <xf numFmtId="0" fontId="13" fillId="2" borderId="30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0" fontId="72" fillId="2" borderId="30" xfId="0" applyFont="1" applyFill="1" applyBorder="1" applyAlignment="1">
      <alignment horizontal="center" vertical="center"/>
    </xf>
    <xf numFmtId="165" fontId="73" fillId="2" borderId="1" xfId="6" applyNumberFormat="1" applyFont="1" applyFill="1" applyBorder="1" applyAlignment="1">
      <alignment horizontal="center" vertical="center"/>
    </xf>
    <xf numFmtId="169" fontId="16" fillId="2" borderId="45" xfId="96" applyNumberFormat="1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top" wrapText="1"/>
    </xf>
    <xf numFmtId="169" fontId="72" fillId="2" borderId="33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171" fontId="72" fillId="2" borderId="30" xfId="6" applyNumberFormat="1" applyFont="1" applyFill="1" applyBorder="1" applyAlignment="1">
      <alignment horizontal="center" vertical="center"/>
    </xf>
    <xf numFmtId="171" fontId="72" fillId="2" borderId="45" xfId="6" applyNumberFormat="1" applyFont="1" applyFill="1" applyBorder="1" applyAlignment="1">
      <alignment horizontal="center" vertical="center"/>
    </xf>
    <xf numFmtId="169" fontId="16" fillId="2" borderId="30" xfId="7" applyNumberFormat="1" applyFont="1" applyFill="1" applyBorder="1" applyAlignment="1">
      <alignment horizontal="center" vertical="top" wrapText="1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43" fontId="72" fillId="2" borderId="0" xfId="0" applyNumberFormat="1" applyFont="1" applyFill="1"/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0" fontId="72" fillId="2" borderId="30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center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168" fontId="16" fillId="2" borderId="30" xfId="0" applyNumberFormat="1" applyFont="1" applyFill="1" applyBorder="1" applyAlignment="1">
      <alignment horizontal="center" vertical="center"/>
    </xf>
    <xf numFmtId="165" fontId="72" fillId="2" borderId="30" xfId="8" applyNumberFormat="1" applyFont="1" applyFill="1" applyBorder="1" applyAlignment="1">
      <alignment horizontal="center" vertical="center" wrapText="1"/>
    </xf>
    <xf numFmtId="168" fontId="72" fillId="2" borderId="30" xfId="0" applyNumberFormat="1" applyFont="1" applyFill="1" applyBorder="1" applyAlignment="1">
      <alignment horizontal="right" vertical="center"/>
    </xf>
    <xf numFmtId="165" fontId="72" fillId="2" borderId="30" xfId="6" applyNumberFormat="1" applyFont="1" applyFill="1" applyBorder="1" applyAlignment="1">
      <alignment horizontal="center" vertical="center"/>
    </xf>
    <xf numFmtId="0" fontId="87" fillId="2" borderId="30" xfId="0" applyFont="1" applyFill="1" applyBorder="1" applyAlignment="1">
      <alignment horizontal="left" vertical="top" wrapText="1"/>
    </xf>
    <xf numFmtId="165" fontId="87" fillId="2" borderId="30" xfId="6" applyNumberFormat="1" applyFont="1" applyFill="1" applyBorder="1" applyAlignment="1">
      <alignment horizontal="right" vertical="center"/>
    </xf>
    <xf numFmtId="165" fontId="72" fillId="2" borderId="30" xfId="6" applyNumberFormat="1" applyFont="1" applyFill="1" applyBorder="1" applyAlignment="1">
      <alignment horizontal="right" vertical="center"/>
    </xf>
    <xf numFmtId="165" fontId="16" fillId="2" borderId="30" xfId="6" applyNumberFormat="1" applyFont="1" applyFill="1" applyBorder="1" applyAlignment="1">
      <alignment horizontal="right" vertical="center"/>
    </xf>
    <xf numFmtId="0" fontId="72" fillId="2" borderId="0" xfId="0" applyFont="1" applyFill="1" applyAlignment="1">
      <alignment vertical="center"/>
    </xf>
    <xf numFmtId="0" fontId="72" fillId="2" borderId="36" xfId="0" applyFont="1" applyFill="1" applyBorder="1" applyAlignment="1">
      <alignment vertical="center"/>
    </xf>
    <xf numFmtId="0" fontId="72" fillId="2" borderId="33" xfId="0" applyFont="1" applyFill="1" applyBorder="1" applyAlignment="1">
      <alignment vertical="center"/>
    </xf>
    <xf numFmtId="0" fontId="75" fillId="2" borderId="0" xfId="0" applyFont="1" applyFill="1" applyBorder="1"/>
    <xf numFmtId="165" fontId="72" fillId="2" borderId="45" xfId="6" applyNumberFormat="1" applyFont="1" applyFill="1" applyBorder="1" applyAlignment="1">
      <alignment horizontal="center" vertical="center"/>
    </xf>
    <xf numFmtId="169" fontId="72" fillId="2" borderId="0" xfId="0" applyNumberFormat="1" applyFont="1" applyFill="1" applyAlignment="1">
      <alignment horizontal="left" vertical="top" wrapText="1"/>
    </xf>
    <xf numFmtId="0" fontId="16" fillId="2" borderId="46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vertical="top" wrapText="1"/>
    </xf>
    <xf numFmtId="0" fontId="87" fillId="2" borderId="3" xfId="0" applyFont="1" applyFill="1" applyBorder="1" applyAlignment="1">
      <alignment horizontal="left" vertical="top" wrapText="1"/>
    </xf>
    <xf numFmtId="165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/>
    </xf>
    <xf numFmtId="0" fontId="16" fillId="2" borderId="1" xfId="8" applyFont="1" applyFill="1" applyBorder="1" applyAlignment="1">
      <alignment horizontal="left" vertical="center" wrapText="1"/>
    </xf>
    <xf numFmtId="0" fontId="72" fillId="2" borderId="1" xfId="8" applyFont="1" applyFill="1" applyBorder="1" applyAlignment="1">
      <alignment horizontal="left" vertical="top" wrapText="1"/>
    </xf>
    <xf numFmtId="0" fontId="16" fillId="2" borderId="10" xfId="0" applyFont="1" applyFill="1" applyBorder="1" applyAlignment="1">
      <alignment horizontal="center" vertical="top" wrapText="1"/>
    </xf>
    <xf numFmtId="0" fontId="72" fillId="2" borderId="47" xfId="8" applyFont="1" applyFill="1" applyBorder="1" applyAlignment="1">
      <alignment horizontal="left" vertical="top" wrapText="1"/>
    </xf>
    <xf numFmtId="169" fontId="16" fillId="2" borderId="30" xfId="0" applyNumberFormat="1" applyFont="1" applyFill="1" applyBorder="1" applyAlignment="1">
      <alignment horizontal="center" vertical="top"/>
    </xf>
    <xf numFmtId="168" fontId="72" fillId="2" borderId="30" xfId="0" applyNumberFormat="1" applyFont="1" applyFill="1" applyBorder="1" applyAlignment="1">
      <alignment vertical="center"/>
    </xf>
    <xf numFmtId="169" fontId="16" fillId="2" borderId="30" xfId="0" applyNumberFormat="1" applyFont="1" applyFill="1" applyBorder="1" applyAlignment="1">
      <alignment vertical="center"/>
    </xf>
    <xf numFmtId="169" fontId="72" fillId="2" borderId="30" xfId="0" applyNumberFormat="1" applyFont="1" applyFill="1" applyBorder="1" applyAlignment="1">
      <alignment vertical="center"/>
    </xf>
    <xf numFmtId="0" fontId="16" fillId="2" borderId="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2" fillId="2" borderId="8" xfId="8" applyFont="1" applyFill="1" applyBorder="1" applyAlignment="1">
      <alignment horizontal="left" vertical="top" wrapText="1"/>
    </xf>
    <xf numFmtId="0" fontId="16" fillId="2" borderId="44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5" fillId="2" borderId="0" xfId="0" applyNumberFormat="1" applyFont="1" applyFill="1" applyBorder="1"/>
    <xf numFmtId="0" fontId="89" fillId="2" borderId="1" xfId="0" applyFont="1" applyFill="1" applyBorder="1" applyAlignment="1">
      <alignment horizontal="left" vertical="top" wrapText="1"/>
    </xf>
    <xf numFmtId="168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5" fillId="2" borderId="1" xfId="0" applyFont="1" applyFill="1" applyBorder="1"/>
    <xf numFmtId="167" fontId="13" fillId="2" borderId="1" xfId="0" applyNumberFormat="1" applyFont="1" applyFill="1" applyBorder="1"/>
    <xf numFmtId="171" fontId="87" fillId="2" borderId="1" xfId="6" applyNumberFormat="1" applyFont="1" applyFill="1" applyBorder="1" applyAlignment="1">
      <alignment horizontal="right" vertical="center"/>
    </xf>
    <xf numFmtId="0" fontId="72" fillId="2" borderId="30" xfId="0" applyFont="1" applyFill="1" applyBorder="1" applyAlignment="1">
      <alignment vertical="center" wrapText="1"/>
    </xf>
    <xf numFmtId="0" fontId="87" fillId="2" borderId="30" xfId="0" applyFont="1" applyFill="1" applyBorder="1" applyAlignment="1">
      <alignment horizontal="left" vertical="center" wrapText="1"/>
    </xf>
    <xf numFmtId="0" fontId="72" fillId="2" borderId="36" xfId="0" applyFont="1" applyFill="1" applyBorder="1" applyAlignment="1">
      <alignment vertical="top" wrapText="1"/>
    </xf>
    <xf numFmtId="0" fontId="72" fillId="2" borderId="33" xfId="0" applyFont="1" applyFill="1" applyBorder="1" applyAlignment="1">
      <alignment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168" fontId="16" fillId="2" borderId="0" xfId="96" applyNumberFormat="1" applyFont="1" applyFill="1" applyAlignment="1">
      <alignment horizontal="center" vertical="center" wrapText="1"/>
    </xf>
    <xf numFmtId="43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8" fontId="16" fillId="2" borderId="1" xfId="96" applyNumberFormat="1" applyFont="1" applyFill="1" applyBorder="1" applyAlignment="1">
      <alignment horizontal="center" vertical="center" wrapText="1"/>
    </xf>
    <xf numFmtId="167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/>
    <xf numFmtId="0" fontId="73" fillId="2" borderId="49" xfId="96" applyFont="1" applyFill="1" applyBorder="1" applyAlignment="1">
      <alignment horizontal="center" vertical="center" wrapText="1"/>
    </xf>
    <xf numFmtId="0" fontId="72" fillId="2" borderId="49" xfId="96" applyFont="1" applyFill="1" applyBorder="1" applyAlignment="1">
      <alignment horizontal="center" vertical="center" wrapText="1"/>
    </xf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/>
    </xf>
    <xf numFmtId="165" fontId="16" fillId="2" borderId="50" xfId="6" applyNumberFormat="1" applyFont="1" applyFill="1" applyBorder="1" applyAlignment="1">
      <alignment horizontal="center" vertical="center"/>
    </xf>
    <xf numFmtId="0" fontId="72" fillId="2" borderId="50" xfId="0" applyFont="1" applyFill="1" applyBorder="1" applyAlignment="1">
      <alignment vertical="top" wrapText="1"/>
    </xf>
    <xf numFmtId="169" fontId="72" fillId="2" borderId="50" xfId="0" applyNumberFormat="1" applyFont="1" applyFill="1" applyBorder="1" applyAlignment="1">
      <alignment horizontal="right" vertical="center" wrapText="1"/>
    </xf>
    <xf numFmtId="171" fontId="72" fillId="2" borderId="50" xfId="6" applyNumberFormat="1" applyFont="1" applyFill="1" applyBorder="1" applyAlignment="1">
      <alignment horizontal="center" vertical="center"/>
    </xf>
    <xf numFmtId="0" fontId="16" fillId="2" borderId="50" xfId="96" applyFont="1" applyFill="1" applyBorder="1" applyAlignment="1">
      <alignment horizontal="left" vertical="center" wrapText="1"/>
    </xf>
    <xf numFmtId="0" fontId="72" fillId="2" borderId="50" xfId="0" applyFont="1" applyFill="1" applyBorder="1"/>
    <xf numFmtId="166" fontId="87" fillId="2" borderId="50" xfId="7" applyNumberFormat="1" applyFont="1" applyFill="1" applyBorder="1" applyAlignment="1">
      <alignment vertical="center"/>
    </xf>
    <xf numFmtId="169" fontId="16" fillId="2" borderId="50" xfId="96" applyNumberFormat="1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center"/>
    </xf>
    <xf numFmtId="166" fontId="73" fillId="2" borderId="50" xfId="7" applyNumberFormat="1" applyFont="1" applyFill="1" applyBorder="1"/>
    <xf numFmtId="0" fontId="72" fillId="58" borderId="30" xfId="0" applyFont="1" applyFill="1" applyBorder="1" applyAlignment="1">
      <alignment wrapText="1"/>
    </xf>
    <xf numFmtId="169" fontId="72" fillId="58" borderId="33" xfId="0" applyNumberFormat="1" applyFont="1" applyFill="1" applyBorder="1" applyAlignment="1">
      <alignment horizontal="right" vertical="center" wrapText="1"/>
    </xf>
    <xf numFmtId="166" fontId="16" fillId="57" borderId="41" xfId="7" applyNumberFormat="1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7" fillId="2" borderId="50" xfId="0" applyFont="1" applyFill="1" applyBorder="1" applyAlignment="1">
      <alignment vertical="center" wrapText="1"/>
    </xf>
    <xf numFmtId="0" fontId="72" fillId="0" borderId="0" xfId="0" applyFont="1"/>
    <xf numFmtId="0" fontId="72" fillId="0" borderId="50" xfId="0" applyFont="1" applyBorder="1"/>
    <xf numFmtId="165" fontId="72" fillId="2" borderId="50" xfId="6" applyNumberFormat="1" applyFont="1" applyFill="1" applyBorder="1" applyAlignment="1">
      <alignment vertical="center"/>
    </xf>
    <xf numFmtId="0" fontId="87" fillId="0" borderId="50" xfId="0" applyFont="1" applyBorder="1" applyAlignment="1">
      <alignment horizontal="left" vertical="top" wrapText="1"/>
    </xf>
    <xf numFmtId="0" fontId="72" fillId="0" borderId="50" xfId="8" applyFont="1" applyBorder="1" applyAlignment="1">
      <alignment horizontal="left" vertical="top" wrapText="1"/>
    </xf>
    <xf numFmtId="0" fontId="16" fillId="0" borderId="50" xfId="0" applyFont="1" applyFill="1" applyBorder="1" applyAlignment="1">
      <alignment horizontal="left" vertical="top" wrapText="1"/>
    </xf>
    <xf numFmtId="0" fontId="89" fillId="0" borderId="50" xfId="0" applyFont="1" applyBorder="1" applyAlignment="1">
      <alignment horizontal="left" vertical="top" wrapText="1"/>
    </xf>
    <xf numFmtId="0" fontId="87" fillId="0" borderId="49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wrapText="1"/>
    </xf>
    <xf numFmtId="0" fontId="16" fillId="2" borderId="49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right"/>
    </xf>
    <xf numFmtId="0" fontId="72" fillId="2" borderId="30" xfId="0" applyFont="1" applyFill="1" applyBorder="1" applyAlignment="1">
      <alignment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center" vertical="center" wrapText="1"/>
    </xf>
    <xf numFmtId="166" fontId="72" fillId="2" borderId="30" xfId="7" applyNumberFormat="1" applyFont="1" applyFill="1" applyBorder="1" applyAlignment="1">
      <alignment vertical="center"/>
    </xf>
    <xf numFmtId="0" fontId="16" fillId="2" borderId="49" xfId="0" applyFont="1" applyFill="1" applyBorder="1" applyAlignment="1">
      <alignment wrapText="1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wrapText="1"/>
    </xf>
    <xf numFmtId="166" fontId="72" fillId="2" borderId="50" xfId="7" applyNumberFormat="1" applyFont="1" applyFill="1" applyBorder="1" applyAlignment="1">
      <alignment vertical="center"/>
    </xf>
    <xf numFmtId="0" fontId="72" fillId="2" borderId="30" xfId="0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49" xfId="0" applyFont="1" applyFill="1" applyBorder="1" applyAlignment="1">
      <alignment horizontal="center" vertical="center" wrapText="1"/>
    </xf>
    <xf numFmtId="0" fontId="16" fillId="2" borderId="50" xfId="96" applyFont="1" applyFill="1" applyBorder="1" applyAlignment="1">
      <alignment horizontal="center" vertical="center" wrapText="1"/>
    </xf>
    <xf numFmtId="0" fontId="90" fillId="2" borderId="0" xfId="0" applyFont="1" applyFill="1" applyBorder="1" applyAlignment="1">
      <alignment horizontal="righ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vertical="center" wrapText="1"/>
    </xf>
    <xf numFmtId="166" fontId="73" fillId="0" borderId="50" xfId="300" applyNumberFormat="1" applyFont="1" applyBorder="1"/>
    <xf numFmtId="166" fontId="73" fillId="2" borderId="50" xfId="300" applyNumberFormat="1" applyFont="1" applyFill="1" applyBorder="1"/>
    <xf numFmtId="0" fontId="87" fillId="0" borderId="0" xfId="0" applyFont="1"/>
    <xf numFmtId="166" fontId="87" fillId="0" borderId="50" xfId="300" applyNumberFormat="1" applyFont="1" applyBorder="1" applyAlignment="1">
      <alignment vertical="center"/>
    </xf>
    <xf numFmtId="166" fontId="87" fillId="2" borderId="50" xfId="300" applyNumberFormat="1" applyFont="1" applyFill="1" applyBorder="1" applyAlignment="1">
      <alignment vertical="center"/>
    </xf>
    <xf numFmtId="43" fontId="72" fillId="2" borderId="50" xfId="7" applyNumberFormat="1" applyFont="1" applyFill="1" applyBorder="1" applyAlignment="1">
      <alignment horizontal="right" vertical="center" wrapText="1"/>
    </xf>
    <xf numFmtId="0" fontId="73" fillId="0" borderId="50" xfId="0" applyFont="1" applyBorder="1"/>
    <xf numFmtId="166" fontId="73" fillId="0" borderId="50" xfId="300" applyNumberFormat="1" applyFont="1" applyBorder="1" applyAlignment="1">
      <alignment vertical="center"/>
    </xf>
    <xf numFmtId="168" fontId="72" fillId="2" borderId="50" xfId="96" applyNumberFormat="1" applyFont="1" applyFill="1" applyBorder="1" applyAlignment="1">
      <alignment horizontal="center" vertical="center" wrapText="1"/>
    </xf>
    <xf numFmtId="0" fontId="72" fillId="2" borderId="50" xfId="96" applyFont="1" applyFill="1" applyBorder="1" applyAlignment="1">
      <alignment horizontal="center" vertical="center" wrapText="1"/>
    </xf>
    <xf numFmtId="0" fontId="73" fillId="2" borderId="50" xfId="96" applyFont="1" applyFill="1" applyBorder="1" applyAlignment="1">
      <alignment horizontal="center" vertical="center" wrapText="1"/>
    </xf>
    <xf numFmtId="165" fontId="73" fillId="2" borderId="50" xfId="6" applyNumberFormat="1" applyFont="1" applyFill="1" applyBorder="1" applyAlignment="1">
      <alignment horizontal="center" vertical="center"/>
    </xf>
    <xf numFmtId="0" fontId="72" fillId="2" borderId="0" xfId="0" applyFont="1" applyFill="1" applyBorder="1" applyAlignment="1">
      <alignment horizontal="right"/>
    </xf>
    <xf numFmtId="49" fontId="16" fillId="2" borderId="50" xfId="96" applyNumberFormat="1" applyFont="1" applyFill="1" applyBorder="1" applyAlignment="1">
      <alignment horizontal="center" vertical="center" textRotation="90" wrapText="1"/>
    </xf>
    <xf numFmtId="0" fontId="72" fillId="0" borderId="50" xfId="0" applyFont="1" applyFill="1" applyBorder="1" applyAlignment="1">
      <alignment vertical="top" wrapText="1"/>
    </xf>
    <xf numFmtId="169" fontId="72" fillId="0" borderId="49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50" xfId="0" applyFont="1" applyFill="1" applyBorder="1" applyAlignment="1">
      <alignment horizontal="center" vertical="center" wrapText="1"/>
    </xf>
    <xf numFmtId="0" fontId="72" fillId="0" borderId="0" xfId="0" applyFont="1" applyFill="1" applyAlignment="1">
      <alignment vertical="center"/>
    </xf>
    <xf numFmtId="0" fontId="16" fillId="0" borderId="2" xfId="96" applyFont="1" applyBorder="1" applyAlignment="1">
      <alignment horizontal="center" vertical="center" wrapText="1"/>
    </xf>
    <xf numFmtId="49" fontId="16" fillId="2" borderId="50" xfId="0" applyNumberFormat="1" applyFont="1" applyFill="1" applyBorder="1" applyAlignment="1">
      <alignment vertical="top" wrapText="1"/>
    </xf>
    <xf numFmtId="0" fontId="72" fillId="2" borderId="50" xfId="0" applyFont="1" applyFill="1" applyBorder="1" applyAlignment="1">
      <alignment vertical="center" wrapText="1"/>
    </xf>
    <xf numFmtId="0" fontId="16" fillId="2" borderId="0" xfId="0" applyFont="1" applyFill="1" applyBorder="1" applyAlignment="1"/>
    <xf numFmtId="0" fontId="16" fillId="2" borderId="50" xfId="0" applyFont="1" applyFill="1" applyBorder="1" applyAlignment="1"/>
    <xf numFmtId="0" fontId="90" fillId="2" borderId="0" xfId="0" applyFont="1" applyFill="1" applyBorder="1" applyAlignment="1">
      <alignment vertical="top" wrapText="1"/>
    </xf>
    <xf numFmtId="169" fontId="72" fillId="2" borderId="0" xfId="0" applyNumberFormat="1" applyFont="1" applyFill="1"/>
    <xf numFmtId="0" fontId="72" fillId="2" borderId="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0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0" borderId="0" xfId="0" applyFont="1" applyAlignment="1">
      <alignment horizontal="left" vertical="center" wrapText="1"/>
    </xf>
    <xf numFmtId="0" fontId="73" fillId="2" borderId="50" xfId="0" applyFont="1" applyFill="1" applyBorder="1" applyAlignment="1">
      <alignment vertical="center" wrapText="1"/>
    </xf>
    <xf numFmtId="0" fontId="75" fillId="0" borderId="0" xfId="0" applyFont="1"/>
    <xf numFmtId="0" fontId="73" fillId="2" borderId="50" xfId="96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vertical="top" wrapText="1"/>
    </xf>
    <xf numFmtId="0" fontId="72" fillId="2" borderId="51" xfId="0" applyFont="1" applyFill="1" applyBorder="1" applyAlignment="1">
      <alignment horizontal="left" vertical="top" wrapText="1"/>
    </xf>
    <xf numFmtId="169" fontId="72" fillId="2" borderId="51" xfId="0" applyNumberFormat="1" applyFont="1" applyFill="1" applyBorder="1" applyAlignment="1">
      <alignment horizontal="right" vertical="center" wrapText="1"/>
    </xf>
    <xf numFmtId="0" fontId="72" fillId="2" borderId="51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center" vertical="center" wrapText="1"/>
    </xf>
    <xf numFmtId="165" fontId="72" fillId="2" borderId="51" xfId="6" applyNumberFormat="1" applyFont="1" applyFill="1" applyBorder="1" applyAlignment="1">
      <alignment vertical="center"/>
    </xf>
    <xf numFmtId="171" fontId="72" fillId="2" borderId="51" xfId="6" applyNumberFormat="1" applyFont="1" applyFill="1" applyBorder="1" applyAlignment="1">
      <alignment horizontal="center" vertical="center"/>
    </xf>
    <xf numFmtId="0" fontId="72" fillId="0" borderId="51" xfId="0" applyFont="1" applyBorder="1"/>
    <xf numFmtId="0" fontId="75" fillId="0" borderId="51" xfId="0" applyFont="1" applyBorder="1" applyAlignment="1">
      <alignment horizontal="center"/>
    </xf>
    <xf numFmtId="0" fontId="87" fillId="2" borderId="52" xfId="0" applyFont="1" applyFill="1" applyBorder="1" applyAlignment="1">
      <alignment vertical="center" wrapText="1"/>
    </xf>
    <xf numFmtId="166" fontId="87" fillId="0" borderId="51" xfId="7" applyNumberFormat="1" applyFont="1" applyBorder="1" applyAlignment="1">
      <alignment vertical="center"/>
    </xf>
    <xf numFmtId="165" fontId="72" fillId="2" borderId="51" xfId="6" applyNumberFormat="1" applyFont="1" applyFill="1" applyBorder="1" applyAlignment="1">
      <alignment horizontal="center" vertical="center"/>
    </xf>
    <xf numFmtId="169" fontId="72" fillId="2" borderId="51" xfId="7" applyNumberFormat="1" applyFont="1" applyFill="1" applyBorder="1" applyAlignment="1">
      <alignment vertical="center"/>
    </xf>
    <xf numFmtId="173" fontId="72" fillId="2" borderId="51" xfId="0" applyNumberFormat="1" applyFont="1" applyFill="1" applyBorder="1" applyAlignment="1">
      <alignment horizontal="center" vertical="center"/>
    </xf>
    <xf numFmtId="0" fontId="87" fillId="2" borderId="51" xfId="0" applyFont="1" applyFill="1" applyBorder="1" applyAlignment="1">
      <alignment vertical="center" wrapText="1"/>
    </xf>
    <xf numFmtId="166" fontId="87" fillId="2" borderId="51" xfId="300" applyNumberFormat="1" applyFont="1" applyFill="1" applyBorder="1" applyAlignment="1">
      <alignment vertical="center"/>
    </xf>
    <xf numFmtId="43" fontId="72" fillId="2" borderId="51" xfId="7" applyNumberFormat="1" applyFont="1" applyFill="1" applyBorder="1" applyAlignment="1">
      <alignment horizontal="right" vertical="center" wrapText="1"/>
    </xf>
    <xf numFmtId="0" fontId="73" fillId="0" borderId="51" xfId="0" applyFont="1" applyBorder="1"/>
    <xf numFmtId="166" fontId="87" fillId="2" borderId="51" xfId="300" applyNumberFormat="1" applyFont="1" applyFill="1" applyBorder="1"/>
    <xf numFmtId="0" fontId="73" fillId="2" borderId="52" xfId="96" applyFont="1" applyFill="1" applyBorder="1" applyAlignment="1">
      <alignment horizontal="left" vertical="center" wrapText="1"/>
    </xf>
    <xf numFmtId="0" fontId="95" fillId="2" borderId="52" xfId="0" applyFont="1" applyFill="1" applyBorder="1" applyAlignment="1">
      <alignment vertical="center" wrapText="1"/>
    </xf>
    <xf numFmtId="166" fontId="87" fillId="2" borderId="51" xfId="7" applyNumberFormat="1" applyFont="1" applyFill="1" applyBorder="1" applyAlignment="1">
      <alignment vertical="center"/>
    </xf>
    <xf numFmtId="0" fontId="72" fillId="2" borderId="51" xfId="0" applyFont="1" applyFill="1" applyBorder="1"/>
    <xf numFmtId="166" fontId="72" fillId="2" borderId="51" xfId="7" applyNumberFormat="1" applyFont="1" applyFill="1" applyBorder="1" applyAlignment="1">
      <alignment vertical="center"/>
    </xf>
    <xf numFmtId="0" fontId="72" fillId="2" borderId="51" xfId="0" applyFont="1" applyFill="1" applyBorder="1" applyAlignment="1">
      <alignment horizontal="center" vertical="center"/>
    </xf>
    <xf numFmtId="0" fontId="16" fillId="0" borderId="3" xfId="96" applyFont="1" applyBorder="1" applyAlignment="1">
      <alignment horizontal="center" vertical="center" wrapText="1"/>
    </xf>
    <xf numFmtId="0" fontId="16" fillId="0" borderId="51" xfId="96" applyFont="1" applyBorder="1" applyAlignment="1">
      <alignment horizontal="left" vertical="center" wrapText="1"/>
    </xf>
    <xf numFmtId="165" fontId="16" fillId="2" borderId="51" xfId="6" applyNumberFormat="1" applyFont="1" applyFill="1" applyBorder="1" applyAlignment="1">
      <alignment horizontal="center" vertical="center"/>
    </xf>
    <xf numFmtId="169" fontId="16" fillId="0" borderId="51" xfId="96" applyNumberFormat="1" applyFont="1" applyBorder="1" applyAlignment="1">
      <alignment horizontal="center" vertical="center" wrapText="1"/>
    </xf>
    <xf numFmtId="168" fontId="72" fillId="0" borderId="0" xfId="0" applyNumberFormat="1" applyFont="1"/>
    <xf numFmtId="0" fontId="16" fillId="0" borderId="51" xfId="96" applyFont="1" applyBorder="1" applyAlignment="1">
      <alignment vertical="center" wrapText="1"/>
    </xf>
    <xf numFmtId="0" fontId="75" fillId="0" borderId="51" xfId="0" applyFont="1" applyBorder="1"/>
    <xf numFmtId="0" fontId="75" fillId="2" borderId="51" xfId="0" applyFont="1" applyFill="1" applyBorder="1"/>
    <xf numFmtId="174" fontId="75" fillId="0" borderId="0" xfId="0" applyNumberFormat="1" applyFont="1"/>
    <xf numFmtId="0" fontId="73" fillId="0" borderId="51" xfId="96" applyFont="1" applyFill="1" applyBorder="1" applyAlignment="1">
      <alignment horizontal="left" vertical="center" wrapText="1"/>
    </xf>
    <xf numFmtId="166" fontId="73" fillId="0" borderId="51" xfId="7" applyNumberFormat="1" applyFont="1" applyBorder="1"/>
    <xf numFmtId="166" fontId="73" fillId="2" borderId="51" xfId="7" applyNumberFormat="1" applyFont="1" applyFill="1" applyBorder="1"/>
    <xf numFmtId="0" fontId="87" fillId="0" borderId="51" xfId="0" applyFont="1" applyBorder="1" applyAlignment="1">
      <alignment horizontal="left" vertical="top" wrapText="1"/>
    </xf>
    <xf numFmtId="0" fontId="16" fillId="0" borderId="51" xfId="0" applyFont="1" applyBorder="1" applyAlignment="1">
      <alignment horizontal="left" vertical="center" wrapText="1"/>
    </xf>
    <xf numFmtId="0" fontId="89" fillId="0" borderId="51" xfId="165" applyFont="1" applyBorder="1">
      <alignment horizontal="left" vertical="top" wrapText="1"/>
    </xf>
    <xf numFmtId="0" fontId="94" fillId="0" borderId="51" xfId="165" applyFont="1" applyBorder="1" applyAlignment="1">
      <alignment horizontal="left" vertical="top" wrapText="1"/>
    </xf>
    <xf numFmtId="0" fontId="16" fillId="0" borderId="51" xfId="165" applyFont="1" applyBorder="1" applyAlignment="1">
      <alignment horizontal="left" vertical="center" wrapText="1"/>
    </xf>
    <xf numFmtId="0" fontId="75" fillId="0" borderId="51" xfId="0" applyFont="1" applyBorder="1" applyAlignment="1">
      <alignment vertical="top" wrapText="1"/>
    </xf>
    <xf numFmtId="0" fontId="89" fillId="0" borderId="51" xfId="0" applyFont="1" applyBorder="1" applyAlignment="1">
      <alignment horizontal="left" vertical="top" wrapText="1"/>
    </xf>
    <xf numFmtId="175" fontId="87" fillId="2" borderId="3" xfId="7" applyNumberFormat="1" applyFont="1" applyFill="1" applyBorder="1" applyAlignment="1">
      <alignment horizontal="right" vertical="top" wrapText="1"/>
    </xf>
    <xf numFmtId="0" fontId="75" fillId="0" borderId="51" xfId="0" applyFont="1" applyBorder="1" applyAlignment="1">
      <alignment horizontal="left" vertical="top" wrapText="1"/>
    </xf>
    <xf numFmtId="0" fontId="87" fillId="0" borderId="52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51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169" fontId="72" fillId="2" borderId="50" xfId="0" applyNumberFormat="1" applyFont="1" applyFill="1" applyBorder="1"/>
    <xf numFmtId="165" fontId="72" fillId="2" borderId="50" xfId="0" applyNumberFormat="1" applyFont="1" applyFill="1" applyBorder="1"/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16" fillId="2" borderId="51" xfId="0" applyFont="1" applyFill="1" applyBorder="1" applyAlignment="1">
      <alignment horizontal="center" vertical="center" wrapText="1"/>
    </xf>
    <xf numFmtId="0" fontId="89" fillId="0" borderId="51" xfId="0" applyFont="1" applyBorder="1" applyAlignment="1">
      <alignment horizontal="left" vertical="top" wrapText="1"/>
    </xf>
    <xf numFmtId="0" fontId="72" fillId="2" borderId="51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vertical="center" wrapText="1"/>
    </xf>
    <xf numFmtId="43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center" vertical="center"/>
    </xf>
    <xf numFmtId="166" fontId="16" fillId="2" borderId="45" xfId="0" applyNumberFormat="1" applyFont="1" applyFill="1" applyBorder="1" applyAlignment="1">
      <alignment vertical="center"/>
    </xf>
    <xf numFmtId="166" fontId="72" fillId="2" borderId="45" xfId="0" applyNumberFormat="1" applyFont="1" applyFill="1" applyBorder="1" applyAlignment="1">
      <alignment vertical="center"/>
    </xf>
    <xf numFmtId="166" fontId="16" fillId="2" borderId="30" xfId="7" applyNumberFormat="1" applyFont="1" applyFill="1" applyBorder="1" applyAlignment="1">
      <alignment vertical="center"/>
    </xf>
    <xf numFmtId="166" fontId="16" fillId="2" borderId="51" xfId="7" applyNumberFormat="1" applyFont="1" applyFill="1" applyBorder="1" applyAlignment="1">
      <alignment vertical="center"/>
    </xf>
    <xf numFmtId="166" fontId="16" fillId="2" borderId="50" xfId="7" applyNumberFormat="1" applyFont="1" applyFill="1" applyBorder="1" applyAlignment="1">
      <alignment vertical="center"/>
    </xf>
    <xf numFmtId="0" fontId="72" fillId="2" borderId="5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169" fontId="72" fillId="2" borderId="51" xfId="7" applyNumberFormat="1" applyFont="1" applyFill="1" applyBorder="1" applyAlignment="1">
      <alignment horizontal="center" vertical="center" wrapText="1"/>
    </xf>
    <xf numFmtId="49" fontId="72" fillId="2" borderId="51" xfId="0" applyNumberFormat="1" applyFont="1" applyFill="1" applyBorder="1" applyAlignment="1">
      <alignment horizontal="left" vertical="top" wrapText="1"/>
    </xf>
    <xf numFmtId="166" fontId="72" fillId="2" borderId="51" xfId="7" applyNumberFormat="1" applyFont="1" applyFill="1" applyBorder="1" applyAlignment="1">
      <alignment horizontal="right" vertical="center" wrapText="1"/>
    </xf>
    <xf numFmtId="0" fontId="16" fillId="2" borderId="51" xfId="0" applyFont="1" applyFill="1" applyBorder="1" applyAlignment="1">
      <alignment vertical="center" wrapText="1"/>
    </xf>
    <xf numFmtId="0" fontId="16" fillId="2" borderId="51" xfId="0" applyFont="1" applyFill="1" applyBorder="1" applyAlignment="1">
      <alignment horizontal="left" vertical="top" wrapText="1"/>
    </xf>
    <xf numFmtId="169" fontId="16" fillId="2" borderId="51" xfId="7" applyNumberFormat="1" applyFont="1" applyFill="1" applyBorder="1" applyAlignment="1">
      <alignment horizontal="center" vertical="center" wrapText="1"/>
    </xf>
    <xf numFmtId="43" fontId="72" fillId="2" borderId="51" xfId="7" applyNumberFormat="1" applyFont="1" applyFill="1" applyBorder="1" applyAlignment="1">
      <alignment vertical="center" wrapText="1"/>
    </xf>
    <xf numFmtId="0" fontId="16" fillId="2" borderId="51" xfId="0" applyFont="1" applyFill="1" applyBorder="1" applyAlignment="1"/>
    <xf numFmtId="43" fontId="72" fillId="2" borderId="51" xfId="7" applyNumberFormat="1" applyFont="1" applyFill="1" applyBorder="1" applyAlignment="1">
      <alignment horizontal="center" vertical="center" wrapText="1"/>
    </xf>
    <xf numFmtId="169" fontId="16" fillId="2" borderId="51" xfId="7" applyNumberFormat="1" applyFont="1" applyFill="1" applyBorder="1" applyAlignment="1">
      <alignment horizontal="right" vertical="center" wrapText="1"/>
    </xf>
    <xf numFmtId="166" fontId="72" fillId="2" borderId="51" xfId="7" applyNumberFormat="1" applyFont="1" applyFill="1" applyBorder="1" applyAlignment="1">
      <alignment horizontal="center" vertical="center" wrapText="1"/>
    </xf>
    <xf numFmtId="0" fontId="87" fillId="2" borderId="51" xfId="165" applyFont="1" applyFill="1" applyBorder="1" applyAlignment="1">
      <alignment horizontal="left" vertical="top" wrapText="1"/>
    </xf>
    <xf numFmtId="166" fontId="87" fillId="2" borderId="51" xfId="7" applyNumberFormat="1" applyFont="1" applyFill="1" applyBorder="1" applyAlignment="1">
      <alignment horizontal="center" vertical="center" wrapText="1"/>
    </xf>
    <xf numFmtId="0" fontId="16" fillId="2" borderId="50" xfId="0" applyFont="1" applyFill="1" applyBorder="1" applyAlignment="1">
      <alignment horizontal="center" vertical="top" wrapText="1"/>
    </xf>
    <xf numFmtId="0" fontId="72" fillId="2" borderId="50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8" xfId="0" applyFont="1" applyFill="1" applyBorder="1" applyAlignment="1">
      <alignment horizontal="center" vertical="top" wrapText="1"/>
    </xf>
    <xf numFmtId="0" fontId="16" fillId="0" borderId="50" xfId="0" applyFont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16" fillId="2" borderId="49" xfId="8" applyFont="1" applyFill="1" applyBorder="1" applyAlignment="1">
      <alignment horizontal="center" vertical="top" wrapText="1"/>
    </xf>
    <xf numFmtId="0" fontId="72" fillId="2" borderId="49" xfId="8" applyFont="1" applyFill="1" applyBorder="1" applyAlignment="1">
      <alignment horizontal="center" vertical="top" wrapText="1"/>
    </xf>
    <xf numFmtId="0" fontId="16" fillId="2" borderId="30" xfId="8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left" wrapText="1"/>
    </xf>
    <xf numFmtId="0" fontId="16" fillId="2" borderId="30" xfId="0" applyFont="1" applyFill="1" applyBorder="1" applyAlignment="1">
      <alignment horizontal="left" wrapText="1"/>
    </xf>
    <xf numFmtId="0" fontId="16" fillId="2" borderId="50" xfId="8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44" xfId="96" applyNumberFormat="1" applyFont="1" applyFill="1" applyBorder="1" applyAlignment="1">
      <alignment horizontal="center" vertical="center" wrapText="1"/>
    </xf>
    <xf numFmtId="168" fontId="72" fillId="2" borderId="42" xfId="96" applyNumberFormat="1" applyFont="1" applyFill="1" applyBorder="1" applyAlignment="1">
      <alignment horizontal="center" vertical="center" wrapText="1"/>
    </xf>
    <xf numFmtId="168" fontId="72" fillId="2" borderId="43" xfId="96" applyNumberFormat="1" applyFont="1" applyFill="1" applyBorder="1" applyAlignment="1">
      <alignment horizontal="center" vertical="center" wrapText="1"/>
    </xf>
    <xf numFmtId="0" fontId="16" fillId="0" borderId="31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16" fillId="2" borderId="51" xfId="96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0" fontId="72" fillId="2" borderId="0" xfId="0" applyFont="1" applyFill="1" applyAlignment="1">
      <alignment horizontal="right" vertical="top" wrapText="1"/>
    </xf>
    <xf numFmtId="0" fontId="16" fillId="2" borderId="0" xfId="0" applyFont="1" applyFill="1" applyAlignment="1">
      <alignment horizontal="center" vertical="center" wrapText="1"/>
    </xf>
    <xf numFmtId="49" fontId="16" fillId="2" borderId="50" xfId="96" applyNumberFormat="1" applyFont="1" applyFill="1" applyBorder="1" applyAlignment="1">
      <alignment horizontal="center" vertical="center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50" xfId="96" applyNumberFormat="1" applyFont="1" applyFill="1" applyBorder="1" applyAlignment="1">
      <alignment horizontal="center" vertical="center" textRotation="90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0" fontId="89" fillId="0" borderId="51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91" fillId="2" borderId="1" xfId="0" applyFont="1" applyFill="1" applyBorder="1" applyAlignment="1">
      <alignment horizontal="left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6" fillId="2" borderId="5" xfId="0" applyFont="1" applyFill="1" applyBorder="1" applyAlignment="1">
      <alignment vertical="center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/>
    </xf>
    <xf numFmtId="0" fontId="75" fillId="2" borderId="0" xfId="0" applyFont="1" applyFill="1" applyAlignment="1">
      <alignment horizontal="right" vertical="top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90" fillId="2" borderId="0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center" vertical="center" wrapText="1"/>
    </xf>
    <xf numFmtId="0" fontId="87" fillId="2" borderId="48" xfId="0" applyFont="1" applyFill="1" applyBorder="1" applyAlignment="1">
      <alignment horizontal="left" vertical="top" wrapText="1"/>
    </xf>
    <xf numFmtId="0" fontId="87" fillId="2" borderId="49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top" wrapText="1"/>
    </xf>
    <xf numFmtId="0" fontId="91" fillId="2" borderId="5" xfId="0" applyFont="1" applyFill="1" applyBorder="1" applyAlignment="1">
      <alignment wrapText="1"/>
    </xf>
    <xf numFmtId="0" fontId="87" fillId="0" borderId="53" xfId="0" applyFont="1" applyBorder="1" applyAlignment="1">
      <alignment horizontal="left" vertical="top" wrapText="1"/>
    </xf>
    <xf numFmtId="0" fontId="88" fillId="0" borderId="52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/>
    </xf>
    <xf numFmtId="0" fontId="92" fillId="2" borderId="0" xfId="0" applyFont="1" applyFill="1" applyBorder="1" applyAlignment="1">
      <alignment horizontal="right" vertical="top" wrapText="1"/>
    </xf>
    <xf numFmtId="0" fontId="16" fillId="2" borderId="48" xfId="0" applyFont="1" applyFill="1" applyBorder="1" applyAlignment="1">
      <alignment horizontal="left" vertical="top" wrapText="1"/>
    </xf>
    <xf numFmtId="0" fontId="16" fillId="2" borderId="49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left" vertical="center" wrapText="1"/>
    </xf>
    <xf numFmtId="0" fontId="16" fillId="57" borderId="41" xfId="0" applyFont="1" applyFill="1" applyBorder="1" applyAlignment="1">
      <alignment vertical="top" wrapText="1"/>
    </xf>
    <xf numFmtId="0" fontId="72" fillId="58" borderId="36" xfId="0" applyFont="1" applyFill="1" applyBorder="1" applyAlignment="1">
      <alignment horizontal="left" vertical="center" wrapText="1"/>
    </xf>
    <xf numFmtId="0" fontId="72" fillId="58" borderId="37" xfId="0" applyFont="1" applyFill="1" applyBorder="1" applyAlignment="1">
      <alignment horizontal="left" vertical="center" wrapText="1"/>
    </xf>
    <xf numFmtId="0" fontId="72" fillId="58" borderId="33" xfId="0" applyFont="1" applyFill="1" applyBorder="1" applyAlignment="1">
      <alignment horizontal="left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center" wrapText="1"/>
    </xf>
    <xf numFmtId="0" fontId="72" fillId="0" borderId="50" xfId="0" applyFont="1" applyFill="1" applyBorder="1" applyAlignment="1">
      <alignment horizontal="left" vertical="top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  <xf numFmtId="0" fontId="72" fillId="2" borderId="51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center" wrapText="1"/>
    </xf>
    <xf numFmtId="49" fontId="16" fillId="2" borderId="54" xfId="0" applyNumberFormat="1" applyFont="1" applyFill="1" applyBorder="1" applyAlignment="1">
      <alignment horizontal="left" vertical="top" wrapText="1"/>
    </xf>
    <xf numFmtId="49" fontId="16" fillId="2" borderId="55" xfId="0" applyNumberFormat="1" applyFont="1" applyFill="1" applyBorder="1" applyAlignment="1">
      <alignment horizontal="left" vertical="top"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" xfId="0" applyNumberFormat="1" applyFont="1" applyFill="1" applyBorder="1" applyAlignment="1">
      <alignment horizontal="center" vertical="top" wrapText="1"/>
    </xf>
    <xf numFmtId="0" fontId="16" fillId="2" borderId="9" xfId="0" applyFont="1" applyFill="1" applyBorder="1" applyAlignment="1">
      <alignment horizontal="center" vertical="center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topLeftCell="A12" zoomScale="85" zoomScaleNormal="85" zoomScaleSheetLayoutView="100" workbookViewId="0">
      <selection activeCell="D15" sqref="D15"/>
    </sheetView>
  </sheetViews>
  <sheetFormatPr defaultColWidth="9.09765625" defaultRowHeight="18"/>
  <cols>
    <col min="1" max="1" width="9.69921875" style="8" customWidth="1"/>
    <col min="2" max="2" width="24.69921875" style="8" customWidth="1"/>
    <col min="3" max="3" width="64.3984375" style="8" customWidth="1"/>
    <col min="4" max="4" width="26.8984375" style="8" customWidth="1"/>
    <col min="5" max="5" width="15.8984375" style="8" customWidth="1"/>
    <col min="6" max="6" width="15.69921875" style="8" customWidth="1"/>
    <col min="7" max="7" width="13.8984375" style="8" customWidth="1"/>
    <col min="8" max="9" width="12.296875" style="8" customWidth="1"/>
    <col min="10" max="16384" width="9.09765625" style="8"/>
  </cols>
  <sheetData>
    <row r="1" spans="1:5" ht="37.1" customHeight="1">
      <c r="C1" s="323" t="s">
        <v>108</v>
      </c>
      <c r="D1" s="323"/>
    </row>
    <row r="2" spans="1:5" ht="17.45" customHeight="1">
      <c r="C2" s="324" t="s">
        <v>148</v>
      </c>
      <c r="D2" s="324"/>
    </row>
    <row r="3" spans="1:5" ht="17.45" customHeight="1">
      <c r="C3" s="324" t="s">
        <v>9</v>
      </c>
      <c r="D3" s="324"/>
    </row>
    <row r="6" spans="1:5" ht="75.95" customHeight="1">
      <c r="A6" s="327" t="s">
        <v>146</v>
      </c>
      <c r="B6" s="327"/>
      <c r="C6" s="327"/>
      <c r="D6" s="327"/>
    </row>
    <row r="7" spans="1:5">
      <c r="A7" s="278"/>
      <c r="B7" s="278"/>
      <c r="C7" s="278"/>
      <c r="D7" s="278"/>
    </row>
    <row r="9" spans="1:5">
      <c r="D9" s="276" t="s">
        <v>28</v>
      </c>
    </row>
    <row r="10" spans="1:5" s="57" customFormat="1" ht="108">
      <c r="A10" s="328" t="s">
        <v>13</v>
      </c>
      <c r="B10" s="329"/>
      <c r="C10" s="325" t="s">
        <v>14</v>
      </c>
      <c r="D10" s="179" t="s">
        <v>137</v>
      </c>
    </row>
    <row r="11" spans="1:5" s="57" customFormat="1" ht="44.45" customHeight="1">
      <c r="A11" s="83" t="s">
        <v>64</v>
      </c>
      <c r="B11" s="279" t="s">
        <v>17</v>
      </c>
      <c r="C11" s="326"/>
      <c r="D11" s="277" t="s">
        <v>15</v>
      </c>
    </row>
    <row r="12" spans="1:5" s="57" customFormat="1" ht="34.950000000000003" customHeight="1">
      <c r="A12" s="84" t="s">
        <v>59</v>
      </c>
      <c r="B12" s="85"/>
      <c r="C12" s="296" t="s">
        <v>27</v>
      </c>
      <c r="D12" s="47">
        <f>+D14+D54</f>
        <v>0</v>
      </c>
    </row>
    <row r="13" spans="1:5" s="57" customFormat="1" ht="18" customHeight="1">
      <c r="A13" s="84"/>
      <c r="B13" s="85"/>
      <c r="C13" s="15" t="s">
        <v>49</v>
      </c>
      <c r="D13" s="9"/>
    </row>
    <row r="14" spans="1:5" s="57" customFormat="1" ht="33.85">
      <c r="A14" s="99"/>
      <c r="B14" s="86"/>
      <c r="C14" s="17" t="s">
        <v>68</v>
      </c>
      <c r="D14" s="7">
        <f>+D16+D41</f>
        <v>-5931686.2999999998</v>
      </c>
    </row>
    <row r="15" spans="1:5" s="57" customFormat="1">
      <c r="A15" s="319">
        <v>1146</v>
      </c>
      <c r="B15" s="320"/>
      <c r="C15" s="259" t="s">
        <v>34</v>
      </c>
      <c r="D15" s="10"/>
    </row>
    <row r="16" spans="1:5" s="57" customFormat="1">
      <c r="A16" s="317"/>
      <c r="B16" s="321"/>
      <c r="C16" s="260" t="s">
        <v>261</v>
      </c>
      <c r="D16" s="7">
        <f>+D23+D29+D35</f>
        <v>-1295274.5</v>
      </c>
      <c r="E16" s="100"/>
    </row>
    <row r="17" spans="1:5" s="57" customFormat="1">
      <c r="A17" s="317"/>
      <c r="B17" s="321"/>
      <c r="C17" s="261" t="s">
        <v>35</v>
      </c>
      <c r="D17" s="59"/>
    </row>
    <row r="18" spans="1:5" s="57" customFormat="1">
      <c r="A18" s="317"/>
      <c r="B18" s="321"/>
      <c r="C18" s="262" t="s">
        <v>262</v>
      </c>
      <c r="D18" s="59"/>
    </row>
    <row r="19" spans="1:5" s="57" customFormat="1">
      <c r="A19" s="317"/>
      <c r="B19" s="321"/>
      <c r="C19" s="261" t="s">
        <v>36</v>
      </c>
      <c r="D19" s="59"/>
    </row>
    <row r="20" spans="1:5" s="57" customFormat="1" ht="90">
      <c r="A20" s="317"/>
      <c r="B20" s="321"/>
      <c r="C20" s="262" t="s">
        <v>263</v>
      </c>
      <c r="D20" s="59"/>
    </row>
    <row r="21" spans="1:5" s="57" customFormat="1" ht="24" customHeight="1">
      <c r="A21" s="317"/>
      <c r="B21" s="101"/>
      <c r="C21" s="102" t="s">
        <v>58</v>
      </c>
      <c r="D21" s="59"/>
    </row>
    <row r="22" spans="1:5" s="57" customFormat="1">
      <c r="A22" s="317"/>
      <c r="B22" s="322">
        <v>11006</v>
      </c>
      <c r="C22" s="261" t="s">
        <v>37</v>
      </c>
      <c r="D22" s="59"/>
    </row>
    <row r="23" spans="1:5" s="57" customFormat="1">
      <c r="A23" s="317"/>
      <c r="B23" s="322"/>
      <c r="C23" s="263" t="s">
        <v>345</v>
      </c>
      <c r="D23" s="59">
        <f>+'Հավելված N 2'!G23</f>
        <v>-25501.599999999999</v>
      </c>
      <c r="E23" s="103"/>
    </row>
    <row r="24" spans="1:5" s="57" customFormat="1">
      <c r="A24" s="317"/>
      <c r="B24" s="322"/>
      <c r="C24" s="261" t="s">
        <v>38</v>
      </c>
      <c r="D24" s="101"/>
    </row>
    <row r="25" spans="1:5" s="57" customFormat="1" ht="54">
      <c r="A25" s="317"/>
      <c r="B25" s="322"/>
      <c r="C25" s="262" t="s">
        <v>346</v>
      </c>
      <c r="D25" s="101"/>
    </row>
    <row r="26" spans="1:5" s="57" customFormat="1">
      <c r="A26" s="317"/>
      <c r="B26" s="322"/>
      <c r="C26" s="261" t="s">
        <v>39</v>
      </c>
      <c r="D26" s="101"/>
    </row>
    <row r="27" spans="1:5" s="57" customFormat="1">
      <c r="A27" s="317"/>
      <c r="B27" s="322"/>
      <c r="C27" s="262" t="s">
        <v>40</v>
      </c>
      <c r="D27" s="101"/>
    </row>
    <row r="28" spans="1:5" s="57" customFormat="1">
      <c r="A28" s="317"/>
      <c r="B28" s="322">
        <v>11012</v>
      </c>
      <c r="C28" s="261" t="s">
        <v>37</v>
      </c>
      <c r="D28" s="59"/>
    </row>
    <row r="29" spans="1:5" s="57" customFormat="1">
      <c r="A29" s="317"/>
      <c r="B29" s="322"/>
      <c r="C29" s="263" t="s">
        <v>329</v>
      </c>
      <c r="D29" s="59">
        <f>+'Հավելված N 2'!G32</f>
        <v>-260030.2</v>
      </c>
      <c r="E29" s="103"/>
    </row>
    <row r="30" spans="1:5" s="57" customFormat="1">
      <c r="A30" s="317"/>
      <c r="B30" s="322"/>
      <c r="C30" s="261" t="s">
        <v>38</v>
      </c>
      <c r="D30" s="101"/>
    </row>
    <row r="31" spans="1:5" s="57" customFormat="1" ht="72">
      <c r="A31" s="317"/>
      <c r="B31" s="322"/>
      <c r="C31" s="262" t="s">
        <v>330</v>
      </c>
      <c r="D31" s="101"/>
    </row>
    <row r="32" spans="1:5" s="57" customFormat="1">
      <c r="A32" s="317"/>
      <c r="B32" s="322"/>
      <c r="C32" s="261" t="s">
        <v>39</v>
      </c>
      <c r="D32" s="101"/>
    </row>
    <row r="33" spans="1:5" s="57" customFormat="1">
      <c r="A33" s="317"/>
      <c r="B33" s="322"/>
      <c r="C33" s="262" t="s">
        <v>40</v>
      </c>
      <c r="D33" s="101"/>
    </row>
    <row r="34" spans="1:5" s="57" customFormat="1">
      <c r="A34" s="317"/>
      <c r="B34" s="322">
        <v>12010</v>
      </c>
      <c r="C34" s="261" t="s">
        <v>37</v>
      </c>
      <c r="D34" s="59"/>
    </row>
    <row r="35" spans="1:5" s="57" customFormat="1" ht="33.85">
      <c r="A35" s="317"/>
      <c r="B35" s="322"/>
      <c r="C35" s="263" t="s">
        <v>264</v>
      </c>
      <c r="D35" s="59">
        <f>+'Հավելված N 2'!G49</f>
        <v>-1009742.7</v>
      </c>
      <c r="E35" s="103"/>
    </row>
    <row r="36" spans="1:5" s="57" customFormat="1">
      <c r="A36" s="317"/>
      <c r="B36" s="322"/>
      <c r="C36" s="261" t="s">
        <v>38</v>
      </c>
      <c r="D36" s="101"/>
    </row>
    <row r="37" spans="1:5" s="57" customFormat="1" ht="36">
      <c r="A37" s="317"/>
      <c r="B37" s="322"/>
      <c r="C37" s="262" t="s">
        <v>265</v>
      </c>
      <c r="D37" s="101"/>
    </row>
    <row r="38" spans="1:5" s="57" customFormat="1">
      <c r="A38" s="317"/>
      <c r="B38" s="322"/>
      <c r="C38" s="261" t="s">
        <v>39</v>
      </c>
      <c r="D38" s="101"/>
    </row>
    <row r="39" spans="1:5" s="57" customFormat="1">
      <c r="A39" s="317"/>
      <c r="B39" s="322"/>
      <c r="C39" s="262" t="s">
        <v>266</v>
      </c>
      <c r="D39" s="101"/>
    </row>
    <row r="40" spans="1:5" ht="17.899999999999999" customHeight="1">
      <c r="A40" s="316">
        <v>1183</v>
      </c>
      <c r="B40" s="312"/>
      <c r="C40" s="87" t="s">
        <v>34</v>
      </c>
      <c r="D40" s="11"/>
    </row>
    <row r="41" spans="1:5" ht="19.399999999999999" customHeight="1">
      <c r="A41" s="317"/>
      <c r="B41" s="313"/>
      <c r="C41" s="62" t="s">
        <v>130</v>
      </c>
      <c r="D41" s="7">
        <f>+D48</f>
        <v>-4636411.8</v>
      </c>
      <c r="E41" s="88"/>
    </row>
    <row r="42" spans="1:5" ht="17.899999999999999" customHeight="1">
      <c r="A42" s="317"/>
      <c r="B42" s="313"/>
      <c r="C42" s="89" t="s">
        <v>35</v>
      </c>
      <c r="D42" s="12"/>
    </row>
    <row r="43" spans="1:5" ht="90">
      <c r="A43" s="317"/>
      <c r="B43" s="313"/>
      <c r="C43" s="92" t="s">
        <v>131</v>
      </c>
      <c r="D43" s="12"/>
    </row>
    <row r="44" spans="1:5" ht="17.899999999999999" customHeight="1">
      <c r="A44" s="317"/>
      <c r="B44" s="313"/>
      <c r="C44" s="89" t="s">
        <v>36</v>
      </c>
      <c r="D44" s="12"/>
    </row>
    <row r="45" spans="1:5">
      <c r="A45" s="317"/>
      <c r="B45" s="314"/>
      <c r="C45" s="104" t="s">
        <v>132</v>
      </c>
      <c r="D45" s="12"/>
    </row>
    <row r="46" spans="1:5" ht="24" customHeight="1">
      <c r="A46" s="317"/>
      <c r="B46" s="281"/>
      <c r="C46" s="90" t="s">
        <v>18</v>
      </c>
      <c r="D46" s="13"/>
    </row>
    <row r="47" spans="1:5" ht="17.899999999999999" customHeight="1">
      <c r="A47" s="317"/>
      <c r="B47" s="315">
        <v>32003</v>
      </c>
      <c r="C47" s="156" t="s">
        <v>37</v>
      </c>
      <c r="D47" s="14"/>
    </row>
    <row r="48" spans="1:5" ht="50.75">
      <c r="A48" s="317"/>
      <c r="B48" s="315"/>
      <c r="C48" s="158" t="s">
        <v>154</v>
      </c>
      <c r="D48" s="59">
        <f>+'Հավելված N 2'!G62</f>
        <v>-4636411.8</v>
      </c>
      <c r="E48" s="88"/>
    </row>
    <row r="49" spans="1:4" ht="17.45" customHeight="1">
      <c r="A49" s="317"/>
      <c r="B49" s="315"/>
      <c r="C49" s="156" t="s">
        <v>38</v>
      </c>
      <c r="D49" s="286"/>
    </row>
    <row r="50" spans="1:4" ht="36">
      <c r="A50" s="317"/>
      <c r="B50" s="315"/>
      <c r="C50" s="157" t="s">
        <v>170</v>
      </c>
      <c r="D50" s="286"/>
    </row>
    <row r="51" spans="1:4" ht="17.45" customHeight="1">
      <c r="A51" s="317"/>
      <c r="B51" s="315"/>
      <c r="C51" s="156" t="s">
        <v>39</v>
      </c>
      <c r="D51" s="15"/>
    </row>
    <row r="52" spans="1:4" ht="54">
      <c r="A52" s="317"/>
      <c r="B52" s="315"/>
      <c r="C52" s="157" t="s">
        <v>79</v>
      </c>
      <c r="D52" s="15"/>
    </row>
    <row r="53" spans="1:4" ht="9.4499999999999993" customHeight="1">
      <c r="A53" s="93"/>
      <c r="B53" s="79"/>
      <c r="C53" s="94"/>
      <c r="D53" s="81"/>
    </row>
    <row r="54" spans="1:4" s="57" customFormat="1" ht="34.950000000000003" customHeight="1">
      <c r="A54" s="105"/>
      <c r="B54" s="86"/>
      <c r="C54" s="17" t="s">
        <v>121</v>
      </c>
      <c r="D54" s="95">
        <f t="shared" ref="D54" si="0">+D56</f>
        <v>5931686.2999999998</v>
      </c>
    </row>
    <row r="55" spans="1:4">
      <c r="A55" s="310">
        <v>1139</v>
      </c>
      <c r="B55" s="311"/>
      <c r="C55" s="87" t="s">
        <v>34</v>
      </c>
      <c r="D55" s="95"/>
    </row>
    <row r="56" spans="1:4" ht="19.399999999999999" customHeight="1">
      <c r="A56" s="310"/>
      <c r="B56" s="311"/>
      <c r="C56" s="17" t="s">
        <v>20</v>
      </c>
      <c r="D56" s="95">
        <f>+D62</f>
        <v>5931686.2999999998</v>
      </c>
    </row>
    <row r="57" spans="1:4">
      <c r="A57" s="310"/>
      <c r="B57" s="311"/>
      <c r="C57" s="89" t="s">
        <v>35</v>
      </c>
      <c r="D57" s="96"/>
    </row>
    <row r="58" spans="1:4" ht="54">
      <c r="A58" s="310"/>
      <c r="B58" s="311"/>
      <c r="C58" s="92" t="s">
        <v>82</v>
      </c>
      <c r="D58" s="96"/>
    </row>
    <row r="59" spans="1:4">
      <c r="A59" s="310"/>
      <c r="B59" s="311"/>
      <c r="C59" s="89" t="s">
        <v>36</v>
      </c>
      <c r="D59" s="96"/>
    </row>
    <row r="60" spans="1:4" ht="36">
      <c r="A60" s="310"/>
      <c r="B60" s="311"/>
      <c r="C60" s="104" t="s">
        <v>90</v>
      </c>
      <c r="D60" s="96"/>
    </row>
    <row r="61" spans="1:4" ht="18" customHeight="1">
      <c r="A61" s="310"/>
      <c r="B61" s="311" t="s">
        <v>83</v>
      </c>
      <c r="C61" s="89" t="s">
        <v>37</v>
      </c>
      <c r="D61" s="16"/>
    </row>
    <row r="62" spans="1:4" ht="19.399999999999999" customHeight="1">
      <c r="A62" s="310"/>
      <c r="B62" s="311"/>
      <c r="C62" s="91" t="s">
        <v>20</v>
      </c>
      <c r="D62" s="97">
        <f>+'Հավելված N 2'!G85</f>
        <v>5931686.2999999998</v>
      </c>
    </row>
    <row r="63" spans="1:4">
      <c r="A63" s="310"/>
      <c r="B63" s="311"/>
      <c r="C63" s="89" t="s">
        <v>38</v>
      </c>
      <c r="D63" s="98"/>
    </row>
    <row r="64" spans="1:4" ht="72">
      <c r="A64" s="310"/>
      <c r="B64" s="311"/>
      <c r="C64" s="92" t="s">
        <v>84</v>
      </c>
      <c r="D64" s="98"/>
    </row>
    <row r="65" spans="1:4">
      <c r="A65" s="310"/>
      <c r="B65" s="311"/>
      <c r="C65" s="89" t="s">
        <v>39</v>
      </c>
      <c r="D65" s="98"/>
    </row>
    <row r="66" spans="1:4">
      <c r="A66" s="310"/>
      <c r="B66" s="311"/>
      <c r="C66" s="92" t="s">
        <v>40</v>
      </c>
      <c r="D66" s="98"/>
    </row>
  </sheetData>
  <mergeCells count="17">
    <mergeCell ref="C1:D1"/>
    <mergeCell ref="C2:D2"/>
    <mergeCell ref="C3:D3"/>
    <mergeCell ref="C10:C11"/>
    <mergeCell ref="A6:D6"/>
    <mergeCell ref="A10:B10"/>
    <mergeCell ref="A15:A39"/>
    <mergeCell ref="B15:B20"/>
    <mergeCell ref="B34:B39"/>
    <mergeCell ref="B28:B33"/>
    <mergeCell ref="B22:B27"/>
    <mergeCell ref="A55:A66"/>
    <mergeCell ref="B61:B66"/>
    <mergeCell ref="B55:B60"/>
    <mergeCell ref="B40:B45"/>
    <mergeCell ref="B47:B52"/>
    <mergeCell ref="A40:A52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4"/>
  <sheetViews>
    <sheetView topLeftCell="A80" zoomScale="85" zoomScaleNormal="85" zoomScaleSheetLayoutView="100" workbookViewId="0">
      <selection activeCell="G16" sqref="G16"/>
    </sheetView>
  </sheetViews>
  <sheetFormatPr defaultColWidth="9.09765625" defaultRowHeight="18"/>
  <cols>
    <col min="1" max="3" width="8.09765625" style="8" customWidth="1"/>
    <col min="4" max="4" width="11.59765625" style="8" customWidth="1"/>
    <col min="5" max="5" width="13.8984375" style="8" customWidth="1"/>
    <col min="6" max="6" width="62.09765625" style="8" customWidth="1"/>
    <col min="7" max="7" width="26.8984375" style="8" customWidth="1"/>
    <col min="8" max="9" width="15" style="8" customWidth="1"/>
    <col min="10" max="16384" width="9.09765625" style="8"/>
  </cols>
  <sheetData>
    <row r="1" spans="1:8" s="55" customFormat="1" ht="37.5" customHeight="1">
      <c r="F1" s="323" t="s">
        <v>109</v>
      </c>
      <c r="G1" s="323"/>
    </row>
    <row r="2" spans="1:8" s="56" customFormat="1" ht="17.45" customHeight="1">
      <c r="F2" s="324" t="s">
        <v>148</v>
      </c>
      <c r="G2" s="324"/>
    </row>
    <row r="3" spans="1:8" s="56" customFormat="1" ht="17.45" customHeight="1">
      <c r="F3" s="324" t="s">
        <v>9</v>
      </c>
      <c r="G3" s="324"/>
    </row>
    <row r="4" spans="1:8" ht="13.5" customHeight="1"/>
    <row r="5" spans="1:8" ht="52.5" customHeight="1">
      <c r="A5" s="327" t="s">
        <v>147</v>
      </c>
      <c r="B5" s="327"/>
      <c r="C5" s="327"/>
      <c r="D5" s="327"/>
      <c r="E5" s="327"/>
      <c r="F5" s="327"/>
      <c r="G5" s="327"/>
    </row>
    <row r="7" spans="1:8">
      <c r="G7" s="82" t="s">
        <v>28</v>
      </c>
    </row>
    <row r="8" spans="1:8" s="57" customFormat="1" ht="108">
      <c r="A8" s="336" t="s">
        <v>29</v>
      </c>
      <c r="B8" s="336"/>
      <c r="C8" s="336"/>
      <c r="D8" s="336" t="s">
        <v>13</v>
      </c>
      <c r="E8" s="336"/>
      <c r="F8" s="336" t="s">
        <v>19</v>
      </c>
      <c r="G8" s="179" t="s">
        <v>137</v>
      </c>
    </row>
    <row r="9" spans="1:8" s="57" customFormat="1">
      <c r="A9" s="54" t="s">
        <v>138</v>
      </c>
      <c r="B9" s="54" t="s">
        <v>139</v>
      </c>
      <c r="C9" s="54" t="s">
        <v>30</v>
      </c>
      <c r="D9" s="54" t="s">
        <v>16</v>
      </c>
      <c r="E9" s="54" t="s">
        <v>65</v>
      </c>
      <c r="F9" s="336"/>
      <c r="G9" s="54" t="s">
        <v>15</v>
      </c>
    </row>
    <row r="10" spans="1:8" s="57" customFormat="1" ht="34.950000000000003" customHeight="1">
      <c r="A10" s="53"/>
      <c r="B10" s="53"/>
      <c r="C10" s="53"/>
      <c r="D10" s="54"/>
      <c r="E10" s="54"/>
      <c r="F10" s="17" t="s">
        <v>27</v>
      </c>
      <c r="G10" s="47">
        <f>+G12+G74</f>
        <v>0</v>
      </c>
    </row>
    <row r="11" spans="1:8" s="57" customFormat="1">
      <c r="A11" s="53"/>
      <c r="B11" s="53"/>
      <c r="C11" s="53"/>
      <c r="D11" s="54"/>
      <c r="E11" s="54"/>
      <c r="F11" s="53" t="s">
        <v>49</v>
      </c>
      <c r="G11" s="7"/>
    </row>
    <row r="12" spans="1:8" s="57" customFormat="1" ht="33.85">
      <c r="A12" s="207"/>
      <c r="B12" s="139"/>
      <c r="C12" s="139"/>
      <c r="D12" s="208"/>
      <c r="E12" s="208"/>
      <c r="F12" s="17" t="s">
        <v>68</v>
      </c>
      <c r="G12" s="7">
        <f>+G13</f>
        <v>-5931686.2999999998</v>
      </c>
      <c r="H12" s="78"/>
    </row>
    <row r="13" spans="1:8" s="57" customFormat="1">
      <c r="A13" s="342" t="s">
        <v>54</v>
      </c>
      <c r="B13" s="431"/>
      <c r="C13" s="337"/>
      <c r="D13" s="339"/>
      <c r="E13" s="337"/>
      <c r="F13" s="301" t="s">
        <v>51</v>
      </c>
      <c r="G13" s="302">
        <f>G15+G41</f>
        <v>-5931686.2999999998</v>
      </c>
    </row>
    <row r="14" spans="1:8" s="57" customFormat="1" ht="16.95" customHeight="1">
      <c r="A14" s="343"/>
      <c r="B14" s="432"/>
      <c r="C14" s="338"/>
      <c r="D14" s="340"/>
      <c r="E14" s="338"/>
      <c r="F14" s="285" t="s">
        <v>21</v>
      </c>
      <c r="G14" s="297"/>
    </row>
    <row r="15" spans="1:8" s="57" customFormat="1">
      <c r="A15" s="343"/>
      <c r="B15" s="342" t="s">
        <v>327</v>
      </c>
      <c r="C15" s="316"/>
      <c r="D15" s="339"/>
      <c r="E15" s="337"/>
      <c r="F15" s="301" t="s">
        <v>326</v>
      </c>
      <c r="G15" s="297">
        <f>+G17</f>
        <v>-285531.8</v>
      </c>
    </row>
    <row r="16" spans="1:8" s="57" customFormat="1" ht="16.95" customHeight="1">
      <c r="A16" s="343"/>
      <c r="B16" s="343"/>
      <c r="C16" s="318"/>
      <c r="D16" s="340"/>
      <c r="E16" s="338"/>
      <c r="F16" s="285" t="s">
        <v>21</v>
      </c>
      <c r="G16" s="297"/>
    </row>
    <row r="17" spans="1:14" s="57" customFormat="1">
      <c r="A17" s="343"/>
      <c r="B17" s="343"/>
      <c r="C17" s="342" t="s">
        <v>327</v>
      </c>
      <c r="D17" s="339"/>
      <c r="E17" s="337"/>
      <c r="F17" s="301" t="s">
        <v>328</v>
      </c>
      <c r="G17" s="297">
        <f t="shared" ref="G17" si="0">+G19</f>
        <v>-285531.8</v>
      </c>
      <c r="H17" s="58"/>
      <c r="I17" s="58"/>
      <c r="J17" s="58"/>
      <c r="K17" s="58"/>
      <c r="L17" s="58"/>
      <c r="M17" s="58"/>
      <c r="N17" s="58"/>
    </row>
    <row r="18" spans="1:14" s="57" customFormat="1" ht="16.95" customHeight="1">
      <c r="A18" s="343"/>
      <c r="B18" s="343"/>
      <c r="C18" s="343"/>
      <c r="D18" s="340"/>
      <c r="E18" s="338"/>
      <c r="F18" s="285" t="s">
        <v>21</v>
      </c>
      <c r="G18" s="297"/>
      <c r="H18" s="58"/>
      <c r="I18" s="58"/>
      <c r="J18" s="58"/>
      <c r="K18" s="58"/>
      <c r="L18" s="58"/>
      <c r="M18" s="58"/>
      <c r="N18" s="58"/>
    </row>
    <row r="19" spans="1:14" s="57" customFormat="1" ht="36">
      <c r="A19" s="343"/>
      <c r="B19" s="343"/>
      <c r="C19" s="343"/>
      <c r="D19" s="340"/>
      <c r="E19" s="338"/>
      <c r="F19" s="284" t="s">
        <v>50</v>
      </c>
      <c r="G19" s="303">
        <f>+G21</f>
        <v>-285531.8</v>
      </c>
      <c r="H19" s="58"/>
      <c r="I19" s="58"/>
      <c r="J19" s="58"/>
      <c r="K19" s="58"/>
      <c r="L19" s="58"/>
      <c r="M19" s="58"/>
      <c r="N19" s="58"/>
    </row>
    <row r="20" spans="1:14" s="57" customFormat="1" ht="16.95" customHeight="1">
      <c r="A20" s="343"/>
      <c r="B20" s="343"/>
      <c r="C20" s="343"/>
      <c r="D20" s="341"/>
      <c r="E20" s="312"/>
      <c r="F20" s="284" t="s">
        <v>71</v>
      </c>
      <c r="G20" s="303"/>
      <c r="H20" s="58"/>
      <c r="I20" s="58"/>
      <c r="J20" s="58"/>
      <c r="K20" s="58"/>
      <c r="L20" s="58"/>
      <c r="M20" s="58"/>
      <c r="N20" s="58"/>
    </row>
    <row r="21" spans="1:14" s="57" customFormat="1" ht="18" customHeight="1">
      <c r="A21" s="343"/>
      <c r="B21" s="343"/>
      <c r="C21" s="343"/>
      <c r="D21" s="282">
        <v>1146</v>
      </c>
      <c r="E21" s="429" t="s">
        <v>260</v>
      </c>
      <c r="F21" s="430"/>
      <c r="G21" s="302">
        <f>+G23+G32</f>
        <v>-285531.8</v>
      </c>
      <c r="H21" s="58"/>
      <c r="I21" s="58"/>
      <c r="J21" s="58"/>
      <c r="K21" s="58"/>
      <c r="L21" s="58"/>
      <c r="M21" s="58"/>
      <c r="N21" s="58"/>
    </row>
    <row r="22" spans="1:14" s="57" customFormat="1" ht="16.95" customHeight="1">
      <c r="A22" s="343"/>
      <c r="B22" s="343"/>
      <c r="C22" s="343"/>
      <c r="D22" s="300"/>
      <c r="E22" s="304"/>
      <c r="F22" s="285" t="s">
        <v>21</v>
      </c>
      <c r="G22" s="305"/>
      <c r="H22" s="58"/>
      <c r="I22" s="58"/>
      <c r="J22" s="58"/>
      <c r="K22" s="58"/>
      <c r="L22" s="58"/>
      <c r="M22" s="58"/>
      <c r="N22" s="58"/>
    </row>
    <row r="23" spans="1:14" s="57" customFormat="1">
      <c r="A23" s="343"/>
      <c r="B23" s="343"/>
      <c r="C23" s="343"/>
      <c r="D23" s="339"/>
      <c r="E23" s="282">
        <v>11006</v>
      </c>
      <c r="F23" s="248" t="s">
        <v>342</v>
      </c>
      <c r="G23" s="306">
        <f>+G25</f>
        <v>-25501.599999999999</v>
      </c>
      <c r="H23" s="58"/>
      <c r="I23" s="58"/>
      <c r="J23" s="58"/>
      <c r="K23" s="58"/>
      <c r="L23" s="58"/>
      <c r="M23" s="58"/>
      <c r="N23" s="58"/>
    </row>
    <row r="24" spans="1:14" s="57" customFormat="1" ht="17.45" customHeight="1">
      <c r="A24" s="343"/>
      <c r="B24" s="343"/>
      <c r="C24" s="343"/>
      <c r="D24" s="340"/>
      <c r="E24" s="428"/>
      <c r="F24" s="285" t="s">
        <v>67</v>
      </c>
      <c r="G24" s="307"/>
    </row>
    <row r="25" spans="1:14" s="60" customFormat="1" ht="36">
      <c r="A25" s="343"/>
      <c r="B25" s="343"/>
      <c r="C25" s="343"/>
      <c r="D25" s="340"/>
      <c r="E25" s="426"/>
      <c r="F25" s="308" t="s">
        <v>50</v>
      </c>
      <c r="G25" s="309">
        <f t="shared" ref="G25" si="1">G27</f>
        <v>-25501.599999999999</v>
      </c>
    </row>
    <row r="26" spans="1:14" s="57" customFormat="1" ht="54">
      <c r="A26" s="343"/>
      <c r="B26" s="343"/>
      <c r="C26" s="343"/>
      <c r="D26" s="340"/>
      <c r="E26" s="426"/>
      <c r="F26" s="285" t="s">
        <v>56</v>
      </c>
      <c r="G26" s="307"/>
    </row>
    <row r="27" spans="1:14" s="57" customFormat="1" ht="17.45" customHeight="1">
      <c r="A27" s="343"/>
      <c r="B27" s="343"/>
      <c r="C27" s="343"/>
      <c r="D27" s="340"/>
      <c r="E27" s="426"/>
      <c r="F27" s="295" t="s">
        <v>24</v>
      </c>
      <c r="G27" s="307">
        <f t="shared" ref="G27:G28" si="2">G28</f>
        <v>-25501.599999999999</v>
      </c>
    </row>
    <row r="28" spans="1:14" s="57" customFormat="1" ht="17.45" customHeight="1">
      <c r="A28" s="343"/>
      <c r="B28" s="343"/>
      <c r="C28" s="343"/>
      <c r="D28" s="340"/>
      <c r="E28" s="426"/>
      <c r="F28" s="285" t="s">
        <v>25</v>
      </c>
      <c r="G28" s="299">
        <f t="shared" si="2"/>
        <v>-25501.599999999999</v>
      </c>
    </row>
    <row r="29" spans="1:14" s="57" customFormat="1" ht="17.45" customHeight="1">
      <c r="A29" s="343"/>
      <c r="B29" s="343"/>
      <c r="C29" s="343"/>
      <c r="D29" s="340"/>
      <c r="E29" s="426"/>
      <c r="F29" s="285" t="s">
        <v>323</v>
      </c>
      <c r="G29" s="299">
        <f t="shared" ref="G29:G30" si="3">+G30</f>
        <v>-25501.599999999999</v>
      </c>
    </row>
    <row r="30" spans="1:14" s="57" customFormat="1" ht="17.45" customHeight="1">
      <c r="A30" s="343"/>
      <c r="B30" s="343"/>
      <c r="C30" s="343"/>
      <c r="D30" s="340"/>
      <c r="E30" s="426"/>
      <c r="F30" s="285" t="s">
        <v>324</v>
      </c>
      <c r="G30" s="299">
        <f t="shared" si="3"/>
        <v>-25501.599999999999</v>
      </c>
    </row>
    <row r="31" spans="1:14" s="57" customFormat="1" ht="17.45" customHeight="1">
      <c r="A31" s="343"/>
      <c r="B31" s="343"/>
      <c r="C31" s="343"/>
      <c r="D31" s="340"/>
      <c r="E31" s="427"/>
      <c r="F31" s="298" t="s">
        <v>325</v>
      </c>
      <c r="G31" s="299">
        <v>-25501.599999999999</v>
      </c>
    </row>
    <row r="32" spans="1:14" s="57" customFormat="1">
      <c r="A32" s="343"/>
      <c r="B32" s="343"/>
      <c r="C32" s="343"/>
      <c r="D32" s="340"/>
      <c r="E32" s="282">
        <v>11012</v>
      </c>
      <c r="F32" s="248" t="s">
        <v>329</v>
      </c>
      <c r="G32" s="306">
        <f>+G34</f>
        <v>-260030.2</v>
      </c>
      <c r="H32" s="58"/>
      <c r="I32" s="58"/>
      <c r="J32" s="58"/>
      <c r="K32" s="58"/>
      <c r="L32" s="58"/>
      <c r="M32" s="58"/>
      <c r="N32" s="58"/>
    </row>
    <row r="33" spans="1:14" s="57" customFormat="1" ht="17.45" customHeight="1">
      <c r="A33" s="343"/>
      <c r="B33" s="343"/>
      <c r="C33" s="343"/>
      <c r="D33" s="340"/>
      <c r="E33" s="428"/>
      <c r="F33" s="285" t="s">
        <v>67</v>
      </c>
      <c r="G33" s="307"/>
    </row>
    <row r="34" spans="1:14" s="60" customFormat="1" ht="36">
      <c r="A34" s="343"/>
      <c r="B34" s="343"/>
      <c r="C34" s="343"/>
      <c r="D34" s="340"/>
      <c r="E34" s="426"/>
      <c r="F34" s="308" t="s">
        <v>50</v>
      </c>
      <c r="G34" s="309">
        <f t="shared" ref="G34" si="4">G36</f>
        <v>-260030.2</v>
      </c>
    </row>
    <row r="35" spans="1:14" s="57" customFormat="1" ht="54">
      <c r="A35" s="343"/>
      <c r="B35" s="343"/>
      <c r="C35" s="343"/>
      <c r="D35" s="340"/>
      <c r="E35" s="426"/>
      <c r="F35" s="285" t="s">
        <v>56</v>
      </c>
      <c r="G35" s="307"/>
    </row>
    <row r="36" spans="1:14" s="57" customFormat="1" ht="17.45" customHeight="1">
      <c r="A36" s="343"/>
      <c r="B36" s="343"/>
      <c r="C36" s="343"/>
      <c r="D36" s="340"/>
      <c r="E36" s="426"/>
      <c r="F36" s="295" t="s">
        <v>24</v>
      </c>
      <c r="G36" s="307">
        <f t="shared" ref="G36:G37" si="5">G37</f>
        <v>-260030.2</v>
      </c>
    </row>
    <row r="37" spans="1:14" s="57" customFormat="1" ht="17.45" customHeight="1">
      <c r="A37" s="343"/>
      <c r="B37" s="343"/>
      <c r="C37" s="343"/>
      <c r="D37" s="340"/>
      <c r="E37" s="426"/>
      <c r="F37" s="285" t="s">
        <v>25</v>
      </c>
      <c r="G37" s="299">
        <f t="shared" si="5"/>
        <v>-260030.2</v>
      </c>
    </row>
    <row r="38" spans="1:14" s="57" customFormat="1" ht="17.45" customHeight="1">
      <c r="A38" s="343"/>
      <c r="B38" s="343"/>
      <c r="C38" s="343"/>
      <c r="D38" s="340"/>
      <c r="E38" s="426"/>
      <c r="F38" s="285" t="s">
        <v>323</v>
      </c>
      <c r="G38" s="299">
        <f t="shared" ref="G38:G39" si="6">+G39</f>
        <v>-260030.2</v>
      </c>
    </row>
    <row r="39" spans="1:14" s="57" customFormat="1" ht="17.45" customHeight="1">
      <c r="A39" s="343"/>
      <c r="B39" s="343"/>
      <c r="C39" s="343"/>
      <c r="D39" s="340"/>
      <c r="E39" s="426"/>
      <c r="F39" s="285" t="s">
        <v>324</v>
      </c>
      <c r="G39" s="299">
        <f t="shared" si="6"/>
        <v>-260030.2</v>
      </c>
    </row>
    <row r="40" spans="1:14" s="57" customFormat="1" ht="17.45" customHeight="1">
      <c r="A40" s="343"/>
      <c r="B40" s="344"/>
      <c r="C40" s="344"/>
      <c r="D40" s="341"/>
      <c r="E40" s="427"/>
      <c r="F40" s="298" t="s">
        <v>325</v>
      </c>
      <c r="G40" s="299">
        <v>-260030.2</v>
      </c>
    </row>
    <row r="41" spans="1:14" s="57" customFormat="1">
      <c r="A41" s="343"/>
      <c r="B41" s="342" t="s">
        <v>55</v>
      </c>
      <c r="C41" s="337"/>
      <c r="D41" s="339"/>
      <c r="E41" s="337"/>
      <c r="F41" s="301" t="s">
        <v>52</v>
      </c>
      <c r="G41" s="297">
        <f t="shared" ref="G41" si="7">+G43</f>
        <v>-5646154.5</v>
      </c>
    </row>
    <row r="42" spans="1:14" s="57" customFormat="1" ht="16.95" customHeight="1">
      <c r="A42" s="343"/>
      <c r="B42" s="343"/>
      <c r="C42" s="312"/>
      <c r="D42" s="340"/>
      <c r="E42" s="338"/>
      <c r="F42" s="285" t="s">
        <v>21</v>
      </c>
      <c r="G42" s="297"/>
    </row>
    <row r="43" spans="1:14" s="57" customFormat="1">
      <c r="A43" s="343"/>
      <c r="B43" s="343"/>
      <c r="C43" s="316" t="s">
        <v>32</v>
      </c>
      <c r="D43" s="340"/>
      <c r="E43" s="338"/>
      <c r="F43" s="301" t="s">
        <v>52</v>
      </c>
      <c r="G43" s="297">
        <f t="shared" ref="G43" si="8">+G45</f>
        <v>-5646154.5</v>
      </c>
      <c r="H43" s="58"/>
      <c r="I43" s="58"/>
      <c r="J43" s="58"/>
      <c r="K43" s="58"/>
      <c r="L43" s="58"/>
      <c r="M43" s="58"/>
      <c r="N43" s="58"/>
    </row>
    <row r="44" spans="1:14" s="57" customFormat="1" ht="16.95" customHeight="1">
      <c r="A44" s="343"/>
      <c r="B44" s="343"/>
      <c r="C44" s="317"/>
      <c r="D44" s="340"/>
      <c r="E44" s="338"/>
      <c r="F44" s="285" t="s">
        <v>21</v>
      </c>
      <c r="G44" s="297"/>
      <c r="H44" s="58"/>
      <c r="I44" s="58"/>
      <c r="J44" s="58"/>
      <c r="K44" s="58"/>
      <c r="L44" s="58"/>
      <c r="M44" s="58"/>
      <c r="N44" s="58"/>
    </row>
    <row r="45" spans="1:14" s="57" customFormat="1" ht="36">
      <c r="A45" s="343"/>
      <c r="B45" s="343"/>
      <c r="C45" s="317"/>
      <c r="D45" s="340"/>
      <c r="E45" s="338"/>
      <c r="F45" s="284" t="s">
        <v>50</v>
      </c>
      <c r="G45" s="303">
        <f>+G47+G60</f>
        <v>-5646154.5</v>
      </c>
      <c r="H45" s="58"/>
      <c r="I45" s="58"/>
      <c r="J45" s="58"/>
      <c r="K45" s="58"/>
      <c r="L45" s="58"/>
      <c r="M45" s="58"/>
      <c r="N45" s="58"/>
    </row>
    <row r="46" spans="1:14" s="57" customFormat="1" ht="16.95" customHeight="1">
      <c r="A46" s="343"/>
      <c r="B46" s="343"/>
      <c r="C46" s="317"/>
      <c r="D46" s="341"/>
      <c r="E46" s="312"/>
      <c r="F46" s="284" t="s">
        <v>71</v>
      </c>
      <c r="G46" s="303"/>
      <c r="H46" s="58"/>
      <c r="I46" s="58"/>
      <c r="J46" s="58"/>
      <c r="K46" s="58"/>
      <c r="L46" s="58"/>
      <c r="M46" s="58"/>
      <c r="N46" s="58"/>
    </row>
    <row r="47" spans="1:14" s="57" customFormat="1" ht="18" customHeight="1">
      <c r="A47" s="343"/>
      <c r="B47" s="343"/>
      <c r="C47" s="317"/>
      <c r="D47" s="282">
        <v>1146</v>
      </c>
      <c r="E47" s="429" t="s">
        <v>260</v>
      </c>
      <c r="F47" s="430"/>
      <c r="G47" s="302">
        <f>+G49</f>
        <v>-1009742.7</v>
      </c>
      <c r="H47" s="58"/>
      <c r="I47" s="58"/>
      <c r="J47" s="58"/>
      <c r="K47" s="58"/>
      <c r="L47" s="58"/>
      <c r="M47" s="58"/>
      <c r="N47" s="58"/>
    </row>
    <row r="48" spans="1:14" s="57" customFormat="1" ht="16.95" customHeight="1">
      <c r="A48" s="343"/>
      <c r="B48" s="343"/>
      <c r="C48" s="317"/>
      <c r="D48" s="300"/>
      <c r="E48" s="304"/>
      <c r="F48" s="285" t="s">
        <v>21</v>
      </c>
      <c r="G48" s="305"/>
      <c r="H48" s="58"/>
      <c r="I48" s="58"/>
      <c r="J48" s="58"/>
      <c r="K48" s="58"/>
      <c r="L48" s="58"/>
      <c r="M48" s="58"/>
      <c r="N48" s="58"/>
    </row>
    <row r="49" spans="1:14" s="57" customFormat="1" ht="33.85">
      <c r="A49" s="343"/>
      <c r="B49" s="343"/>
      <c r="C49" s="317"/>
      <c r="D49" s="339"/>
      <c r="E49" s="282">
        <v>12010</v>
      </c>
      <c r="F49" s="248" t="s">
        <v>231</v>
      </c>
      <c r="G49" s="306">
        <f>+G51</f>
        <v>-1009742.7</v>
      </c>
      <c r="H49" s="58"/>
      <c r="I49" s="58"/>
      <c r="J49" s="58"/>
      <c r="K49" s="58"/>
      <c r="L49" s="58"/>
      <c r="M49" s="58"/>
      <c r="N49" s="58"/>
    </row>
    <row r="50" spans="1:14" s="57" customFormat="1" ht="17.45" customHeight="1">
      <c r="A50" s="343"/>
      <c r="B50" s="343"/>
      <c r="C50" s="317"/>
      <c r="D50" s="340"/>
      <c r="E50" s="428"/>
      <c r="F50" s="285" t="s">
        <v>67</v>
      </c>
      <c r="G50" s="307"/>
    </row>
    <row r="51" spans="1:14" s="60" customFormat="1">
      <c r="A51" s="343"/>
      <c r="B51" s="343"/>
      <c r="C51" s="317"/>
      <c r="D51" s="340"/>
      <c r="E51" s="426"/>
      <c r="F51" s="308" t="s">
        <v>80</v>
      </c>
      <c r="G51" s="309">
        <f t="shared" ref="G51" si="9">G53</f>
        <v>-1009742.7</v>
      </c>
    </row>
    <row r="52" spans="1:14" s="57" customFormat="1" ht="54">
      <c r="A52" s="343"/>
      <c r="B52" s="343"/>
      <c r="C52" s="317"/>
      <c r="D52" s="340"/>
      <c r="E52" s="426"/>
      <c r="F52" s="285" t="s">
        <v>56</v>
      </c>
      <c r="G52" s="307"/>
    </row>
    <row r="53" spans="1:14" s="57" customFormat="1" ht="17.45" customHeight="1">
      <c r="A53" s="343"/>
      <c r="B53" s="343"/>
      <c r="C53" s="317"/>
      <c r="D53" s="340"/>
      <c r="E53" s="426"/>
      <c r="F53" s="295" t="s">
        <v>57</v>
      </c>
      <c r="G53" s="307">
        <f t="shared" ref="G53:G54" si="10">G54</f>
        <v>-1009742.7</v>
      </c>
    </row>
    <row r="54" spans="1:14" s="57" customFormat="1" ht="17.45" customHeight="1">
      <c r="A54" s="343"/>
      <c r="B54" s="343"/>
      <c r="C54" s="317"/>
      <c r="D54" s="340"/>
      <c r="E54" s="426"/>
      <c r="F54" s="285" t="s">
        <v>126</v>
      </c>
      <c r="G54" s="299">
        <f t="shared" si="10"/>
        <v>-1009742.7</v>
      </c>
    </row>
    <row r="55" spans="1:14" s="57" customFormat="1" ht="17.45" customHeight="1">
      <c r="A55" s="343"/>
      <c r="B55" s="343"/>
      <c r="C55" s="317"/>
      <c r="D55" s="340"/>
      <c r="E55" s="426"/>
      <c r="F55" s="285" t="s">
        <v>127</v>
      </c>
      <c r="G55" s="299">
        <f>+G56+G58</f>
        <v>-1009742.7</v>
      </c>
    </row>
    <row r="56" spans="1:14" s="57" customFormat="1" ht="17.45" customHeight="1">
      <c r="A56" s="343"/>
      <c r="B56" s="343"/>
      <c r="C56" s="317"/>
      <c r="D56" s="340"/>
      <c r="E56" s="426"/>
      <c r="F56" s="285" t="s">
        <v>128</v>
      </c>
      <c r="G56" s="299">
        <f t="shared" ref="G56:G58" si="11">+G57</f>
        <v>-999862.7</v>
      </c>
    </row>
    <row r="57" spans="1:14" s="57" customFormat="1" ht="17.45" customHeight="1">
      <c r="A57" s="343"/>
      <c r="B57" s="343"/>
      <c r="C57" s="317"/>
      <c r="D57" s="340"/>
      <c r="E57" s="426"/>
      <c r="F57" s="298" t="s">
        <v>167</v>
      </c>
      <c r="G57" s="299">
        <f>+'Հավելված N 4'!E18+'Հավելված N 4'!E20+'Հավելված N 4'!E22+'Հավելված N 4'!E26+'Հավելված N 4'!E28+'Հավելված N 4'!E32+'Հավելված N 4'!E36</f>
        <v>-999862.7</v>
      </c>
    </row>
    <row r="58" spans="1:14" s="57" customFormat="1" ht="17.45" customHeight="1">
      <c r="A58" s="343"/>
      <c r="B58" s="343"/>
      <c r="C58" s="317"/>
      <c r="D58" s="340"/>
      <c r="E58" s="426"/>
      <c r="F58" s="285" t="s">
        <v>168</v>
      </c>
      <c r="G58" s="299">
        <f t="shared" si="11"/>
        <v>-9880</v>
      </c>
    </row>
    <row r="59" spans="1:14" s="57" customFormat="1" ht="17.45" customHeight="1">
      <c r="A59" s="343"/>
      <c r="B59" s="343"/>
      <c r="C59" s="317"/>
      <c r="D59" s="341"/>
      <c r="E59" s="427"/>
      <c r="F59" s="298" t="s">
        <v>169</v>
      </c>
      <c r="G59" s="299">
        <f>+'Հավելված N 4'!E33+'Հավելված N 4'!E35</f>
        <v>-9880</v>
      </c>
    </row>
    <row r="60" spans="1:14" s="57" customFormat="1" ht="18" customHeight="1">
      <c r="A60" s="343"/>
      <c r="B60" s="343"/>
      <c r="C60" s="317"/>
      <c r="D60" s="316">
        <v>1183</v>
      </c>
      <c r="E60" s="429" t="s">
        <v>129</v>
      </c>
      <c r="F60" s="430"/>
      <c r="G60" s="302">
        <f>+G62</f>
        <v>-4636411.8</v>
      </c>
      <c r="H60" s="58"/>
      <c r="I60" s="58"/>
      <c r="J60" s="58"/>
      <c r="K60" s="58"/>
      <c r="L60" s="58"/>
      <c r="M60" s="58"/>
      <c r="N60" s="58"/>
    </row>
    <row r="61" spans="1:14" s="57" customFormat="1" ht="16.95" customHeight="1">
      <c r="A61" s="343"/>
      <c r="B61" s="343"/>
      <c r="C61" s="317"/>
      <c r="D61" s="317"/>
      <c r="E61" s="304"/>
      <c r="F61" s="285" t="s">
        <v>21</v>
      </c>
      <c r="G61" s="305"/>
      <c r="H61" s="58"/>
      <c r="I61" s="58"/>
      <c r="J61" s="58"/>
      <c r="K61" s="58"/>
      <c r="L61" s="58"/>
      <c r="M61" s="58"/>
      <c r="N61" s="58"/>
    </row>
    <row r="62" spans="1:14" s="57" customFormat="1" ht="35.450000000000003" customHeight="1">
      <c r="A62" s="343"/>
      <c r="B62" s="343"/>
      <c r="C62" s="317"/>
      <c r="D62" s="317"/>
      <c r="E62" s="282">
        <v>32003</v>
      </c>
      <c r="F62" s="301" t="s">
        <v>166</v>
      </c>
      <c r="G62" s="306">
        <f>+G64</f>
        <v>-4636411.8</v>
      </c>
      <c r="H62" s="58"/>
      <c r="I62" s="58"/>
      <c r="J62" s="58"/>
      <c r="K62" s="58"/>
      <c r="L62" s="58"/>
      <c r="M62" s="58"/>
      <c r="N62" s="58"/>
    </row>
    <row r="63" spans="1:14" s="57" customFormat="1" ht="17.45" customHeight="1">
      <c r="A63" s="343"/>
      <c r="B63" s="343"/>
      <c r="C63" s="317"/>
      <c r="D63" s="317"/>
      <c r="E63" s="428"/>
      <c r="F63" s="285" t="s">
        <v>67</v>
      </c>
      <c r="G63" s="307"/>
    </row>
    <row r="64" spans="1:14" s="60" customFormat="1">
      <c r="A64" s="343"/>
      <c r="B64" s="343"/>
      <c r="C64" s="317"/>
      <c r="D64" s="317"/>
      <c r="E64" s="426"/>
      <c r="F64" s="308" t="s">
        <v>80</v>
      </c>
      <c r="G64" s="309">
        <f t="shared" ref="G64" si="12">G66</f>
        <v>-4636411.8</v>
      </c>
    </row>
    <row r="65" spans="1:7" s="57" customFormat="1" ht="54">
      <c r="A65" s="343"/>
      <c r="B65" s="343"/>
      <c r="C65" s="317"/>
      <c r="D65" s="317"/>
      <c r="E65" s="426"/>
      <c r="F65" s="285" t="s">
        <v>56</v>
      </c>
      <c r="G65" s="307"/>
    </row>
    <row r="66" spans="1:7" s="57" customFormat="1" ht="17.45" customHeight="1">
      <c r="A66" s="343"/>
      <c r="B66" s="343"/>
      <c r="C66" s="317"/>
      <c r="D66" s="317"/>
      <c r="E66" s="426"/>
      <c r="F66" s="295" t="s">
        <v>57</v>
      </c>
      <c r="G66" s="307">
        <f t="shared" ref="G66:G67" si="13">G67</f>
        <v>-4636411.8</v>
      </c>
    </row>
    <row r="67" spans="1:7" s="57" customFormat="1" ht="17.45" customHeight="1">
      <c r="A67" s="343"/>
      <c r="B67" s="343"/>
      <c r="C67" s="317"/>
      <c r="D67" s="317"/>
      <c r="E67" s="426"/>
      <c r="F67" s="285" t="s">
        <v>126</v>
      </c>
      <c r="G67" s="299">
        <f t="shared" si="13"/>
        <v>-4636411.8</v>
      </c>
    </row>
    <row r="68" spans="1:7" s="57" customFormat="1" ht="17.45" customHeight="1">
      <c r="A68" s="343"/>
      <c r="B68" s="343"/>
      <c r="C68" s="317"/>
      <c r="D68" s="317"/>
      <c r="E68" s="426"/>
      <c r="F68" s="285" t="s">
        <v>127</v>
      </c>
      <c r="G68" s="299">
        <f>+G69+G71</f>
        <v>-4636411.8</v>
      </c>
    </row>
    <row r="69" spans="1:7" s="57" customFormat="1" ht="17.45" customHeight="1">
      <c r="A69" s="343"/>
      <c r="B69" s="343"/>
      <c r="C69" s="317"/>
      <c r="D69" s="317"/>
      <c r="E69" s="426"/>
      <c r="F69" s="285" t="s">
        <v>128</v>
      </c>
      <c r="G69" s="299">
        <f t="shared" ref="G69:G71" si="14">+G70</f>
        <v>-4581611.8</v>
      </c>
    </row>
    <row r="70" spans="1:7" s="57" customFormat="1" ht="17.45" customHeight="1">
      <c r="A70" s="343"/>
      <c r="B70" s="343"/>
      <c r="C70" s="317"/>
      <c r="D70" s="317"/>
      <c r="E70" s="426"/>
      <c r="F70" s="298" t="s">
        <v>167</v>
      </c>
      <c r="G70" s="299">
        <f>+'Հավելված N 4'!E43+'Հավելված N 4'!E44+'Հավելված N 4'!E51+'Հավելված N 4'!E52+'Հավելված N 4'!E53+'Հավելված N 4'!E56+'Հավելված N 4'!E57+'Հավելված N 4'!E60+'Հավելված N 4'!E61+'Հավելված N 4'!E64+'Հավելված N 4'!E65+'Հավելված N 4'!E66+'Հավելված N 4'!E69+'Հավելված N 4'!E70+'Հավելված N 4'!E71+'Հավելված N 4'!E74+'Հավելված N 4'!E75+'Հավելված N 4'!E76+'Հավելված N 4'!E79+'Հավելված N 4'!E80</f>
        <v>-4581611.8</v>
      </c>
    </row>
    <row r="71" spans="1:7" s="57" customFormat="1" ht="17.45" customHeight="1">
      <c r="A71" s="343"/>
      <c r="B71" s="343"/>
      <c r="C71" s="317"/>
      <c r="D71" s="317"/>
      <c r="E71" s="426"/>
      <c r="F71" s="285" t="s">
        <v>168</v>
      </c>
      <c r="G71" s="299">
        <f t="shared" si="14"/>
        <v>-54800</v>
      </c>
    </row>
    <row r="72" spans="1:7" s="57" customFormat="1" ht="17.45" customHeight="1">
      <c r="A72" s="343"/>
      <c r="B72" s="343"/>
      <c r="C72" s="317"/>
      <c r="D72" s="317"/>
      <c r="E72" s="427"/>
      <c r="F72" s="298" t="s">
        <v>169</v>
      </c>
      <c r="G72" s="299">
        <f>+'Հավելված N 4'!E45+'Հավելված N 4'!E47+'Հավելված N 4'!E49+'Հավելված N 4'!E54+'Հավելված N 4'!E58+'Հավելված N 4'!E62+'Հավելված N 4'!E67+'Հավելված N 4'!E72+'Հավելված N 4'!E77+'Հավելված N 4'!E81+'Հավելված N 4'!E82</f>
        <v>-54800</v>
      </c>
    </row>
    <row r="73" spans="1:7" s="57" customFormat="1">
      <c r="A73" s="19"/>
      <c r="B73" s="19"/>
      <c r="C73" s="20"/>
      <c r="D73" s="20"/>
      <c r="E73" s="63"/>
      <c r="F73" s="64"/>
      <c r="G73" s="21"/>
    </row>
    <row r="74" spans="1:7" s="57" customFormat="1" ht="34.950000000000003" customHeight="1">
      <c r="A74" s="53"/>
      <c r="B74" s="53"/>
      <c r="C74" s="53"/>
      <c r="D74" s="61"/>
      <c r="E74" s="61"/>
      <c r="F74" s="17" t="s">
        <v>121</v>
      </c>
      <c r="G74" s="47">
        <f t="shared" ref="G74" si="15">+G75</f>
        <v>5931686.2999999998</v>
      </c>
    </row>
    <row r="75" spans="1:7" ht="33.85">
      <c r="A75" s="335" t="s">
        <v>85</v>
      </c>
      <c r="B75" s="330"/>
      <c r="C75" s="332"/>
      <c r="D75" s="332"/>
      <c r="E75" s="332"/>
      <c r="F75" s="62" t="s">
        <v>31</v>
      </c>
      <c r="G75" s="7">
        <f t="shared" ref="G75" si="16">+G77</f>
        <v>5931686.2999999998</v>
      </c>
    </row>
    <row r="76" spans="1:7">
      <c r="A76" s="335"/>
      <c r="B76" s="330"/>
      <c r="C76" s="332"/>
      <c r="D76" s="332"/>
      <c r="E76" s="332"/>
      <c r="F76" s="53" t="s">
        <v>21</v>
      </c>
      <c r="G76" s="7"/>
    </row>
    <row r="77" spans="1:7" ht="33.85">
      <c r="A77" s="335"/>
      <c r="B77" s="335" t="s">
        <v>32</v>
      </c>
      <c r="C77" s="330"/>
      <c r="D77" s="332"/>
      <c r="E77" s="332"/>
      <c r="F77" s="62" t="s">
        <v>33</v>
      </c>
      <c r="G77" s="18">
        <f t="shared" ref="G77" si="17">+G79</f>
        <v>5931686.2999999998</v>
      </c>
    </row>
    <row r="78" spans="1:7">
      <c r="A78" s="335"/>
      <c r="B78" s="335"/>
      <c r="C78" s="330"/>
      <c r="D78" s="332"/>
      <c r="E78" s="332"/>
      <c r="F78" s="53" t="s">
        <v>21</v>
      </c>
      <c r="G78" s="66"/>
    </row>
    <row r="79" spans="1:7">
      <c r="A79" s="335"/>
      <c r="B79" s="335"/>
      <c r="C79" s="335" t="s">
        <v>32</v>
      </c>
      <c r="D79" s="330"/>
      <c r="E79" s="332"/>
      <c r="F79" s="17" t="s">
        <v>20</v>
      </c>
      <c r="G79" s="18">
        <f>+G81</f>
        <v>5931686.2999999998</v>
      </c>
    </row>
    <row r="80" spans="1:7">
      <c r="A80" s="335"/>
      <c r="B80" s="335"/>
      <c r="C80" s="335"/>
      <c r="D80" s="330"/>
      <c r="E80" s="332"/>
      <c r="F80" s="53" t="s">
        <v>21</v>
      </c>
      <c r="G80" s="66"/>
    </row>
    <row r="81" spans="1:8">
      <c r="A81" s="335"/>
      <c r="B81" s="335"/>
      <c r="C81" s="335"/>
      <c r="D81" s="330"/>
      <c r="E81" s="332"/>
      <c r="F81" s="53" t="s">
        <v>22</v>
      </c>
      <c r="G81" s="71">
        <f t="shared" ref="G81" si="18">+G83</f>
        <v>5931686.2999999998</v>
      </c>
    </row>
    <row r="82" spans="1:8">
      <c r="A82" s="335"/>
      <c r="B82" s="335"/>
      <c r="C82" s="335"/>
      <c r="D82" s="330"/>
      <c r="E82" s="332"/>
      <c r="F82" s="53" t="s">
        <v>21</v>
      </c>
      <c r="G82" s="65"/>
    </row>
    <row r="83" spans="1:8">
      <c r="A83" s="335"/>
      <c r="B83" s="335"/>
      <c r="C83" s="335"/>
      <c r="D83" s="335" t="s">
        <v>81</v>
      </c>
      <c r="E83" s="333" t="s">
        <v>87</v>
      </c>
      <c r="F83" s="334" t="s">
        <v>20</v>
      </c>
      <c r="G83" s="7">
        <f>+G85</f>
        <v>5931686.2999999998</v>
      </c>
    </row>
    <row r="84" spans="1:8">
      <c r="A84" s="335"/>
      <c r="B84" s="335"/>
      <c r="C84" s="335"/>
      <c r="D84" s="335"/>
      <c r="E84" s="169"/>
      <c r="F84" s="53" t="s">
        <v>21</v>
      </c>
      <c r="G84" s="68"/>
    </row>
    <row r="85" spans="1:8">
      <c r="A85" s="335"/>
      <c r="B85" s="335"/>
      <c r="C85" s="335"/>
      <c r="D85" s="335"/>
      <c r="E85" s="162">
        <v>11001</v>
      </c>
      <c r="F85" s="17" t="s">
        <v>20</v>
      </c>
      <c r="G85" s="72">
        <f t="shared" ref="G85" si="19">+G87</f>
        <v>5931686.2999999998</v>
      </c>
    </row>
    <row r="86" spans="1:8">
      <c r="A86" s="335"/>
      <c r="B86" s="335"/>
      <c r="C86" s="335"/>
      <c r="D86" s="335"/>
      <c r="E86" s="331"/>
      <c r="F86" s="53" t="s">
        <v>67</v>
      </c>
      <c r="G86" s="67"/>
    </row>
    <row r="87" spans="1:8">
      <c r="A87" s="335"/>
      <c r="B87" s="335"/>
      <c r="C87" s="335"/>
      <c r="D87" s="335"/>
      <c r="E87" s="331"/>
      <c r="F87" s="69" t="s">
        <v>22</v>
      </c>
      <c r="G87" s="70">
        <f t="shared" ref="G87" si="20">+G89</f>
        <v>5931686.2999999998</v>
      </c>
    </row>
    <row r="88" spans="1:8" ht="50.9" customHeight="1">
      <c r="A88" s="335"/>
      <c r="B88" s="335"/>
      <c r="C88" s="335"/>
      <c r="D88" s="335"/>
      <c r="E88" s="331"/>
      <c r="F88" s="53" t="s">
        <v>23</v>
      </c>
      <c r="G88" s="67"/>
    </row>
    <row r="89" spans="1:8">
      <c r="A89" s="335"/>
      <c r="B89" s="335"/>
      <c r="C89" s="335"/>
      <c r="D89" s="335"/>
      <c r="E89" s="331"/>
      <c r="F89" s="61" t="s">
        <v>24</v>
      </c>
      <c r="G89" s="68">
        <f t="shared" ref="G89:G90" si="21">+G90</f>
        <v>5931686.2999999998</v>
      </c>
    </row>
    <row r="90" spans="1:8">
      <c r="A90" s="335"/>
      <c r="B90" s="335"/>
      <c r="C90" s="335"/>
      <c r="D90" s="335"/>
      <c r="E90" s="331"/>
      <c r="F90" s="53" t="s">
        <v>25</v>
      </c>
      <c r="G90" s="71">
        <f t="shared" si="21"/>
        <v>5931686.2999999998</v>
      </c>
    </row>
    <row r="91" spans="1:8">
      <c r="A91" s="335"/>
      <c r="B91" s="335"/>
      <c r="C91" s="335"/>
      <c r="D91" s="335"/>
      <c r="E91" s="331"/>
      <c r="F91" s="53" t="s">
        <v>86</v>
      </c>
      <c r="G91" s="71">
        <f t="shared" ref="G91" si="22">+G92</f>
        <v>5931686.2999999998</v>
      </c>
    </row>
    <row r="92" spans="1:8">
      <c r="A92" s="335"/>
      <c r="B92" s="335"/>
      <c r="C92" s="335"/>
      <c r="D92" s="335"/>
      <c r="E92" s="331"/>
      <c r="F92" s="53" t="s">
        <v>26</v>
      </c>
      <c r="G92" s="71">
        <f>-G12</f>
        <v>5931686.2999999998</v>
      </c>
      <c r="H92" s="88"/>
    </row>
    <row r="94" spans="1:8">
      <c r="G94" s="88"/>
    </row>
  </sheetData>
  <mergeCells count="44">
    <mergeCell ref="E41:E46"/>
    <mergeCell ref="D41:D46"/>
    <mergeCell ref="C41:C42"/>
    <mergeCell ref="E15:E16"/>
    <mergeCell ref="D15:D16"/>
    <mergeCell ref="C15:C16"/>
    <mergeCell ref="B15:B40"/>
    <mergeCell ref="C17:C40"/>
    <mergeCell ref="E17:E20"/>
    <mergeCell ref="D17:D20"/>
    <mergeCell ref="E24:E31"/>
    <mergeCell ref="D23:D40"/>
    <mergeCell ref="E21:F21"/>
    <mergeCell ref="E33:E40"/>
    <mergeCell ref="E13:E14"/>
    <mergeCell ref="D13:D14"/>
    <mergeCell ref="C13:C14"/>
    <mergeCell ref="A75:A92"/>
    <mergeCell ref="B13:B14"/>
    <mergeCell ref="E50:E59"/>
    <mergeCell ref="D49:D59"/>
    <mergeCell ref="E47:F47"/>
    <mergeCell ref="E63:E72"/>
    <mergeCell ref="C75:C78"/>
    <mergeCell ref="F2:G2"/>
    <mergeCell ref="F1:G1"/>
    <mergeCell ref="D8:E8"/>
    <mergeCell ref="F8:F9"/>
    <mergeCell ref="A5:G5"/>
    <mergeCell ref="A8:C8"/>
    <mergeCell ref="F3:G3"/>
    <mergeCell ref="B75:B76"/>
    <mergeCell ref="E86:E92"/>
    <mergeCell ref="E75:E82"/>
    <mergeCell ref="D75:D82"/>
    <mergeCell ref="E83:F83"/>
    <mergeCell ref="B77:B92"/>
    <mergeCell ref="D83:D92"/>
    <mergeCell ref="C79:C92"/>
    <mergeCell ref="A13:A72"/>
    <mergeCell ref="B41:B72"/>
    <mergeCell ref="C43:C72"/>
    <mergeCell ref="D60:D72"/>
    <mergeCell ref="E60:F60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9"/>
  <sheetViews>
    <sheetView topLeftCell="A8" zoomScale="85" zoomScaleNormal="85" workbookViewId="0">
      <selection activeCell="E13" sqref="E13:H13"/>
    </sheetView>
  </sheetViews>
  <sheetFormatPr defaultColWidth="9.296875" defaultRowHeight="18"/>
  <cols>
    <col min="1" max="1" width="12.8984375" style="8" bestFit="1" customWidth="1"/>
    <col min="2" max="2" width="9.296875" style="8"/>
    <col min="3" max="3" width="54.296875" style="8" customWidth="1"/>
    <col min="4" max="4" width="16.59765625" style="8" customWidth="1"/>
    <col min="5" max="8" width="18.8984375" style="8" customWidth="1"/>
    <col min="9" max="9" width="29.3984375" style="8" customWidth="1"/>
    <col min="10" max="10" width="17.296875" style="8" customWidth="1"/>
    <col min="11" max="16384" width="9.296875" style="8"/>
  </cols>
  <sheetData>
    <row r="1" spans="1:10" ht="37.5" customHeight="1">
      <c r="B1" s="122"/>
      <c r="C1" s="122"/>
      <c r="D1" s="122"/>
      <c r="E1" s="122"/>
      <c r="F1" s="345" t="s">
        <v>111</v>
      </c>
      <c r="G1" s="345"/>
      <c r="H1" s="345"/>
    </row>
    <row r="2" spans="1:10" ht="17.45" customHeight="1">
      <c r="A2" s="122"/>
      <c r="B2" s="122"/>
      <c r="C2" s="122"/>
      <c r="D2" s="122"/>
      <c r="E2" s="122"/>
      <c r="F2" s="346" t="s">
        <v>149</v>
      </c>
      <c r="G2" s="346"/>
      <c r="H2" s="346"/>
    </row>
    <row r="3" spans="1:10" ht="17.45" customHeight="1">
      <c r="A3" s="122"/>
      <c r="B3" s="122"/>
      <c r="C3" s="122"/>
      <c r="D3" s="122"/>
      <c r="E3" s="122"/>
      <c r="F3" s="346" t="s">
        <v>110</v>
      </c>
      <c r="G3" s="346"/>
      <c r="H3" s="346"/>
    </row>
    <row r="4" spans="1:10" ht="14.45" customHeight="1">
      <c r="A4" s="123"/>
      <c r="B4" s="123"/>
      <c r="C4" s="180"/>
      <c r="E4" s="124"/>
      <c r="F4" s="124"/>
      <c r="G4" s="124"/>
      <c r="H4" s="124"/>
    </row>
    <row r="5" spans="1:10">
      <c r="A5" s="347" t="s">
        <v>176</v>
      </c>
      <c r="B5" s="348"/>
      <c r="C5" s="348"/>
      <c r="D5" s="348"/>
      <c r="E5" s="348"/>
      <c r="F5" s="348"/>
      <c r="G5" s="348"/>
      <c r="H5" s="348"/>
    </row>
    <row r="6" spans="1:10" ht="33.950000000000003" customHeight="1">
      <c r="A6" s="348"/>
      <c r="B6" s="348"/>
      <c r="C6" s="348"/>
      <c r="D6" s="348"/>
      <c r="E6" s="348"/>
      <c r="F6" s="348"/>
      <c r="G6" s="348"/>
      <c r="H6" s="348"/>
    </row>
    <row r="7" spans="1:10">
      <c r="D7" s="125"/>
      <c r="E7" s="52"/>
    </row>
    <row r="8" spans="1:10">
      <c r="D8" s="52"/>
      <c r="E8" s="52"/>
      <c r="G8" s="126"/>
      <c r="H8" s="126" t="s">
        <v>28</v>
      </c>
    </row>
    <row r="9" spans="1:10" ht="40.4" customHeight="1">
      <c r="A9" s="349" t="s">
        <v>61</v>
      </c>
      <c r="B9" s="350"/>
      <c r="C9" s="351" t="s">
        <v>70</v>
      </c>
      <c r="D9" s="353" t="s">
        <v>120</v>
      </c>
      <c r="E9" s="355" t="s">
        <v>174</v>
      </c>
      <c r="F9" s="356"/>
      <c r="G9" s="356"/>
      <c r="H9" s="357"/>
    </row>
    <row r="10" spans="1:10" ht="107.45" customHeight="1">
      <c r="A10" s="127" t="s">
        <v>64</v>
      </c>
      <c r="B10" s="127" t="s">
        <v>65</v>
      </c>
      <c r="C10" s="352"/>
      <c r="D10" s="354"/>
      <c r="E10" s="128" t="s">
        <v>72</v>
      </c>
      <c r="F10" s="128" t="s">
        <v>73</v>
      </c>
      <c r="G10" s="128" t="s">
        <v>74</v>
      </c>
      <c r="H10" s="128" t="s">
        <v>75</v>
      </c>
      <c r="I10" s="129"/>
    </row>
    <row r="11" spans="1:10">
      <c r="A11" s="127"/>
      <c r="B11" s="127"/>
      <c r="C11" s="130" t="s">
        <v>76</v>
      </c>
      <c r="D11" s="5">
        <f>SUM(E11:H11)</f>
        <v>-5646154.5</v>
      </c>
      <c r="E11" s="5">
        <f t="shared" ref="E11:H11" si="0">+E13</f>
        <v>-5581474.5</v>
      </c>
      <c r="F11" s="131">
        <f t="shared" si="0"/>
        <v>0</v>
      </c>
      <c r="G11" s="131">
        <f t="shared" si="0"/>
        <v>-64680</v>
      </c>
      <c r="H11" s="131">
        <f t="shared" si="0"/>
        <v>0</v>
      </c>
      <c r="I11" s="132"/>
      <c r="J11" s="88"/>
    </row>
    <row r="12" spans="1:10">
      <c r="A12" s="127"/>
      <c r="B12" s="127"/>
      <c r="C12" s="130" t="s">
        <v>77</v>
      </c>
      <c r="D12" s="174"/>
      <c r="E12" s="174"/>
      <c r="F12" s="131"/>
      <c r="G12" s="131"/>
      <c r="H12" s="131"/>
    </row>
    <row r="13" spans="1:10" ht="33.85">
      <c r="A13" s="2"/>
      <c r="B13" s="3"/>
      <c r="C13" s="3" t="s">
        <v>68</v>
      </c>
      <c r="D13" s="5">
        <f>SUM(E13:H13)</f>
        <v>-5646154.5</v>
      </c>
      <c r="E13" s="5">
        <f>+E15+E37</f>
        <v>-5581474.5</v>
      </c>
      <c r="F13" s="5">
        <f t="shared" ref="F13:H13" si="1">+F15+F37</f>
        <v>0</v>
      </c>
      <c r="G13" s="5">
        <f t="shared" si="1"/>
        <v>-64680</v>
      </c>
      <c r="H13" s="5">
        <f t="shared" si="1"/>
        <v>0</v>
      </c>
      <c r="I13" s="110"/>
    </row>
    <row r="14" spans="1:10">
      <c r="A14" s="2"/>
      <c r="B14" s="2"/>
      <c r="C14" s="2" t="s">
        <v>78</v>
      </c>
      <c r="D14" s="4"/>
      <c r="E14" s="4"/>
      <c r="F14" s="4"/>
      <c r="G14" s="4"/>
      <c r="H14" s="4"/>
    </row>
    <row r="15" spans="1:10" s="153" customFormat="1" ht="33.85">
      <c r="A15" s="247">
        <v>1146</v>
      </c>
      <c r="B15" s="247">
        <v>12010</v>
      </c>
      <c r="C15" s="248" t="s">
        <v>231</v>
      </c>
      <c r="D15" s="249">
        <f>+E15+F15+G15+H15</f>
        <v>-1009742.7</v>
      </c>
      <c r="E15" s="250">
        <f>+E17+E19+E21+E25+E27+E30+E33+E35</f>
        <v>-999862.7</v>
      </c>
      <c r="F15" s="250">
        <f t="shared" ref="F15:H15" si="2">+F21+F27+F30+F33+F35</f>
        <v>0</v>
      </c>
      <c r="G15" s="250">
        <f t="shared" si="2"/>
        <v>-9880</v>
      </c>
      <c r="H15" s="250">
        <f t="shared" si="2"/>
        <v>0</v>
      </c>
      <c r="I15" s="251"/>
    </row>
    <row r="16" spans="1:10" s="220" customFormat="1">
      <c r="A16" s="252"/>
      <c r="B16" s="252"/>
      <c r="C16" s="230" t="s">
        <v>21</v>
      </c>
      <c r="D16" s="253"/>
      <c r="E16" s="254"/>
      <c r="F16" s="254"/>
      <c r="G16" s="254"/>
      <c r="H16" s="253"/>
      <c r="I16" s="255"/>
    </row>
    <row r="17" spans="1:8">
      <c r="A17" s="358"/>
      <c r="B17" s="358"/>
      <c r="C17" s="256" t="s">
        <v>152</v>
      </c>
      <c r="D17" s="258">
        <f>SUM(E17:H17)</f>
        <v>-129094.5</v>
      </c>
      <c r="E17" s="258">
        <f>+E18</f>
        <v>-129094.5</v>
      </c>
      <c r="F17" s="258">
        <f t="shared" ref="F17:H17" si="3">+F18</f>
        <v>0</v>
      </c>
      <c r="G17" s="258">
        <f t="shared" si="3"/>
        <v>0</v>
      </c>
      <c r="H17" s="258">
        <f t="shared" si="3"/>
        <v>0</v>
      </c>
    </row>
    <row r="18" spans="1:8" ht="54">
      <c r="A18" s="359"/>
      <c r="B18" s="359"/>
      <c r="C18" s="236" t="s">
        <v>304</v>
      </c>
      <c r="D18" s="243">
        <f t="shared" ref="D18" si="4">+E18+F18+G18+H18</f>
        <v>-129094.5</v>
      </c>
      <c r="E18" s="243">
        <f>+'Հավելված N 7'!I15+'Հավելված N 7'!I23+'Հավելված N 7'!I33</f>
        <v>-129094.5</v>
      </c>
      <c r="F18" s="243"/>
      <c r="G18" s="243"/>
      <c r="H18" s="244"/>
    </row>
    <row r="19" spans="1:8">
      <c r="A19" s="359"/>
      <c r="B19" s="359"/>
      <c r="C19" s="256" t="s">
        <v>163</v>
      </c>
      <c r="D19" s="258">
        <f>SUM(E19:H19)</f>
        <v>-160046.09999999998</v>
      </c>
      <c r="E19" s="258">
        <f>+E20</f>
        <v>-160046.09999999998</v>
      </c>
      <c r="F19" s="258">
        <f t="shared" ref="F19:H19" si="5">+F20</f>
        <v>0</v>
      </c>
      <c r="G19" s="258">
        <f t="shared" si="5"/>
        <v>0</v>
      </c>
      <c r="H19" s="258">
        <f t="shared" si="5"/>
        <v>0</v>
      </c>
    </row>
    <row r="20" spans="1:8" ht="54">
      <c r="A20" s="359"/>
      <c r="B20" s="359"/>
      <c r="C20" s="236" t="s">
        <v>305</v>
      </c>
      <c r="D20" s="243">
        <f t="shared" ref="D20" si="6">+E20+F20+G20+H20</f>
        <v>-160046.09999999998</v>
      </c>
      <c r="E20" s="243">
        <f>+'Հավելված N 7'!I16+'Հավելված N 7'!I24+'Հավելված N 7'!I34</f>
        <v>-160046.09999999998</v>
      </c>
      <c r="F20" s="243"/>
      <c r="G20" s="243"/>
      <c r="H20" s="244"/>
    </row>
    <row r="21" spans="1:8">
      <c r="A21" s="359"/>
      <c r="B21" s="359"/>
      <c r="C21" s="256" t="s">
        <v>124</v>
      </c>
      <c r="D21" s="258">
        <f>SUM(E21:H21)</f>
        <v>-289049.59999999998</v>
      </c>
      <c r="E21" s="258">
        <f>+E22+E23+E24</f>
        <v>-289049.59999999998</v>
      </c>
      <c r="F21" s="258">
        <f t="shared" ref="F21:H21" si="7">+F23+F24</f>
        <v>0</v>
      </c>
      <c r="G21" s="258">
        <f t="shared" si="7"/>
        <v>0</v>
      </c>
      <c r="H21" s="258">
        <f t="shared" si="7"/>
        <v>0</v>
      </c>
    </row>
    <row r="22" spans="1:8" ht="54">
      <c r="A22" s="359"/>
      <c r="B22" s="359"/>
      <c r="C22" s="236" t="s">
        <v>319</v>
      </c>
      <c r="D22" s="243">
        <f t="shared" ref="D22" si="8">+E22+F22+G22+H22</f>
        <v>-129003.2</v>
      </c>
      <c r="E22" s="243">
        <f>+'Հավելված N 7'!I17+'Հավելված N 7'!I25+'Հավելված N 7'!I35</f>
        <v>-129003.2</v>
      </c>
      <c r="F22" s="243"/>
      <c r="G22" s="243"/>
      <c r="H22" s="244"/>
    </row>
    <row r="23" spans="1:8" ht="54">
      <c r="A23" s="359"/>
      <c r="B23" s="359"/>
      <c r="C23" s="236" t="s">
        <v>253</v>
      </c>
      <c r="D23" s="243">
        <f t="shared" ref="D23:D24" si="9">+E23+F23+G23+H23</f>
        <v>-80023.199999999997</v>
      </c>
      <c r="E23" s="243">
        <f>+'Հավելված N 7'!I20+'Հավելված N 7'!I31+'Հավելված N 7'!I41</f>
        <v>-80023.199999999997</v>
      </c>
      <c r="F23" s="243"/>
      <c r="G23" s="243"/>
      <c r="H23" s="244"/>
    </row>
    <row r="24" spans="1:8" ht="54">
      <c r="A24" s="359"/>
      <c r="B24" s="359"/>
      <c r="C24" s="236" t="s">
        <v>254</v>
      </c>
      <c r="D24" s="243">
        <f t="shared" si="9"/>
        <v>-80023.199999999997</v>
      </c>
      <c r="E24" s="243">
        <f>+'Հավելված N 7'!I21+'Հավելված N 7'!I32+'Հավելված N 7'!I42</f>
        <v>-80023.199999999997</v>
      </c>
      <c r="F24" s="243"/>
      <c r="G24" s="243"/>
      <c r="H24" s="244"/>
    </row>
    <row r="25" spans="1:8">
      <c r="A25" s="359"/>
      <c r="B25" s="359"/>
      <c r="C25" s="256" t="s">
        <v>125</v>
      </c>
      <c r="D25" s="258">
        <f>SUM(E25:H25)</f>
        <v>-3639</v>
      </c>
      <c r="E25" s="258">
        <f>+E26</f>
        <v>-3639</v>
      </c>
      <c r="F25" s="258">
        <f t="shared" ref="F25:H25" si="10">+F26</f>
        <v>0</v>
      </c>
      <c r="G25" s="258">
        <f t="shared" si="10"/>
        <v>0</v>
      </c>
      <c r="H25" s="258">
        <f t="shared" si="10"/>
        <v>0</v>
      </c>
    </row>
    <row r="26" spans="1:8" ht="54">
      <c r="A26" s="359"/>
      <c r="B26" s="359"/>
      <c r="C26" s="236" t="s">
        <v>313</v>
      </c>
      <c r="D26" s="243">
        <f t="shared" ref="D26" si="11">+E26+F26+G26+H26</f>
        <v>-3639</v>
      </c>
      <c r="E26" s="243">
        <f>+'Հավելված N 7'!I26+'Հավելված N 7'!I36</f>
        <v>-3639</v>
      </c>
      <c r="F26" s="243"/>
      <c r="G26" s="243"/>
      <c r="H26" s="244"/>
    </row>
    <row r="27" spans="1:8" s="153" customFormat="1">
      <c r="A27" s="359"/>
      <c r="B27" s="359"/>
      <c r="C27" s="256" t="s">
        <v>122</v>
      </c>
      <c r="D27" s="257">
        <f>SUM(E27:H27)</f>
        <v>-107453.5</v>
      </c>
      <c r="E27" s="257">
        <f>+E28+E29</f>
        <v>-107453.5</v>
      </c>
      <c r="F27" s="257">
        <f t="shared" ref="F27:H27" si="12">+F29</f>
        <v>0</v>
      </c>
      <c r="G27" s="257">
        <f t="shared" si="12"/>
        <v>0</v>
      </c>
      <c r="H27" s="257">
        <f t="shared" si="12"/>
        <v>0</v>
      </c>
    </row>
    <row r="28" spans="1:8" ht="54">
      <c r="A28" s="359"/>
      <c r="B28" s="359"/>
      <c r="C28" s="236" t="s">
        <v>316</v>
      </c>
      <c r="D28" s="243">
        <f t="shared" ref="D28" si="13">+E28+F28+G28+H28</f>
        <v>-2853.5</v>
      </c>
      <c r="E28" s="243">
        <f>+'Հավելված N 7'!I27+'Հավելված N 7'!I37</f>
        <v>-2853.5</v>
      </c>
      <c r="F28" s="243"/>
      <c r="G28" s="243"/>
      <c r="H28" s="244"/>
    </row>
    <row r="29" spans="1:8" s="153" customFormat="1" ht="54">
      <c r="A29" s="359"/>
      <c r="B29" s="359"/>
      <c r="C29" s="236" t="s">
        <v>252</v>
      </c>
      <c r="D29" s="232">
        <f t="shared" ref="D29" si="14">+E29+F29+G29+H29</f>
        <v>-104600</v>
      </c>
      <c r="E29" s="232">
        <f>+'Հավելված N 7'!I14+'Հավելված N 7'!I29+'Հավելված N 7'!I39</f>
        <v>-104600</v>
      </c>
      <c r="F29" s="232"/>
      <c r="G29" s="232"/>
      <c r="H29" s="229"/>
    </row>
    <row r="30" spans="1:8" s="153" customFormat="1">
      <c r="A30" s="359"/>
      <c r="B30" s="359"/>
      <c r="C30" s="256" t="s">
        <v>153</v>
      </c>
      <c r="D30" s="257">
        <f>SUM(E30:H30)</f>
        <v>-164986.09999999998</v>
      </c>
      <c r="E30" s="257">
        <f>+E31+E32</f>
        <v>-160046.09999999998</v>
      </c>
      <c r="F30" s="257">
        <f t="shared" ref="F30:H30" si="15">+F31+F32</f>
        <v>0</v>
      </c>
      <c r="G30" s="257">
        <f t="shared" si="15"/>
        <v>-4940</v>
      </c>
      <c r="H30" s="257">
        <f t="shared" si="15"/>
        <v>0</v>
      </c>
    </row>
    <row r="31" spans="1:8" s="153" customFormat="1" ht="54">
      <c r="A31" s="359"/>
      <c r="B31" s="359"/>
      <c r="C31" s="236" t="s">
        <v>255</v>
      </c>
      <c r="D31" s="232">
        <f t="shared" ref="D31:D32" si="16">+E31+F31+G31+H31</f>
        <v>-160046.09999999998</v>
      </c>
      <c r="E31" s="232">
        <f>+'Հավելված N 7'!I18+'Հավելված N 7'!I28+'Հավելված N 7'!I38</f>
        <v>-160046.09999999998</v>
      </c>
      <c r="F31" s="232"/>
      <c r="G31" s="232"/>
      <c r="H31" s="229"/>
    </row>
    <row r="32" spans="1:8" s="153" customFormat="1" ht="54">
      <c r="A32" s="359"/>
      <c r="B32" s="359"/>
      <c r="C32" s="236" t="s">
        <v>256</v>
      </c>
      <c r="D32" s="232">
        <f t="shared" si="16"/>
        <v>-4940</v>
      </c>
      <c r="E32" s="232"/>
      <c r="F32" s="232"/>
      <c r="G32" s="232">
        <f>+'Հավելված N 7'!I44+'Հավելված N 7'!I46</f>
        <v>-4940</v>
      </c>
      <c r="H32" s="229"/>
    </row>
    <row r="33" spans="1:8" s="153" customFormat="1">
      <c r="A33" s="359"/>
      <c r="B33" s="359"/>
      <c r="C33" s="256" t="s">
        <v>164</v>
      </c>
      <c r="D33" s="257">
        <f>SUM(E33:H33)</f>
        <v>-4940</v>
      </c>
      <c r="E33" s="257">
        <f>+E34</f>
        <v>0</v>
      </c>
      <c r="F33" s="257">
        <f t="shared" ref="F33:H33" si="17">+F34</f>
        <v>0</v>
      </c>
      <c r="G33" s="257">
        <f t="shared" si="17"/>
        <v>-4940</v>
      </c>
      <c r="H33" s="257">
        <f t="shared" si="17"/>
        <v>0</v>
      </c>
    </row>
    <row r="34" spans="1:8" s="153" customFormat="1" ht="54">
      <c r="A34" s="359"/>
      <c r="B34" s="359"/>
      <c r="C34" s="236" t="s">
        <v>258</v>
      </c>
      <c r="D34" s="232">
        <f>+E34+F34+G34+H34</f>
        <v>-4940</v>
      </c>
      <c r="E34" s="232"/>
      <c r="F34" s="232"/>
      <c r="G34" s="232">
        <f>+'Հավելված N 7'!I43+'Հավելված N 7'!I45</f>
        <v>-4940</v>
      </c>
      <c r="H34" s="229"/>
    </row>
    <row r="35" spans="1:8" s="153" customFormat="1">
      <c r="A35" s="359"/>
      <c r="B35" s="359"/>
      <c r="C35" s="256" t="s">
        <v>123</v>
      </c>
      <c r="D35" s="257">
        <f>SUM(E35:H35)</f>
        <v>-150533.9</v>
      </c>
      <c r="E35" s="257">
        <f>+E36</f>
        <v>-150533.9</v>
      </c>
      <c r="F35" s="257">
        <f t="shared" ref="F35:H35" si="18">+F36</f>
        <v>0</v>
      </c>
      <c r="G35" s="257">
        <f t="shared" si="18"/>
        <v>0</v>
      </c>
      <c r="H35" s="257">
        <f t="shared" si="18"/>
        <v>0</v>
      </c>
    </row>
    <row r="36" spans="1:8" s="153" customFormat="1" ht="54">
      <c r="A36" s="360"/>
      <c r="B36" s="360"/>
      <c r="C36" s="236" t="s">
        <v>257</v>
      </c>
      <c r="D36" s="232">
        <f t="shared" ref="D36" si="19">+E36+F36+G36+H36</f>
        <v>-150533.9</v>
      </c>
      <c r="E36" s="232">
        <f>+'Հավելված N 7'!I19+'Հավելված N 7'!I30+'Հավելված N 7'!I40</f>
        <v>-150533.9</v>
      </c>
      <c r="F36" s="232"/>
      <c r="G36" s="232"/>
      <c r="H36" s="229"/>
    </row>
    <row r="37" spans="1:8" ht="50.75">
      <c r="A37" s="176">
        <v>1183</v>
      </c>
      <c r="B37" s="176">
        <v>32003</v>
      </c>
      <c r="C37" s="142" t="s">
        <v>154</v>
      </c>
      <c r="D37" s="138">
        <f>+E37+F37+G37+H37</f>
        <v>-4636411.8</v>
      </c>
      <c r="E37" s="145">
        <f>+E39+E43+E45+E47+E52+E56+E60+E65+E70+E75</f>
        <v>-4581611.8</v>
      </c>
      <c r="F37" s="145">
        <f t="shared" ref="F37:H37" si="20">+F39+F43+F45+F47+F52+F56+F60+F65+F70+F75</f>
        <v>0</v>
      </c>
      <c r="G37" s="145">
        <f t="shared" si="20"/>
        <v>-54800</v>
      </c>
      <c r="H37" s="145">
        <f t="shared" si="20"/>
        <v>0</v>
      </c>
    </row>
    <row r="38" spans="1:8">
      <c r="A38" s="175"/>
      <c r="B38" s="175"/>
      <c r="C38" s="146" t="s">
        <v>21</v>
      </c>
      <c r="D38" s="275"/>
      <c r="E38" s="274"/>
      <c r="F38" s="143"/>
      <c r="G38" s="143"/>
      <c r="H38" s="143"/>
    </row>
    <row r="39" spans="1:8" s="189" customFormat="1">
      <c r="A39" s="361"/>
      <c r="B39" s="361"/>
      <c r="C39" s="221" t="s">
        <v>152</v>
      </c>
      <c r="D39" s="187">
        <f t="shared" ref="D39" si="21">SUM(E39:H39)</f>
        <v>-372972.79999999999</v>
      </c>
      <c r="E39" s="188">
        <f>+E40+E41+E42</f>
        <v>-367972.8</v>
      </c>
      <c r="F39" s="188">
        <f t="shared" ref="F39:H39" si="22">+F40+F41+F42</f>
        <v>0</v>
      </c>
      <c r="G39" s="188">
        <f t="shared" si="22"/>
        <v>-5000</v>
      </c>
      <c r="H39" s="188">
        <f t="shared" si="22"/>
        <v>0</v>
      </c>
    </row>
    <row r="40" spans="1:8" s="153" customFormat="1">
      <c r="A40" s="362"/>
      <c r="B40" s="362"/>
      <c r="C40" s="152" t="s">
        <v>194</v>
      </c>
      <c r="D40" s="190">
        <f>SUM(E40:H40)</f>
        <v>-52206.2</v>
      </c>
      <c r="E40" s="191">
        <f>+'Հավելված N 7'!I49-1923.5-282.7</f>
        <v>-52206.2</v>
      </c>
      <c r="F40" s="192"/>
      <c r="G40" s="143"/>
      <c r="H40" s="154"/>
    </row>
    <row r="41" spans="1:8" s="189" customFormat="1">
      <c r="A41" s="362"/>
      <c r="B41" s="362"/>
      <c r="C41" s="152" t="s">
        <v>195</v>
      </c>
      <c r="D41" s="190">
        <f>SUM(E41:H41)</f>
        <v>-315766.59999999998</v>
      </c>
      <c r="E41" s="191">
        <f>+'Հավելված N 7'!I50-13833.3-1933.3</f>
        <v>-315766.59999999998</v>
      </c>
      <c r="F41" s="192"/>
      <c r="G41" s="188"/>
      <c r="H41" s="193"/>
    </row>
    <row r="42" spans="1:8" s="189" customFormat="1">
      <c r="A42" s="362"/>
      <c r="B42" s="362"/>
      <c r="C42" s="236" t="s">
        <v>220</v>
      </c>
      <c r="D42" s="190">
        <f>SUM(E42:H42)</f>
        <v>-5000</v>
      </c>
      <c r="E42" s="237"/>
      <c r="F42" s="238"/>
      <c r="G42" s="240">
        <f>'Հավելված N 7'!I80+'Հավելված N 7'!I91</f>
        <v>-5000</v>
      </c>
      <c r="H42" s="239"/>
    </row>
    <row r="43" spans="1:8" s="153" customFormat="1">
      <c r="A43" s="362"/>
      <c r="B43" s="362"/>
      <c r="C43" s="219" t="s">
        <v>163</v>
      </c>
      <c r="D43" s="187">
        <f t="shared" ref="D43" si="23">SUM(E43:H43)</f>
        <v>-5000</v>
      </c>
      <c r="E43" s="188">
        <f>+E44</f>
        <v>0</v>
      </c>
      <c r="F43" s="188">
        <f t="shared" ref="F43:H45" si="24">+F44</f>
        <v>0</v>
      </c>
      <c r="G43" s="188">
        <f t="shared" si="24"/>
        <v>-5000</v>
      </c>
      <c r="H43" s="188">
        <f t="shared" si="24"/>
        <v>0</v>
      </c>
    </row>
    <row r="44" spans="1:8" s="189" customFormat="1">
      <c r="A44" s="362"/>
      <c r="B44" s="362"/>
      <c r="C44" s="152" t="s">
        <v>221</v>
      </c>
      <c r="D44" s="190">
        <f t="shared" ref="D44" si="25">SUM(E44:H44)</f>
        <v>-5000</v>
      </c>
      <c r="E44" s="191"/>
      <c r="F44" s="192"/>
      <c r="G44" s="240">
        <f>'Հավելված N 7'!I81+'Հավելված N 7'!I92</f>
        <v>-5000</v>
      </c>
      <c r="H44" s="154"/>
    </row>
    <row r="45" spans="1:8" s="153" customFormat="1">
      <c r="A45" s="362"/>
      <c r="B45" s="362"/>
      <c r="C45" s="241" t="s">
        <v>124</v>
      </c>
      <c r="D45" s="187">
        <f t="shared" ref="D45" si="26">SUM(E45:H45)</f>
        <v>-5000</v>
      </c>
      <c r="E45" s="188">
        <f>+E46</f>
        <v>0</v>
      </c>
      <c r="F45" s="188">
        <f t="shared" si="24"/>
        <v>0</v>
      </c>
      <c r="G45" s="188">
        <f t="shared" si="24"/>
        <v>-5000</v>
      </c>
      <c r="H45" s="188">
        <f t="shared" si="24"/>
        <v>0</v>
      </c>
    </row>
    <row r="46" spans="1:8" s="189" customFormat="1" ht="36">
      <c r="A46" s="362"/>
      <c r="B46" s="362"/>
      <c r="C46" s="242" t="s">
        <v>222</v>
      </c>
      <c r="D46" s="190">
        <f t="shared" ref="D46" si="27">SUM(E46:H46)</f>
        <v>-5000</v>
      </c>
      <c r="E46" s="191"/>
      <c r="F46" s="192"/>
      <c r="G46" s="237">
        <f>'Հավելված N 7'!I82+'Հավելված N 7'!I93</f>
        <v>-5000</v>
      </c>
      <c r="H46" s="154"/>
    </row>
    <row r="47" spans="1:8">
      <c r="A47" s="362"/>
      <c r="B47" s="362"/>
      <c r="C47" s="219" t="s">
        <v>125</v>
      </c>
      <c r="D47" s="147">
        <f>SUM(E47:H47)</f>
        <v>-846048.79999999993</v>
      </c>
      <c r="E47" s="147">
        <f>+E48+E49+E50+E51</f>
        <v>-841048.79999999993</v>
      </c>
      <c r="F47" s="147">
        <f t="shared" ref="F47:H47" si="28">+F48+F49+F50+F51</f>
        <v>0</v>
      </c>
      <c r="G47" s="147">
        <f t="shared" si="28"/>
        <v>-5000</v>
      </c>
      <c r="H47" s="147">
        <f t="shared" si="28"/>
        <v>0</v>
      </c>
    </row>
    <row r="48" spans="1:8" ht="36">
      <c r="A48" s="362"/>
      <c r="B48" s="362"/>
      <c r="C48" s="231" t="s">
        <v>294</v>
      </c>
      <c r="D48" s="144">
        <f t="shared" ref="D48" si="29">+E48+F48+G48+H48</f>
        <v>-104927.09999999999</v>
      </c>
      <c r="E48" s="144">
        <f>+'Հավելված N 7'!I51-4322.9-604.2</f>
        <v>-104927.09999999999</v>
      </c>
      <c r="F48" s="144"/>
      <c r="G48" s="144"/>
      <c r="H48" s="143"/>
    </row>
    <row r="49" spans="1:8">
      <c r="A49" s="362"/>
      <c r="B49" s="362"/>
      <c r="C49" s="152" t="s">
        <v>157</v>
      </c>
      <c r="D49" s="144">
        <f t="shared" ref="D49:D51" si="30">+E49+F49+G49+H49</f>
        <v>-330711.19999999995</v>
      </c>
      <c r="E49" s="144">
        <f>+'Հավելված N 7'!I52-13755.6-1955.6</f>
        <v>-330711.19999999995</v>
      </c>
      <c r="F49" s="144"/>
      <c r="G49" s="144"/>
      <c r="H49" s="143"/>
    </row>
    <row r="50" spans="1:8">
      <c r="A50" s="362"/>
      <c r="B50" s="362"/>
      <c r="C50" s="152" t="s">
        <v>196</v>
      </c>
      <c r="D50" s="144">
        <f t="shared" si="30"/>
        <v>-405410.5</v>
      </c>
      <c r="E50" s="144">
        <f>+'Հավելված N 7'!I53-13185.7-2109.7</f>
        <v>-405410.5</v>
      </c>
      <c r="F50" s="144"/>
      <c r="G50" s="144"/>
      <c r="H50" s="143"/>
    </row>
    <row r="51" spans="1:8">
      <c r="A51" s="362"/>
      <c r="B51" s="362"/>
      <c r="C51" s="236" t="s">
        <v>223</v>
      </c>
      <c r="D51" s="144">
        <f t="shared" si="30"/>
        <v>-5000</v>
      </c>
      <c r="E51" s="243"/>
      <c r="F51" s="243"/>
      <c r="G51" s="243">
        <f>'Հավելված N 7'!I83+'Հավելված N 7'!I94</f>
        <v>-5000</v>
      </c>
      <c r="H51" s="244"/>
    </row>
    <row r="52" spans="1:8" s="153" customFormat="1">
      <c r="A52" s="362"/>
      <c r="B52" s="362"/>
      <c r="C52" s="219" t="s">
        <v>122</v>
      </c>
      <c r="D52" s="187">
        <f t="shared" ref="D52" si="31">SUM(E52:H52)</f>
        <v>-314738.5</v>
      </c>
      <c r="E52" s="188">
        <f>+E53+E54+E55</f>
        <v>-309738.5</v>
      </c>
      <c r="F52" s="188">
        <f t="shared" ref="F52:G52" si="32">+F53+F54+F55</f>
        <v>0</v>
      </c>
      <c r="G52" s="188">
        <f t="shared" si="32"/>
        <v>-5000</v>
      </c>
      <c r="H52" s="188">
        <f t="shared" ref="H52" si="33">+H54+H55</f>
        <v>0</v>
      </c>
    </row>
    <row r="53" spans="1:8" s="153" customFormat="1">
      <c r="A53" s="362"/>
      <c r="B53" s="362"/>
      <c r="C53" s="152" t="s">
        <v>288</v>
      </c>
      <c r="D53" s="190">
        <f t="shared" ref="D53:D60" si="34">SUM(E53:H53)</f>
        <v>-73258.600000000006</v>
      </c>
      <c r="E53" s="191">
        <f>+'Հավելված N 7'!I54-2829.1-429.5</f>
        <v>-73258.600000000006</v>
      </c>
      <c r="F53" s="192"/>
      <c r="G53" s="143"/>
      <c r="H53" s="154"/>
    </row>
    <row r="54" spans="1:8" s="189" customFormat="1">
      <c r="A54" s="362"/>
      <c r="B54" s="362"/>
      <c r="C54" s="152" t="s">
        <v>197</v>
      </c>
      <c r="D54" s="190">
        <f t="shared" si="34"/>
        <v>-236479.89999999997</v>
      </c>
      <c r="E54" s="191">
        <f>+'Հավելված N 7'!I55-8483.8-1308.3</f>
        <v>-236479.89999999997</v>
      </c>
      <c r="F54" s="192"/>
      <c r="G54" s="143"/>
      <c r="H54" s="154"/>
    </row>
    <row r="55" spans="1:8">
      <c r="A55" s="362"/>
      <c r="B55" s="362"/>
      <c r="C55" s="236" t="s">
        <v>224</v>
      </c>
      <c r="D55" s="144">
        <f t="shared" ref="D55" si="35">+E55+F55+G55+H55</f>
        <v>-5000</v>
      </c>
      <c r="E55" s="243"/>
      <c r="F55" s="243"/>
      <c r="G55" s="243">
        <f>'Հավելված N 7'!I84+'Հավելված N 7'!I95</f>
        <v>-5000</v>
      </c>
      <c r="H55" s="244"/>
    </row>
    <row r="56" spans="1:8" s="153" customFormat="1">
      <c r="A56" s="362"/>
      <c r="B56" s="362"/>
      <c r="C56" s="241" t="s">
        <v>153</v>
      </c>
      <c r="D56" s="187">
        <f t="shared" ref="D56" si="36">SUM(E56:H56)</f>
        <v>-214056.8</v>
      </c>
      <c r="E56" s="188">
        <f>+E57+E58+E59</f>
        <v>-209056.8</v>
      </c>
      <c r="F56" s="188">
        <f t="shared" ref="F56:H56" si="37">+F57+F58+F59</f>
        <v>0</v>
      </c>
      <c r="G56" s="188">
        <f t="shared" si="37"/>
        <v>-5000</v>
      </c>
      <c r="H56" s="188">
        <f t="shared" si="37"/>
        <v>0</v>
      </c>
    </row>
    <row r="57" spans="1:8" s="189" customFormat="1">
      <c r="A57" s="362"/>
      <c r="B57" s="362"/>
      <c r="C57" s="231" t="s">
        <v>204</v>
      </c>
      <c r="D57" s="190">
        <f t="shared" ref="D57:D58" si="38">SUM(E57:H57)</f>
        <v>-104327.90000000001</v>
      </c>
      <c r="E57" s="191">
        <f>+'Հավելված N 7'!I56-3708.3-619.6</f>
        <v>-104327.90000000001</v>
      </c>
      <c r="F57" s="192"/>
      <c r="G57" s="237"/>
      <c r="H57" s="154"/>
    </row>
    <row r="58" spans="1:8" s="189" customFormat="1">
      <c r="A58" s="362"/>
      <c r="B58" s="362"/>
      <c r="C58" s="231" t="s">
        <v>290</v>
      </c>
      <c r="D58" s="190">
        <f t="shared" si="38"/>
        <v>-104728.9</v>
      </c>
      <c r="E58" s="191">
        <f>+'Հավելված N 7'!I57-4078-650.9</f>
        <v>-104728.9</v>
      </c>
      <c r="F58" s="192"/>
      <c r="G58" s="237"/>
      <c r="H58" s="154"/>
    </row>
    <row r="59" spans="1:8" s="189" customFormat="1">
      <c r="A59" s="362"/>
      <c r="B59" s="362"/>
      <c r="C59" s="242" t="s">
        <v>226</v>
      </c>
      <c r="D59" s="190">
        <f t="shared" ref="D59" si="39">SUM(E59:H59)</f>
        <v>-5000</v>
      </c>
      <c r="E59" s="191"/>
      <c r="F59" s="192"/>
      <c r="G59" s="237">
        <f>'Հավելված N 7'!I85+'Հավելված N 7'!I96</f>
        <v>-5000</v>
      </c>
      <c r="H59" s="154"/>
    </row>
    <row r="60" spans="1:8" s="153" customFormat="1">
      <c r="A60" s="362"/>
      <c r="B60" s="362"/>
      <c r="C60" s="219" t="s">
        <v>165</v>
      </c>
      <c r="D60" s="187">
        <f t="shared" si="34"/>
        <v>-927101.2</v>
      </c>
      <c r="E60" s="188">
        <f>+E61+E62+E63+E64</f>
        <v>-922101.2</v>
      </c>
      <c r="F60" s="188">
        <f t="shared" ref="F60:H60" si="40">+F61+F62+F63+F64</f>
        <v>0</v>
      </c>
      <c r="G60" s="188">
        <f t="shared" si="40"/>
        <v>-5000</v>
      </c>
      <c r="H60" s="188">
        <f t="shared" si="40"/>
        <v>0</v>
      </c>
    </row>
    <row r="61" spans="1:8" s="189" customFormat="1">
      <c r="A61" s="362"/>
      <c r="B61" s="362"/>
      <c r="C61" s="152" t="s">
        <v>198</v>
      </c>
      <c r="D61" s="190">
        <f t="shared" ref="D61:D69" si="41">SUM(E61:H61)</f>
        <v>-339337.69999999995</v>
      </c>
      <c r="E61" s="191">
        <f>+'Հավելված N 7'!I58-14145.1-1886</f>
        <v>-339337.69999999995</v>
      </c>
      <c r="F61" s="192"/>
      <c r="G61" s="143"/>
      <c r="H61" s="154"/>
    </row>
    <row r="62" spans="1:8" s="189" customFormat="1">
      <c r="A62" s="362"/>
      <c r="B62" s="362"/>
      <c r="C62" s="231" t="s">
        <v>298</v>
      </c>
      <c r="D62" s="190">
        <f t="shared" si="41"/>
        <v>-441022.30000000005</v>
      </c>
      <c r="E62" s="237">
        <f>+'Հավելված N 7'!I59-18520.9-2469.5</f>
        <v>-441022.30000000005</v>
      </c>
      <c r="F62" s="238"/>
      <c r="G62" s="244"/>
      <c r="H62" s="229"/>
    </row>
    <row r="63" spans="1:8" s="189" customFormat="1">
      <c r="A63" s="362"/>
      <c r="B63" s="362"/>
      <c r="C63" s="231" t="s">
        <v>299</v>
      </c>
      <c r="D63" s="190">
        <f t="shared" si="41"/>
        <v>-141741.20000000001</v>
      </c>
      <c r="E63" s="237">
        <f>+'Հավելված N 7'!I67-5936.5-804.7</f>
        <v>-141741.20000000001</v>
      </c>
      <c r="F63" s="238"/>
      <c r="G63" s="244"/>
      <c r="H63" s="229"/>
    </row>
    <row r="64" spans="1:8" s="189" customFormat="1">
      <c r="A64" s="362"/>
      <c r="B64" s="362"/>
      <c r="C64" s="236" t="s">
        <v>225</v>
      </c>
      <c r="D64" s="190">
        <f t="shared" si="41"/>
        <v>-5000</v>
      </c>
      <c r="E64" s="237"/>
      <c r="F64" s="238"/>
      <c r="G64" s="243">
        <f>'Հավելված N 7'!I86+'Հավելված N 7'!I97</f>
        <v>-5000</v>
      </c>
      <c r="H64" s="229"/>
    </row>
    <row r="65" spans="1:8" s="153" customFormat="1">
      <c r="A65" s="362"/>
      <c r="B65" s="362"/>
      <c r="C65" s="219" t="s">
        <v>164</v>
      </c>
      <c r="D65" s="187">
        <f t="shared" si="41"/>
        <v>-955713.70000000007</v>
      </c>
      <c r="E65" s="188">
        <f>+E66+E67+E68+E69</f>
        <v>-950913.70000000007</v>
      </c>
      <c r="F65" s="188">
        <f t="shared" ref="F65:H65" si="42">+F66+F67+F68+F69</f>
        <v>0</v>
      </c>
      <c r="G65" s="188">
        <f>+G66+G67+G68+G69</f>
        <v>-4800</v>
      </c>
      <c r="H65" s="188">
        <f t="shared" si="42"/>
        <v>0</v>
      </c>
    </row>
    <row r="66" spans="1:8" s="189" customFormat="1" ht="36">
      <c r="A66" s="362"/>
      <c r="B66" s="362"/>
      <c r="C66" s="152" t="s">
        <v>199</v>
      </c>
      <c r="D66" s="190">
        <f t="shared" si="41"/>
        <v>-446392.7</v>
      </c>
      <c r="E66" s="191">
        <f>+'Հավելված N 7'!I60-15123.7-2765.5</f>
        <v>-446392.7</v>
      </c>
      <c r="F66" s="192"/>
      <c r="G66" s="143"/>
      <c r="H66" s="154"/>
    </row>
    <row r="67" spans="1:8" s="153" customFormat="1">
      <c r="A67" s="362"/>
      <c r="B67" s="362"/>
      <c r="C67" s="152" t="s">
        <v>200</v>
      </c>
      <c r="D67" s="190">
        <f t="shared" si="41"/>
        <v>-311675.40000000002</v>
      </c>
      <c r="E67" s="191">
        <f>+'Հավելված N 7'!I61-9752.7-1922.7</f>
        <v>-311675.40000000002</v>
      </c>
      <c r="F67" s="192"/>
      <c r="G67" s="143"/>
      <c r="H67" s="154"/>
    </row>
    <row r="68" spans="1:8" s="189" customFormat="1">
      <c r="A68" s="362"/>
      <c r="B68" s="362"/>
      <c r="C68" s="152" t="s">
        <v>201</v>
      </c>
      <c r="D68" s="190">
        <f t="shared" si="41"/>
        <v>-192845.6</v>
      </c>
      <c r="E68" s="191">
        <f>+'Հավելված N 7'!I62-6618.2-1227.4</f>
        <v>-192845.6</v>
      </c>
      <c r="F68" s="192"/>
      <c r="G68" s="143"/>
      <c r="H68" s="154"/>
    </row>
    <row r="69" spans="1:8" s="189" customFormat="1">
      <c r="A69" s="362"/>
      <c r="B69" s="362"/>
      <c r="C69" s="152" t="s">
        <v>275</v>
      </c>
      <c r="D69" s="190">
        <f t="shared" si="41"/>
        <v>-4800</v>
      </c>
      <c r="E69" s="237"/>
      <c r="F69" s="238"/>
      <c r="G69" s="190">
        <f>+'Հավելված N 7'!I79+'Հավելված N 7'!I90</f>
        <v>-4800</v>
      </c>
      <c r="H69" s="229"/>
    </row>
    <row r="70" spans="1:8">
      <c r="A70" s="362"/>
      <c r="B70" s="362"/>
      <c r="C70" s="219" t="s">
        <v>155</v>
      </c>
      <c r="D70" s="147">
        <f>SUM(E70:H70)</f>
        <v>-629252.6</v>
      </c>
      <c r="E70" s="147">
        <f>+E71+E72+E73+E74</f>
        <v>-624252.6</v>
      </c>
      <c r="F70" s="147">
        <f t="shared" ref="F70:H70" si="43">+F71+F72+F73+F74</f>
        <v>0</v>
      </c>
      <c r="G70" s="147">
        <f t="shared" si="43"/>
        <v>-5000</v>
      </c>
      <c r="H70" s="147">
        <f t="shared" si="43"/>
        <v>0</v>
      </c>
    </row>
    <row r="71" spans="1:8">
      <c r="A71" s="362"/>
      <c r="B71" s="362"/>
      <c r="C71" s="231" t="s">
        <v>296</v>
      </c>
      <c r="D71" s="144">
        <f t="shared" ref="D71" si="44">+E71+F71+G71+H71</f>
        <v>-157108</v>
      </c>
      <c r="E71" s="144">
        <f>+'Հավելված N 7'!I63-6174.3-933.7</f>
        <v>-157108</v>
      </c>
      <c r="F71" s="144"/>
      <c r="G71" s="144"/>
      <c r="H71" s="143"/>
    </row>
    <row r="72" spans="1:8">
      <c r="A72" s="362"/>
      <c r="B72" s="362"/>
      <c r="C72" s="152" t="s">
        <v>156</v>
      </c>
      <c r="D72" s="144">
        <f t="shared" ref="D72" si="45">+E72+F72+G72+H72</f>
        <v>-239751</v>
      </c>
      <c r="E72" s="144">
        <f>+'Հավելված N 7'!I65-10907.6-1492.4</f>
        <v>-239751</v>
      </c>
      <c r="F72" s="144"/>
      <c r="G72" s="144"/>
      <c r="H72" s="143"/>
    </row>
    <row r="73" spans="1:8" s="153" customFormat="1">
      <c r="A73" s="362"/>
      <c r="B73" s="362"/>
      <c r="C73" s="152" t="s">
        <v>202</v>
      </c>
      <c r="D73" s="190">
        <f t="shared" ref="D73:D77" si="46">SUM(E73:H73)</f>
        <v>-227393.6</v>
      </c>
      <c r="E73" s="191">
        <f>+'Հավելված N 7'!I64-9206.1-1361.5</f>
        <v>-227393.6</v>
      </c>
      <c r="F73" s="192"/>
      <c r="G73" s="143"/>
      <c r="H73" s="154"/>
    </row>
    <row r="74" spans="1:8" s="153" customFormat="1">
      <c r="A74" s="362"/>
      <c r="B74" s="362"/>
      <c r="C74" s="236" t="s">
        <v>227</v>
      </c>
      <c r="D74" s="190">
        <f t="shared" si="46"/>
        <v>-5000</v>
      </c>
      <c r="E74" s="237"/>
      <c r="F74" s="243"/>
      <c r="G74" s="243">
        <f>'Հավելված N 7'!I87+'Հավելված N 7'!I98</f>
        <v>-5000</v>
      </c>
      <c r="H74" s="229"/>
    </row>
    <row r="75" spans="1:8" s="153" customFormat="1">
      <c r="A75" s="362"/>
      <c r="B75" s="362"/>
      <c r="C75" s="219" t="s">
        <v>123</v>
      </c>
      <c r="D75" s="194">
        <f t="shared" si="46"/>
        <v>-366527.39999999997</v>
      </c>
      <c r="E75" s="188">
        <f>+E76+E77+E78+E79</f>
        <v>-356527.39999999997</v>
      </c>
      <c r="F75" s="188">
        <f t="shared" ref="F75:H75" si="47">+F76+F77+F78+F79</f>
        <v>0</v>
      </c>
      <c r="G75" s="188">
        <f t="shared" si="47"/>
        <v>-10000</v>
      </c>
      <c r="H75" s="188">
        <f t="shared" si="47"/>
        <v>0</v>
      </c>
    </row>
    <row r="76" spans="1:8" s="153" customFormat="1" ht="36">
      <c r="A76" s="362"/>
      <c r="B76" s="362"/>
      <c r="C76" s="152" t="s">
        <v>203</v>
      </c>
      <c r="D76" s="190">
        <f t="shared" si="46"/>
        <v>-298292.69999999995</v>
      </c>
      <c r="E76" s="191">
        <f>+'Հավելված N 7'!I66-3551.6-1741.1</f>
        <v>-298292.69999999995</v>
      </c>
      <c r="F76" s="192"/>
      <c r="G76" s="143"/>
      <c r="H76" s="154"/>
    </row>
    <row r="77" spans="1:8" s="153" customFormat="1">
      <c r="A77" s="362"/>
      <c r="B77" s="362"/>
      <c r="C77" s="231" t="s">
        <v>302</v>
      </c>
      <c r="D77" s="190">
        <f t="shared" si="46"/>
        <v>-58234.700000000004</v>
      </c>
      <c r="E77" s="237">
        <f>+'Հավելված N 7'!I68-631.3-378.8</f>
        <v>-58234.700000000004</v>
      </c>
      <c r="F77" s="238"/>
      <c r="G77" s="244"/>
      <c r="H77" s="229"/>
    </row>
    <row r="78" spans="1:8" s="153" customFormat="1">
      <c r="A78" s="362"/>
      <c r="B78" s="362"/>
      <c r="C78" s="236" t="s">
        <v>228</v>
      </c>
      <c r="D78" s="190">
        <f t="shared" ref="D78:D79" si="48">SUM(E78:H78)</f>
        <v>-5000</v>
      </c>
      <c r="E78" s="237"/>
      <c r="F78" s="243"/>
      <c r="G78" s="243">
        <f>'Հավելված N 7'!I88+'Հավելված N 7'!I99</f>
        <v>-5000</v>
      </c>
      <c r="H78" s="229"/>
    </row>
    <row r="79" spans="1:8" s="153" customFormat="1">
      <c r="A79" s="363"/>
      <c r="B79" s="363"/>
      <c r="C79" s="236" t="s">
        <v>229</v>
      </c>
      <c r="D79" s="190">
        <f t="shared" si="48"/>
        <v>-5000</v>
      </c>
      <c r="E79" s="237"/>
      <c r="F79" s="243"/>
      <c r="G79" s="243">
        <f>'Հավելված N 7'!I89+'Հավելված N 7'!I100</f>
        <v>-5000</v>
      </c>
      <c r="H79" s="229"/>
    </row>
  </sheetData>
  <mergeCells count="12">
    <mergeCell ref="A17:A36"/>
    <mergeCell ref="B17:B36"/>
    <mergeCell ref="B39:B79"/>
    <mergeCell ref="A39:A79"/>
    <mergeCell ref="F1:H1"/>
    <mergeCell ref="F2:H2"/>
    <mergeCell ref="F3:H3"/>
    <mergeCell ref="A5:H6"/>
    <mergeCell ref="A9:B9"/>
    <mergeCell ref="C9:C10"/>
    <mergeCell ref="D9:D10"/>
    <mergeCell ref="E9:H9"/>
  </mergeCells>
  <pageMargins left="0.7" right="0.7" top="0.75" bottom="0.75" header="0.3" footer="0.3"/>
  <pageSetup paperSize="9" scale="4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2"/>
  <sheetViews>
    <sheetView topLeftCell="A10" zoomScale="90" zoomScaleNormal="90" workbookViewId="0">
      <selection activeCell="E13" sqref="E13"/>
    </sheetView>
  </sheetViews>
  <sheetFormatPr defaultColWidth="9.09765625" defaultRowHeight="18"/>
  <cols>
    <col min="1" max="1" width="9.09765625" style="107"/>
    <col min="2" max="3" width="9.8984375" style="8" customWidth="1"/>
    <col min="4" max="4" width="54.296875" style="8" customWidth="1"/>
    <col min="5" max="5" width="26.8984375" style="73" customWidth="1"/>
    <col min="6" max="6" width="50.09765625" style="8" customWidth="1"/>
    <col min="7" max="8" width="9.09765625" style="8"/>
    <col min="9" max="9" width="12.296875" style="8" customWidth="1"/>
    <col min="10" max="16384" width="9.09765625" style="8"/>
  </cols>
  <sheetData>
    <row r="1" spans="1:6" s="170" customFormat="1" ht="37.5" customHeight="1">
      <c r="A1" s="199"/>
      <c r="D1" s="367" t="s">
        <v>113</v>
      </c>
      <c r="E1" s="367"/>
    </row>
    <row r="2" spans="1:6" s="170" customFormat="1" ht="17.45" customHeight="1">
      <c r="A2" s="199"/>
      <c r="D2" s="366" t="s">
        <v>149</v>
      </c>
      <c r="E2" s="366"/>
    </row>
    <row r="3" spans="1:6" s="170" customFormat="1" ht="17.45" customHeight="1">
      <c r="A3" s="199"/>
      <c r="D3" s="366" t="s">
        <v>110</v>
      </c>
      <c r="E3" s="366"/>
    </row>
    <row r="4" spans="1:6" ht="13.5" customHeight="1">
      <c r="D4" s="171"/>
      <c r="E4" s="287"/>
    </row>
    <row r="5" spans="1:6" ht="85.5" customHeight="1">
      <c r="B5" s="368" t="s">
        <v>175</v>
      </c>
      <c r="C5" s="368"/>
      <c r="D5" s="368"/>
      <c r="E5" s="368"/>
    </row>
    <row r="6" spans="1:6">
      <c r="E6" s="288"/>
    </row>
    <row r="7" spans="1:6">
      <c r="E7" s="288"/>
    </row>
    <row r="8" spans="1:6">
      <c r="E8" s="289" t="s">
        <v>28</v>
      </c>
    </row>
    <row r="9" spans="1:6" ht="108">
      <c r="B9" s="369" t="s">
        <v>61</v>
      </c>
      <c r="C9" s="369"/>
      <c r="D9" s="351" t="s">
        <v>62</v>
      </c>
      <c r="E9" s="195" t="s">
        <v>174</v>
      </c>
    </row>
    <row r="10" spans="1:6" ht="23.9" customHeight="1">
      <c r="B10" s="371" t="s">
        <v>64</v>
      </c>
      <c r="C10" s="371" t="s">
        <v>65</v>
      </c>
      <c r="D10" s="370"/>
      <c r="E10" s="372" t="s">
        <v>63</v>
      </c>
    </row>
    <row r="11" spans="1:6" ht="59.9" customHeight="1">
      <c r="B11" s="371"/>
      <c r="C11" s="371"/>
      <c r="D11" s="352"/>
      <c r="E11" s="354"/>
      <c r="F11" s="52"/>
    </row>
    <row r="12" spans="1:6" ht="33.85">
      <c r="B12" s="200"/>
      <c r="C12" s="200"/>
      <c r="D12" s="1" t="s">
        <v>68</v>
      </c>
      <c r="E12" s="5">
        <f>+E14+E38</f>
        <v>-5646154.5</v>
      </c>
      <c r="F12" s="110"/>
    </row>
    <row r="13" spans="1:6">
      <c r="B13" s="200"/>
      <c r="C13" s="200"/>
      <c r="D13" s="22" t="s">
        <v>69</v>
      </c>
      <c r="E13" s="128"/>
    </row>
    <row r="14" spans="1:6" ht="33.85">
      <c r="B14" s="206">
        <v>1146</v>
      </c>
      <c r="C14" s="206">
        <v>12010</v>
      </c>
      <c r="D14" s="248" t="s">
        <v>231</v>
      </c>
      <c r="E14" s="41">
        <f>+E16</f>
        <v>-1009742.7</v>
      </c>
      <c r="F14" s="212"/>
    </row>
    <row r="15" spans="1:6">
      <c r="B15" s="215"/>
      <c r="C15" s="215"/>
      <c r="D15" s="2" t="s">
        <v>66</v>
      </c>
      <c r="E15" s="23"/>
    </row>
    <row r="16" spans="1:6">
      <c r="B16" s="365"/>
      <c r="C16" s="365"/>
      <c r="D16" s="133" t="s">
        <v>80</v>
      </c>
      <c r="E16" s="40">
        <f>+E18+E20+E22+E26+E28+E31+E34+E36</f>
        <v>-1009742.7</v>
      </c>
    </row>
    <row r="17" spans="2:5" ht="17.45" customHeight="1">
      <c r="B17" s="363"/>
      <c r="C17" s="363"/>
      <c r="D17" s="134" t="s">
        <v>114</v>
      </c>
      <c r="E17" s="4"/>
    </row>
    <row r="18" spans="2:5">
      <c r="B18" s="364"/>
      <c r="C18" s="364"/>
      <c r="D18" s="256" t="s">
        <v>152</v>
      </c>
      <c r="E18" s="290">
        <f>+E19</f>
        <v>-129094.5</v>
      </c>
    </row>
    <row r="19" spans="2:5" ht="54">
      <c r="B19" s="364"/>
      <c r="C19" s="364"/>
      <c r="D19" s="236" t="s">
        <v>304</v>
      </c>
      <c r="E19" s="168">
        <f>+'Հավելված N 3'!D18</f>
        <v>-129094.5</v>
      </c>
    </row>
    <row r="20" spans="2:5">
      <c r="B20" s="364"/>
      <c r="C20" s="364"/>
      <c r="D20" s="256" t="s">
        <v>163</v>
      </c>
      <c r="E20" s="292">
        <f>+E21</f>
        <v>-160046.09999999998</v>
      </c>
    </row>
    <row r="21" spans="2:5" ht="54">
      <c r="B21" s="364"/>
      <c r="C21" s="364"/>
      <c r="D21" s="236" t="s">
        <v>305</v>
      </c>
      <c r="E21" s="291">
        <f>+'Հավելված N 3'!D20</f>
        <v>-160046.09999999998</v>
      </c>
    </row>
    <row r="22" spans="2:5">
      <c r="B22" s="364"/>
      <c r="C22" s="364"/>
      <c r="D22" s="256" t="s">
        <v>124</v>
      </c>
      <c r="E22" s="292">
        <f>+E23+E24+E25</f>
        <v>-289049.59999999998</v>
      </c>
    </row>
    <row r="23" spans="2:5" ht="54">
      <c r="B23" s="364"/>
      <c r="C23" s="364"/>
      <c r="D23" s="236" t="s">
        <v>319</v>
      </c>
      <c r="E23" s="291">
        <f>+'Հավելված N 3'!D22</f>
        <v>-129003.2</v>
      </c>
    </row>
    <row r="24" spans="2:5" ht="54">
      <c r="B24" s="364"/>
      <c r="C24" s="364"/>
      <c r="D24" s="236" t="s">
        <v>253</v>
      </c>
      <c r="E24" s="291">
        <f>+'Հավելված N 3'!D23</f>
        <v>-80023.199999999997</v>
      </c>
    </row>
    <row r="25" spans="2:5" ht="54">
      <c r="B25" s="364"/>
      <c r="C25" s="364"/>
      <c r="D25" s="236" t="s">
        <v>254</v>
      </c>
      <c r="E25" s="291">
        <f>+'Հավելված N 3'!D24</f>
        <v>-80023.199999999997</v>
      </c>
    </row>
    <row r="26" spans="2:5">
      <c r="B26" s="364"/>
      <c r="C26" s="364"/>
      <c r="D26" s="256" t="s">
        <v>125</v>
      </c>
      <c r="E26" s="290">
        <f>+E27</f>
        <v>-3639</v>
      </c>
    </row>
    <row r="27" spans="2:5" ht="54">
      <c r="B27" s="364"/>
      <c r="C27" s="364"/>
      <c r="D27" s="236" t="s">
        <v>313</v>
      </c>
      <c r="E27" s="168">
        <f>+'Հավելված N 3'!D26</f>
        <v>-3639</v>
      </c>
    </row>
    <row r="28" spans="2:5">
      <c r="B28" s="364"/>
      <c r="C28" s="364"/>
      <c r="D28" s="256" t="s">
        <v>122</v>
      </c>
      <c r="E28" s="290">
        <f>+E29+E30</f>
        <v>-107453.5</v>
      </c>
    </row>
    <row r="29" spans="2:5" ht="54">
      <c r="B29" s="364"/>
      <c r="C29" s="364"/>
      <c r="D29" s="236" t="s">
        <v>316</v>
      </c>
      <c r="E29" s="168">
        <f>+'Հավելված N 3'!D28</f>
        <v>-2853.5</v>
      </c>
    </row>
    <row r="30" spans="2:5" ht="54">
      <c r="B30" s="364"/>
      <c r="C30" s="364"/>
      <c r="D30" s="236" t="s">
        <v>252</v>
      </c>
      <c r="E30" s="245">
        <f>+'Հավելված N 3'!D29</f>
        <v>-104600</v>
      </c>
    </row>
    <row r="31" spans="2:5">
      <c r="B31" s="364"/>
      <c r="C31" s="364"/>
      <c r="D31" s="256" t="s">
        <v>153</v>
      </c>
      <c r="E31" s="293">
        <f>+E32+E33</f>
        <v>-164986.09999999998</v>
      </c>
    </row>
    <row r="32" spans="2:5" ht="54">
      <c r="B32" s="364"/>
      <c r="C32" s="364"/>
      <c r="D32" s="236" t="s">
        <v>255</v>
      </c>
      <c r="E32" s="245">
        <f>+'Հավելված N 3'!D31</f>
        <v>-160046.09999999998</v>
      </c>
    </row>
    <row r="33" spans="2:5" ht="54">
      <c r="B33" s="364"/>
      <c r="C33" s="364"/>
      <c r="D33" s="236" t="s">
        <v>256</v>
      </c>
      <c r="E33" s="245">
        <f>+'Հավելված N 3'!D32</f>
        <v>-4940</v>
      </c>
    </row>
    <row r="34" spans="2:5">
      <c r="B34" s="364"/>
      <c r="C34" s="364"/>
      <c r="D34" s="256" t="s">
        <v>164</v>
      </c>
      <c r="E34" s="293">
        <f>+E35</f>
        <v>-4940</v>
      </c>
    </row>
    <row r="35" spans="2:5" ht="54">
      <c r="B35" s="364"/>
      <c r="C35" s="364"/>
      <c r="D35" s="236" t="s">
        <v>258</v>
      </c>
      <c r="E35" s="245">
        <f>+'Հավելված N 3'!D34</f>
        <v>-4940</v>
      </c>
    </row>
    <row r="36" spans="2:5">
      <c r="B36" s="364"/>
      <c r="C36" s="364"/>
      <c r="D36" s="256" t="s">
        <v>123</v>
      </c>
      <c r="E36" s="293">
        <f>+E37</f>
        <v>-150533.9</v>
      </c>
    </row>
    <row r="37" spans="2:5" ht="54">
      <c r="B37" s="364"/>
      <c r="C37" s="364"/>
      <c r="D37" s="236" t="s">
        <v>257</v>
      </c>
      <c r="E37" s="245">
        <f>+'Հավելված N 3'!D36</f>
        <v>-150533.9</v>
      </c>
    </row>
    <row r="38" spans="2:5" ht="50.75">
      <c r="B38" s="183">
        <v>1183</v>
      </c>
      <c r="C38" s="183">
        <v>32003</v>
      </c>
      <c r="D38" s="142" t="s">
        <v>154</v>
      </c>
      <c r="E38" s="145">
        <f t="shared" ref="E38" si="0">+E40</f>
        <v>-4636411.8</v>
      </c>
    </row>
    <row r="39" spans="2:5">
      <c r="B39" s="183"/>
      <c r="C39" s="183"/>
      <c r="D39" s="196" t="s">
        <v>66</v>
      </c>
      <c r="E39" s="195"/>
    </row>
    <row r="40" spans="2:5">
      <c r="B40" s="183"/>
      <c r="C40" s="183"/>
      <c r="D40" s="197" t="s">
        <v>80</v>
      </c>
      <c r="E40" s="198">
        <f>+E42+E46+E48+E50+E55+E59+E63+E68+E73+E78</f>
        <v>-4636411.8</v>
      </c>
    </row>
    <row r="41" spans="2:5" ht="17.45" customHeight="1">
      <c r="B41" s="183"/>
      <c r="C41" s="183"/>
      <c r="D41" s="196" t="s">
        <v>114</v>
      </c>
      <c r="E41" s="195"/>
    </row>
    <row r="42" spans="2:5">
      <c r="B42" s="365"/>
      <c r="C42" s="365"/>
      <c r="D42" s="221" t="s">
        <v>152</v>
      </c>
      <c r="E42" s="290">
        <f>+E43+E44+E45</f>
        <v>-372972.79999999999</v>
      </c>
    </row>
    <row r="43" spans="2:5">
      <c r="B43" s="362"/>
      <c r="C43" s="362"/>
      <c r="D43" s="152" t="s">
        <v>194</v>
      </c>
      <c r="E43" s="172">
        <f>+'Հավելված N 3'!D40</f>
        <v>-52206.2</v>
      </c>
    </row>
    <row r="44" spans="2:5">
      <c r="B44" s="362"/>
      <c r="C44" s="362"/>
      <c r="D44" s="152" t="s">
        <v>195</v>
      </c>
      <c r="E44" s="172">
        <f>+'Հավելված N 3'!D41</f>
        <v>-315766.59999999998</v>
      </c>
    </row>
    <row r="45" spans="2:5">
      <c r="B45" s="362"/>
      <c r="C45" s="362"/>
      <c r="D45" s="236" t="s">
        <v>220</v>
      </c>
      <c r="E45" s="172">
        <f>+'Հավելված N 3'!D42</f>
        <v>-5000</v>
      </c>
    </row>
    <row r="46" spans="2:5">
      <c r="B46" s="362"/>
      <c r="C46" s="362"/>
      <c r="D46" s="219" t="s">
        <v>163</v>
      </c>
      <c r="E46" s="290">
        <f>+E47</f>
        <v>-5000</v>
      </c>
    </row>
    <row r="47" spans="2:5">
      <c r="B47" s="362"/>
      <c r="C47" s="362"/>
      <c r="D47" s="152" t="s">
        <v>221</v>
      </c>
      <c r="E47" s="172">
        <f>+'Հավելված N 3'!D44</f>
        <v>-5000</v>
      </c>
    </row>
    <row r="48" spans="2:5">
      <c r="B48" s="362"/>
      <c r="C48" s="362"/>
      <c r="D48" s="241" t="s">
        <v>124</v>
      </c>
      <c r="E48" s="290">
        <f>+E49</f>
        <v>-5000</v>
      </c>
    </row>
    <row r="49" spans="2:5" ht="36">
      <c r="B49" s="362"/>
      <c r="C49" s="362"/>
      <c r="D49" s="242" t="s">
        <v>222</v>
      </c>
      <c r="E49" s="172">
        <f>+'Հավելված N 3'!D46</f>
        <v>-5000</v>
      </c>
    </row>
    <row r="50" spans="2:5">
      <c r="B50" s="362"/>
      <c r="C50" s="362"/>
      <c r="D50" s="219" t="s">
        <v>125</v>
      </c>
      <c r="E50" s="290">
        <f>+E51+E52+E53+E54</f>
        <v>-846048.79999999993</v>
      </c>
    </row>
    <row r="51" spans="2:5" ht="36">
      <c r="B51" s="362"/>
      <c r="C51" s="362"/>
      <c r="D51" s="231" t="s">
        <v>294</v>
      </c>
      <c r="E51" s="172">
        <f>+'Հավելված N 3'!D48</f>
        <v>-104927.09999999999</v>
      </c>
    </row>
    <row r="52" spans="2:5">
      <c r="B52" s="362"/>
      <c r="C52" s="362"/>
      <c r="D52" s="152" t="s">
        <v>157</v>
      </c>
      <c r="E52" s="172">
        <f>+'Հավելված N 3'!D49</f>
        <v>-330711.19999999995</v>
      </c>
    </row>
    <row r="53" spans="2:5">
      <c r="B53" s="362"/>
      <c r="C53" s="362"/>
      <c r="D53" s="152" t="s">
        <v>196</v>
      </c>
      <c r="E53" s="172">
        <f>+'Հավելված N 3'!D50</f>
        <v>-405410.5</v>
      </c>
    </row>
    <row r="54" spans="2:5">
      <c r="B54" s="362"/>
      <c r="C54" s="362"/>
      <c r="D54" s="236" t="s">
        <v>223</v>
      </c>
      <c r="E54" s="172">
        <f>+'Հավելված N 3'!D51</f>
        <v>-5000</v>
      </c>
    </row>
    <row r="55" spans="2:5">
      <c r="B55" s="362"/>
      <c r="C55" s="362"/>
      <c r="D55" s="219" t="s">
        <v>122</v>
      </c>
      <c r="E55" s="294">
        <f>+E56+E57+E58</f>
        <v>-314738.5</v>
      </c>
    </row>
    <row r="56" spans="2:5">
      <c r="B56" s="362"/>
      <c r="C56" s="362"/>
      <c r="D56" s="152" t="s">
        <v>288</v>
      </c>
      <c r="E56" s="245">
        <f>+'Հավելված N 3'!D53</f>
        <v>-73258.600000000006</v>
      </c>
    </row>
    <row r="57" spans="2:5">
      <c r="B57" s="362"/>
      <c r="C57" s="362"/>
      <c r="D57" s="152" t="s">
        <v>197</v>
      </c>
      <c r="E57" s="245">
        <f>+'Հավելված N 3'!D54</f>
        <v>-236479.89999999997</v>
      </c>
    </row>
    <row r="58" spans="2:5">
      <c r="B58" s="362"/>
      <c r="C58" s="362"/>
      <c r="D58" s="236" t="s">
        <v>224</v>
      </c>
      <c r="E58" s="245">
        <f>+'Հավելված N 3'!D55</f>
        <v>-5000</v>
      </c>
    </row>
    <row r="59" spans="2:5">
      <c r="B59" s="362"/>
      <c r="C59" s="362"/>
      <c r="D59" s="241" t="s">
        <v>153</v>
      </c>
      <c r="E59" s="290">
        <f>+E60+E61+E62</f>
        <v>-214056.8</v>
      </c>
    </row>
    <row r="60" spans="2:5">
      <c r="B60" s="362"/>
      <c r="C60" s="362"/>
      <c r="D60" s="231" t="s">
        <v>204</v>
      </c>
      <c r="E60" s="172">
        <f>+'Հավելված N 3'!D57</f>
        <v>-104327.90000000001</v>
      </c>
    </row>
    <row r="61" spans="2:5">
      <c r="B61" s="362"/>
      <c r="C61" s="362"/>
      <c r="D61" s="231" t="s">
        <v>290</v>
      </c>
      <c r="E61" s="172">
        <f>+'Հավելված N 3'!D58</f>
        <v>-104728.9</v>
      </c>
    </row>
    <row r="62" spans="2:5">
      <c r="B62" s="362"/>
      <c r="C62" s="362"/>
      <c r="D62" s="242" t="s">
        <v>226</v>
      </c>
      <c r="E62" s="172">
        <f>+'Հավելված N 3'!D59</f>
        <v>-5000</v>
      </c>
    </row>
    <row r="63" spans="2:5">
      <c r="B63" s="362"/>
      <c r="C63" s="362"/>
      <c r="D63" s="219" t="s">
        <v>165</v>
      </c>
      <c r="E63" s="294">
        <f>+E64+E65+E66+E67</f>
        <v>-927101.2</v>
      </c>
    </row>
    <row r="64" spans="2:5">
      <c r="B64" s="362"/>
      <c r="C64" s="362"/>
      <c r="D64" s="152" t="s">
        <v>198</v>
      </c>
      <c r="E64" s="172">
        <f>+'Հավելված N 3'!D61</f>
        <v>-339337.69999999995</v>
      </c>
    </row>
    <row r="65" spans="2:5">
      <c r="B65" s="362"/>
      <c r="C65" s="362"/>
      <c r="D65" s="231" t="s">
        <v>298</v>
      </c>
      <c r="E65" s="172">
        <f>+'Հավելված N 3'!D62</f>
        <v>-441022.30000000005</v>
      </c>
    </row>
    <row r="66" spans="2:5">
      <c r="B66" s="362"/>
      <c r="C66" s="362"/>
      <c r="D66" s="231" t="s">
        <v>299</v>
      </c>
      <c r="E66" s="172">
        <f>+'Հավելված N 3'!D63</f>
        <v>-141741.20000000001</v>
      </c>
    </row>
    <row r="67" spans="2:5">
      <c r="B67" s="362"/>
      <c r="C67" s="362"/>
      <c r="D67" s="236" t="s">
        <v>225</v>
      </c>
      <c r="E67" s="172">
        <f>+'Հավելված N 3'!D64</f>
        <v>-5000</v>
      </c>
    </row>
    <row r="68" spans="2:5">
      <c r="B68" s="362"/>
      <c r="C68" s="362"/>
      <c r="D68" s="219" t="s">
        <v>164</v>
      </c>
      <c r="E68" s="294">
        <f>+E69+E70+E71+E72</f>
        <v>-955713.70000000007</v>
      </c>
    </row>
    <row r="69" spans="2:5" ht="36">
      <c r="B69" s="362"/>
      <c r="C69" s="362"/>
      <c r="D69" s="152" t="s">
        <v>199</v>
      </c>
      <c r="E69" s="245">
        <f>+'Հավելված N 3'!D66</f>
        <v>-446392.7</v>
      </c>
    </row>
    <row r="70" spans="2:5">
      <c r="B70" s="362"/>
      <c r="C70" s="362"/>
      <c r="D70" s="152" t="s">
        <v>200</v>
      </c>
      <c r="E70" s="245">
        <f>+'Հավելված N 3'!D67</f>
        <v>-311675.40000000002</v>
      </c>
    </row>
    <row r="71" spans="2:5">
      <c r="B71" s="362"/>
      <c r="C71" s="362"/>
      <c r="D71" s="152" t="s">
        <v>201</v>
      </c>
      <c r="E71" s="245">
        <f>+'Հավելված N 3'!D68</f>
        <v>-192845.6</v>
      </c>
    </row>
    <row r="72" spans="2:5">
      <c r="B72" s="362"/>
      <c r="C72" s="362"/>
      <c r="D72" s="152" t="s">
        <v>275</v>
      </c>
      <c r="E72" s="245">
        <f>+'Հավելված N 3'!D69</f>
        <v>-4800</v>
      </c>
    </row>
    <row r="73" spans="2:5">
      <c r="B73" s="362"/>
      <c r="C73" s="362"/>
      <c r="D73" s="219" t="s">
        <v>155</v>
      </c>
      <c r="E73" s="293">
        <f>+E74+E75+E76+E77</f>
        <v>-629252.6</v>
      </c>
    </row>
    <row r="74" spans="2:5">
      <c r="B74" s="362"/>
      <c r="C74" s="362"/>
      <c r="D74" s="231" t="s">
        <v>296</v>
      </c>
      <c r="E74" s="245">
        <f>+'Հավելված N 3'!D71</f>
        <v>-157108</v>
      </c>
    </row>
    <row r="75" spans="2:5">
      <c r="B75" s="362"/>
      <c r="C75" s="362"/>
      <c r="D75" s="152" t="s">
        <v>156</v>
      </c>
      <c r="E75" s="245">
        <f>+'Հավելված N 3'!D72</f>
        <v>-239751</v>
      </c>
    </row>
    <row r="76" spans="2:5">
      <c r="B76" s="362"/>
      <c r="C76" s="362"/>
      <c r="D76" s="152" t="s">
        <v>202</v>
      </c>
      <c r="E76" s="245">
        <f>+'Հավելված N 3'!D73</f>
        <v>-227393.6</v>
      </c>
    </row>
    <row r="77" spans="2:5">
      <c r="B77" s="362"/>
      <c r="C77" s="362"/>
      <c r="D77" s="236" t="s">
        <v>227</v>
      </c>
      <c r="E77" s="245">
        <f>+'Հավելված N 3'!D74</f>
        <v>-5000</v>
      </c>
    </row>
    <row r="78" spans="2:5">
      <c r="B78" s="362"/>
      <c r="C78" s="362"/>
      <c r="D78" s="219" t="s">
        <v>123</v>
      </c>
      <c r="E78" s="293">
        <f>+E79+E80+E81+E82</f>
        <v>-366527.39999999997</v>
      </c>
    </row>
    <row r="79" spans="2:5" ht="36">
      <c r="B79" s="362"/>
      <c r="C79" s="362"/>
      <c r="D79" s="152" t="s">
        <v>203</v>
      </c>
      <c r="E79" s="245">
        <f>+'Հավելված N 3'!D76</f>
        <v>-298292.69999999995</v>
      </c>
    </row>
    <row r="80" spans="2:5">
      <c r="B80" s="362"/>
      <c r="C80" s="362"/>
      <c r="D80" s="231" t="s">
        <v>302</v>
      </c>
      <c r="E80" s="245">
        <f>+'Հավելված N 3'!D77</f>
        <v>-58234.700000000004</v>
      </c>
    </row>
    <row r="81" spans="2:5">
      <c r="B81" s="362"/>
      <c r="C81" s="362"/>
      <c r="D81" s="236" t="s">
        <v>228</v>
      </c>
      <c r="E81" s="245">
        <f>+'Հավելված N 3'!D78</f>
        <v>-5000</v>
      </c>
    </row>
    <row r="82" spans="2:5">
      <c r="B82" s="363"/>
      <c r="C82" s="363"/>
      <c r="D82" s="236" t="s">
        <v>229</v>
      </c>
      <c r="E82" s="245">
        <f>+'Հավելված N 3'!D79</f>
        <v>-5000</v>
      </c>
    </row>
  </sheetData>
  <mergeCells count="15">
    <mergeCell ref="C16:C17"/>
    <mergeCell ref="B16:B17"/>
    <mergeCell ref="D3:E3"/>
    <mergeCell ref="D2:E2"/>
    <mergeCell ref="D1:E1"/>
    <mergeCell ref="B5:E5"/>
    <mergeCell ref="B9:C9"/>
    <mergeCell ref="D9:D11"/>
    <mergeCell ref="C10:C11"/>
    <mergeCell ref="B10:B11"/>
    <mergeCell ref="E10:E11"/>
    <mergeCell ref="B18:B37"/>
    <mergeCell ref="C18:C37"/>
    <mergeCell ref="C42:C82"/>
    <mergeCell ref="B42:B82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83"/>
  <sheetViews>
    <sheetView topLeftCell="A53" zoomScale="85" zoomScaleNormal="85" zoomScaleSheetLayoutView="100" workbookViewId="0">
      <selection activeCell="E72" sqref="E72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4" width="26.8984375" style="6" customWidth="1"/>
    <col min="5" max="5" width="32" style="6" customWidth="1"/>
    <col min="6" max="6" width="49.8984375" style="6" customWidth="1"/>
    <col min="7" max="16384" width="9.09765625" style="6"/>
  </cols>
  <sheetData>
    <row r="1" spans="1:4" ht="37.5" customHeight="1">
      <c r="C1" s="385" t="s">
        <v>150</v>
      </c>
      <c r="D1" s="385"/>
    </row>
    <row r="2" spans="1:4" ht="17.45" customHeight="1">
      <c r="C2" s="384" t="s">
        <v>148</v>
      </c>
      <c r="D2" s="384"/>
    </row>
    <row r="3" spans="1:4" ht="17.45" customHeight="1">
      <c r="C3" s="384" t="s">
        <v>9</v>
      </c>
      <c r="D3" s="384"/>
    </row>
    <row r="5" spans="1:4" ht="59.45" customHeight="1">
      <c r="A5" s="106"/>
      <c r="B5" s="390" t="s">
        <v>208</v>
      </c>
      <c r="C5" s="390"/>
      <c r="D5" s="390"/>
    </row>
    <row r="6" spans="1:4" ht="23.45" customHeight="1"/>
    <row r="7" spans="1:4" ht="21.95" customHeight="1">
      <c r="A7" s="389" t="s">
        <v>144</v>
      </c>
      <c r="B7" s="389"/>
      <c r="C7" s="389"/>
      <c r="D7" s="389"/>
    </row>
    <row r="8" spans="1:4" ht="38.9" customHeight="1">
      <c r="C8" s="24" t="s">
        <v>136</v>
      </c>
      <c r="D8" s="25"/>
    </row>
    <row r="9" spans="1:4">
      <c r="B9" s="386" t="s">
        <v>11</v>
      </c>
      <c r="C9" s="387"/>
      <c r="D9" s="388"/>
    </row>
    <row r="10" spans="1:4" s="76" customFormat="1">
      <c r="B10" s="107"/>
      <c r="C10" s="107"/>
      <c r="D10" s="108"/>
    </row>
    <row r="11" spans="1:4" s="76" customFormat="1">
      <c r="B11" s="107"/>
      <c r="C11" s="107"/>
    </row>
    <row r="12" spans="1:4" s="8" customFormat="1">
      <c r="B12" s="28" t="s">
        <v>1</v>
      </c>
      <c r="C12" s="28" t="s">
        <v>2</v>
      </c>
      <c r="D12" s="111"/>
    </row>
    <row r="13" spans="1:4" s="8" customFormat="1">
      <c r="B13" s="112">
        <v>1146</v>
      </c>
      <c r="C13" s="264" t="s">
        <v>260</v>
      </c>
      <c r="D13" s="28"/>
    </row>
    <row r="14" spans="1:4" s="8" customFormat="1"/>
    <row r="15" spans="1:4" s="8" customFormat="1">
      <c r="B15" s="380" t="s">
        <v>3</v>
      </c>
      <c r="C15" s="381"/>
      <c r="D15" s="28"/>
    </row>
    <row r="16" spans="1:4" s="8" customFormat="1" ht="72">
      <c r="B16" s="26" t="s">
        <v>4</v>
      </c>
      <c r="C16" s="259">
        <v>1146</v>
      </c>
      <c r="D16" s="179" t="s">
        <v>142</v>
      </c>
    </row>
    <row r="17" spans="2:5" s="8" customFormat="1">
      <c r="B17" s="222" t="s">
        <v>5</v>
      </c>
      <c r="C17" s="259">
        <v>11006</v>
      </c>
      <c r="D17" s="280" t="s">
        <v>12</v>
      </c>
    </row>
    <row r="18" spans="2:5" s="8" customFormat="1" ht="36">
      <c r="B18" s="267" t="s">
        <v>44</v>
      </c>
      <c r="C18" s="283" t="s">
        <v>342</v>
      </c>
      <c r="D18" s="337"/>
    </row>
    <row r="19" spans="2:5" s="8" customFormat="1" ht="54">
      <c r="B19" s="267" t="s">
        <v>45</v>
      </c>
      <c r="C19" s="283" t="s">
        <v>343</v>
      </c>
      <c r="D19" s="338"/>
    </row>
    <row r="20" spans="2:5" s="8" customFormat="1" ht="36">
      <c r="B20" s="267" t="s">
        <v>46</v>
      </c>
      <c r="C20" s="268" t="s">
        <v>331</v>
      </c>
      <c r="D20" s="338"/>
    </row>
    <row r="21" spans="2:5" s="8" customFormat="1" ht="72">
      <c r="B21" s="267" t="s">
        <v>332</v>
      </c>
      <c r="C21" s="268" t="s">
        <v>344</v>
      </c>
      <c r="D21" s="338"/>
    </row>
    <row r="22" spans="2:5" s="8" customFormat="1">
      <c r="B22" s="382" t="s">
        <v>0</v>
      </c>
      <c r="C22" s="383"/>
      <c r="D22" s="312"/>
    </row>
    <row r="23" spans="2:5" s="8" customFormat="1" ht="18" customHeight="1">
      <c r="B23" s="373" t="s">
        <v>334</v>
      </c>
      <c r="C23" s="373"/>
      <c r="D23" s="266">
        <v>-18</v>
      </c>
    </row>
    <row r="24" spans="2:5" s="8" customFormat="1" ht="18" customHeight="1">
      <c r="B24" s="373" t="s">
        <v>335</v>
      </c>
      <c r="C24" s="373"/>
      <c r="D24" s="266">
        <v>-12</v>
      </c>
    </row>
    <row r="25" spans="2:5" s="8" customFormat="1" ht="18" customHeight="1">
      <c r="B25" s="373" t="s">
        <v>336</v>
      </c>
      <c r="C25" s="373"/>
      <c r="D25" s="266">
        <v>-6</v>
      </c>
    </row>
    <row r="26" spans="2:5" s="73" customFormat="1">
      <c r="B26" s="29" t="s">
        <v>8</v>
      </c>
      <c r="C26" s="29"/>
      <c r="D26" s="113">
        <f>+'Հավելված N 1'!D23</f>
        <v>-25501.599999999999</v>
      </c>
      <c r="E26" s="114"/>
    </row>
    <row r="27" spans="2:5" ht="8.75" customHeight="1"/>
    <row r="28" spans="2:5" s="8" customFormat="1">
      <c r="B28" s="380" t="s">
        <v>3</v>
      </c>
      <c r="C28" s="381"/>
      <c r="D28" s="28"/>
    </row>
    <row r="29" spans="2:5" s="8" customFormat="1" ht="108">
      <c r="B29" s="26" t="s">
        <v>4</v>
      </c>
      <c r="C29" s="259">
        <v>1146</v>
      </c>
      <c r="D29" s="179" t="s">
        <v>337</v>
      </c>
    </row>
    <row r="30" spans="2:5" s="8" customFormat="1">
      <c r="B30" s="222" t="s">
        <v>43</v>
      </c>
      <c r="C30" s="259" t="s">
        <v>338</v>
      </c>
      <c r="D30" s="280" t="s">
        <v>12</v>
      </c>
    </row>
    <row r="31" spans="2:5" s="8" customFormat="1" ht="36">
      <c r="B31" s="267" t="s">
        <v>44</v>
      </c>
      <c r="C31" s="283" t="s">
        <v>339</v>
      </c>
      <c r="D31" s="337"/>
    </row>
    <row r="32" spans="2:5" s="8" customFormat="1" ht="72">
      <c r="B32" s="267" t="s">
        <v>45</v>
      </c>
      <c r="C32" s="283" t="s">
        <v>340</v>
      </c>
      <c r="D32" s="338"/>
    </row>
    <row r="33" spans="2:5" s="8" customFormat="1" ht="36">
      <c r="B33" s="267" t="s">
        <v>46</v>
      </c>
      <c r="C33" s="268" t="s">
        <v>331</v>
      </c>
      <c r="D33" s="338"/>
    </row>
    <row r="34" spans="2:5" s="8" customFormat="1" ht="72">
      <c r="B34" s="267" t="s">
        <v>332</v>
      </c>
      <c r="C34" s="268" t="s">
        <v>341</v>
      </c>
      <c r="D34" s="338"/>
    </row>
    <row r="35" spans="2:5" s="8" customFormat="1">
      <c r="B35" s="382" t="s">
        <v>0</v>
      </c>
      <c r="C35" s="383"/>
      <c r="D35" s="312"/>
    </row>
    <row r="36" spans="2:5" s="8" customFormat="1" ht="18" customHeight="1">
      <c r="B36" s="373" t="s">
        <v>334</v>
      </c>
      <c r="C36" s="373"/>
      <c r="D36" s="266">
        <v>-479</v>
      </c>
    </row>
    <row r="37" spans="2:5" s="73" customFormat="1">
      <c r="B37" s="29" t="s">
        <v>8</v>
      </c>
      <c r="C37" s="29"/>
      <c r="D37" s="113">
        <f>+'Հավելված N 1'!D29</f>
        <v>-260030.2</v>
      </c>
      <c r="E37" s="114"/>
    </row>
    <row r="38" spans="2:5" ht="8.75" customHeight="1"/>
    <row r="39" spans="2:5" s="8" customFormat="1">
      <c r="B39" s="380" t="s">
        <v>3</v>
      </c>
      <c r="C39" s="381"/>
      <c r="D39" s="28"/>
    </row>
    <row r="40" spans="2:5" s="8" customFormat="1" ht="72">
      <c r="B40" s="26" t="s">
        <v>4</v>
      </c>
      <c r="C40" s="259">
        <v>1146</v>
      </c>
      <c r="D40" s="179" t="s">
        <v>142</v>
      </c>
    </row>
    <row r="41" spans="2:5" s="8" customFormat="1">
      <c r="B41" s="222" t="s">
        <v>5</v>
      </c>
      <c r="C41" s="259">
        <v>12010</v>
      </c>
      <c r="D41" s="213" t="s">
        <v>12</v>
      </c>
    </row>
    <row r="42" spans="2:5" s="8" customFormat="1" ht="36">
      <c r="B42" s="267" t="s">
        <v>44</v>
      </c>
      <c r="C42" s="265" t="s">
        <v>268</v>
      </c>
      <c r="D42" s="337"/>
    </row>
    <row r="43" spans="2:5" s="8" customFormat="1" ht="36">
      <c r="B43" s="267" t="s">
        <v>45</v>
      </c>
      <c r="C43" s="265" t="s">
        <v>269</v>
      </c>
      <c r="D43" s="338"/>
    </row>
    <row r="44" spans="2:5" s="8" customFormat="1" ht="36">
      <c r="B44" s="267" t="s">
        <v>46</v>
      </c>
      <c r="C44" s="268" t="s">
        <v>270</v>
      </c>
      <c r="D44" s="338"/>
    </row>
    <row r="45" spans="2:5" s="8" customFormat="1" ht="54">
      <c r="B45" s="267" t="s">
        <v>271</v>
      </c>
      <c r="C45" s="268" t="s">
        <v>272</v>
      </c>
      <c r="D45" s="338"/>
    </row>
    <row r="46" spans="2:5" s="8" customFormat="1">
      <c r="B46" s="382" t="s">
        <v>0</v>
      </c>
      <c r="C46" s="383"/>
      <c r="D46" s="312"/>
    </row>
    <row r="47" spans="2:5" s="8" customFormat="1">
      <c r="B47" s="395" t="s">
        <v>267</v>
      </c>
      <c r="C47" s="396"/>
      <c r="D47" s="266">
        <v>-2</v>
      </c>
    </row>
    <row r="48" spans="2:5" s="8" customFormat="1" ht="18" customHeight="1">
      <c r="B48" s="395" t="s">
        <v>273</v>
      </c>
      <c r="C48" s="396"/>
      <c r="D48" s="266">
        <v>-6</v>
      </c>
    </row>
    <row r="49" spans="2:5" s="73" customFormat="1">
      <c r="B49" s="29" t="s">
        <v>8</v>
      </c>
      <c r="C49" s="29"/>
      <c r="D49" s="113">
        <f>+'Հավելված N 1'!D35</f>
        <v>-1009742.7</v>
      </c>
      <c r="E49" s="114"/>
    </row>
    <row r="51" spans="2:5">
      <c r="B51" s="32" t="s">
        <v>1</v>
      </c>
      <c r="C51" s="393" t="s">
        <v>2</v>
      </c>
      <c r="D51" s="394"/>
    </row>
    <row r="52" spans="2:5">
      <c r="B52" s="112">
        <v>1183</v>
      </c>
      <c r="C52" s="30" t="s">
        <v>134</v>
      </c>
      <c r="D52" s="30"/>
    </row>
    <row r="53" spans="2:5">
      <c r="B53" s="8"/>
      <c r="C53" s="8"/>
      <c r="D53" s="8"/>
    </row>
    <row r="54" spans="2:5">
      <c r="B54" s="374" t="s">
        <v>3</v>
      </c>
      <c r="C54" s="375"/>
      <c r="D54" s="116"/>
      <c r="E54" s="8"/>
    </row>
    <row r="55" spans="2:5" s="8" customFormat="1" ht="72">
      <c r="B55" s="26" t="s">
        <v>42</v>
      </c>
      <c r="C55" s="89">
        <v>1183</v>
      </c>
      <c r="D55" s="182" t="s">
        <v>142</v>
      </c>
      <c r="E55" s="6"/>
    </row>
    <row r="56" spans="2:5">
      <c r="B56" s="34" t="s">
        <v>274</v>
      </c>
      <c r="C56" s="89">
        <v>32003</v>
      </c>
      <c r="D56" s="151" t="s">
        <v>12</v>
      </c>
    </row>
    <row r="57" spans="2:5" ht="36">
      <c r="B57" s="34" t="s">
        <v>44</v>
      </c>
      <c r="C57" s="159" t="s">
        <v>171</v>
      </c>
      <c r="D57" s="376"/>
    </row>
    <row r="58" spans="2:5" ht="36">
      <c r="B58" s="34" t="s">
        <v>45</v>
      </c>
      <c r="C58" s="159" t="s">
        <v>172</v>
      </c>
      <c r="D58" s="377"/>
    </row>
    <row r="59" spans="2:5" ht="36">
      <c r="B59" s="34" t="s">
        <v>46</v>
      </c>
      <c r="C59" s="160" t="s">
        <v>133</v>
      </c>
      <c r="D59" s="377"/>
    </row>
    <row r="60" spans="2:5" ht="72" customHeight="1">
      <c r="B60" s="34" t="s">
        <v>135</v>
      </c>
      <c r="C60" s="160" t="s">
        <v>173</v>
      </c>
      <c r="D60" s="377"/>
    </row>
    <row r="61" spans="2:5">
      <c r="B61" s="379" t="s">
        <v>47</v>
      </c>
      <c r="C61" s="379"/>
      <c r="D61" s="378"/>
    </row>
    <row r="62" spans="2:5" ht="35.450000000000003" customHeight="1">
      <c r="B62" s="391" t="s">
        <v>141</v>
      </c>
      <c r="C62" s="392"/>
      <c r="D62" s="117">
        <v>-10</v>
      </c>
    </row>
    <row r="63" spans="2:5">
      <c r="B63" s="31" t="s">
        <v>48</v>
      </c>
      <c r="C63" s="31"/>
      <c r="D63" s="113">
        <f>+'Հավելված N 1'!D48</f>
        <v>-4636411.8</v>
      </c>
    </row>
    <row r="67" spans="1:4">
      <c r="A67" s="398" t="s">
        <v>89</v>
      </c>
      <c r="B67" s="398"/>
      <c r="C67" s="398"/>
      <c r="D67" s="398"/>
    </row>
    <row r="68" spans="1:4">
      <c r="C68" s="35" t="s">
        <v>53</v>
      </c>
      <c r="D68" s="25"/>
    </row>
    <row r="69" spans="1:4">
      <c r="B69" s="36" t="s">
        <v>11</v>
      </c>
      <c r="C69" s="37"/>
      <c r="D69" s="38"/>
    </row>
    <row r="70" spans="1:4" s="76" customFormat="1">
      <c r="B70" s="107"/>
      <c r="C70" s="107"/>
      <c r="D70" s="108"/>
    </row>
    <row r="71" spans="1:4" s="76" customFormat="1">
      <c r="B71" s="107"/>
      <c r="C71" s="107"/>
      <c r="D71" s="108"/>
    </row>
    <row r="72" spans="1:4">
      <c r="B72" s="28" t="s">
        <v>1</v>
      </c>
      <c r="C72" s="28" t="s">
        <v>2</v>
      </c>
      <c r="D72" s="115"/>
    </row>
    <row r="73" spans="1:4">
      <c r="B73" s="112">
        <v>1139</v>
      </c>
      <c r="C73" s="30" t="s">
        <v>87</v>
      </c>
      <c r="D73" s="33"/>
    </row>
    <row r="74" spans="1:4" s="76" customFormat="1">
      <c r="B74" s="107"/>
      <c r="C74" s="107"/>
      <c r="D74" s="108"/>
    </row>
    <row r="75" spans="1:4">
      <c r="B75" s="399" t="s">
        <v>3</v>
      </c>
      <c r="C75" s="400"/>
      <c r="D75" s="115"/>
    </row>
    <row r="76" spans="1:4" s="8" customFormat="1" ht="72">
      <c r="B76" s="26" t="s">
        <v>4</v>
      </c>
      <c r="C76" s="89">
        <v>1139</v>
      </c>
      <c r="D76" s="179" t="s">
        <v>119</v>
      </c>
    </row>
    <row r="77" spans="1:4">
      <c r="B77" s="118" t="s">
        <v>5</v>
      </c>
      <c r="C77" s="119">
        <v>11001</v>
      </c>
      <c r="D77" s="27" t="s">
        <v>12</v>
      </c>
    </row>
    <row r="78" spans="1:4" ht="36">
      <c r="B78" s="118" t="s">
        <v>6</v>
      </c>
      <c r="C78" s="109" t="s">
        <v>87</v>
      </c>
      <c r="D78" s="337"/>
    </row>
    <row r="79" spans="1:4" ht="72">
      <c r="B79" s="118" t="s">
        <v>10</v>
      </c>
      <c r="C79" s="109" t="s">
        <v>88</v>
      </c>
      <c r="D79" s="338"/>
    </row>
    <row r="80" spans="1:4" ht="18" customHeight="1">
      <c r="B80" s="118" t="s">
        <v>7</v>
      </c>
      <c r="C80" s="109" t="s">
        <v>60</v>
      </c>
      <c r="D80" s="338"/>
    </row>
    <row r="81" spans="2:4" ht="54">
      <c r="B81" s="80" t="s">
        <v>41</v>
      </c>
      <c r="C81" s="109" t="s">
        <v>53</v>
      </c>
      <c r="D81" s="338"/>
    </row>
    <row r="82" spans="2:4">
      <c r="B82" s="120"/>
      <c r="C82" s="121" t="s">
        <v>0</v>
      </c>
      <c r="D82" s="312"/>
    </row>
    <row r="83" spans="2:4">
      <c r="B83" s="397" t="s">
        <v>8</v>
      </c>
      <c r="C83" s="397"/>
      <c r="D83" s="68">
        <f>+'Հավելված N 1'!D62</f>
        <v>5931686.2999999998</v>
      </c>
    </row>
  </sheetData>
  <mergeCells count="30">
    <mergeCell ref="B24:C24"/>
    <mergeCell ref="B25:C25"/>
    <mergeCell ref="B83:C83"/>
    <mergeCell ref="A67:D67"/>
    <mergeCell ref="D78:D82"/>
    <mergeCell ref="B75:C75"/>
    <mergeCell ref="C51:D51"/>
    <mergeCell ref="B46:C46"/>
    <mergeCell ref="B47:C47"/>
    <mergeCell ref="B48:C48"/>
    <mergeCell ref="B54:C54"/>
    <mergeCell ref="D57:D61"/>
    <mergeCell ref="B61:C61"/>
    <mergeCell ref="B62:C62"/>
    <mergeCell ref="C1:D1"/>
    <mergeCell ref="B9:D9"/>
    <mergeCell ref="A7:D7"/>
    <mergeCell ref="B5:D5"/>
    <mergeCell ref="C3:D3"/>
    <mergeCell ref="C2:D2"/>
    <mergeCell ref="B28:C28"/>
    <mergeCell ref="D31:D35"/>
    <mergeCell ref="B35:C35"/>
    <mergeCell ref="B36:C36"/>
    <mergeCell ref="B15:C15"/>
    <mergeCell ref="D18:D22"/>
    <mergeCell ref="B22:C22"/>
    <mergeCell ref="B23:C23"/>
    <mergeCell ref="B39:C39"/>
    <mergeCell ref="D42:D4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94"/>
  <sheetViews>
    <sheetView topLeftCell="A85" zoomScale="85" zoomScaleNormal="85" zoomScaleSheetLayoutView="100" workbookViewId="0">
      <selection activeCell="E78" sqref="E78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4" width="26.8984375" style="6" customWidth="1"/>
    <col min="5" max="5" width="32" style="6" customWidth="1"/>
    <col min="6" max="6" width="49.8984375" style="6" customWidth="1"/>
    <col min="7" max="16384" width="9.09765625" style="6"/>
  </cols>
  <sheetData>
    <row r="1" spans="1:4" ht="37.5" customHeight="1">
      <c r="C1" s="385" t="s">
        <v>112</v>
      </c>
      <c r="D1" s="385"/>
    </row>
    <row r="2" spans="1:4" ht="17.45" customHeight="1">
      <c r="C2" s="384" t="s">
        <v>148</v>
      </c>
      <c r="D2" s="384"/>
    </row>
    <row r="3" spans="1:4" ht="17.45" customHeight="1">
      <c r="C3" s="384" t="s">
        <v>9</v>
      </c>
      <c r="D3" s="384"/>
    </row>
    <row r="5" spans="1:4" ht="59.45" customHeight="1">
      <c r="A5" s="106"/>
      <c r="B5" s="390" t="s">
        <v>347</v>
      </c>
      <c r="C5" s="390"/>
      <c r="D5" s="390"/>
    </row>
    <row r="6" spans="1:4" ht="23.45" customHeight="1"/>
    <row r="7" spans="1:4" ht="21.95" customHeight="1">
      <c r="A7" s="389" t="s">
        <v>115</v>
      </c>
      <c r="B7" s="389"/>
      <c r="C7" s="389"/>
      <c r="D7" s="389"/>
    </row>
    <row r="8" spans="1:4" ht="38.9" customHeight="1">
      <c r="C8" s="24" t="s">
        <v>136</v>
      </c>
      <c r="D8" s="25"/>
    </row>
    <row r="9" spans="1:4">
      <c r="B9" s="386" t="s">
        <v>143</v>
      </c>
      <c r="C9" s="387"/>
      <c r="D9" s="388"/>
    </row>
    <row r="10" spans="1:4" s="8" customFormat="1"/>
    <row r="11" spans="1:4" s="8" customFormat="1"/>
    <row r="12" spans="1:4" s="8" customFormat="1">
      <c r="B12" s="28" t="s">
        <v>1</v>
      </c>
      <c r="C12" s="28" t="s">
        <v>2</v>
      </c>
      <c r="D12" s="111"/>
    </row>
    <row r="13" spans="1:4" s="8" customFormat="1">
      <c r="B13" s="112">
        <v>1146</v>
      </c>
      <c r="C13" s="264" t="s">
        <v>260</v>
      </c>
      <c r="D13" s="28"/>
    </row>
    <row r="14" spans="1:4" s="8" customFormat="1"/>
    <row r="15" spans="1:4" s="8" customFormat="1">
      <c r="B15" s="380" t="s">
        <v>3</v>
      </c>
      <c r="C15" s="381"/>
      <c r="D15" s="28"/>
    </row>
    <row r="16" spans="1:4" s="8" customFormat="1" ht="72">
      <c r="B16" s="26" t="s">
        <v>4</v>
      </c>
      <c r="C16" s="259">
        <v>1146</v>
      </c>
      <c r="D16" s="179" t="s">
        <v>142</v>
      </c>
    </row>
    <row r="17" spans="2:5" s="8" customFormat="1">
      <c r="B17" s="222" t="s">
        <v>5</v>
      </c>
      <c r="C17" s="259">
        <v>11006</v>
      </c>
      <c r="D17" s="280" t="s">
        <v>12</v>
      </c>
    </row>
    <row r="18" spans="2:5" s="8" customFormat="1" ht="36">
      <c r="B18" s="267" t="s">
        <v>44</v>
      </c>
      <c r="C18" s="283" t="s">
        <v>342</v>
      </c>
      <c r="D18" s="337"/>
    </row>
    <row r="19" spans="2:5" s="8" customFormat="1" ht="54">
      <c r="B19" s="267" t="s">
        <v>45</v>
      </c>
      <c r="C19" s="283" t="s">
        <v>343</v>
      </c>
      <c r="D19" s="338"/>
    </row>
    <row r="20" spans="2:5" s="8" customFormat="1" ht="36">
      <c r="B20" s="267" t="s">
        <v>46</v>
      </c>
      <c r="C20" s="268" t="s">
        <v>331</v>
      </c>
      <c r="D20" s="338"/>
    </row>
    <row r="21" spans="2:5" s="8" customFormat="1" ht="72">
      <c r="B21" s="267" t="s">
        <v>332</v>
      </c>
      <c r="C21" s="268" t="s">
        <v>344</v>
      </c>
      <c r="D21" s="338"/>
    </row>
    <row r="22" spans="2:5" s="8" customFormat="1">
      <c r="B22" s="382" t="s">
        <v>0</v>
      </c>
      <c r="C22" s="383"/>
      <c r="D22" s="312"/>
    </row>
    <row r="23" spans="2:5" s="8" customFormat="1" ht="18" customHeight="1">
      <c r="B23" s="373" t="s">
        <v>334</v>
      </c>
      <c r="C23" s="373"/>
      <c r="D23" s="266">
        <v>-18</v>
      </c>
    </row>
    <row r="24" spans="2:5" s="8" customFormat="1" ht="18" customHeight="1">
      <c r="B24" s="373" t="s">
        <v>335</v>
      </c>
      <c r="C24" s="373"/>
      <c r="D24" s="266">
        <v>-12</v>
      </c>
    </row>
    <row r="25" spans="2:5" s="8" customFormat="1" ht="18" customHeight="1">
      <c r="B25" s="373" t="s">
        <v>336</v>
      </c>
      <c r="C25" s="373"/>
      <c r="D25" s="266">
        <v>-6</v>
      </c>
    </row>
    <row r="26" spans="2:5" s="73" customFormat="1">
      <c r="B26" s="29" t="s">
        <v>8</v>
      </c>
      <c r="C26" s="29"/>
      <c r="D26" s="113">
        <f>+'Հավելված N 2'!G25</f>
        <v>-25501.599999999999</v>
      </c>
      <c r="E26" s="114"/>
    </row>
    <row r="27" spans="2:5" ht="8.75" customHeight="1"/>
    <row r="28" spans="2:5" s="8" customFormat="1">
      <c r="B28" s="380" t="s">
        <v>3</v>
      </c>
      <c r="C28" s="381"/>
      <c r="D28" s="28"/>
    </row>
    <row r="29" spans="2:5" s="8" customFormat="1" ht="108">
      <c r="B29" s="26" t="s">
        <v>4</v>
      </c>
      <c r="C29" s="259">
        <v>1146</v>
      </c>
      <c r="D29" s="179" t="s">
        <v>337</v>
      </c>
    </row>
    <row r="30" spans="2:5" s="8" customFormat="1">
      <c r="B30" s="222" t="s">
        <v>43</v>
      </c>
      <c r="C30" s="259" t="s">
        <v>338</v>
      </c>
      <c r="D30" s="280" t="s">
        <v>12</v>
      </c>
    </row>
    <row r="31" spans="2:5" s="8" customFormat="1" ht="36">
      <c r="B31" s="267" t="s">
        <v>44</v>
      </c>
      <c r="C31" s="283" t="s">
        <v>339</v>
      </c>
      <c r="D31" s="337"/>
    </row>
    <row r="32" spans="2:5" s="8" customFormat="1" ht="72">
      <c r="B32" s="267" t="s">
        <v>45</v>
      </c>
      <c r="C32" s="283" t="s">
        <v>340</v>
      </c>
      <c r="D32" s="338"/>
    </row>
    <row r="33" spans="2:5" s="8" customFormat="1" ht="36">
      <c r="B33" s="267" t="s">
        <v>46</v>
      </c>
      <c r="C33" s="268" t="s">
        <v>331</v>
      </c>
      <c r="D33" s="338"/>
    </row>
    <row r="34" spans="2:5" s="8" customFormat="1" ht="72">
      <c r="B34" s="267" t="s">
        <v>332</v>
      </c>
      <c r="C34" s="268" t="s">
        <v>333</v>
      </c>
      <c r="D34" s="338"/>
    </row>
    <row r="35" spans="2:5" s="8" customFormat="1">
      <c r="B35" s="382" t="s">
        <v>0</v>
      </c>
      <c r="C35" s="383"/>
      <c r="D35" s="312"/>
    </row>
    <row r="36" spans="2:5" s="8" customFormat="1" ht="18" customHeight="1">
      <c r="B36" s="373" t="s">
        <v>334</v>
      </c>
      <c r="C36" s="373"/>
      <c r="D36" s="266">
        <v>-479</v>
      </c>
    </row>
    <row r="37" spans="2:5" s="73" customFormat="1">
      <c r="B37" s="29" t="s">
        <v>8</v>
      </c>
      <c r="C37" s="29"/>
      <c r="D37" s="113">
        <f>+'Հավելված N 2'!G34</f>
        <v>-260030.2</v>
      </c>
      <c r="E37" s="114"/>
    </row>
    <row r="38" spans="2:5" s="76" customFormat="1">
      <c r="B38" s="107"/>
      <c r="C38" s="107"/>
      <c r="D38" s="108"/>
    </row>
    <row r="39" spans="2:5" s="76" customFormat="1">
      <c r="B39" s="107"/>
      <c r="C39" s="107"/>
      <c r="D39" s="108"/>
    </row>
    <row r="40" spans="2:5" s="76" customFormat="1">
      <c r="B40" s="107"/>
      <c r="C40" s="107"/>
      <c r="D40" s="108"/>
    </row>
    <row r="41" spans="2:5" s="76" customFormat="1">
      <c r="B41" s="107"/>
      <c r="C41" s="107"/>
    </row>
    <row r="42" spans="2:5" ht="21.95" customHeight="1">
      <c r="B42" s="211"/>
      <c r="C42" s="211"/>
      <c r="D42" s="184" t="s">
        <v>116</v>
      </c>
      <c r="E42" s="211"/>
    </row>
    <row r="43" spans="2:5" ht="38.9" customHeight="1">
      <c r="C43" s="24" t="s">
        <v>151</v>
      </c>
      <c r="E43" s="25"/>
    </row>
    <row r="44" spans="2:5">
      <c r="B44" s="210" t="s">
        <v>143</v>
      </c>
      <c r="C44" s="210"/>
      <c r="D44" s="210"/>
      <c r="E44" s="209"/>
    </row>
    <row r="47" spans="2:5" s="8" customFormat="1">
      <c r="B47" s="28" t="s">
        <v>1</v>
      </c>
      <c r="C47" s="28" t="s">
        <v>2</v>
      </c>
      <c r="D47" s="111"/>
    </row>
    <row r="48" spans="2:5" s="8" customFormat="1">
      <c r="B48" s="112">
        <v>1146</v>
      </c>
      <c r="C48" s="264" t="s">
        <v>260</v>
      </c>
      <c r="D48" s="28"/>
    </row>
    <row r="49" spans="2:5" s="8" customFormat="1"/>
    <row r="50" spans="2:5" s="8" customFormat="1">
      <c r="B50" s="380" t="s">
        <v>3</v>
      </c>
      <c r="C50" s="381"/>
      <c r="D50" s="28"/>
    </row>
    <row r="51" spans="2:5" s="8" customFormat="1" ht="72">
      <c r="B51" s="26" t="s">
        <v>4</v>
      </c>
      <c r="C51" s="259">
        <v>1146</v>
      </c>
      <c r="D51" s="179" t="s">
        <v>142</v>
      </c>
    </row>
    <row r="52" spans="2:5" s="8" customFormat="1">
      <c r="B52" s="222" t="s">
        <v>5</v>
      </c>
      <c r="C52" s="259">
        <v>12010</v>
      </c>
      <c r="D52" s="213" t="s">
        <v>12</v>
      </c>
    </row>
    <row r="53" spans="2:5" s="8" customFormat="1" ht="36">
      <c r="B53" s="267" t="s">
        <v>44</v>
      </c>
      <c r="C53" s="265" t="s">
        <v>268</v>
      </c>
      <c r="D53" s="337"/>
    </row>
    <row r="54" spans="2:5" s="8" customFormat="1" ht="36">
      <c r="B54" s="267" t="s">
        <v>45</v>
      </c>
      <c r="C54" s="265" t="s">
        <v>269</v>
      </c>
      <c r="D54" s="338"/>
    </row>
    <row r="55" spans="2:5" s="8" customFormat="1" ht="36">
      <c r="B55" s="267" t="s">
        <v>46</v>
      </c>
      <c r="C55" s="268" t="s">
        <v>270</v>
      </c>
      <c r="D55" s="338"/>
    </row>
    <row r="56" spans="2:5" s="8" customFormat="1" ht="54">
      <c r="B56" s="267" t="s">
        <v>271</v>
      </c>
      <c r="C56" s="268" t="s">
        <v>272</v>
      </c>
      <c r="D56" s="338"/>
    </row>
    <row r="57" spans="2:5" s="8" customFormat="1">
      <c r="B57" s="382" t="s">
        <v>0</v>
      </c>
      <c r="C57" s="383"/>
      <c r="D57" s="312"/>
    </row>
    <row r="58" spans="2:5" s="8" customFormat="1">
      <c r="B58" s="395" t="s">
        <v>267</v>
      </c>
      <c r="C58" s="396"/>
      <c r="D58" s="266">
        <v>-2</v>
      </c>
    </row>
    <row r="59" spans="2:5" s="8" customFormat="1" ht="18" customHeight="1">
      <c r="B59" s="395" t="s">
        <v>273</v>
      </c>
      <c r="C59" s="396"/>
      <c r="D59" s="266">
        <v>-6</v>
      </c>
    </row>
    <row r="60" spans="2:5" s="73" customFormat="1">
      <c r="B60" s="29" t="s">
        <v>8</v>
      </c>
      <c r="C60" s="29"/>
      <c r="D60" s="113">
        <f>+'Հավելված N 2'!G51</f>
        <v>-1009742.7</v>
      </c>
      <c r="E60" s="114"/>
    </row>
    <row r="62" spans="2:5">
      <c r="B62" s="32" t="s">
        <v>1</v>
      </c>
      <c r="C62" s="393" t="s">
        <v>2</v>
      </c>
      <c r="D62" s="394"/>
    </row>
    <row r="63" spans="2:5">
      <c r="B63" s="112">
        <v>1183</v>
      </c>
      <c r="C63" s="30" t="s">
        <v>134</v>
      </c>
      <c r="D63" s="30"/>
    </row>
    <row r="65" spans="1:5">
      <c r="B65" s="374" t="s">
        <v>3</v>
      </c>
      <c r="C65" s="375"/>
      <c r="D65" s="116"/>
      <c r="E65" s="8"/>
    </row>
    <row r="66" spans="1:5" s="8" customFormat="1" ht="72">
      <c r="B66" s="26" t="s">
        <v>42</v>
      </c>
      <c r="C66" s="89">
        <v>1183</v>
      </c>
      <c r="D66" s="182" t="s">
        <v>142</v>
      </c>
      <c r="E66" s="6"/>
    </row>
    <row r="67" spans="1:5">
      <c r="B67" s="34" t="s">
        <v>43</v>
      </c>
      <c r="C67" s="89">
        <v>32003</v>
      </c>
      <c r="D67" s="181" t="s">
        <v>12</v>
      </c>
    </row>
    <row r="68" spans="1:5" ht="36">
      <c r="B68" s="34" t="s">
        <v>44</v>
      </c>
      <c r="C68" s="159" t="s">
        <v>171</v>
      </c>
      <c r="D68" s="376"/>
    </row>
    <row r="69" spans="1:5" ht="36">
      <c r="B69" s="34" t="s">
        <v>45</v>
      </c>
      <c r="C69" s="159" t="s">
        <v>172</v>
      </c>
      <c r="D69" s="377"/>
    </row>
    <row r="70" spans="1:5" ht="36">
      <c r="B70" s="34" t="s">
        <v>46</v>
      </c>
      <c r="C70" s="160" t="s">
        <v>133</v>
      </c>
      <c r="D70" s="377"/>
    </row>
    <row r="71" spans="1:5" ht="72" customHeight="1">
      <c r="B71" s="34" t="s">
        <v>135</v>
      </c>
      <c r="C71" s="160" t="s">
        <v>173</v>
      </c>
      <c r="D71" s="377"/>
    </row>
    <row r="72" spans="1:5">
      <c r="B72" s="379" t="s">
        <v>47</v>
      </c>
      <c r="C72" s="379"/>
      <c r="D72" s="378"/>
    </row>
    <row r="73" spans="1:5" ht="35.450000000000003" customHeight="1">
      <c r="B73" s="391" t="s">
        <v>141</v>
      </c>
      <c r="C73" s="392"/>
      <c r="D73" s="117">
        <v>-10</v>
      </c>
    </row>
    <row r="74" spans="1:5">
      <c r="B74" s="31" t="s">
        <v>48</v>
      </c>
      <c r="C74" s="31"/>
      <c r="D74" s="113">
        <f>+'Հավելված N 2'!G64</f>
        <v>-4636411.8</v>
      </c>
    </row>
    <row r="78" spans="1:5">
      <c r="A78" s="398" t="s">
        <v>145</v>
      </c>
      <c r="B78" s="398"/>
      <c r="C78" s="398"/>
      <c r="D78" s="398"/>
    </row>
    <row r="79" spans="1:5">
      <c r="C79" s="35" t="s">
        <v>53</v>
      </c>
      <c r="D79" s="25"/>
    </row>
    <row r="80" spans="1:5">
      <c r="B80" s="36" t="s">
        <v>143</v>
      </c>
      <c r="C80" s="37"/>
      <c r="D80" s="38"/>
    </row>
    <row r="81" spans="2:4" s="76" customFormat="1">
      <c r="B81" s="107"/>
      <c r="C81" s="107"/>
      <c r="D81" s="108"/>
    </row>
    <row r="82" spans="2:4" s="76" customFormat="1">
      <c r="B82" s="107"/>
      <c r="C82" s="107"/>
      <c r="D82" s="108"/>
    </row>
    <row r="83" spans="2:4">
      <c r="B83" s="28" t="s">
        <v>1</v>
      </c>
      <c r="C83" s="28" t="s">
        <v>2</v>
      </c>
      <c r="D83" s="115"/>
    </row>
    <row r="84" spans="2:4">
      <c r="B84" s="112">
        <v>1139</v>
      </c>
      <c r="C84" s="30" t="s">
        <v>87</v>
      </c>
      <c r="D84" s="33"/>
    </row>
    <row r="85" spans="2:4" s="76" customFormat="1">
      <c r="B85" s="107"/>
      <c r="C85" s="107"/>
      <c r="D85" s="108"/>
    </row>
    <row r="86" spans="2:4">
      <c r="B86" s="399" t="s">
        <v>3</v>
      </c>
      <c r="C86" s="400"/>
      <c r="D86" s="115"/>
    </row>
    <row r="87" spans="2:4" s="8" customFormat="1" ht="72">
      <c r="B87" s="26" t="s">
        <v>4</v>
      </c>
      <c r="C87" s="89">
        <v>1139</v>
      </c>
      <c r="D87" s="179" t="s">
        <v>119</v>
      </c>
    </row>
    <row r="88" spans="2:4">
      <c r="B88" s="186" t="s">
        <v>5</v>
      </c>
      <c r="C88" s="119">
        <v>11001</v>
      </c>
      <c r="D88" s="181" t="s">
        <v>12</v>
      </c>
    </row>
    <row r="89" spans="2:4" ht="36">
      <c r="B89" s="186" t="s">
        <v>6</v>
      </c>
      <c r="C89" s="109" t="s">
        <v>87</v>
      </c>
      <c r="D89" s="337"/>
    </row>
    <row r="90" spans="2:4" ht="72">
      <c r="B90" s="186" t="s">
        <v>10</v>
      </c>
      <c r="C90" s="109" t="s">
        <v>88</v>
      </c>
      <c r="D90" s="338"/>
    </row>
    <row r="91" spans="2:4" ht="18" customHeight="1">
      <c r="B91" s="186" t="s">
        <v>7</v>
      </c>
      <c r="C91" s="109" t="s">
        <v>60</v>
      </c>
      <c r="D91" s="338"/>
    </row>
    <row r="92" spans="2:4" ht="54">
      <c r="B92" s="185" t="s">
        <v>41</v>
      </c>
      <c r="C92" s="109" t="s">
        <v>53</v>
      </c>
      <c r="D92" s="338"/>
    </row>
    <row r="93" spans="2:4">
      <c r="B93" s="120"/>
      <c r="C93" s="121" t="s">
        <v>0</v>
      </c>
      <c r="D93" s="312"/>
    </row>
    <row r="94" spans="2:4">
      <c r="B94" s="397" t="s">
        <v>8</v>
      </c>
      <c r="C94" s="397"/>
      <c r="D94" s="68">
        <f>+'Հավելված N 2'!G87</f>
        <v>5931686.2999999998</v>
      </c>
    </row>
  </sheetData>
  <mergeCells count="30">
    <mergeCell ref="B36:C36"/>
    <mergeCell ref="B28:C28"/>
    <mergeCell ref="D31:D35"/>
    <mergeCell ref="B35:C35"/>
    <mergeCell ref="B25:C25"/>
    <mergeCell ref="B15:C15"/>
    <mergeCell ref="D18:D22"/>
    <mergeCell ref="B22:C22"/>
    <mergeCell ref="B23:C23"/>
    <mergeCell ref="B24:C24"/>
    <mergeCell ref="B59:C59"/>
    <mergeCell ref="B50:C50"/>
    <mergeCell ref="D53:D57"/>
    <mergeCell ref="B57:C57"/>
    <mergeCell ref="A78:D78"/>
    <mergeCell ref="B86:C86"/>
    <mergeCell ref="D89:D93"/>
    <mergeCell ref="B94:C94"/>
    <mergeCell ref="B65:C65"/>
    <mergeCell ref="D68:D72"/>
    <mergeCell ref="B72:C72"/>
    <mergeCell ref="B73:C73"/>
    <mergeCell ref="B58:C58"/>
    <mergeCell ref="B9:D9"/>
    <mergeCell ref="C1:D1"/>
    <mergeCell ref="C2:D2"/>
    <mergeCell ref="C3:D3"/>
    <mergeCell ref="B5:D5"/>
    <mergeCell ref="A7:D7"/>
    <mergeCell ref="C62:D6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0"/>
  <sheetViews>
    <sheetView tabSelected="1" zoomScale="85" zoomScaleNormal="85" workbookViewId="0">
      <selection activeCell="H8" sqref="H8"/>
    </sheetView>
  </sheetViews>
  <sheetFormatPr defaultColWidth="9.296875" defaultRowHeight="18"/>
  <cols>
    <col min="1" max="4" width="18.296875" style="8" customWidth="1"/>
    <col min="5" max="6" width="14.296875" style="8" customWidth="1"/>
    <col min="7" max="7" width="19.8984375" style="135" bestFit="1" customWidth="1"/>
    <col min="8" max="8" width="14.296875" style="8" customWidth="1"/>
    <col min="9" max="9" width="30.296875" style="8" customWidth="1"/>
    <col min="10" max="10" width="19.59765625" style="8" customWidth="1"/>
    <col min="11" max="11" width="9.296875" style="8"/>
    <col min="12" max="13" width="11" style="8" bestFit="1" customWidth="1"/>
    <col min="14" max="16384" width="9.296875" style="8"/>
  </cols>
  <sheetData>
    <row r="1" spans="1:11" ht="37.5" customHeight="1">
      <c r="H1" s="323" t="s">
        <v>207</v>
      </c>
      <c r="I1" s="323"/>
    </row>
    <row r="2" spans="1:11" ht="17.45" customHeight="1">
      <c r="H2" s="324" t="s">
        <v>148</v>
      </c>
      <c r="I2" s="324"/>
    </row>
    <row r="3" spans="1:11" ht="17.45" customHeight="1">
      <c r="H3" s="324" t="s">
        <v>9</v>
      </c>
      <c r="I3" s="324"/>
    </row>
    <row r="4" spans="1:11" ht="13.5" customHeight="1">
      <c r="I4" s="163"/>
      <c r="J4" s="135"/>
      <c r="K4" s="135"/>
    </row>
    <row r="5" spans="1:11" ht="42.95" customHeight="1">
      <c r="A5" s="368" t="s">
        <v>348</v>
      </c>
      <c r="B5" s="368"/>
      <c r="C5" s="368"/>
      <c r="D5" s="368"/>
      <c r="E5" s="368"/>
      <c r="F5" s="368"/>
      <c r="G5" s="368"/>
      <c r="H5" s="368"/>
      <c r="I5" s="368"/>
    </row>
    <row r="6" spans="1:11" ht="15.95" customHeight="1">
      <c r="A6" s="433"/>
      <c r="B6" s="433"/>
      <c r="C6" s="433"/>
      <c r="D6" s="433"/>
      <c r="E6" s="433"/>
      <c r="F6" s="433"/>
      <c r="G6" s="433"/>
      <c r="H6" s="433"/>
      <c r="I6" s="433"/>
    </row>
    <row r="7" spans="1:11" ht="101.45" customHeight="1">
      <c r="A7" s="336" t="s">
        <v>91</v>
      </c>
      <c r="B7" s="412" t="s">
        <v>92</v>
      </c>
      <c r="C7" s="413"/>
      <c r="D7" s="414"/>
      <c r="E7" s="336" t="s">
        <v>93</v>
      </c>
      <c r="F7" s="336" t="s">
        <v>94</v>
      </c>
      <c r="G7" s="423" t="s">
        <v>95</v>
      </c>
      <c r="H7" s="421" t="s">
        <v>349</v>
      </c>
      <c r="I7" s="422"/>
    </row>
    <row r="8" spans="1:11" ht="35.450000000000003" customHeight="1">
      <c r="A8" s="336"/>
      <c r="B8" s="415"/>
      <c r="C8" s="416"/>
      <c r="D8" s="417"/>
      <c r="E8" s="336"/>
      <c r="F8" s="336"/>
      <c r="G8" s="423"/>
      <c r="H8" s="136" t="s">
        <v>96</v>
      </c>
      <c r="I8" s="39" t="s">
        <v>97</v>
      </c>
    </row>
    <row r="9" spans="1:11">
      <c r="A9" s="137">
        <v>1</v>
      </c>
      <c r="B9" s="418">
        <v>2</v>
      </c>
      <c r="C9" s="419"/>
      <c r="D9" s="420"/>
      <c r="E9" s="161">
        <v>3</v>
      </c>
      <c r="F9" s="161">
        <v>4</v>
      </c>
      <c r="G9" s="164">
        <v>5</v>
      </c>
      <c r="H9" s="161">
        <v>6</v>
      </c>
      <c r="I9" s="137">
        <v>7</v>
      </c>
    </row>
    <row r="10" spans="1:11" ht="45" customHeight="1">
      <c r="A10" s="404" t="s">
        <v>80</v>
      </c>
      <c r="B10" s="404"/>
      <c r="C10" s="404"/>
      <c r="D10" s="404"/>
      <c r="E10" s="404"/>
      <c r="F10" s="404"/>
      <c r="G10" s="404"/>
      <c r="H10" s="404"/>
      <c r="I10" s="150">
        <f>+I11</f>
        <v>-5646154.5</v>
      </c>
      <c r="J10" s="125"/>
    </row>
    <row r="11" spans="1:11">
      <c r="A11" s="148" t="s">
        <v>99</v>
      </c>
      <c r="B11" s="148" t="s">
        <v>100</v>
      </c>
      <c r="C11" s="148" t="s">
        <v>101</v>
      </c>
      <c r="D11" s="405" t="s">
        <v>52</v>
      </c>
      <c r="E11" s="406"/>
      <c r="F11" s="406"/>
      <c r="G11" s="406"/>
      <c r="H11" s="407"/>
      <c r="I11" s="149">
        <f>+I12+I47</f>
        <v>-5646154.5</v>
      </c>
      <c r="J11" s="52"/>
    </row>
    <row r="12" spans="1:11" s="203" customFormat="1" ht="54.95" customHeight="1">
      <c r="A12" s="201" t="s">
        <v>230</v>
      </c>
      <c r="B12" s="411" t="s">
        <v>231</v>
      </c>
      <c r="C12" s="411"/>
      <c r="D12" s="411"/>
      <c r="E12" s="411"/>
      <c r="F12" s="411"/>
      <c r="G12" s="411"/>
      <c r="H12" s="411"/>
      <c r="I12" s="202">
        <f>+I13+I22</f>
        <v>-1009742.7</v>
      </c>
    </row>
    <row r="13" spans="1:11" s="73" customFormat="1" ht="20.9" customHeight="1">
      <c r="A13" s="74"/>
      <c r="B13" s="408" t="s">
        <v>102</v>
      </c>
      <c r="C13" s="409"/>
      <c r="D13" s="410"/>
      <c r="E13" s="50"/>
      <c r="F13" s="50"/>
      <c r="G13" s="50"/>
      <c r="H13" s="75"/>
      <c r="I13" s="48">
        <f>SUM(I14:I21)</f>
        <v>-948952.9</v>
      </c>
    </row>
    <row r="14" spans="1:11" s="205" customFormat="1" ht="18" customHeight="1">
      <c r="A14" s="225" t="s">
        <v>236</v>
      </c>
      <c r="B14" s="403" t="s">
        <v>232</v>
      </c>
      <c r="C14" s="403"/>
      <c r="D14" s="403"/>
      <c r="E14" s="179" t="s">
        <v>209</v>
      </c>
      <c r="F14" s="204" t="s">
        <v>103</v>
      </c>
      <c r="G14" s="77">
        <v>100000000</v>
      </c>
      <c r="H14" s="45">
        <v>-1</v>
      </c>
      <c r="I14" s="48">
        <v>-100000</v>
      </c>
    </row>
    <row r="15" spans="1:11" s="49" customFormat="1" ht="18" customHeight="1">
      <c r="A15" s="270" t="s">
        <v>306</v>
      </c>
      <c r="B15" s="403" t="s">
        <v>232</v>
      </c>
      <c r="C15" s="403"/>
      <c r="D15" s="403"/>
      <c r="E15" s="226" t="s">
        <v>307</v>
      </c>
      <c r="F15" s="226" t="s">
        <v>103</v>
      </c>
      <c r="G15" s="227"/>
      <c r="H15" s="228"/>
      <c r="I15" s="224">
        <v>-123007.8</v>
      </c>
    </row>
    <row r="16" spans="1:11" s="49" customFormat="1" ht="18" customHeight="1">
      <c r="A16" s="270" t="s">
        <v>310</v>
      </c>
      <c r="B16" s="403" t="s">
        <v>232</v>
      </c>
      <c r="C16" s="403"/>
      <c r="D16" s="403"/>
      <c r="E16" s="226" t="s">
        <v>307</v>
      </c>
      <c r="F16" s="226" t="s">
        <v>103</v>
      </c>
      <c r="G16" s="77">
        <v>153007800</v>
      </c>
      <c r="H16" s="45">
        <v>-1</v>
      </c>
      <c r="I16" s="224">
        <v>-153007.79999999999</v>
      </c>
    </row>
    <row r="17" spans="1:9" s="49" customFormat="1" ht="18" customHeight="1">
      <c r="A17" s="270" t="s">
        <v>320</v>
      </c>
      <c r="B17" s="403" t="s">
        <v>232</v>
      </c>
      <c r="C17" s="403"/>
      <c r="D17" s="403"/>
      <c r="E17" s="226" t="s">
        <v>307</v>
      </c>
      <c r="F17" s="226" t="s">
        <v>103</v>
      </c>
      <c r="G17" s="227"/>
      <c r="H17" s="228"/>
      <c r="I17" s="224">
        <v>-123007.8</v>
      </c>
    </row>
    <row r="18" spans="1:9" s="205" customFormat="1" ht="18" customHeight="1">
      <c r="A18" s="270" t="s">
        <v>233</v>
      </c>
      <c r="B18" s="403" t="s">
        <v>232</v>
      </c>
      <c r="C18" s="403"/>
      <c r="D18" s="403"/>
      <c r="E18" s="179" t="s">
        <v>209</v>
      </c>
      <c r="F18" s="204" t="s">
        <v>103</v>
      </c>
      <c r="G18" s="77">
        <v>153007800</v>
      </c>
      <c r="H18" s="45">
        <v>-1</v>
      </c>
      <c r="I18" s="48">
        <v>-153007.79999999999</v>
      </c>
    </row>
    <row r="19" spans="1:9" s="205" customFormat="1" ht="18" customHeight="1">
      <c r="A19" s="270" t="s">
        <v>239</v>
      </c>
      <c r="B19" s="403" t="s">
        <v>232</v>
      </c>
      <c r="C19" s="403"/>
      <c r="D19" s="403"/>
      <c r="E19" s="179" t="s">
        <v>209</v>
      </c>
      <c r="F19" s="204" t="s">
        <v>103</v>
      </c>
      <c r="G19" s="77">
        <v>143913900</v>
      </c>
      <c r="H19" s="45">
        <v>-1</v>
      </c>
      <c r="I19" s="48">
        <v>-143913.9</v>
      </c>
    </row>
    <row r="20" spans="1:9" s="205" customFormat="1" ht="18" customHeight="1">
      <c r="A20" s="270" t="s">
        <v>242</v>
      </c>
      <c r="B20" s="403" t="s">
        <v>232</v>
      </c>
      <c r="C20" s="403"/>
      <c r="D20" s="403"/>
      <c r="E20" s="179" t="s">
        <v>209</v>
      </c>
      <c r="F20" s="204" t="s">
        <v>103</v>
      </c>
      <c r="G20" s="77">
        <v>76503900</v>
      </c>
      <c r="H20" s="45">
        <v>-1</v>
      </c>
      <c r="I20" s="48">
        <v>-76503.899999999994</v>
      </c>
    </row>
    <row r="21" spans="1:9" s="205" customFormat="1" ht="18" customHeight="1">
      <c r="A21" s="270" t="s">
        <v>243</v>
      </c>
      <c r="B21" s="403" t="s">
        <v>232</v>
      </c>
      <c r="C21" s="403"/>
      <c r="D21" s="403"/>
      <c r="E21" s="179" t="s">
        <v>209</v>
      </c>
      <c r="F21" s="204" t="s">
        <v>103</v>
      </c>
      <c r="G21" s="77">
        <v>76503900</v>
      </c>
      <c r="H21" s="45">
        <v>-1</v>
      </c>
      <c r="I21" s="48">
        <v>-76503.899999999994</v>
      </c>
    </row>
    <row r="22" spans="1:9" s="49" customFormat="1" ht="20.9" customHeight="1">
      <c r="A22" s="273"/>
      <c r="B22" s="408" t="s">
        <v>105</v>
      </c>
      <c r="C22" s="409"/>
      <c r="D22" s="410"/>
      <c r="E22" s="50" t="s">
        <v>104</v>
      </c>
      <c r="F22" s="50" t="s">
        <v>104</v>
      </c>
      <c r="G22" s="50" t="s">
        <v>104</v>
      </c>
      <c r="H22" s="51"/>
      <c r="I22" s="48">
        <f>SUM(I23:I46)</f>
        <v>-60789.799999999988</v>
      </c>
    </row>
    <row r="23" spans="1:9" s="49" customFormat="1">
      <c r="A23" s="270" t="s">
        <v>308</v>
      </c>
      <c r="B23" s="403" t="s">
        <v>106</v>
      </c>
      <c r="C23" s="403"/>
      <c r="D23" s="403"/>
      <c r="E23" s="226" t="s">
        <v>98</v>
      </c>
      <c r="F23" s="226" t="s">
        <v>117</v>
      </c>
      <c r="G23" s="233"/>
      <c r="H23" s="228"/>
      <c r="I23" s="224">
        <v>-5331.3</v>
      </c>
    </row>
    <row r="24" spans="1:9" s="49" customFormat="1">
      <c r="A24" s="270" t="s">
        <v>311</v>
      </c>
      <c r="B24" s="403" t="s">
        <v>106</v>
      </c>
      <c r="C24" s="403"/>
      <c r="D24" s="403"/>
      <c r="E24" s="226" t="s">
        <v>98</v>
      </c>
      <c r="F24" s="226" t="s">
        <v>117</v>
      </c>
      <c r="G24" s="77">
        <v>6120300</v>
      </c>
      <c r="H24" s="45">
        <v>-1</v>
      </c>
      <c r="I24" s="224">
        <v>-6120.3</v>
      </c>
    </row>
    <row r="25" spans="1:9" s="49" customFormat="1">
      <c r="A25" s="270" t="s">
        <v>321</v>
      </c>
      <c r="B25" s="403" t="s">
        <v>106</v>
      </c>
      <c r="C25" s="403"/>
      <c r="D25" s="403"/>
      <c r="E25" s="226" t="s">
        <v>98</v>
      </c>
      <c r="F25" s="226" t="s">
        <v>117</v>
      </c>
      <c r="G25" s="233"/>
      <c r="H25" s="228"/>
      <c r="I25" s="224">
        <v>-5242.5</v>
      </c>
    </row>
    <row r="26" spans="1:9" s="49" customFormat="1">
      <c r="A26" s="270" t="s">
        <v>314</v>
      </c>
      <c r="B26" s="403" t="s">
        <v>106</v>
      </c>
      <c r="C26" s="403"/>
      <c r="D26" s="403"/>
      <c r="E26" s="226" t="s">
        <v>98</v>
      </c>
      <c r="F26" s="226" t="s">
        <v>117</v>
      </c>
      <c r="G26" s="233"/>
      <c r="H26" s="228"/>
      <c r="I26" s="224">
        <v>-3558.4</v>
      </c>
    </row>
    <row r="27" spans="1:9" s="49" customFormat="1">
      <c r="A27" s="270" t="s">
        <v>317</v>
      </c>
      <c r="B27" s="403" t="s">
        <v>106</v>
      </c>
      <c r="C27" s="403"/>
      <c r="D27" s="403"/>
      <c r="E27" s="226" t="s">
        <v>98</v>
      </c>
      <c r="F27" s="226" t="s">
        <v>117</v>
      </c>
      <c r="G27" s="233"/>
      <c r="H27" s="228"/>
      <c r="I27" s="224">
        <v>-2817.4</v>
      </c>
    </row>
    <row r="28" spans="1:9" s="49" customFormat="1">
      <c r="A28" s="273" t="s">
        <v>234</v>
      </c>
      <c r="B28" s="402" t="s">
        <v>106</v>
      </c>
      <c r="C28" s="402"/>
      <c r="D28" s="402"/>
      <c r="E28" s="269" t="s">
        <v>98</v>
      </c>
      <c r="F28" s="269" t="s">
        <v>117</v>
      </c>
      <c r="G28" s="77">
        <v>6120300</v>
      </c>
      <c r="H28" s="45">
        <v>-1</v>
      </c>
      <c r="I28" s="48">
        <v>-6120.3</v>
      </c>
    </row>
    <row r="29" spans="1:9" s="49" customFormat="1">
      <c r="A29" s="273" t="s">
        <v>237</v>
      </c>
      <c r="B29" s="402" t="s">
        <v>106</v>
      </c>
      <c r="C29" s="402"/>
      <c r="D29" s="402"/>
      <c r="E29" s="269" t="s">
        <v>98</v>
      </c>
      <c r="F29" s="269" t="s">
        <v>117</v>
      </c>
      <c r="G29" s="77">
        <v>4000000</v>
      </c>
      <c r="H29" s="45">
        <v>-1</v>
      </c>
      <c r="I29" s="48">
        <v>-4000</v>
      </c>
    </row>
    <row r="30" spans="1:9" s="49" customFormat="1">
      <c r="A30" s="273" t="s">
        <v>240</v>
      </c>
      <c r="B30" s="402" t="s">
        <v>106</v>
      </c>
      <c r="C30" s="402"/>
      <c r="D30" s="402"/>
      <c r="E30" s="269" t="s">
        <v>98</v>
      </c>
      <c r="F30" s="269" t="s">
        <v>117</v>
      </c>
      <c r="G30" s="77">
        <v>5756600</v>
      </c>
      <c r="H30" s="45">
        <v>-1</v>
      </c>
      <c r="I30" s="48">
        <v>-5756.6</v>
      </c>
    </row>
    <row r="31" spans="1:9" s="49" customFormat="1">
      <c r="A31" s="273" t="s">
        <v>245</v>
      </c>
      <c r="B31" s="402" t="s">
        <v>106</v>
      </c>
      <c r="C31" s="402"/>
      <c r="D31" s="402"/>
      <c r="E31" s="269" t="s">
        <v>98</v>
      </c>
      <c r="F31" s="269" t="s">
        <v>117</v>
      </c>
      <c r="G31" s="77">
        <v>3060200</v>
      </c>
      <c r="H31" s="45">
        <v>-1</v>
      </c>
      <c r="I31" s="48">
        <v>-3060.2</v>
      </c>
    </row>
    <row r="32" spans="1:9" s="49" customFormat="1">
      <c r="A32" s="273" t="s">
        <v>244</v>
      </c>
      <c r="B32" s="402" t="s">
        <v>106</v>
      </c>
      <c r="C32" s="402"/>
      <c r="D32" s="402"/>
      <c r="E32" s="269" t="s">
        <v>98</v>
      </c>
      <c r="F32" s="269" t="s">
        <v>117</v>
      </c>
      <c r="G32" s="77">
        <v>3060200</v>
      </c>
      <c r="H32" s="45">
        <v>-1</v>
      </c>
      <c r="I32" s="48">
        <v>-3060.2</v>
      </c>
    </row>
    <row r="33" spans="1:9" s="49" customFormat="1">
      <c r="A33" s="270" t="s">
        <v>309</v>
      </c>
      <c r="B33" s="403" t="s">
        <v>107</v>
      </c>
      <c r="C33" s="403"/>
      <c r="D33" s="403"/>
      <c r="E33" s="226" t="s">
        <v>118</v>
      </c>
      <c r="F33" s="226" t="s">
        <v>117</v>
      </c>
      <c r="G33" s="233"/>
      <c r="H33" s="228"/>
      <c r="I33" s="224">
        <v>-755.4</v>
      </c>
    </row>
    <row r="34" spans="1:9" s="49" customFormat="1">
      <c r="A34" s="270" t="s">
        <v>312</v>
      </c>
      <c r="B34" s="403" t="s">
        <v>107</v>
      </c>
      <c r="C34" s="403"/>
      <c r="D34" s="403"/>
      <c r="E34" s="226" t="s">
        <v>118</v>
      </c>
      <c r="F34" s="226" t="s">
        <v>117</v>
      </c>
      <c r="G34" s="77">
        <v>918000</v>
      </c>
      <c r="H34" s="45">
        <v>-1</v>
      </c>
      <c r="I34" s="48">
        <v>-918</v>
      </c>
    </row>
    <row r="35" spans="1:9" s="49" customFormat="1">
      <c r="A35" s="270" t="s">
        <v>322</v>
      </c>
      <c r="B35" s="403" t="s">
        <v>107</v>
      </c>
      <c r="C35" s="403"/>
      <c r="D35" s="403"/>
      <c r="E35" s="226" t="s">
        <v>118</v>
      </c>
      <c r="F35" s="226" t="s">
        <v>117</v>
      </c>
      <c r="G35" s="233"/>
      <c r="H35" s="228"/>
      <c r="I35" s="224">
        <v>-752.9</v>
      </c>
    </row>
    <row r="36" spans="1:9" s="49" customFormat="1">
      <c r="A36" s="270" t="s">
        <v>315</v>
      </c>
      <c r="B36" s="403" t="s">
        <v>107</v>
      </c>
      <c r="C36" s="403"/>
      <c r="D36" s="403"/>
      <c r="E36" s="226" t="s">
        <v>118</v>
      </c>
      <c r="F36" s="226" t="s">
        <v>117</v>
      </c>
      <c r="G36" s="233"/>
      <c r="H36" s="228"/>
      <c r="I36" s="224">
        <v>-80.599999999999994</v>
      </c>
    </row>
    <row r="37" spans="1:9" s="49" customFormat="1">
      <c r="A37" s="270" t="s">
        <v>318</v>
      </c>
      <c r="B37" s="403" t="s">
        <v>107</v>
      </c>
      <c r="C37" s="403"/>
      <c r="D37" s="403"/>
      <c r="E37" s="226" t="s">
        <v>118</v>
      </c>
      <c r="F37" s="226" t="s">
        <v>117</v>
      </c>
      <c r="G37" s="233"/>
      <c r="H37" s="228"/>
      <c r="I37" s="224">
        <v>-36.1</v>
      </c>
    </row>
    <row r="38" spans="1:9" s="49" customFormat="1">
      <c r="A38" s="273" t="s">
        <v>235</v>
      </c>
      <c r="B38" s="402" t="s">
        <v>107</v>
      </c>
      <c r="C38" s="402"/>
      <c r="D38" s="402"/>
      <c r="E38" s="269" t="s">
        <v>118</v>
      </c>
      <c r="F38" s="269" t="s">
        <v>117</v>
      </c>
      <c r="G38" s="77">
        <v>918000</v>
      </c>
      <c r="H38" s="45">
        <v>-1</v>
      </c>
      <c r="I38" s="48">
        <v>-918</v>
      </c>
    </row>
    <row r="39" spans="1:9" s="49" customFormat="1">
      <c r="A39" s="273" t="s">
        <v>238</v>
      </c>
      <c r="B39" s="402" t="s">
        <v>107</v>
      </c>
      <c r="C39" s="402"/>
      <c r="D39" s="402"/>
      <c r="E39" s="269" t="s">
        <v>118</v>
      </c>
      <c r="F39" s="269" t="s">
        <v>117</v>
      </c>
      <c r="G39" s="77">
        <v>600000</v>
      </c>
      <c r="H39" s="45">
        <v>-1</v>
      </c>
      <c r="I39" s="48">
        <v>-600</v>
      </c>
    </row>
    <row r="40" spans="1:9" s="49" customFormat="1">
      <c r="A40" s="216" t="s">
        <v>241</v>
      </c>
      <c r="B40" s="402" t="s">
        <v>107</v>
      </c>
      <c r="C40" s="402"/>
      <c r="D40" s="402"/>
      <c r="E40" s="214" t="s">
        <v>118</v>
      </c>
      <c r="F40" s="214" t="s">
        <v>117</v>
      </c>
      <c r="G40" s="77">
        <v>863400</v>
      </c>
      <c r="H40" s="45">
        <v>-1</v>
      </c>
      <c r="I40" s="48">
        <v>-863.4</v>
      </c>
    </row>
    <row r="41" spans="1:9" s="49" customFormat="1">
      <c r="A41" s="216" t="s">
        <v>246</v>
      </c>
      <c r="B41" s="402" t="s">
        <v>107</v>
      </c>
      <c r="C41" s="402"/>
      <c r="D41" s="402"/>
      <c r="E41" s="214" t="s">
        <v>118</v>
      </c>
      <c r="F41" s="214" t="s">
        <v>117</v>
      </c>
      <c r="G41" s="77">
        <v>459100</v>
      </c>
      <c r="H41" s="45">
        <v>-1</v>
      </c>
      <c r="I41" s="48">
        <v>-459.1</v>
      </c>
    </row>
    <row r="42" spans="1:9" s="49" customFormat="1">
      <c r="A42" s="216" t="s">
        <v>247</v>
      </c>
      <c r="B42" s="402" t="s">
        <v>107</v>
      </c>
      <c r="C42" s="402"/>
      <c r="D42" s="402"/>
      <c r="E42" s="214" t="s">
        <v>118</v>
      </c>
      <c r="F42" s="214" t="s">
        <v>117</v>
      </c>
      <c r="G42" s="77">
        <v>459100</v>
      </c>
      <c r="H42" s="45">
        <v>-1</v>
      </c>
      <c r="I42" s="48">
        <v>-459.1</v>
      </c>
    </row>
    <row r="43" spans="1:9" s="218" customFormat="1">
      <c r="A43" s="217" t="s">
        <v>251</v>
      </c>
      <c r="B43" s="401" t="s">
        <v>205</v>
      </c>
      <c r="C43" s="401"/>
      <c r="D43" s="401"/>
      <c r="E43" s="179" t="s">
        <v>249</v>
      </c>
      <c r="F43" s="179" t="s">
        <v>103</v>
      </c>
      <c r="G43" s="233">
        <v>4740000</v>
      </c>
      <c r="H43" s="235">
        <v>-1</v>
      </c>
      <c r="I43" s="234">
        <v>-4740</v>
      </c>
    </row>
    <row r="44" spans="1:9" s="218" customFormat="1">
      <c r="A44" s="217" t="s">
        <v>248</v>
      </c>
      <c r="B44" s="401" t="s">
        <v>205</v>
      </c>
      <c r="C44" s="401"/>
      <c r="D44" s="401"/>
      <c r="E44" s="179" t="s">
        <v>249</v>
      </c>
      <c r="F44" s="179" t="s">
        <v>103</v>
      </c>
      <c r="G44" s="233">
        <v>4740000</v>
      </c>
      <c r="H44" s="235">
        <v>-1</v>
      </c>
      <c r="I44" s="234">
        <v>-4740</v>
      </c>
    </row>
    <row r="45" spans="1:9" s="49" customFormat="1">
      <c r="A45" s="223" t="s">
        <v>259</v>
      </c>
      <c r="B45" s="424" t="s">
        <v>206</v>
      </c>
      <c r="C45" s="424"/>
      <c r="D45" s="424"/>
      <c r="E45" s="226" t="s">
        <v>98</v>
      </c>
      <c r="F45" s="246" t="s">
        <v>117</v>
      </c>
      <c r="G45" s="233">
        <v>200000</v>
      </c>
      <c r="H45" s="235">
        <v>-1</v>
      </c>
      <c r="I45" s="234">
        <f t="shared" ref="I45" si="0">+G45*H45/1000</f>
        <v>-200</v>
      </c>
    </row>
    <row r="46" spans="1:9" s="49" customFormat="1">
      <c r="A46" s="223" t="s">
        <v>250</v>
      </c>
      <c r="B46" s="424" t="s">
        <v>206</v>
      </c>
      <c r="C46" s="424"/>
      <c r="D46" s="424"/>
      <c r="E46" s="226" t="s">
        <v>98</v>
      </c>
      <c r="F46" s="246" t="s">
        <v>117</v>
      </c>
      <c r="G46" s="233">
        <v>200000</v>
      </c>
      <c r="H46" s="235">
        <v>-1</v>
      </c>
      <c r="I46" s="234">
        <f t="shared" ref="I46" si="1">+G46*H46/1000</f>
        <v>-200</v>
      </c>
    </row>
    <row r="47" spans="1:9" s="44" customFormat="1" ht="54.95" customHeight="1">
      <c r="A47" s="42" t="s">
        <v>158</v>
      </c>
      <c r="B47" s="425" t="s">
        <v>154</v>
      </c>
      <c r="C47" s="425"/>
      <c r="D47" s="425"/>
      <c r="E47" s="425"/>
      <c r="F47" s="425"/>
      <c r="G47" s="425"/>
      <c r="H47" s="425"/>
      <c r="I47" s="43">
        <f>+I48+I69</f>
        <v>-4636411.8</v>
      </c>
    </row>
    <row r="48" spans="1:9" s="73" customFormat="1" ht="20.9" customHeight="1">
      <c r="A48" s="74"/>
      <c r="B48" s="408" t="s">
        <v>102</v>
      </c>
      <c r="C48" s="409"/>
      <c r="D48" s="410"/>
      <c r="E48" s="50"/>
      <c r="F48" s="50"/>
      <c r="G48" s="50"/>
      <c r="H48" s="75"/>
      <c r="I48" s="48">
        <f>SUM(I49:I68)</f>
        <v>-4388046.5</v>
      </c>
    </row>
    <row r="49" spans="1:9" s="49" customFormat="1">
      <c r="A49" s="178" t="s">
        <v>179</v>
      </c>
      <c r="B49" s="401" t="s">
        <v>159</v>
      </c>
      <c r="C49" s="401"/>
      <c r="D49" s="401"/>
      <c r="E49" s="167" t="s">
        <v>140</v>
      </c>
      <c r="F49" s="167" t="s">
        <v>103</v>
      </c>
      <c r="G49" s="155"/>
      <c r="H49" s="141"/>
      <c r="I49" s="140">
        <v>-50000</v>
      </c>
    </row>
    <row r="50" spans="1:9" s="49" customFormat="1">
      <c r="A50" s="178" t="s">
        <v>180</v>
      </c>
      <c r="B50" s="401" t="s">
        <v>159</v>
      </c>
      <c r="C50" s="401"/>
      <c r="D50" s="401"/>
      <c r="E50" s="167" t="s">
        <v>140</v>
      </c>
      <c r="F50" s="167" t="s">
        <v>103</v>
      </c>
      <c r="G50" s="155"/>
      <c r="H50" s="141"/>
      <c r="I50" s="140">
        <v>-300000</v>
      </c>
    </row>
    <row r="51" spans="1:9" s="49" customFormat="1">
      <c r="A51" s="271" t="s">
        <v>295</v>
      </c>
      <c r="B51" s="401" t="s">
        <v>159</v>
      </c>
      <c r="C51" s="401"/>
      <c r="D51" s="401"/>
      <c r="E51" s="179" t="s">
        <v>140</v>
      </c>
      <c r="F51" s="179" t="s">
        <v>103</v>
      </c>
      <c r="G51" s="155"/>
      <c r="H51" s="141"/>
      <c r="I51" s="140">
        <v>-100000</v>
      </c>
    </row>
    <row r="52" spans="1:9" s="49" customFormat="1">
      <c r="A52" s="178" t="s">
        <v>160</v>
      </c>
      <c r="B52" s="401" t="s">
        <v>159</v>
      </c>
      <c r="C52" s="401"/>
      <c r="D52" s="401"/>
      <c r="E52" s="167" t="s">
        <v>140</v>
      </c>
      <c r="F52" s="167" t="s">
        <v>103</v>
      </c>
      <c r="G52" s="155"/>
      <c r="H52" s="141"/>
      <c r="I52" s="140">
        <v>-315000</v>
      </c>
    </row>
    <row r="53" spans="1:9" s="49" customFormat="1">
      <c r="A53" s="178" t="s">
        <v>181</v>
      </c>
      <c r="B53" s="401" t="s">
        <v>159</v>
      </c>
      <c r="C53" s="401"/>
      <c r="D53" s="401"/>
      <c r="E53" s="179" t="s">
        <v>140</v>
      </c>
      <c r="F53" s="179" t="s">
        <v>103</v>
      </c>
      <c r="G53" s="155"/>
      <c r="H53" s="141"/>
      <c r="I53" s="140">
        <v>-390115.1</v>
      </c>
    </row>
    <row r="54" spans="1:9" s="49" customFormat="1">
      <c r="A54" s="271" t="s">
        <v>289</v>
      </c>
      <c r="B54" s="401" t="s">
        <v>159</v>
      </c>
      <c r="C54" s="401"/>
      <c r="D54" s="401"/>
      <c r="E54" s="179" t="s">
        <v>140</v>
      </c>
      <c r="F54" s="179" t="s">
        <v>103</v>
      </c>
      <c r="G54" s="155"/>
      <c r="H54" s="141"/>
      <c r="I54" s="140">
        <v>-70000</v>
      </c>
    </row>
    <row r="55" spans="1:9" s="49" customFormat="1">
      <c r="A55" s="178" t="s">
        <v>182</v>
      </c>
      <c r="B55" s="401" t="s">
        <v>159</v>
      </c>
      <c r="C55" s="401"/>
      <c r="D55" s="401"/>
      <c r="E55" s="179" t="s">
        <v>140</v>
      </c>
      <c r="F55" s="179" t="s">
        <v>103</v>
      </c>
      <c r="G55" s="155"/>
      <c r="H55" s="141"/>
      <c r="I55" s="140">
        <v>-226687.8</v>
      </c>
    </row>
    <row r="56" spans="1:9" s="49" customFormat="1">
      <c r="A56" s="271" t="s">
        <v>291</v>
      </c>
      <c r="B56" s="401" t="s">
        <v>159</v>
      </c>
      <c r="C56" s="401"/>
      <c r="D56" s="401"/>
      <c r="E56" s="179" t="s">
        <v>140</v>
      </c>
      <c r="F56" s="179" t="s">
        <v>103</v>
      </c>
      <c r="G56" s="155"/>
      <c r="H56" s="141"/>
      <c r="I56" s="140">
        <v>-100000</v>
      </c>
    </row>
    <row r="57" spans="1:9" s="49" customFormat="1">
      <c r="A57" s="271" t="s">
        <v>292</v>
      </c>
      <c r="B57" s="401" t="s">
        <v>159</v>
      </c>
      <c r="C57" s="401"/>
      <c r="D57" s="401"/>
      <c r="E57" s="179" t="s">
        <v>140</v>
      </c>
      <c r="F57" s="179" t="s">
        <v>103</v>
      </c>
      <c r="G57" s="155"/>
      <c r="H57" s="141"/>
      <c r="I57" s="140">
        <v>-100000</v>
      </c>
    </row>
    <row r="58" spans="1:9" s="49" customFormat="1">
      <c r="A58" s="178" t="s">
        <v>183</v>
      </c>
      <c r="B58" s="401" t="s">
        <v>159</v>
      </c>
      <c r="C58" s="401"/>
      <c r="D58" s="401"/>
      <c r="E58" s="179" t="s">
        <v>140</v>
      </c>
      <c r="F58" s="179" t="s">
        <v>103</v>
      </c>
      <c r="G58" s="155"/>
      <c r="H58" s="141"/>
      <c r="I58" s="140">
        <v>-323306.59999999998</v>
      </c>
    </row>
    <row r="59" spans="1:9" s="49" customFormat="1">
      <c r="A59" s="271" t="s">
        <v>300</v>
      </c>
      <c r="B59" s="401" t="s">
        <v>159</v>
      </c>
      <c r="C59" s="401"/>
      <c r="D59" s="401"/>
      <c r="E59" s="179" t="s">
        <v>140</v>
      </c>
      <c r="F59" s="179" t="s">
        <v>103</v>
      </c>
      <c r="G59" s="155"/>
      <c r="H59" s="141"/>
      <c r="I59" s="140">
        <v>-420031.9</v>
      </c>
    </row>
    <row r="60" spans="1:9" s="49" customFormat="1">
      <c r="A60" s="178" t="s">
        <v>184</v>
      </c>
      <c r="B60" s="401" t="s">
        <v>159</v>
      </c>
      <c r="C60" s="401"/>
      <c r="D60" s="401"/>
      <c r="E60" s="179" t="s">
        <v>140</v>
      </c>
      <c r="F60" s="179" t="s">
        <v>103</v>
      </c>
      <c r="G60" s="155"/>
      <c r="H60" s="141"/>
      <c r="I60" s="140">
        <v>-428503.5</v>
      </c>
    </row>
    <row r="61" spans="1:9" s="49" customFormat="1">
      <c r="A61" s="178" t="s">
        <v>185</v>
      </c>
      <c r="B61" s="401" t="s">
        <v>159</v>
      </c>
      <c r="C61" s="401"/>
      <c r="D61" s="401"/>
      <c r="E61" s="179" t="s">
        <v>140</v>
      </c>
      <c r="F61" s="179" t="s">
        <v>103</v>
      </c>
      <c r="G61" s="155"/>
      <c r="H61" s="141"/>
      <c r="I61" s="140">
        <v>-300000</v>
      </c>
    </row>
    <row r="62" spans="1:9" s="49" customFormat="1">
      <c r="A62" s="178" t="s">
        <v>186</v>
      </c>
      <c r="B62" s="401" t="s">
        <v>159</v>
      </c>
      <c r="C62" s="401"/>
      <c r="D62" s="401"/>
      <c r="E62" s="179" t="s">
        <v>140</v>
      </c>
      <c r="F62" s="179" t="s">
        <v>103</v>
      </c>
      <c r="G62" s="155"/>
      <c r="H62" s="141"/>
      <c r="I62" s="140">
        <v>-185000</v>
      </c>
    </row>
    <row r="63" spans="1:9" s="49" customFormat="1">
      <c r="A63" s="271" t="s">
        <v>297</v>
      </c>
      <c r="B63" s="401" t="s">
        <v>159</v>
      </c>
      <c r="C63" s="401"/>
      <c r="D63" s="401"/>
      <c r="E63" s="179" t="s">
        <v>140</v>
      </c>
      <c r="F63" s="179" t="s">
        <v>103</v>
      </c>
      <c r="G63" s="155"/>
      <c r="H63" s="141"/>
      <c r="I63" s="140">
        <v>-150000</v>
      </c>
    </row>
    <row r="64" spans="1:9" s="49" customFormat="1">
      <c r="A64" s="178" t="s">
        <v>187</v>
      </c>
      <c r="B64" s="401" t="s">
        <v>159</v>
      </c>
      <c r="C64" s="401"/>
      <c r="D64" s="401"/>
      <c r="E64" s="179" t="s">
        <v>140</v>
      </c>
      <c r="F64" s="179" t="s">
        <v>103</v>
      </c>
      <c r="G64" s="155"/>
      <c r="H64" s="141"/>
      <c r="I64" s="140">
        <v>-216826</v>
      </c>
    </row>
    <row r="65" spans="1:9" s="49" customFormat="1">
      <c r="A65" s="178" t="s">
        <v>161</v>
      </c>
      <c r="B65" s="401" t="s">
        <v>159</v>
      </c>
      <c r="C65" s="401"/>
      <c r="D65" s="401"/>
      <c r="E65" s="179" t="s">
        <v>140</v>
      </c>
      <c r="F65" s="179" t="s">
        <v>103</v>
      </c>
      <c r="G65" s="155"/>
      <c r="H65" s="141"/>
      <c r="I65" s="140">
        <v>-227351</v>
      </c>
    </row>
    <row r="66" spans="1:9" s="49" customFormat="1">
      <c r="A66" s="178" t="s">
        <v>188</v>
      </c>
      <c r="B66" s="401" t="s">
        <v>159</v>
      </c>
      <c r="C66" s="401"/>
      <c r="D66" s="401"/>
      <c r="E66" s="179" t="s">
        <v>140</v>
      </c>
      <c r="F66" s="179" t="s">
        <v>103</v>
      </c>
      <c r="G66" s="155"/>
      <c r="H66" s="141"/>
      <c r="I66" s="140">
        <v>-293000</v>
      </c>
    </row>
    <row r="67" spans="1:9" s="49" customFormat="1">
      <c r="A67" s="271" t="s">
        <v>301</v>
      </c>
      <c r="B67" s="401" t="s">
        <v>159</v>
      </c>
      <c r="C67" s="401"/>
      <c r="D67" s="401"/>
      <c r="E67" s="179" t="s">
        <v>140</v>
      </c>
      <c r="F67" s="179" t="s">
        <v>103</v>
      </c>
      <c r="G67" s="155"/>
      <c r="H67" s="141"/>
      <c r="I67" s="140">
        <v>-135000</v>
      </c>
    </row>
    <row r="68" spans="1:9" s="49" customFormat="1">
      <c r="A68" s="271" t="s">
        <v>303</v>
      </c>
      <c r="B68" s="401" t="s">
        <v>159</v>
      </c>
      <c r="C68" s="401"/>
      <c r="D68" s="401"/>
      <c r="E68" s="179" t="s">
        <v>140</v>
      </c>
      <c r="F68" s="179" t="s">
        <v>103</v>
      </c>
      <c r="G68" s="155"/>
      <c r="H68" s="141"/>
      <c r="I68" s="140">
        <v>-57224.6</v>
      </c>
    </row>
    <row r="69" spans="1:9" s="49" customFormat="1" ht="20.9" customHeight="1">
      <c r="A69" s="166"/>
      <c r="B69" s="408" t="s">
        <v>105</v>
      </c>
      <c r="C69" s="409"/>
      <c r="D69" s="410"/>
      <c r="E69" s="50" t="s">
        <v>104</v>
      </c>
      <c r="F69" s="50" t="s">
        <v>104</v>
      </c>
      <c r="G69" s="50" t="s">
        <v>104</v>
      </c>
      <c r="H69" s="51"/>
      <c r="I69" s="48">
        <f>SUM(I70:I100)</f>
        <v>-248365.30000000002</v>
      </c>
    </row>
    <row r="70" spans="1:9" s="49" customFormat="1">
      <c r="A70" s="177" t="s">
        <v>189</v>
      </c>
      <c r="B70" s="402" t="s">
        <v>106</v>
      </c>
      <c r="C70" s="402"/>
      <c r="D70" s="402"/>
      <c r="E70" s="165" t="s">
        <v>98</v>
      </c>
      <c r="F70" s="165" t="s">
        <v>117</v>
      </c>
      <c r="G70" s="77"/>
      <c r="H70" s="45"/>
      <c r="I70" s="48">
        <f>-1923.5-13833.3</f>
        <v>-15756.8</v>
      </c>
    </row>
    <row r="71" spans="1:9" s="49" customFormat="1">
      <c r="A71" s="177" t="s">
        <v>177</v>
      </c>
      <c r="B71" s="402" t="s">
        <v>106</v>
      </c>
      <c r="C71" s="402"/>
      <c r="D71" s="402"/>
      <c r="E71" s="165" t="s">
        <v>98</v>
      </c>
      <c r="F71" s="165" t="s">
        <v>117</v>
      </c>
      <c r="G71" s="77"/>
      <c r="H71" s="45"/>
      <c r="I71" s="48">
        <f>-4322.9-13755.6-13185.7</f>
        <v>-31264.2</v>
      </c>
    </row>
    <row r="72" spans="1:9" s="49" customFormat="1">
      <c r="A72" s="273" t="s">
        <v>293</v>
      </c>
      <c r="B72" s="402" t="s">
        <v>106</v>
      </c>
      <c r="C72" s="402"/>
      <c r="D72" s="402"/>
      <c r="E72" s="269" t="s">
        <v>98</v>
      </c>
      <c r="F72" s="269" t="s">
        <v>117</v>
      </c>
      <c r="G72" s="77"/>
      <c r="H72" s="45"/>
      <c r="I72" s="48">
        <f>-3708.3-4078</f>
        <v>-7786.3</v>
      </c>
    </row>
    <row r="73" spans="1:9" s="49" customFormat="1">
      <c r="A73" s="177" t="s">
        <v>191</v>
      </c>
      <c r="B73" s="402" t="s">
        <v>106</v>
      </c>
      <c r="C73" s="402"/>
      <c r="D73" s="402"/>
      <c r="E73" s="173" t="s">
        <v>98</v>
      </c>
      <c r="F73" s="173" t="s">
        <v>117</v>
      </c>
      <c r="G73" s="77"/>
      <c r="H73" s="45"/>
      <c r="I73" s="48">
        <f>-14145.1-18520.9-5936.5</f>
        <v>-38602.5</v>
      </c>
    </row>
    <row r="74" spans="1:9" s="49" customFormat="1">
      <c r="A74" s="177" t="s">
        <v>192</v>
      </c>
      <c r="B74" s="402" t="s">
        <v>106</v>
      </c>
      <c r="C74" s="402"/>
      <c r="D74" s="402"/>
      <c r="E74" s="173" t="s">
        <v>98</v>
      </c>
      <c r="F74" s="173" t="s">
        <v>117</v>
      </c>
      <c r="G74" s="77"/>
      <c r="H74" s="45"/>
      <c r="I74" s="48">
        <f>-15123.7-9752.7-6618.2</f>
        <v>-31494.600000000002</v>
      </c>
    </row>
    <row r="75" spans="1:9" s="49" customFormat="1">
      <c r="A75" s="177" t="s">
        <v>178</v>
      </c>
      <c r="B75" s="402" t="s">
        <v>106</v>
      </c>
      <c r="C75" s="402"/>
      <c r="D75" s="402"/>
      <c r="E75" s="173" t="s">
        <v>98</v>
      </c>
      <c r="F75" s="173" t="s">
        <v>117</v>
      </c>
      <c r="G75" s="77"/>
      <c r="H75" s="45"/>
      <c r="I75" s="48">
        <f>-6174.3-10907.6-9206.1</f>
        <v>-26288</v>
      </c>
    </row>
    <row r="76" spans="1:9" s="49" customFormat="1">
      <c r="A76" s="177" t="s">
        <v>193</v>
      </c>
      <c r="B76" s="402" t="s">
        <v>106</v>
      </c>
      <c r="C76" s="402"/>
      <c r="D76" s="402"/>
      <c r="E76" s="173" t="s">
        <v>98</v>
      </c>
      <c r="F76" s="173" t="s">
        <v>117</v>
      </c>
      <c r="G76" s="77"/>
      <c r="H76" s="45"/>
      <c r="I76" s="48">
        <f>-3551.6-631.3</f>
        <v>-4182.8999999999996</v>
      </c>
    </row>
    <row r="77" spans="1:9" s="49" customFormat="1">
      <c r="A77" s="177" t="s">
        <v>190</v>
      </c>
      <c r="B77" s="402" t="s">
        <v>106</v>
      </c>
      <c r="C77" s="402"/>
      <c r="D77" s="402"/>
      <c r="E77" s="173" t="s">
        <v>98</v>
      </c>
      <c r="F77" s="173" t="s">
        <v>117</v>
      </c>
      <c r="G77" s="77"/>
      <c r="H77" s="45"/>
      <c r="I77" s="48">
        <f>-2829.1-8483.8</f>
        <v>-11312.9</v>
      </c>
    </row>
    <row r="78" spans="1:9" s="49" customFormat="1">
      <c r="A78" s="273" t="s">
        <v>162</v>
      </c>
      <c r="B78" s="402" t="s">
        <v>107</v>
      </c>
      <c r="C78" s="402"/>
      <c r="D78" s="402"/>
      <c r="E78" s="269" t="s">
        <v>118</v>
      </c>
      <c r="F78" s="269" t="s">
        <v>117</v>
      </c>
      <c r="G78" s="77"/>
      <c r="H78" s="46"/>
      <c r="I78" s="48">
        <f>-282.7-1933.3-429.5-1308.3-619.6-650.9-604.2-1955.6-2109.7-2765.5-1922.7-1227.4-933.7-1492.4-1361.5-1886-2469.5-804.7-1741.1-378.8</f>
        <v>-26877.1</v>
      </c>
    </row>
    <row r="79" spans="1:9" s="218" customFormat="1">
      <c r="A79" s="271" t="s">
        <v>276</v>
      </c>
      <c r="B79" s="401" t="s">
        <v>205</v>
      </c>
      <c r="C79" s="401"/>
      <c r="D79" s="401"/>
      <c r="E79" s="179" t="s">
        <v>118</v>
      </c>
      <c r="F79" s="179" t="s">
        <v>103</v>
      </c>
      <c r="G79" s="233"/>
      <c r="H79" s="235"/>
      <c r="I79" s="234">
        <v>-4500</v>
      </c>
    </row>
    <row r="80" spans="1:9" s="218" customFormat="1">
      <c r="A80" s="271" t="s">
        <v>278</v>
      </c>
      <c r="B80" s="401" t="s">
        <v>205</v>
      </c>
      <c r="C80" s="401"/>
      <c r="D80" s="401"/>
      <c r="E80" s="179" t="s">
        <v>118</v>
      </c>
      <c r="F80" s="179" t="s">
        <v>103</v>
      </c>
      <c r="G80" s="233">
        <v>4500000</v>
      </c>
      <c r="H80" s="235">
        <v>-1</v>
      </c>
      <c r="I80" s="234">
        <v>-4500</v>
      </c>
    </row>
    <row r="81" spans="1:9" s="218" customFormat="1">
      <c r="A81" s="271" t="s">
        <v>279</v>
      </c>
      <c r="B81" s="401" t="s">
        <v>205</v>
      </c>
      <c r="C81" s="401"/>
      <c r="D81" s="401"/>
      <c r="E81" s="179" t="s">
        <v>118</v>
      </c>
      <c r="F81" s="179" t="s">
        <v>103</v>
      </c>
      <c r="G81" s="233">
        <v>4500000</v>
      </c>
      <c r="H81" s="235">
        <v>-1</v>
      </c>
      <c r="I81" s="234">
        <v>-4500</v>
      </c>
    </row>
    <row r="82" spans="1:9" s="218" customFormat="1">
      <c r="A82" s="271" t="s">
        <v>280</v>
      </c>
      <c r="B82" s="401" t="s">
        <v>205</v>
      </c>
      <c r="C82" s="401"/>
      <c r="D82" s="401"/>
      <c r="E82" s="179" t="s">
        <v>118</v>
      </c>
      <c r="F82" s="179" t="s">
        <v>103</v>
      </c>
      <c r="G82" s="233">
        <v>4500000</v>
      </c>
      <c r="H82" s="235">
        <v>-1</v>
      </c>
      <c r="I82" s="234">
        <v>-4500</v>
      </c>
    </row>
    <row r="83" spans="1:9" s="218" customFormat="1">
      <c r="A83" s="271" t="s">
        <v>281</v>
      </c>
      <c r="B83" s="401" t="s">
        <v>205</v>
      </c>
      <c r="C83" s="401"/>
      <c r="D83" s="401"/>
      <c r="E83" s="179" t="s">
        <v>118</v>
      </c>
      <c r="F83" s="179" t="s">
        <v>103</v>
      </c>
      <c r="G83" s="233">
        <v>4500000</v>
      </c>
      <c r="H83" s="235">
        <v>-1</v>
      </c>
      <c r="I83" s="234">
        <v>-4500</v>
      </c>
    </row>
    <row r="84" spans="1:9" s="218" customFormat="1">
      <c r="A84" s="271" t="s">
        <v>282</v>
      </c>
      <c r="B84" s="401" t="s">
        <v>205</v>
      </c>
      <c r="C84" s="401"/>
      <c r="D84" s="401"/>
      <c r="E84" s="179" t="s">
        <v>118</v>
      </c>
      <c r="F84" s="179" t="s">
        <v>103</v>
      </c>
      <c r="G84" s="233">
        <v>4500000</v>
      </c>
      <c r="H84" s="235">
        <v>-1</v>
      </c>
      <c r="I84" s="234">
        <v>-4500</v>
      </c>
    </row>
    <row r="85" spans="1:9" s="218" customFormat="1">
      <c r="A85" s="271" t="s">
        <v>283</v>
      </c>
      <c r="B85" s="401" t="s">
        <v>205</v>
      </c>
      <c r="C85" s="401"/>
      <c r="D85" s="401"/>
      <c r="E85" s="179" t="s">
        <v>118</v>
      </c>
      <c r="F85" s="179" t="s">
        <v>103</v>
      </c>
      <c r="G85" s="233">
        <v>4500000</v>
      </c>
      <c r="H85" s="235">
        <v>-1</v>
      </c>
      <c r="I85" s="234">
        <v>-4500</v>
      </c>
    </row>
    <row r="86" spans="1:9" s="218" customFormat="1">
      <c r="A86" s="271" t="s">
        <v>284</v>
      </c>
      <c r="B86" s="401" t="s">
        <v>205</v>
      </c>
      <c r="C86" s="401"/>
      <c r="D86" s="401"/>
      <c r="E86" s="179" t="s">
        <v>118</v>
      </c>
      <c r="F86" s="179" t="s">
        <v>103</v>
      </c>
      <c r="G86" s="233">
        <v>4500000</v>
      </c>
      <c r="H86" s="235">
        <v>-1</v>
      </c>
      <c r="I86" s="234">
        <v>-4500</v>
      </c>
    </row>
    <row r="87" spans="1:9" s="218" customFormat="1">
      <c r="A87" s="271" t="s">
        <v>285</v>
      </c>
      <c r="B87" s="401" t="s">
        <v>205</v>
      </c>
      <c r="C87" s="401"/>
      <c r="D87" s="401"/>
      <c r="E87" s="179" t="s">
        <v>118</v>
      </c>
      <c r="F87" s="179" t="s">
        <v>103</v>
      </c>
      <c r="G87" s="233">
        <v>4500000</v>
      </c>
      <c r="H87" s="235">
        <v>-1</v>
      </c>
      <c r="I87" s="234">
        <v>-4500</v>
      </c>
    </row>
    <row r="88" spans="1:9" s="218" customFormat="1">
      <c r="A88" s="271" t="s">
        <v>286</v>
      </c>
      <c r="B88" s="401" t="s">
        <v>205</v>
      </c>
      <c r="C88" s="401"/>
      <c r="D88" s="401"/>
      <c r="E88" s="179" t="s">
        <v>118</v>
      </c>
      <c r="F88" s="179" t="s">
        <v>103</v>
      </c>
      <c r="G88" s="233">
        <v>4500000</v>
      </c>
      <c r="H88" s="235">
        <v>-1</v>
      </c>
      <c r="I88" s="234">
        <v>-4500</v>
      </c>
    </row>
    <row r="89" spans="1:9" s="218" customFormat="1">
      <c r="A89" s="271" t="s">
        <v>287</v>
      </c>
      <c r="B89" s="401" t="s">
        <v>205</v>
      </c>
      <c r="C89" s="401"/>
      <c r="D89" s="401"/>
      <c r="E89" s="179" t="s">
        <v>118</v>
      </c>
      <c r="F89" s="179" t="s">
        <v>103</v>
      </c>
      <c r="G89" s="233">
        <v>4500000</v>
      </c>
      <c r="H89" s="235">
        <v>-1</v>
      </c>
      <c r="I89" s="234">
        <v>-4500</v>
      </c>
    </row>
    <row r="90" spans="1:9" s="49" customFormat="1">
      <c r="A90" s="272" t="s">
        <v>277</v>
      </c>
      <c r="B90" s="424" t="s">
        <v>206</v>
      </c>
      <c r="C90" s="424"/>
      <c r="D90" s="424"/>
      <c r="E90" s="226" t="s">
        <v>98</v>
      </c>
      <c r="F90" s="246" t="s">
        <v>117</v>
      </c>
      <c r="G90" s="233">
        <v>300000</v>
      </c>
      <c r="H90" s="235">
        <v>-1</v>
      </c>
      <c r="I90" s="234">
        <f t="shared" ref="I90" si="2">+G90*H90/1000</f>
        <v>-300</v>
      </c>
    </row>
    <row r="91" spans="1:9" s="49" customFormat="1">
      <c r="A91" s="223" t="s">
        <v>210</v>
      </c>
      <c r="B91" s="424" t="s">
        <v>206</v>
      </c>
      <c r="C91" s="424"/>
      <c r="D91" s="424"/>
      <c r="E91" s="226" t="s">
        <v>98</v>
      </c>
      <c r="F91" s="246" t="s">
        <v>117</v>
      </c>
      <c r="G91" s="233">
        <v>500000</v>
      </c>
      <c r="H91" s="235">
        <v>-1</v>
      </c>
      <c r="I91" s="234">
        <f t="shared" ref="I91:I100" si="3">+G91*H91/1000</f>
        <v>-500</v>
      </c>
    </row>
    <row r="92" spans="1:9" s="49" customFormat="1">
      <c r="A92" s="223" t="s">
        <v>211</v>
      </c>
      <c r="B92" s="424" t="s">
        <v>206</v>
      </c>
      <c r="C92" s="424"/>
      <c r="D92" s="424"/>
      <c r="E92" s="226" t="s">
        <v>98</v>
      </c>
      <c r="F92" s="246" t="s">
        <v>117</v>
      </c>
      <c r="G92" s="233">
        <v>500000</v>
      </c>
      <c r="H92" s="235">
        <v>-1</v>
      </c>
      <c r="I92" s="234">
        <f t="shared" si="3"/>
        <v>-500</v>
      </c>
    </row>
    <row r="93" spans="1:9" s="49" customFormat="1">
      <c r="A93" s="223" t="s">
        <v>212</v>
      </c>
      <c r="B93" s="424" t="s">
        <v>206</v>
      </c>
      <c r="C93" s="424"/>
      <c r="D93" s="424"/>
      <c r="E93" s="226" t="s">
        <v>98</v>
      </c>
      <c r="F93" s="246" t="s">
        <v>117</v>
      </c>
      <c r="G93" s="233">
        <v>500000</v>
      </c>
      <c r="H93" s="235">
        <v>-1</v>
      </c>
      <c r="I93" s="234">
        <f t="shared" si="3"/>
        <v>-500</v>
      </c>
    </row>
    <row r="94" spans="1:9" s="49" customFormat="1">
      <c r="A94" s="223" t="s">
        <v>213</v>
      </c>
      <c r="B94" s="424" t="s">
        <v>206</v>
      </c>
      <c r="C94" s="424"/>
      <c r="D94" s="424"/>
      <c r="E94" s="226" t="s">
        <v>98</v>
      </c>
      <c r="F94" s="246" t="s">
        <v>117</v>
      </c>
      <c r="G94" s="233">
        <v>500000</v>
      </c>
      <c r="H94" s="235">
        <v>-1</v>
      </c>
      <c r="I94" s="234">
        <f t="shared" si="3"/>
        <v>-500</v>
      </c>
    </row>
    <row r="95" spans="1:9" s="49" customFormat="1">
      <c r="A95" s="223" t="s">
        <v>214</v>
      </c>
      <c r="B95" s="424" t="s">
        <v>206</v>
      </c>
      <c r="C95" s="424"/>
      <c r="D95" s="424"/>
      <c r="E95" s="226" t="s">
        <v>98</v>
      </c>
      <c r="F95" s="246" t="s">
        <v>117</v>
      </c>
      <c r="G95" s="233">
        <v>500000</v>
      </c>
      <c r="H95" s="235">
        <v>-1</v>
      </c>
      <c r="I95" s="234">
        <f t="shared" si="3"/>
        <v>-500</v>
      </c>
    </row>
    <row r="96" spans="1:9" s="49" customFormat="1">
      <c r="A96" s="223" t="s">
        <v>215</v>
      </c>
      <c r="B96" s="424" t="s">
        <v>206</v>
      </c>
      <c r="C96" s="424"/>
      <c r="D96" s="424"/>
      <c r="E96" s="226" t="s">
        <v>98</v>
      </c>
      <c r="F96" s="246" t="s">
        <v>117</v>
      </c>
      <c r="G96" s="233">
        <v>500000</v>
      </c>
      <c r="H96" s="235">
        <v>-1</v>
      </c>
      <c r="I96" s="234">
        <f t="shared" si="3"/>
        <v>-500</v>
      </c>
    </row>
    <row r="97" spans="1:9" s="49" customFormat="1">
      <c r="A97" s="223" t="s">
        <v>216</v>
      </c>
      <c r="B97" s="424" t="s">
        <v>206</v>
      </c>
      <c r="C97" s="424"/>
      <c r="D97" s="424"/>
      <c r="E97" s="226" t="s">
        <v>98</v>
      </c>
      <c r="F97" s="246" t="s">
        <v>117</v>
      </c>
      <c r="G97" s="233">
        <v>500000</v>
      </c>
      <c r="H97" s="235">
        <v>-1</v>
      </c>
      <c r="I97" s="234">
        <f t="shared" si="3"/>
        <v>-500</v>
      </c>
    </row>
    <row r="98" spans="1:9" s="49" customFormat="1">
      <c r="A98" s="223" t="s">
        <v>217</v>
      </c>
      <c r="B98" s="424" t="s">
        <v>206</v>
      </c>
      <c r="C98" s="424"/>
      <c r="D98" s="424"/>
      <c r="E98" s="226" t="s">
        <v>98</v>
      </c>
      <c r="F98" s="246" t="s">
        <v>117</v>
      </c>
      <c r="G98" s="233">
        <v>500000</v>
      </c>
      <c r="H98" s="235">
        <v>-1</v>
      </c>
      <c r="I98" s="234">
        <f t="shared" si="3"/>
        <v>-500</v>
      </c>
    </row>
    <row r="99" spans="1:9" s="49" customFormat="1">
      <c r="A99" s="223" t="s">
        <v>218</v>
      </c>
      <c r="B99" s="424" t="s">
        <v>206</v>
      </c>
      <c r="C99" s="424"/>
      <c r="D99" s="424"/>
      <c r="E99" s="226" t="s">
        <v>98</v>
      </c>
      <c r="F99" s="246" t="s">
        <v>117</v>
      </c>
      <c r="G99" s="233">
        <v>500000</v>
      </c>
      <c r="H99" s="235">
        <v>-1</v>
      </c>
      <c r="I99" s="234">
        <f t="shared" si="3"/>
        <v>-500</v>
      </c>
    </row>
    <row r="100" spans="1:9" s="49" customFormat="1">
      <c r="A100" s="223" t="s">
        <v>219</v>
      </c>
      <c r="B100" s="424" t="s">
        <v>206</v>
      </c>
      <c r="C100" s="424"/>
      <c r="D100" s="424"/>
      <c r="E100" s="226" t="s">
        <v>98</v>
      </c>
      <c r="F100" s="246" t="s">
        <v>117</v>
      </c>
      <c r="G100" s="233">
        <v>500000</v>
      </c>
      <c r="H100" s="235">
        <v>-1</v>
      </c>
      <c r="I100" s="234">
        <f t="shared" si="3"/>
        <v>-500</v>
      </c>
    </row>
  </sheetData>
  <mergeCells count="102">
    <mergeCell ref="B37:D37"/>
    <mergeCell ref="B25:D25"/>
    <mergeCell ref="B35:D35"/>
    <mergeCell ref="B79:D79"/>
    <mergeCell ref="B74:D74"/>
    <mergeCell ref="B72:D72"/>
    <mergeCell ref="B63:D63"/>
    <mergeCell ref="B59:D59"/>
    <mergeCell ref="B67:D67"/>
    <mergeCell ref="B68:D68"/>
    <mergeCell ref="B66:D66"/>
    <mergeCell ref="B60:D60"/>
    <mergeCell ref="B73:D73"/>
    <mergeCell ref="B76:D76"/>
    <mergeCell ref="B71:D71"/>
    <mergeCell ref="B70:D70"/>
    <mergeCell ref="B90:D90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40:D40"/>
    <mergeCell ref="B20:D20"/>
    <mergeCell ref="B31:D31"/>
    <mergeCell ref="B41:D41"/>
    <mergeCell ref="B21:D21"/>
    <mergeCell ref="B62:D62"/>
    <mergeCell ref="B64:D64"/>
    <mergeCell ref="B69:D69"/>
    <mergeCell ref="B55:D55"/>
    <mergeCell ref="B54:D54"/>
    <mergeCell ref="B56:D56"/>
    <mergeCell ref="B57:D57"/>
    <mergeCell ref="B23:D23"/>
    <mergeCell ref="B33:D33"/>
    <mergeCell ref="B24:D24"/>
    <mergeCell ref="B34:D34"/>
    <mergeCell ref="B26:D26"/>
    <mergeCell ref="B36:D36"/>
    <mergeCell ref="B27:D27"/>
    <mergeCell ref="B65:D65"/>
    <mergeCell ref="B58:D58"/>
    <mergeCell ref="B61:D61"/>
    <mergeCell ref="B12:H12"/>
    <mergeCell ref="B13:D13"/>
    <mergeCell ref="B18:D18"/>
    <mergeCell ref="B22:D22"/>
    <mergeCell ref="B28:D28"/>
    <mergeCell ref="B38:D38"/>
    <mergeCell ref="B14:D14"/>
    <mergeCell ref="B29:D29"/>
    <mergeCell ref="B39:D39"/>
    <mergeCell ref="B19:D19"/>
    <mergeCell ref="B30:D30"/>
    <mergeCell ref="B15:D15"/>
    <mergeCell ref="B16:D16"/>
    <mergeCell ref="B17:D17"/>
    <mergeCell ref="D11:H11"/>
    <mergeCell ref="B53:D53"/>
    <mergeCell ref="B50:D50"/>
    <mergeCell ref="B32:D32"/>
    <mergeCell ref="B42:D42"/>
    <mergeCell ref="B46:D46"/>
    <mergeCell ref="B44:D44"/>
    <mergeCell ref="B43:D43"/>
    <mergeCell ref="B45:D45"/>
    <mergeCell ref="B52:D52"/>
    <mergeCell ref="B47:H47"/>
    <mergeCell ref="B48:D48"/>
    <mergeCell ref="B49:D49"/>
    <mergeCell ref="B51:D51"/>
    <mergeCell ref="B94:D94"/>
    <mergeCell ref="B95:D95"/>
    <mergeCell ref="B96:D96"/>
    <mergeCell ref="B97:D97"/>
    <mergeCell ref="B98:D98"/>
    <mergeCell ref="B99:D99"/>
    <mergeCell ref="B91:D91"/>
    <mergeCell ref="B92:D92"/>
    <mergeCell ref="B93:D93"/>
    <mergeCell ref="B100:D100"/>
    <mergeCell ref="B75:D75"/>
    <mergeCell ref="B77:D77"/>
    <mergeCell ref="B78:D78"/>
    <mergeCell ref="H1:I1"/>
    <mergeCell ref="B7:D8"/>
    <mergeCell ref="B9:D9"/>
    <mergeCell ref="A5:I6"/>
    <mergeCell ref="A7:A8"/>
    <mergeCell ref="E7:E8"/>
    <mergeCell ref="H7:I7"/>
    <mergeCell ref="F7:F8"/>
    <mergeCell ref="G7:G8"/>
    <mergeCell ref="H2:I2"/>
    <mergeCell ref="H3:I3"/>
    <mergeCell ref="A10:H10"/>
  </mergeCells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2022-10-31T16:27:36Z</cp:lastPrinted>
  <dcterms:created xsi:type="dcterms:W3CDTF">2022-01-04T07:12:58Z</dcterms:created>
  <dcterms:modified xsi:type="dcterms:W3CDTF">2022-11-02T05:29:40Z</dcterms:modified>
</cp:coreProperties>
</file>