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072" tabRatio="974" activeTab="3"/>
  </bookViews>
  <sheets>
    <sheet name="Հավելված N 1" sheetId="65" r:id="rId1"/>
    <sheet name="Հավելված N 2 " sheetId="67" r:id="rId2"/>
    <sheet name="Հավելված N 3" sheetId="27" r:id="rId3"/>
    <sheet name="Հավելված N 4" sheetId="32" r:id="rId4"/>
    <sheet name="Հավելված N 5" sheetId="36" r:id="rId5"/>
    <sheet name="Հավելված N 6" sheetId="35" r:id="rId6"/>
    <sheet name="Հավելված N 7" sheetId="64" r:id="rId7"/>
    <sheet name="Հավելված N 8" sheetId="66" r:id="rId8"/>
    <sheet name="Հավելված N 9" sheetId="29" r:id="rId9"/>
    <sheet name="Հավելված N 10" sheetId="69" r:id="rId10"/>
    <sheet name="Հավելված N 11" sheetId="41" r:id="rId11"/>
    <sheet name="Հավելված N 12" sheetId="70" r:id="rId12"/>
  </sheets>
  <definedNames>
    <definedName name="a" localSheetId="0">#REF!</definedName>
    <definedName name="a" localSheetId="9">#REF!</definedName>
    <definedName name="a" localSheetId="11">#REF!</definedName>
    <definedName name="a" localSheetId="1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11">#REF!</definedName>
    <definedName name="AgencyCode" localSheetId="1">#REF!</definedName>
    <definedName name="AgencyCode" localSheetId="3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9">#REF!</definedName>
    <definedName name="AgencyName" localSheetId="11">#REF!</definedName>
    <definedName name="AgencyName" localSheetId="1">#REF!</definedName>
    <definedName name="AgencyName" localSheetId="3">#REF!</definedName>
    <definedName name="AgencyName" localSheetId="6">#REF!</definedName>
    <definedName name="AgencyName" localSheetId="7">#REF!</definedName>
    <definedName name="AgencyName">#REF!</definedName>
    <definedName name="davit" localSheetId="0">#REF!</definedName>
    <definedName name="davit" localSheetId="9">#REF!</definedName>
    <definedName name="davit" localSheetId="11">#REF!</definedName>
    <definedName name="davit" localSheetId="1">#REF!</definedName>
    <definedName name="davit" localSheetId="6">#REF!</definedName>
    <definedName name="davit" localSheetId="7">#REF!</definedName>
    <definedName name="davit">#REF!</definedName>
    <definedName name="Functional1" localSheetId="0">#REF!</definedName>
    <definedName name="Functional1" localSheetId="9">#REF!</definedName>
    <definedName name="Functional1" localSheetId="11">#REF!</definedName>
    <definedName name="Functional1" localSheetId="1">#REF!</definedName>
    <definedName name="Functional1" localSheetId="3">#REF!</definedName>
    <definedName name="Functional1" localSheetId="6">#REF!</definedName>
    <definedName name="Functional1" localSheetId="7">#REF!</definedName>
    <definedName name="Functional1">#REF!</definedName>
    <definedName name="ggg" localSheetId="0">#REF!</definedName>
    <definedName name="ggg" localSheetId="9">#REF!</definedName>
    <definedName name="ggg" localSheetId="11">#REF!</definedName>
    <definedName name="ggg" localSheetId="1">#REF!</definedName>
    <definedName name="ggg" localSheetId="6">#REF!</definedName>
    <definedName name="ggg" localSheetId="7">#REF!</definedName>
    <definedName name="ggg">#REF!</definedName>
    <definedName name="PANature" localSheetId="0">#REF!</definedName>
    <definedName name="PANature" localSheetId="9">#REF!</definedName>
    <definedName name="PANature" localSheetId="11">#REF!</definedName>
    <definedName name="PANature" localSheetId="1">#REF!</definedName>
    <definedName name="PANature" localSheetId="3">#REF!</definedName>
    <definedName name="PANature" localSheetId="6">#REF!</definedName>
    <definedName name="PANature" localSheetId="7">#REF!</definedName>
    <definedName name="PANature">#REF!</definedName>
    <definedName name="PAType" localSheetId="0">#REF!</definedName>
    <definedName name="PAType" localSheetId="9">#REF!</definedName>
    <definedName name="PAType" localSheetId="11">#REF!</definedName>
    <definedName name="PAType" localSheetId="1">#REF!</definedName>
    <definedName name="PAType" localSheetId="3">#REF!</definedName>
    <definedName name="PAType" localSheetId="6">#REF!</definedName>
    <definedName name="PAType" localSheetId="7">#REF!</definedName>
    <definedName name="PAType">#REF!</definedName>
    <definedName name="Performance2" localSheetId="0">#REF!</definedName>
    <definedName name="Performance2" localSheetId="9">#REF!</definedName>
    <definedName name="Performance2" localSheetId="11">#REF!</definedName>
    <definedName name="Performance2" localSheetId="1">#REF!</definedName>
    <definedName name="Performance2" localSheetId="3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1">#REF!</definedName>
    <definedName name="PerformanceType" localSheetId="1">#REF!</definedName>
    <definedName name="PerformanceType" localSheetId="3">#REF!</definedName>
    <definedName name="PerformanceType" localSheetId="6">#REF!</definedName>
    <definedName name="PerformanceType" localSheetId="7">#REF!</definedName>
    <definedName name="PerformanceType">#REF!</definedName>
    <definedName name="Հավելված" localSheetId="0">#REF!</definedName>
    <definedName name="Հավելված" localSheetId="9">#REF!</definedName>
    <definedName name="Հավելված" localSheetId="11">#REF!</definedName>
    <definedName name="Հավելված" localSheetId="1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0">#REF!</definedName>
    <definedName name="Մաս" localSheetId="9">#REF!</definedName>
    <definedName name="Մաս" localSheetId="11">#REF!</definedName>
    <definedName name="Մաս" localSheetId="1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11">#REF!</definedName>
    <definedName name="շախմատիստ" localSheetId="1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6" i="35" l="1"/>
  <c r="G15" i="64"/>
  <c r="H241" i="36" l="1"/>
  <c r="F241" i="36"/>
  <c r="G241" i="36"/>
  <c r="E241" i="36"/>
  <c r="D244" i="36"/>
  <c r="E286" i="35" s="1"/>
  <c r="G38" i="64" l="1"/>
  <c r="I249" i="41" l="1"/>
  <c r="D145" i="69" l="1"/>
  <c r="D273" i="29"/>
  <c r="G253" i="32" l="1"/>
  <c r="G252" i="32" s="1"/>
  <c r="G251" i="32" s="1"/>
  <c r="G250" i="32" s="1"/>
  <c r="G249" i="32" s="1"/>
  <c r="G247" i="32" s="1"/>
  <c r="D421" i="69" s="1"/>
  <c r="G51" i="32" l="1"/>
  <c r="G50" i="32" s="1"/>
  <c r="G28" i="64"/>
  <c r="G88" i="32" l="1"/>
  <c r="G87" i="32" s="1"/>
  <c r="G86" i="32" s="1"/>
  <c r="G85" i="32" s="1"/>
  <c r="G84" i="32" s="1"/>
  <c r="G82" i="32" s="1"/>
  <c r="G80" i="32" s="1"/>
  <c r="D150" i="27" s="1"/>
  <c r="D189" i="29" s="1"/>
  <c r="G27" i="64"/>
  <c r="G49" i="32"/>
  <c r="G48" i="32" s="1"/>
  <c r="D119" i="69" l="1"/>
  <c r="G34" i="64"/>
  <c r="G33" i="64" s="1"/>
  <c r="G45" i="64"/>
  <c r="G333" i="32" s="1"/>
  <c r="G332" i="32" s="1"/>
  <c r="G331" i="32" s="1"/>
  <c r="G330" i="32" s="1"/>
  <c r="G329" i="32" s="1"/>
  <c r="G327" i="32" s="1"/>
  <c r="D347" i="69" s="1"/>
  <c r="G17" i="64"/>
  <c r="G64" i="32" s="1"/>
  <c r="G63" i="32" s="1"/>
  <c r="G62" i="32" s="1"/>
  <c r="G61" i="32" s="1"/>
  <c r="G60" i="32" s="1"/>
  <c r="G58" i="32" s="1"/>
  <c r="G56" i="32" s="1"/>
  <c r="D54" i="27" s="1"/>
  <c r="D72" i="29" s="1"/>
  <c r="G25" i="64"/>
  <c r="G37" i="64"/>
  <c r="G14" i="64" l="1"/>
  <c r="D61" i="69"/>
  <c r="G239" i="32"/>
  <c r="G24" i="64"/>
  <c r="G23" i="64" s="1"/>
  <c r="G228" i="32"/>
  <c r="G227" i="32" s="1"/>
  <c r="G226" i="32" s="1"/>
  <c r="G225" i="32" s="1"/>
  <c r="G224" i="32" s="1"/>
  <c r="G36" i="64"/>
  <c r="G246" i="32" s="1"/>
  <c r="G245" i="32" s="1"/>
  <c r="G244" i="32" s="1"/>
  <c r="G243" i="32" s="1"/>
  <c r="G242" i="32" s="1"/>
  <c r="G240" i="32" s="1"/>
  <c r="D395" i="69" s="1"/>
  <c r="E14" i="66"/>
  <c r="E13" i="66" s="1"/>
  <c r="E11" i="66" s="1"/>
  <c r="D14" i="67" s="1"/>
  <c r="D12" i="67" s="1"/>
  <c r="D11" i="67" s="1"/>
  <c r="D8" i="65" s="1"/>
  <c r="G21" i="64"/>
  <c r="G32" i="64" l="1"/>
  <c r="G166" i="32"/>
  <c r="G20" i="64"/>
  <c r="G53" i="70" l="1"/>
  <c r="G52" i="70" s="1"/>
  <c r="G51" i="70" s="1"/>
  <c r="G50" i="70" s="1"/>
  <c r="G49" i="70" s="1"/>
  <c r="G47" i="70" s="1"/>
  <c r="G45" i="70" s="1"/>
  <c r="G43" i="70" s="1"/>
  <c r="G41" i="70" s="1"/>
  <c r="G39" i="70" s="1"/>
  <c r="G37" i="70" s="1"/>
  <c r="G35" i="70" s="1"/>
  <c r="G34" i="70" s="1"/>
  <c r="G165" i="32"/>
  <c r="G164" i="32" s="1"/>
  <c r="G163" i="32" s="1"/>
  <c r="G162" i="32" s="1"/>
  <c r="G160" i="32" s="1"/>
  <c r="G43" i="64"/>
  <c r="G12" i="64"/>
  <c r="G42" i="64" l="1"/>
  <c r="G31" i="64" s="1"/>
  <c r="G322" i="32"/>
  <c r="G321" i="32" s="1"/>
  <c r="G320" i="32" s="1"/>
  <c r="G319" i="32" s="1"/>
  <c r="G11" i="64"/>
  <c r="G10" i="64" s="1"/>
  <c r="G122" i="32"/>
  <c r="G121" i="32" s="1"/>
  <c r="G120" i="32" s="1"/>
  <c r="G119" i="32" s="1"/>
  <c r="G158" i="32"/>
  <c r="D75" i="69"/>
  <c r="D59" i="35"/>
  <c r="D58" i="35"/>
  <c r="D56" i="35"/>
  <c r="D54" i="35"/>
  <c r="D73" i="27" l="1"/>
  <c r="D96" i="29" s="1"/>
  <c r="G370" i="32"/>
  <c r="D92" i="36"/>
  <c r="E109" i="35" s="1"/>
  <c r="E107" i="35" s="1"/>
  <c r="G32" i="32" l="1"/>
  <c r="G31" i="32" s="1"/>
  <c r="G30" i="32" s="1"/>
  <c r="G29" i="32" s="1"/>
  <c r="G28" i="32" s="1"/>
  <c r="G26" i="32" s="1"/>
  <c r="G24" i="32" s="1"/>
  <c r="D174" i="69"/>
  <c r="D371" i="35"/>
  <c r="D370" i="35"/>
  <c r="D369" i="35"/>
  <c r="D368" i="35"/>
  <c r="D367" i="35"/>
  <c r="D363" i="35"/>
  <c r="D364" i="35"/>
  <c r="D365" i="35"/>
  <c r="D362" i="35"/>
  <c r="D361" i="35"/>
  <c r="D360" i="35"/>
  <c r="D359" i="35"/>
  <c r="D358" i="35"/>
  <c r="D357" i="35"/>
  <c r="D356" i="35"/>
  <c r="D355" i="35"/>
  <c r="D354" i="35"/>
  <c r="D353" i="35"/>
  <c r="D352" i="35"/>
  <c r="D350" i="35"/>
  <c r="D339" i="35"/>
  <c r="D340" i="35"/>
  <c r="D341" i="35"/>
  <c r="D342" i="35"/>
  <c r="D343" i="35"/>
  <c r="D344" i="35"/>
  <c r="D345" i="35"/>
  <c r="D346" i="35"/>
  <c r="D347" i="35"/>
  <c r="D348" i="35"/>
  <c r="D338" i="35"/>
  <c r="D329" i="35"/>
  <c r="D330" i="35"/>
  <c r="D331" i="35"/>
  <c r="D332" i="35"/>
  <c r="D333" i="35"/>
  <c r="D334" i="35"/>
  <c r="D335" i="35"/>
  <c r="D336" i="35"/>
  <c r="D328" i="35"/>
  <c r="D324" i="35"/>
  <c r="D325" i="35"/>
  <c r="D326" i="35"/>
  <c r="D323" i="35"/>
  <c r="D112" i="27" l="1"/>
  <c r="G22" i="32"/>
  <c r="D321" i="35"/>
  <c r="D316" i="35"/>
  <c r="D317" i="35"/>
  <c r="D318" i="35"/>
  <c r="D319" i="35"/>
  <c r="D320" i="35"/>
  <c r="D315" i="35"/>
  <c r="H262" i="36"/>
  <c r="H251" i="36"/>
  <c r="H238" i="36"/>
  <c r="H245" i="36"/>
  <c r="F248" i="36"/>
  <c r="G248" i="36"/>
  <c r="H248" i="36"/>
  <c r="E248" i="36"/>
  <c r="D250" i="36"/>
  <c r="E292" i="35" s="1"/>
  <c r="D309" i="35"/>
  <c r="D307" i="35"/>
  <c r="D306" i="35"/>
  <c r="D305" i="35"/>
  <c r="D303" i="35"/>
  <c r="D302" i="35"/>
  <c r="D301" i="35"/>
  <c r="D300" i="35"/>
  <c r="D298" i="35"/>
  <c r="D297" i="35"/>
  <c r="D296" i="35"/>
  <c r="D295" i="35"/>
  <c r="D294" i="35"/>
  <c r="D292" i="35"/>
  <c r="D291" i="35"/>
  <c r="D289" i="35"/>
  <c r="D288" i="35"/>
  <c r="D285" i="35"/>
  <c r="D284" i="35"/>
  <c r="D282" i="35"/>
  <c r="D281" i="35"/>
  <c r="D264" i="35"/>
  <c r="D263" i="35"/>
  <c r="D261" i="35"/>
  <c r="D255" i="35"/>
  <c r="D253" i="35"/>
  <c r="D251" i="35"/>
  <c r="D244" i="35"/>
  <c r="D245" i="35"/>
  <c r="D243" i="35"/>
  <c r="D241" i="35"/>
  <c r="D240" i="35"/>
  <c r="D237" i="35"/>
  <c r="D238" i="35"/>
  <c r="D236" i="35"/>
  <c r="D234" i="35"/>
  <c r="D229" i="35"/>
  <c r="D228" i="35"/>
  <c r="D226" i="35"/>
  <c r="D218" i="35"/>
  <c r="D220" i="35"/>
  <c r="D208" i="35"/>
  <c r="D209" i="35"/>
  <c r="D210" i="35"/>
  <c r="D211" i="35"/>
  <c r="D212" i="35"/>
  <c r="D213" i="35"/>
  <c r="D214" i="35"/>
  <c r="D207" i="35"/>
  <c r="D205" i="35"/>
  <c r="D204" i="35"/>
  <c r="D203" i="35"/>
  <c r="D202" i="35"/>
  <c r="D189" i="35"/>
  <c r="D190" i="35"/>
  <c r="D191" i="35"/>
  <c r="D192" i="35"/>
  <c r="D193" i="35"/>
  <c r="D194" i="35"/>
  <c r="D195" i="35"/>
  <c r="D196" i="35"/>
  <c r="D197" i="35"/>
  <c r="D198" i="35"/>
  <c r="D199" i="35"/>
  <c r="D200" i="35"/>
  <c r="D176" i="35"/>
  <c r="D177" i="35"/>
  <c r="D178" i="35"/>
  <c r="D179" i="35"/>
  <c r="D180" i="35"/>
  <c r="D181" i="35"/>
  <c r="D182" i="35"/>
  <c r="D183" i="35"/>
  <c r="D184" i="35"/>
  <c r="D185" i="35"/>
  <c r="D186" i="35"/>
  <c r="D175" i="35"/>
  <c r="D167" i="35"/>
  <c r="D168" i="35"/>
  <c r="D169" i="35"/>
  <c r="D170" i="35"/>
  <c r="D171" i="35"/>
  <c r="D172" i="35"/>
  <c r="D173" i="35"/>
  <c r="D166" i="35"/>
  <c r="D164" i="35"/>
  <c r="D157" i="35"/>
  <c r="D158" i="35"/>
  <c r="D159" i="35"/>
  <c r="D160" i="35"/>
  <c r="D161" i="35"/>
  <c r="D162" i="35"/>
  <c r="D163" i="35"/>
  <c r="D153" i="35"/>
  <c r="D151" i="35"/>
  <c r="D150" i="35"/>
  <c r="D149" i="35"/>
  <c r="D148" i="35"/>
  <c r="D147" i="35"/>
  <c r="D146" i="35"/>
  <c r="D145" i="35"/>
  <c r="D144" i="35"/>
  <c r="D140" i="35"/>
  <c r="D129" i="35"/>
  <c r="D125" i="35"/>
  <c r="D123" i="35"/>
  <c r="D122" i="35"/>
  <c r="D116" i="35"/>
  <c r="D115" i="35"/>
  <c r="D106" i="35"/>
  <c r="D91" i="35"/>
  <c r="D93" i="35"/>
  <c r="D92" i="35"/>
  <c r="D85" i="35"/>
  <c r="D84" i="35"/>
  <c r="D83" i="35"/>
  <c r="D46" i="35"/>
  <c r="D44" i="35"/>
  <c r="D42" i="35"/>
  <c r="D40" i="35"/>
  <c r="D34" i="35"/>
  <c r="D32" i="35"/>
  <c r="D30" i="35"/>
  <c r="E18" i="36"/>
  <c r="D28" i="35"/>
  <c r="D27" i="35"/>
  <c r="D23" i="35"/>
  <c r="D19" i="35"/>
  <c r="D21" i="35"/>
  <c r="D138" i="29" l="1"/>
  <c r="D105" i="27"/>
  <c r="G32" i="70"/>
  <c r="G31" i="70" s="1"/>
  <c r="G30" i="70" s="1"/>
  <c r="G29" i="70" s="1"/>
  <c r="G28" i="70" s="1"/>
  <c r="G26" i="70" s="1"/>
  <c r="G24" i="70" s="1"/>
  <c r="G22" i="70" s="1"/>
  <c r="G20" i="70" s="1"/>
  <c r="G18" i="70" s="1"/>
  <c r="G16" i="70" s="1"/>
  <c r="G14" i="70" s="1"/>
  <c r="G13" i="70" s="1"/>
  <c r="G11" i="70" s="1"/>
  <c r="G369" i="32"/>
  <c r="G368" i="32" s="1"/>
  <c r="G367" i="32" s="1"/>
  <c r="G365" i="32" s="1"/>
  <c r="G20" i="32"/>
  <c r="G18" i="32" s="1"/>
  <c r="G16" i="32" s="1"/>
  <c r="E37" i="36"/>
  <c r="G363" i="32" l="1"/>
  <c r="D226" i="27" s="1"/>
  <c r="D322" i="29" s="1"/>
  <c r="D457" i="69"/>
  <c r="F262" i="36"/>
  <c r="G262" i="36"/>
  <c r="E262" i="36"/>
  <c r="F257" i="36"/>
  <c r="G257" i="36"/>
  <c r="H257" i="36"/>
  <c r="E257" i="36"/>
  <c r="F251" i="36"/>
  <c r="G251" i="36"/>
  <c r="E251" i="36"/>
  <c r="G245" i="36"/>
  <c r="F245" i="36"/>
  <c r="E245" i="36"/>
  <c r="D245" i="36"/>
  <c r="E238" i="36"/>
  <c r="D256" i="36"/>
  <c r="E298" i="35" s="1"/>
  <c r="D255" i="36"/>
  <c r="E297" i="35" s="1"/>
  <c r="D254" i="36"/>
  <c r="E296" i="35" s="1"/>
  <c r="D265" i="36"/>
  <c r="E307" i="35" s="1"/>
  <c r="D261" i="36"/>
  <c r="E303" i="35" s="1"/>
  <c r="D247" i="36"/>
  <c r="E289" i="35" s="1"/>
  <c r="D246" i="36"/>
  <c r="E288" i="35" s="1"/>
  <c r="E287" i="35" s="1"/>
  <c r="D240" i="36"/>
  <c r="E282" i="35" s="1"/>
  <c r="D239" i="36"/>
  <c r="E281" i="35" s="1"/>
  <c r="E280" i="35" s="1"/>
  <c r="G238" i="36"/>
  <c r="F238" i="36"/>
  <c r="D238" i="36" l="1"/>
  <c r="I180" i="41"/>
  <c r="I242" i="41" l="1"/>
  <c r="I241" i="41"/>
  <c r="I240" i="41"/>
  <c r="I239" i="41"/>
  <c r="I238" i="41"/>
  <c r="I237" i="41"/>
  <c r="I236" i="41"/>
  <c r="I235" i="41"/>
  <c r="I234" i="41"/>
  <c r="I233" i="41"/>
  <c r="I232" i="41"/>
  <c r="I231" i="41"/>
  <c r="I230" i="41"/>
  <c r="I229" i="41"/>
  <c r="I228" i="41"/>
  <c r="I227" i="41"/>
  <c r="I226" i="41"/>
  <c r="I225" i="41"/>
  <c r="I224" i="41"/>
  <c r="I223" i="41"/>
  <c r="I222" i="41"/>
  <c r="I221" i="41"/>
  <c r="I220" i="41"/>
  <c r="I219" i="41"/>
  <c r="I218" i="41"/>
  <c r="I217" i="41"/>
  <c r="I216" i="41"/>
  <c r="I215" i="41"/>
  <c r="I214" i="41"/>
  <c r="I213" i="41"/>
  <c r="I212" i="41"/>
  <c r="I211" i="41"/>
  <c r="I210" i="41"/>
  <c r="I209" i="41"/>
  <c r="I208" i="41"/>
  <c r="I207" i="41"/>
  <c r="I206" i="41"/>
  <c r="I205" i="41"/>
  <c r="I204" i="41"/>
  <c r="I203" i="41"/>
  <c r="I202" i="41"/>
  <c r="I201" i="41"/>
  <c r="I200" i="41"/>
  <c r="I199" i="41"/>
  <c r="I198" i="41"/>
  <c r="I197" i="41"/>
  <c r="I196" i="41"/>
  <c r="I195" i="41"/>
  <c r="I194" i="41"/>
  <c r="I193" i="41"/>
  <c r="I192" i="41"/>
  <c r="I191" i="41"/>
  <c r="I190" i="41"/>
  <c r="I189" i="41"/>
  <c r="I188" i="41"/>
  <c r="I187" i="41"/>
  <c r="I186" i="41"/>
  <c r="I185" i="41"/>
  <c r="I184" i="41"/>
  <c r="I183" i="41"/>
  <c r="I182" i="41"/>
  <c r="I181" i="41"/>
  <c r="I179" i="41"/>
  <c r="I178" i="41"/>
  <c r="I177" i="41"/>
  <c r="I176" i="41"/>
  <c r="I74" i="41" l="1"/>
  <c r="I73" i="41" s="1"/>
  <c r="I629" i="41"/>
  <c r="I578" i="41"/>
  <c r="H305" i="36"/>
  <c r="F305" i="36"/>
  <c r="E305" i="36"/>
  <c r="G306" i="36" l="1"/>
  <c r="D306" i="36" s="1"/>
  <c r="E350" i="35" s="1"/>
  <c r="E349" i="35" s="1"/>
  <c r="G305" i="36"/>
  <c r="D305" i="36" s="1"/>
  <c r="I648" i="41"/>
  <c r="I647" i="41"/>
  <c r="I646" i="41"/>
  <c r="I645" i="41"/>
  <c r="I644" i="41"/>
  <c r="I597" i="41"/>
  <c r="I596" i="41"/>
  <c r="I595" i="41"/>
  <c r="I594" i="41"/>
  <c r="I593" i="41"/>
  <c r="H322" i="36"/>
  <c r="F322" i="36"/>
  <c r="E322" i="36"/>
  <c r="G327" i="36" l="1"/>
  <c r="D327" i="36" s="1"/>
  <c r="E371" i="35" s="1"/>
  <c r="G325" i="36"/>
  <c r="D325" i="36" s="1"/>
  <c r="E369" i="35" s="1"/>
  <c r="G324" i="36"/>
  <c r="D324" i="36" s="1"/>
  <c r="E368" i="35" s="1"/>
  <c r="G323" i="36"/>
  <c r="D323" i="36" s="1"/>
  <c r="E367" i="35" s="1"/>
  <c r="G326" i="36"/>
  <c r="D326" i="36" s="1"/>
  <c r="E370" i="35" s="1"/>
  <c r="E307" i="36"/>
  <c r="F307" i="36"/>
  <c r="H307" i="36"/>
  <c r="I643" i="41"/>
  <c r="I642" i="41"/>
  <c r="I641" i="41"/>
  <c r="I640" i="41"/>
  <c r="I639" i="41"/>
  <c r="I638" i="41"/>
  <c r="I637" i="41"/>
  <c r="I636" i="41"/>
  <c r="I635" i="41"/>
  <c r="G313" i="36" s="1"/>
  <c r="D313" i="36" s="1"/>
  <c r="E357" i="35" s="1"/>
  <c r="I634" i="41"/>
  <c r="I633" i="41"/>
  <c r="I632" i="41"/>
  <c r="I631" i="41"/>
  <c r="I630" i="41"/>
  <c r="I592" i="41"/>
  <c r="I591" i="41"/>
  <c r="I590" i="41"/>
  <c r="I589" i="41"/>
  <c r="I588" i="41"/>
  <c r="I587" i="41"/>
  <c r="I586" i="41"/>
  <c r="I585" i="41"/>
  <c r="I583" i="41"/>
  <c r="I582" i="41"/>
  <c r="I581" i="41"/>
  <c r="I580" i="41"/>
  <c r="I579" i="41"/>
  <c r="E366" i="35" l="1"/>
  <c r="G311" i="36"/>
  <c r="D311" i="36" s="1"/>
  <c r="E355" i="35" s="1"/>
  <c r="G322" i="36"/>
  <c r="D322" i="36" s="1"/>
  <c r="G309" i="36"/>
  <c r="D309" i="36" s="1"/>
  <c r="E353" i="35" s="1"/>
  <c r="G308" i="36"/>
  <c r="D308" i="36" s="1"/>
  <c r="E352" i="35" s="1"/>
  <c r="G317" i="36"/>
  <c r="D317" i="36" s="1"/>
  <c r="E361" i="35" s="1"/>
  <c r="G321" i="36"/>
  <c r="D321" i="36" s="1"/>
  <c r="E365" i="35" s="1"/>
  <c r="G314" i="36"/>
  <c r="D314" i="36" s="1"/>
  <c r="E358" i="35" s="1"/>
  <c r="G318" i="36"/>
  <c r="D318" i="36" s="1"/>
  <c r="E362" i="35" s="1"/>
  <c r="G312" i="36"/>
  <c r="D312" i="36" s="1"/>
  <c r="E356" i="35" s="1"/>
  <c r="G316" i="36"/>
  <c r="D316" i="36" s="1"/>
  <c r="E360" i="35" s="1"/>
  <c r="G320" i="36"/>
  <c r="D320" i="36" s="1"/>
  <c r="E364" i="35" s="1"/>
  <c r="G310" i="36"/>
  <c r="D310" i="36" s="1"/>
  <c r="E354" i="35" s="1"/>
  <c r="G315" i="36"/>
  <c r="D315" i="36" s="1"/>
  <c r="E359" i="35" s="1"/>
  <c r="G319" i="36"/>
  <c r="D319" i="36" s="1"/>
  <c r="E363" i="35" s="1"/>
  <c r="E351" i="35" l="1"/>
  <c r="G307" i="36"/>
  <c r="D307" i="36" s="1"/>
  <c r="E293" i="36"/>
  <c r="I628" i="41"/>
  <c r="I627" i="41"/>
  <c r="I626" i="41"/>
  <c r="I625" i="41"/>
  <c r="I624" i="41"/>
  <c r="I623" i="41"/>
  <c r="I622" i="41"/>
  <c r="I621" i="41"/>
  <c r="I620" i="41"/>
  <c r="I619" i="41"/>
  <c r="I618" i="41"/>
  <c r="I577" i="41"/>
  <c r="I576" i="41"/>
  <c r="I575" i="41"/>
  <c r="I574" i="41"/>
  <c r="I573" i="41"/>
  <c r="I572" i="41"/>
  <c r="I571" i="41"/>
  <c r="I570" i="41"/>
  <c r="I569" i="41"/>
  <c r="I568" i="41"/>
  <c r="I567" i="41"/>
  <c r="H293" i="36"/>
  <c r="F293" i="36"/>
  <c r="G298" i="36" l="1"/>
  <c r="D298" i="36" s="1"/>
  <c r="E342" i="35" s="1"/>
  <c r="G294" i="36"/>
  <c r="D294" i="36" s="1"/>
  <c r="E338" i="35" s="1"/>
  <c r="G302" i="36"/>
  <c r="G297" i="36"/>
  <c r="D297" i="36" s="1"/>
  <c r="E341" i="35" s="1"/>
  <c r="G301" i="36"/>
  <c r="D301" i="36" s="1"/>
  <c r="E345" i="35" s="1"/>
  <c r="G295" i="36"/>
  <c r="D295" i="36" s="1"/>
  <c r="E339" i="35" s="1"/>
  <c r="G303" i="36"/>
  <c r="D303" i="36" s="1"/>
  <c r="E347" i="35" s="1"/>
  <c r="G296" i="36"/>
  <c r="D296" i="36" s="1"/>
  <c r="E340" i="35" s="1"/>
  <c r="G300" i="36"/>
  <c r="D300" i="36" s="1"/>
  <c r="E344" i="35" s="1"/>
  <c r="G299" i="36"/>
  <c r="D299" i="36" s="1"/>
  <c r="E343" i="35" s="1"/>
  <c r="G304" i="36"/>
  <c r="D304" i="36" s="1"/>
  <c r="E348" i="35" s="1"/>
  <c r="D302" i="36"/>
  <c r="E346" i="35" s="1"/>
  <c r="I617" i="41"/>
  <c r="I616" i="41"/>
  <c r="I615" i="41"/>
  <c r="I614" i="41"/>
  <c r="I613" i="41"/>
  <c r="I612" i="41"/>
  <c r="I611" i="41"/>
  <c r="I610" i="41"/>
  <c r="I609" i="41"/>
  <c r="I566" i="41"/>
  <c r="G292" i="36" s="1"/>
  <c r="D292" i="36" s="1"/>
  <c r="E336" i="35" s="1"/>
  <c r="I565" i="41"/>
  <c r="I564" i="41"/>
  <c r="G290" i="36" s="1"/>
  <c r="D290" i="36" s="1"/>
  <c r="E334" i="35" s="1"/>
  <c r="I563" i="41"/>
  <c r="I562" i="41"/>
  <c r="I561" i="41"/>
  <c r="I560" i="41"/>
  <c r="G286" i="36" s="1"/>
  <c r="D286" i="36" s="1"/>
  <c r="E330" i="35" s="1"/>
  <c r="I559" i="41"/>
  <c r="I558" i="41"/>
  <c r="I608" i="41"/>
  <c r="I607" i="41"/>
  <c r="I606" i="41"/>
  <c r="I605" i="41"/>
  <c r="I557" i="41"/>
  <c r="G282" i="36" s="1"/>
  <c r="D282" i="36" s="1"/>
  <c r="E326" i="35" s="1"/>
  <c r="I556" i="41"/>
  <c r="G281" i="36" s="1"/>
  <c r="D281" i="36" s="1"/>
  <c r="E325" i="35" s="1"/>
  <c r="I555" i="41"/>
  <c r="G280" i="36" s="1"/>
  <c r="D280" i="36" s="1"/>
  <c r="I554" i="41"/>
  <c r="G279" i="36" s="1"/>
  <c r="D279" i="36" s="1"/>
  <c r="I604" i="41"/>
  <c r="I603" i="41"/>
  <c r="I602" i="41"/>
  <c r="I601" i="41"/>
  <c r="I553" i="41"/>
  <c r="G277" i="36" s="1"/>
  <c r="D277" i="36" s="1"/>
  <c r="E321" i="35" s="1"/>
  <c r="I552" i="41"/>
  <c r="G276" i="36" s="1"/>
  <c r="D276" i="36" s="1"/>
  <c r="E320" i="35" s="1"/>
  <c r="I551" i="41"/>
  <c r="G275" i="36" s="1"/>
  <c r="D275" i="36" s="1"/>
  <c r="E319" i="35" s="1"/>
  <c r="I550" i="41"/>
  <c r="G274" i="36" s="1"/>
  <c r="D274" i="36" s="1"/>
  <c r="E318" i="35" s="1"/>
  <c r="I600" i="41"/>
  <c r="I599" i="41"/>
  <c r="I598" i="41"/>
  <c r="I549" i="41"/>
  <c r="I548" i="41"/>
  <c r="I547" i="41"/>
  <c r="H283" i="36"/>
  <c r="F283" i="36"/>
  <c r="E283" i="36"/>
  <c r="H278" i="36"/>
  <c r="F278" i="36"/>
  <c r="E278" i="36"/>
  <c r="H270" i="36"/>
  <c r="F270" i="36"/>
  <c r="E270" i="36"/>
  <c r="F268" i="36" l="1"/>
  <c r="G284" i="36"/>
  <c r="D284" i="36" s="1"/>
  <c r="E328" i="35" s="1"/>
  <c r="G288" i="36"/>
  <c r="D288" i="36" s="1"/>
  <c r="E332" i="35" s="1"/>
  <c r="I546" i="41"/>
  <c r="I545" i="41" s="1"/>
  <c r="E323" i="35"/>
  <c r="E337" i="35"/>
  <c r="E324" i="35"/>
  <c r="H268" i="36"/>
  <c r="E268" i="36"/>
  <c r="G293" i="36"/>
  <c r="D293" i="36" s="1"/>
  <c r="G272" i="36"/>
  <c r="D272" i="36" s="1"/>
  <c r="E316" i="35" s="1"/>
  <c r="G285" i="36"/>
  <c r="D285" i="36" s="1"/>
  <c r="E329" i="35" s="1"/>
  <c r="G289" i="36"/>
  <c r="D289" i="36" s="1"/>
  <c r="E333" i="35" s="1"/>
  <c r="G287" i="36"/>
  <c r="D287" i="36" s="1"/>
  <c r="E331" i="35" s="1"/>
  <c r="G291" i="36"/>
  <c r="D291" i="36" s="1"/>
  <c r="E335" i="35" s="1"/>
  <c r="G273" i="36"/>
  <c r="D273" i="36" s="1"/>
  <c r="E317" i="35" s="1"/>
  <c r="G271" i="36"/>
  <c r="G278" i="36"/>
  <c r="D278" i="36" s="1"/>
  <c r="D271" i="36" l="1"/>
  <c r="E315" i="35" s="1"/>
  <c r="E314" i="35" s="1"/>
  <c r="G270" i="36"/>
  <c r="E327" i="35"/>
  <c r="E322" i="35"/>
  <c r="G283" i="36"/>
  <c r="D283" i="36" s="1"/>
  <c r="E312" i="35" l="1"/>
  <c r="D270" i="36"/>
  <c r="G268" i="36"/>
  <c r="F266" i="36"/>
  <c r="G266" i="36"/>
  <c r="H266" i="36"/>
  <c r="E266" i="36"/>
  <c r="D267" i="36"/>
  <c r="E309" i="35" s="1"/>
  <c r="E308" i="35" s="1"/>
  <c r="D264" i="36"/>
  <c r="E306" i="35" s="1"/>
  <c r="D263" i="36"/>
  <c r="E305" i="35" s="1"/>
  <c r="D260" i="36"/>
  <c r="E302" i="35" s="1"/>
  <c r="D259" i="36"/>
  <c r="E301" i="35" s="1"/>
  <c r="D258" i="36"/>
  <c r="E300" i="35" s="1"/>
  <c r="D253" i="36"/>
  <c r="E295" i="35" s="1"/>
  <c r="D252" i="36"/>
  <c r="E294" i="35" s="1"/>
  <c r="E293" i="35" s="1"/>
  <c r="D249" i="36"/>
  <c r="E291" i="35" s="1"/>
  <c r="E290" i="35" s="1"/>
  <c r="D243" i="36"/>
  <c r="E285" i="35" s="1"/>
  <c r="D242" i="36"/>
  <c r="E284" i="35" s="1"/>
  <c r="E234" i="36"/>
  <c r="F235" i="36"/>
  <c r="D235" i="36" s="1"/>
  <c r="G231" i="36"/>
  <c r="H231" i="36"/>
  <c r="E231" i="36"/>
  <c r="E229" i="36" s="1"/>
  <c r="F233" i="36"/>
  <c r="D233" i="36" s="1"/>
  <c r="F232" i="36"/>
  <c r="D232" i="36" s="1"/>
  <c r="I534" i="41"/>
  <c r="I538" i="41"/>
  <c r="F222" i="36"/>
  <c r="H222" i="36"/>
  <c r="E222" i="36"/>
  <c r="I526" i="41"/>
  <c r="I525" i="41"/>
  <c r="I523" i="41"/>
  <c r="F224" i="36"/>
  <c r="H224" i="36"/>
  <c r="E224" i="36"/>
  <c r="I529" i="41"/>
  <c r="I528" i="41"/>
  <c r="I532" i="41"/>
  <c r="I531" i="41"/>
  <c r="E283" i="35" l="1"/>
  <c r="E304" i="35"/>
  <c r="E299" i="35"/>
  <c r="E278" i="35" s="1"/>
  <c r="E310" i="35"/>
  <c r="G342" i="32"/>
  <c r="G341" i="32" s="1"/>
  <c r="G340" i="32" s="1"/>
  <c r="G339" i="32" s="1"/>
  <c r="G338" i="32" s="1"/>
  <c r="G336" i="32" s="1"/>
  <c r="D268" i="36"/>
  <c r="F236" i="36"/>
  <c r="E236" i="36"/>
  <c r="H236" i="36"/>
  <c r="G236" i="36"/>
  <c r="D248" i="36"/>
  <c r="D266" i="36"/>
  <c r="D251" i="36"/>
  <c r="D262" i="36"/>
  <c r="D257" i="36"/>
  <c r="D241" i="36"/>
  <c r="G226" i="36"/>
  <c r="D226" i="36" s="1"/>
  <c r="E264" i="35" s="1"/>
  <c r="F231" i="36"/>
  <c r="G225" i="36"/>
  <c r="D225" i="36" s="1"/>
  <c r="E263" i="35" s="1"/>
  <c r="E276" i="35" l="1"/>
  <c r="G326" i="32"/>
  <c r="G325" i="32" s="1"/>
  <c r="G324" i="32" s="1"/>
  <c r="G323" i="32" s="1"/>
  <c r="G318" i="32" s="1"/>
  <c r="G316" i="32" s="1"/>
  <c r="G314" i="32" s="1"/>
  <c r="D199" i="27" s="1"/>
  <c r="G334" i="32"/>
  <c r="D205" i="27" s="1"/>
  <c r="D289" i="29" s="1"/>
  <c r="D323" i="69"/>
  <c r="E262" i="35"/>
  <c r="D236" i="36"/>
  <c r="G224" i="36"/>
  <c r="D224" i="36" s="1"/>
  <c r="I530" i="41"/>
  <c r="I527" i="41"/>
  <c r="G216" i="36"/>
  <c r="H216" i="36"/>
  <c r="E216" i="36"/>
  <c r="F218" i="36"/>
  <c r="H218" i="36"/>
  <c r="E218" i="36"/>
  <c r="G219" i="36"/>
  <c r="I70" i="41"/>
  <c r="F215" i="36" s="1"/>
  <c r="I64" i="41"/>
  <c r="I69" i="41"/>
  <c r="I67" i="41"/>
  <c r="G214" i="36"/>
  <c r="H214" i="36"/>
  <c r="E214" i="36"/>
  <c r="I497" i="41"/>
  <c r="F201" i="36"/>
  <c r="G201" i="36"/>
  <c r="H201" i="36"/>
  <c r="F208" i="36"/>
  <c r="H208" i="36"/>
  <c r="I520" i="41"/>
  <c r="I519" i="41"/>
  <c r="E210" i="36"/>
  <c r="D210" i="36" s="1"/>
  <c r="E244" i="35" s="1"/>
  <c r="E209" i="36"/>
  <c r="D209" i="36" s="1"/>
  <c r="E243" i="35" s="1"/>
  <c r="I518" i="41"/>
  <c r="I517" i="41"/>
  <c r="F205" i="36"/>
  <c r="G205" i="36"/>
  <c r="H205" i="36"/>
  <c r="E207" i="36"/>
  <c r="D207" i="36" s="1"/>
  <c r="E241" i="35" s="1"/>
  <c r="E206" i="36"/>
  <c r="D206" i="36" s="1"/>
  <c r="E240" i="35" s="1"/>
  <c r="E239" i="35" s="1"/>
  <c r="I516" i="41"/>
  <c r="E204" i="36"/>
  <c r="E203" i="36"/>
  <c r="E202" i="36"/>
  <c r="D202" i="36" s="1"/>
  <c r="E236" i="35" s="1"/>
  <c r="I515" i="41"/>
  <c r="E200" i="36"/>
  <c r="E198" i="36"/>
  <c r="E197" i="36"/>
  <c r="F193" i="36"/>
  <c r="G193" i="36"/>
  <c r="H193" i="36"/>
  <c r="E195" i="36"/>
  <c r="D195" i="36" s="1"/>
  <c r="E229" i="35" s="1"/>
  <c r="E194" i="36"/>
  <c r="D194" i="36" s="1"/>
  <c r="E228" i="35" s="1"/>
  <c r="I513" i="41"/>
  <c r="F191" i="36"/>
  <c r="G191" i="36"/>
  <c r="H191" i="36"/>
  <c r="E192" i="36"/>
  <c r="D192" i="36" s="1"/>
  <c r="E226" i="35" s="1"/>
  <c r="D150" i="69" l="1"/>
  <c r="D278" i="29"/>
  <c r="E227" i="35"/>
  <c r="G218" i="36"/>
  <c r="G212" i="36" s="1"/>
  <c r="D219" i="36"/>
  <c r="E255" i="35" s="1"/>
  <c r="F214" i="36"/>
  <c r="D215" i="36"/>
  <c r="E251" i="35" s="1"/>
  <c r="I524" i="41"/>
  <c r="G223" i="36"/>
  <c r="H212" i="36"/>
  <c r="I66" i="41"/>
  <c r="F217" i="36"/>
  <c r="E212" i="36"/>
  <c r="I63" i="41"/>
  <c r="I511" i="41"/>
  <c r="E208" i="36"/>
  <c r="E201" i="36"/>
  <c r="E205" i="36"/>
  <c r="G211" i="36"/>
  <c r="E196" i="36"/>
  <c r="E193" i="36"/>
  <c r="E191" i="36"/>
  <c r="F180" i="36"/>
  <c r="H180" i="36"/>
  <c r="E180" i="36"/>
  <c r="I437" i="41"/>
  <c r="I436" i="41"/>
  <c r="I434" i="41"/>
  <c r="I433" i="41"/>
  <c r="I432" i="41"/>
  <c r="I431" i="41"/>
  <c r="I430" i="41"/>
  <c r="I495" i="41"/>
  <c r="I494" i="41"/>
  <c r="I493" i="41"/>
  <c r="G186" i="36" s="1"/>
  <c r="D186" i="36" s="1"/>
  <c r="E212" i="35" s="1"/>
  <c r="I492" i="41"/>
  <c r="I491" i="41"/>
  <c r="I490" i="41"/>
  <c r="I489" i="41"/>
  <c r="I488" i="41"/>
  <c r="F174" i="36"/>
  <c r="H174" i="36"/>
  <c r="E174" i="36"/>
  <c r="I487" i="41"/>
  <c r="I486" i="41"/>
  <c r="I485" i="41"/>
  <c r="G176" i="36" s="1"/>
  <c r="I484" i="41"/>
  <c r="G175" i="36" s="1"/>
  <c r="I428" i="41"/>
  <c r="I429" i="41"/>
  <c r="I62" i="41" l="1"/>
  <c r="E254" i="35"/>
  <c r="G293" i="32"/>
  <c r="G208" i="36"/>
  <c r="D211" i="36"/>
  <c r="E245" i="35" s="1"/>
  <c r="G222" i="36"/>
  <c r="D223" i="36"/>
  <c r="E261" i="35" s="1"/>
  <c r="F216" i="36"/>
  <c r="F212" i="36" s="1"/>
  <c r="D212" i="36" s="1"/>
  <c r="D217" i="36"/>
  <c r="E253" i="35" s="1"/>
  <c r="E252" i="35" s="1"/>
  <c r="G181" i="36"/>
  <c r="D181" i="36" s="1"/>
  <c r="E207" i="35" s="1"/>
  <c r="G178" i="36"/>
  <c r="G184" i="36"/>
  <c r="D184" i="36" s="1"/>
  <c r="E210" i="35" s="1"/>
  <c r="G182" i="36"/>
  <c r="D182" i="36" s="1"/>
  <c r="E208" i="35" s="1"/>
  <c r="G187" i="36"/>
  <c r="D187" i="36" s="1"/>
  <c r="E213" i="35" s="1"/>
  <c r="G177" i="36"/>
  <c r="G183" i="36"/>
  <c r="D183" i="36" s="1"/>
  <c r="E209" i="35" s="1"/>
  <c r="G188" i="36"/>
  <c r="D188" i="36" s="1"/>
  <c r="E214" i="35" s="1"/>
  <c r="G185" i="36"/>
  <c r="D185" i="36" s="1"/>
  <c r="E211" i="35" s="1"/>
  <c r="G291" i="32" l="1"/>
  <c r="G290" i="32" s="1"/>
  <c r="E260" i="35"/>
  <c r="G304" i="32"/>
  <c r="G303" i="32" s="1"/>
  <c r="E242" i="35"/>
  <c r="G282" i="32"/>
  <c r="E206" i="35"/>
  <c r="G174" i="36"/>
  <c r="G180" i="36"/>
  <c r="D180" i="36" s="1"/>
  <c r="D179" i="36" l="1"/>
  <c r="E220" i="35" s="1"/>
  <c r="E219" i="35" s="1"/>
  <c r="D178" i="36"/>
  <c r="E205" i="35" s="1"/>
  <c r="D177" i="36"/>
  <c r="E204" i="35" s="1"/>
  <c r="D176" i="36"/>
  <c r="E203" i="35" s="1"/>
  <c r="D175" i="36"/>
  <c r="E202" i="35" s="1"/>
  <c r="F160" i="36"/>
  <c r="H160" i="36"/>
  <c r="E201" i="35" l="1"/>
  <c r="I483" i="41"/>
  <c r="I482" i="41"/>
  <c r="I481" i="41"/>
  <c r="I480" i="41"/>
  <c r="I479" i="41"/>
  <c r="I478" i="41"/>
  <c r="I477" i="41"/>
  <c r="I476" i="41"/>
  <c r="I475" i="41"/>
  <c r="I474" i="41"/>
  <c r="I473" i="41"/>
  <c r="I472" i="41"/>
  <c r="I425" i="41"/>
  <c r="G173" i="36" s="1"/>
  <c r="D173" i="36" s="1"/>
  <c r="E200" i="35" s="1"/>
  <c r="I424" i="41"/>
  <c r="G172" i="36" s="1"/>
  <c r="D172" i="36" s="1"/>
  <c r="E199" i="35" s="1"/>
  <c r="I423" i="41"/>
  <c r="G171" i="36" s="1"/>
  <c r="D171" i="36" s="1"/>
  <c r="E198" i="35" s="1"/>
  <c r="I422" i="41"/>
  <c r="G170" i="36" s="1"/>
  <c r="D170" i="36" s="1"/>
  <c r="E197" i="35" s="1"/>
  <c r="I421" i="41"/>
  <c r="I420" i="41"/>
  <c r="G168" i="36" s="1"/>
  <c r="D168" i="36" s="1"/>
  <c r="E195" i="35" s="1"/>
  <c r="I419" i="41"/>
  <c r="G167" i="36" s="1"/>
  <c r="D167" i="36" s="1"/>
  <c r="E194" i="35" s="1"/>
  <c r="I418" i="41"/>
  <c r="G166" i="36" s="1"/>
  <c r="D166" i="36" s="1"/>
  <c r="E193" i="35" s="1"/>
  <c r="I417" i="41"/>
  <c r="G165" i="36" s="1"/>
  <c r="D165" i="36" s="1"/>
  <c r="E192" i="35" s="1"/>
  <c r="I416" i="41"/>
  <c r="G164" i="36" s="1"/>
  <c r="D164" i="36" s="1"/>
  <c r="E191" i="35" s="1"/>
  <c r="I415" i="41"/>
  <c r="G163" i="36" s="1"/>
  <c r="D163" i="36" s="1"/>
  <c r="E190" i="35" s="1"/>
  <c r="I414" i="41"/>
  <c r="G162" i="36" s="1"/>
  <c r="G169" i="36" l="1"/>
  <c r="D169" i="36" s="1"/>
  <c r="E196" i="35" s="1"/>
  <c r="D162" i="36"/>
  <c r="E189" i="35" s="1"/>
  <c r="G160" i="36" l="1"/>
  <c r="I379" i="41"/>
  <c r="I371" i="41"/>
  <c r="I362" i="41"/>
  <c r="F147" i="36"/>
  <c r="H147" i="36"/>
  <c r="I471" i="41"/>
  <c r="I470" i="41"/>
  <c r="I469" i="41"/>
  <c r="I468" i="41"/>
  <c r="I467" i="41"/>
  <c r="I466" i="41"/>
  <c r="I465" i="41"/>
  <c r="I464" i="41"/>
  <c r="I463" i="41"/>
  <c r="I462" i="41"/>
  <c r="I461" i="41"/>
  <c r="I413" i="41"/>
  <c r="I412" i="41"/>
  <c r="I411" i="41"/>
  <c r="I410" i="41"/>
  <c r="I409" i="41"/>
  <c r="I408" i="41"/>
  <c r="I407" i="41"/>
  <c r="I406" i="41"/>
  <c r="I405" i="41"/>
  <c r="I404" i="41"/>
  <c r="I403" i="41"/>
  <c r="G149" i="36" l="1"/>
  <c r="D149" i="36" s="1"/>
  <c r="E176" i="35" s="1"/>
  <c r="G152" i="36"/>
  <c r="D152" i="36" s="1"/>
  <c r="E179" i="35" s="1"/>
  <c r="G156" i="36"/>
  <c r="D156" i="36" s="1"/>
  <c r="E183" i="35" s="1"/>
  <c r="G150" i="36"/>
  <c r="D150" i="36" s="1"/>
  <c r="E177" i="35" s="1"/>
  <c r="G158" i="36"/>
  <c r="D158" i="36" s="1"/>
  <c r="E185" i="35" s="1"/>
  <c r="G154" i="36"/>
  <c r="D154" i="36" s="1"/>
  <c r="E181" i="35" s="1"/>
  <c r="G159" i="36"/>
  <c r="D159" i="36" s="1"/>
  <c r="E186" i="35" s="1"/>
  <c r="G153" i="36"/>
  <c r="D153" i="36" s="1"/>
  <c r="E180" i="35" s="1"/>
  <c r="G157" i="36"/>
  <c r="D157" i="36" s="1"/>
  <c r="E184" i="35" s="1"/>
  <c r="G155" i="36"/>
  <c r="D155" i="36" s="1"/>
  <c r="E182" i="35" s="1"/>
  <c r="G151" i="36"/>
  <c r="D151" i="36" s="1"/>
  <c r="E178" i="35" s="1"/>
  <c r="I361" i="41"/>
  <c r="I370" i="41"/>
  <c r="I378" i="41"/>
  <c r="F138" i="36"/>
  <c r="H138" i="36"/>
  <c r="I460" i="41"/>
  <c r="I459" i="41"/>
  <c r="I458" i="41"/>
  <c r="I457" i="41"/>
  <c r="I456" i="41"/>
  <c r="I455" i="41"/>
  <c r="I402" i="41"/>
  <c r="I401" i="41"/>
  <c r="I400" i="41"/>
  <c r="I399" i="41"/>
  <c r="I398" i="41"/>
  <c r="I397" i="41"/>
  <c r="I377" i="41"/>
  <c r="I369" i="41"/>
  <c r="I360" i="41"/>
  <c r="E139" i="36"/>
  <c r="D139" i="36" s="1"/>
  <c r="E166" i="35" s="1"/>
  <c r="F128" i="36"/>
  <c r="H128" i="36"/>
  <c r="I454" i="41"/>
  <c r="I453" i="41"/>
  <c r="I452" i="41"/>
  <c r="I451" i="41"/>
  <c r="G134" i="36" s="1"/>
  <c r="D134" i="36" s="1"/>
  <c r="E161" i="35" s="1"/>
  <c r="I450" i="41"/>
  <c r="I449" i="41"/>
  <c r="I448" i="41"/>
  <c r="I447" i="41"/>
  <c r="I396" i="41"/>
  <c r="G137" i="36" s="1"/>
  <c r="D137" i="36" s="1"/>
  <c r="E164" i="35" s="1"/>
  <c r="I395" i="41"/>
  <c r="G136" i="36" s="1"/>
  <c r="D136" i="36" s="1"/>
  <c r="E163" i="35" s="1"/>
  <c r="I394" i="41"/>
  <c r="G135" i="36" s="1"/>
  <c r="D135" i="36" s="1"/>
  <c r="E162" i="35" s="1"/>
  <c r="I392" i="41"/>
  <c r="I391" i="41"/>
  <c r="I390" i="41"/>
  <c r="I389" i="41"/>
  <c r="I375" i="41"/>
  <c r="I367" i="41"/>
  <c r="I358" i="41"/>
  <c r="F124" i="36"/>
  <c r="H124" i="36"/>
  <c r="G142" i="36" l="1"/>
  <c r="D142" i="36" s="1"/>
  <c r="E169" i="35" s="1"/>
  <c r="G146" i="36"/>
  <c r="D146" i="36" s="1"/>
  <c r="E173" i="35" s="1"/>
  <c r="G144" i="36"/>
  <c r="D144" i="36" s="1"/>
  <c r="E171" i="35" s="1"/>
  <c r="G124" i="36"/>
  <c r="G141" i="36"/>
  <c r="D141" i="36" s="1"/>
  <c r="E168" i="35" s="1"/>
  <c r="E148" i="36"/>
  <c r="E147" i="36" s="1"/>
  <c r="G143" i="36"/>
  <c r="D143" i="36" s="1"/>
  <c r="E170" i="35" s="1"/>
  <c r="G145" i="36"/>
  <c r="D145" i="36" s="1"/>
  <c r="E172" i="35" s="1"/>
  <c r="G147" i="36"/>
  <c r="G133" i="36"/>
  <c r="D133" i="36" s="1"/>
  <c r="E160" i="35" s="1"/>
  <c r="G132" i="36"/>
  <c r="D132" i="36" s="1"/>
  <c r="E159" i="35" s="1"/>
  <c r="G131" i="36"/>
  <c r="D131" i="36" s="1"/>
  <c r="E158" i="35" s="1"/>
  <c r="G130" i="36"/>
  <c r="D130" i="36" s="1"/>
  <c r="E157" i="35" s="1"/>
  <c r="D127" i="36" l="1"/>
  <c r="E218" i="35" s="1"/>
  <c r="E217" i="35" s="1"/>
  <c r="E215" i="35" s="1"/>
  <c r="G271" i="32" s="1"/>
  <c r="G270" i="32" s="1"/>
  <c r="G269" i="32" s="1"/>
  <c r="G268" i="32" s="1"/>
  <c r="G267" i="32" s="1"/>
  <c r="G265" i="32" s="1"/>
  <c r="D148" i="36"/>
  <c r="E175" i="35" s="1"/>
  <c r="E174" i="35" s="1"/>
  <c r="G138" i="36"/>
  <c r="D147" i="36"/>
  <c r="G128" i="36"/>
  <c r="I357" i="41" l="1"/>
  <c r="I365" i="41"/>
  <c r="I373" i="41"/>
  <c r="E126" i="36"/>
  <c r="E125" i="36" l="1"/>
  <c r="D125" i="36" s="1"/>
  <c r="E153" i="35" s="1"/>
  <c r="F115" i="36"/>
  <c r="H115" i="36"/>
  <c r="E115" i="36"/>
  <c r="I446" i="41"/>
  <c r="I445" i="41"/>
  <c r="I444" i="41"/>
  <c r="I443" i="41"/>
  <c r="I442" i="41"/>
  <c r="I441" i="41"/>
  <c r="I440" i="41"/>
  <c r="I439" i="41"/>
  <c r="I382" i="41"/>
  <c r="I388" i="41"/>
  <c r="I387" i="41"/>
  <c r="I386" i="41"/>
  <c r="I385" i="41"/>
  <c r="I384" i="41"/>
  <c r="I383" i="41"/>
  <c r="I381" i="41"/>
  <c r="G116" i="36" s="1"/>
  <c r="I372" i="41"/>
  <c r="I364" i="41"/>
  <c r="I356" i="41"/>
  <c r="I355" i="41" s="1"/>
  <c r="G121" i="36" l="1"/>
  <c r="D121" i="36" s="1"/>
  <c r="E149" i="35" s="1"/>
  <c r="G119" i="36"/>
  <c r="D119" i="36" s="1"/>
  <c r="E147" i="35" s="1"/>
  <c r="G123" i="36"/>
  <c r="D123" i="36" s="1"/>
  <c r="E151" i="35" s="1"/>
  <c r="G120" i="36"/>
  <c r="D120" i="36" s="1"/>
  <c r="E148" i="35" s="1"/>
  <c r="G117" i="36"/>
  <c r="D117" i="36" s="1"/>
  <c r="E145" i="35" s="1"/>
  <c r="E124" i="36"/>
  <c r="E114" i="36"/>
  <c r="D114" i="36" s="1"/>
  <c r="E142" i="35" s="1"/>
  <c r="G118" i="36"/>
  <c r="D118" i="36" s="1"/>
  <c r="E146" i="35" s="1"/>
  <c r="G122" i="36"/>
  <c r="D122" i="36" s="1"/>
  <c r="E150" i="35" s="1"/>
  <c r="D116" i="36"/>
  <c r="E144" i="35" s="1"/>
  <c r="E143" i="35" l="1"/>
  <c r="G115" i="36"/>
  <c r="D115" i="36" s="1"/>
  <c r="F109" i="36" l="1"/>
  <c r="F104" i="36" l="1"/>
  <c r="H104" i="36"/>
  <c r="E104" i="36"/>
  <c r="H100" i="36"/>
  <c r="E100" i="36"/>
  <c r="I61" i="41"/>
  <c r="I60" i="41"/>
  <c r="I58" i="41"/>
  <c r="I345" i="41"/>
  <c r="I353" i="41"/>
  <c r="I351" i="41"/>
  <c r="H98" i="36" l="1"/>
  <c r="G105" i="36"/>
  <c r="G104" i="36" s="1"/>
  <c r="F103" i="36"/>
  <c r="I59" i="41"/>
  <c r="E98" i="36"/>
  <c r="I57" i="41"/>
  <c r="F101" i="36"/>
  <c r="F100" i="36" l="1"/>
  <c r="F98" i="36" s="1"/>
  <c r="I56" i="41"/>
  <c r="I352" i="41"/>
  <c r="I350" i="41"/>
  <c r="D105" i="36"/>
  <c r="E125" i="35" s="1"/>
  <c r="E124" i="35" s="1"/>
  <c r="D103" i="36"/>
  <c r="E129" i="35" s="1"/>
  <c r="E128" i="35" s="1"/>
  <c r="E126" i="35" s="1"/>
  <c r="G212" i="32" s="1"/>
  <c r="D101" i="36"/>
  <c r="E122" i="35" s="1"/>
  <c r="G219" i="32" s="1"/>
  <c r="G218" i="32" s="1"/>
  <c r="I337" i="41"/>
  <c r="F95" i="36"/>
  <c r="F93" i="36" s="1"/>
  <c r="H95" i="36"/>
  <c r="H93" i="36" s="1"/>
  <c r="I343" i="41"/>
  <c r="I342" i="41"/>
  <c r="E96" i="36"/>
  <c r="E95" i="36" s="1"/>
  <c r="E93" i="36" s="1"/>
  <c r="I52" i="41"/>
  <c r="I55" i="41"/>
  <c r="I54" i="41"/>
  <c r="G211" i="32" l="1"/>
  <c r="G210" i="32" s="1"/>
  <c r="I53" i="41"/>
  <c r="G97" i="36"/>
  <c r="D97" i="36" s="1"/>
  <c r="E116" i="35" s="1"/>
  <c r="G203" i="32" s="1"/>
  <c r="G202" i="32" s="1"/>
  <c r="E91" i="36"/>
  <c r="D91" i="36" s="1"/>
  <c r="E106" i="35" s="1"/>
  <c r="E105" i="35" s="1"/>
  <c r="E103" i="35" s="1"/>
  <c r="I339" i="41"/>
  <c r="I336" i="41" s="1"/>
  <c r="I51" i="41"/>
  <c r="I347" i="41"/>
  <c r="I344" i="41" s="1"/>
  <c r="G102" i="36"/>
  <c r="G100" i="36" s="1"/>
  <c r="G98" i="36" s="1"/>
  <c r="D104" i="36"/>
  <c r="D96" i="36"/>
  <c r="E115" i="35" s="1"/>
  <c r="G201" i="32" s="1"/>
  <c r="G200" i="32" s="1"/>
  <c r="I286" i="41"/>
  <c r="I302" i="41"/>
  <c r="H90" i="36"/>
  <c r="H88" i="36" s="1"/>
  <c r="G90" i="36"/>
  <c r="G88" i="36" s="1"/>
  <c r="F90" i="36"/>
  <c r="F88" i="36" s="1"/>
  <c r="G199" i="32" l="1"/>
  <c r="G198" i="32" s="1"/>
  <c r="G197" i="32" s="1"/>
  <c r="G195" i="32" s="1"/>
  <c r="E101" i="35"/>
  <c r="G190" i="32"/>
  <c r="G189" i="32" s="1"/>
  <c r="G188" i="32" s="1"/>
  <c r="E114" i="35"/>
  <c r="E112" i="35" s="1"/>
  <c r="E110" i="35" s="1"/>
  <c r="G95" i="36"/>
  <c r="G93" i="36" s="1"/>
  <c r="E90" i="36"/>
  <c r="E88" i="36" s="1"/>
  <c r="D88" i="36" s="1"/>
  <c r="D102" i="36"/>
  <c r="E123" i="35" s="1"/>
  <c r="I285" i="41"/>
  <c r="G193" i="32" l="1"/>
  <c r="D125" i="27" s="1"/>
  <c r="D152" i="29" s="1"/>
  <c r="D251" i="69"/>
  <c r="E121" i="35"/>
  <c r="E119" i="35" s="1"/>
  <c r="E117" i="35" s="1"/>
  <c r="G221" i="32"/>
  <c r="G220" i="32" s="1"/>
  <c r="G217" i="32" s="1"/>
  <c r="G216" i="32" s="1"/>
  <c r="G215" i="32" s="1"/>
  <c r="G213" i="32" s="1"/>
  <c r="D90" i="36"/>
  <c r="D95" i="36"/>
  <c r="D98" i="36"/>
  <c r="D100" i="36"/>
  <c r="G209" i="32" l="1"/>
  <c r="G208" i="32" s="1"/>
  <c r="G206" i="32" s="1"/>
  <c r="D105" i="69" s="1"/>
  <c r="D262" i="69"/>
  <c r="E87" i="36"/>
  <c r="F81" i="36"/>
  <c r="G81" i="36"/>
  <c r="H81" i="36"/>
  <c r="E83" i="36"/>
  <c r="E82" i="36"/>
  <c r="E80" i="36"/>
  <c r="D80" i="36" s="1"/>
  <c r="E93" i="35" s="1"/>
  <c r="E79" i="36"/>
  <c r="D79" i="36" s="1"/>
  <c r="E92" i="35" s="1"/>
  <c r="E78" i="36"/>
  <c r="D78" i="36" s="1"/>
  <c r="E91" i="35" s="1"/>
  <c r="F66" i="36"/>
  <c r="G66" i="36"/>
  <c r="H66" i="36"/>
  <c r="F68" i="36"/>
  <c r="G68" i="36"/>
  <c r="H68" i="36"/>
  <c r="E72" i="36"/>
  <c r="E81" i="36" l="1"/>
  <c r="D72" i="36"/>
  <c r="E85" i="35" s="1"/>
  <c r="E71" i="36"/>
  <c r="D71" i="36" s="1"/>
  <c r="E84" i="35" s="1"/>
  <c r="E70" i="36"/>
  <c r="D70" i="36" s="1"/>
  <c r="E83" i="35" s="1"/>
  <c r="G64" i="36" l="1"/>
  <c r="G65" i="36"/>
  <c r="G63" i="36"/>
  <c r="D65" i="36" l="1"/>
  <c r="E78" i="35" s="1"/>
  <c r="D64" i="36"/>
  <c r="E77" i="35" s="1"/>
  <c r="D63" i="36"/>
  <c r="E76" i="35" s="1"/>
  <c r="I13" i="41"/>
  <c r="F56" i="36"/>
  <c r="I15" i="41"/>
  <c r="G50" i="36"/>
  <c r="H50" i="36"/>
  <c r="E50" i="36"/>
  <c r="E48" i="36"/>
  <c r="E46" i="36"/>
  <c r="I22" i="41"/>
  <c r="I23" i="41"/>
  <c r="I28" i="41"/>
  <c r="I27" i="41"/>
  <c r="G179" i="32" l="1"/>
  <c r="G178" i="32" s="1"/>
  <c r="I12" i="41"/>
  <c r="I11" i="41" s="1"/>
  <c r="F51" i="36"/>
  <c r="F52" i="36"/>
  <c r="E44" i="36"/>
  <c r="E42" i="36" s="1"/>
  <c r="I25" i="41"/>
  <c r="F49" i="36" s="1"/>
  <c r="F50" i="36" l="1"/>
  <c r="I31" i="41"/>
  <c r="I29" i="41"/>
  <c r="I26" i="41" s="1"/>
  <c r="I21" i="41"/>
  <c r="I20" i="41" s="1"/>
  <c r="I19" i="41" s="1"/>
  <c r="I18" i="41" l="1"/>
  <c r="F47" i="36"/>
  <c r="F46" i="36" s="1"/>
  <c r="D52" i="36"/>
  <c r="E59" i="35" s="1"/>
  <c r="D51" i="36"/>
  <c r="E58" i="35" s="1"/>
  <c r="D49" i="36"/>
  <c r="E56" i="35" s="1"/>
  <c r="E55" i="35" s="1"/>
  <c r="H48" i="36"/>
  <c r="G48" i="36"/>
  <c r="F48" i="36"/>
  <c r="H46" i="36"/>
  <c r="G46" i="36"/>
  <c r="E36" i="36"/>
  <c r="F40" i="36"/>
  <c r="G40" i="36"/>
  <c r="H40" i="36"/>
  <c r="F38" i="36"/>
  <c r="G38" i="36"/>
  <c r="H38" i="36"/>
  <c r="F36" i="36"/>
  <c r="G36" i="36"/>
  <c r="H36" i="36"/>
  <c r="F34" i="36"/>
  <c r="G34" i="36"/>
  <c r="H34" i="36"/>
  <c r="E41" i="36"/>
  <c r="E40" i="36" s="1"/>
  <c r="I268" i="41"/>
  <c r="I273" i="41"/>
  <c r="E57" i="35" l="1"/>
  <c r="G44" i="36"/>
  <c r="G42" i="36" s="1"/>
  <c r="H44" i="36"/>
  <c r="H42" i="36" s="1"/>
  <c r="D47" i="36"/>
  <c r="E54" i="35" s="1"/>
  <c r="E53" i="35" s="1"/>
  <c r="F44" i="36"/>
  <c r="F42" i="36" s="1"/>
  <c r="F32" i="36"/>
  <c r="E39" i="36"/>
  <c r="E38" i="36" s="1"/>
  <c r="H32" i="36"/>
  <c r="G32" i="36"/>
  <c r="D50" i="36"/>
  <c r="D48" i="36"/>
  <c r="D46" i="36"/>
  <c r="I275" i="41"/>
  <c r="I271" i="41"/>
  <c r="I266" i="41"/>
  <c r="D41" i="36"/>
  <c r="E46" i="35" s="1"/>
  <c r="E45" i="35" s="1"/>
  <c r="D37" i="36"/>
  <c r="E42" i="35" s="1"/>
  <c r="F30" i="36"/>
  <c r="H30" i="36"/>
  <c r="E30" i="36"/>
  <c r="G28" i="36"/>
  <c r="H28" i="36"/>
  <c r="E28" i="36"/>
  <c r="F26" i="36"/>
  <c r="H26" i="36"/>
  <c r="E26" i="36"/>
  <c r="F24" i="36"/>
  <c r="H24" i="36"/>
  <c r="E24" i="36"/>
  <c r="G22" i="36"/>
  <c r="H22" i="36"/>
  <c r="E22" i="36"/>
  <c r="H18" i="36"/>
  <c r="G31" i="36"/>
  <c r="G30" i="36" s="1"/>
  <c r="F29" i="36"/>
  <c r="F28" i="36" s="1"/>
  <c r="G27" i="36"/>
  <c r="G26" i="36" s="1"/>
  <c r="G25" i="36"/>
  <c r="G24" i="36" s="1"/>
  <c r="I260" i="41"/>
  <c r="I262" i="41"/>
  <c r="I255" i="41"/>
  <c r="I39" i="41"/>
  <c r="F21" i="36" s="1"/>
  <c r="D21" i="36" s="1"/>
  <c r="E28" i="35" s="1"/>
  <c r="F20" i="36"/>
  <c r="F18" i="36" l="1"/>
  <c r="E51" i="35"/>
  <c r="E49" i="35" s="1"/>
  <c r="D20" i="36"/>
  <c r="E27" i="35" s="1"/>
  <c r="D39" i="36"/>
  <c r="E44" i="35" s="1"/>
  <c r="E43" i="35" s="1"/>
  <c r="H16" i="36"/>
  <c r="F23" i="36"/>
  <c r="F22" i="36" s="1"/>
  <c r="E35" i="36"/>
  <c r="D35" i="36" s="1"/>
  <c r="E40" i="35" s="1"/>
  <c r="E16" i="36"/>
  <c r="D44" i="36"/>
  <c r="D38" i="36"/>
  <c r="D36" i="36"/>
  <c r="D40" i="36"/>
  <c r="I40" i="41"/>
  <c r="I37" i="41"/>
  <c r="G103" i="32" l="1"/>
  <c r="G102" i="32" s="1"/>
  <c r="G101" i="32" s="1"/>
  <c r="G100" i="32" s="1"/>
  <c r="G99" i="32" s="1"/>
  <c r="G97" i="32" s="1"/>
  <c r="E26" i="35"/>
  <c r="G126" i="32"/>
  <c r="G125" i="32" s="1"/>
  <c r="E34" i="36"/>
  <c r="E32" i="36" s="1"/>
  <c r="F16" i="36"/>
  <c r="I36" i="41"/>
  <c r="I259" i="41"/>
  <c r="G19" i="36" s="1"/>
  <c r="D31" i="36"/>
  <c r="E34" i="35" s="1"/>
  <c r="E33" i="35" s="1"/>
  <c r="D30" i="36"/>
  <c r="D29" i="36"/>
  <c r="E23" i="35" s="1"/>
  <c r="E22" i="35" s="1"/>
  <c r="D27" i="36"/>
  <c r="E32" i="35" s="1"/>
  <c r="E31" i="35" s="1"/>
  <c r="D25" i="36"/>
  <c r="E30" i="35" s="1"/>
  <c r="D23" i="36"/>
  <c r="E21" i="35" s="1"/>
  <c r="G95" i="32" l="1"/>
  <c r="D39" i="69"/>
  <c r="G135" i="32"/>
  <c r="E29" i="35"/>
  <c r="E24" i="35" s="1"/>
  <c r="G128" i="32"/>
  <c r="G127" i="32" s="1"/>
  <c r="G124" i="32" s="1"/>
  <c r="D34" i="36"/>
  <c r="D19" i="36"/>
  <c r="E19" i="35" s="1"/>
  <c r="G137" i="32" s="1"/>
  <c r="G18" i="36"/>
  <c r="G16" i="36" s="1"/>
  <c r="D28" i="36"/>
  <c r="D24" i="36"/>
  <c r="D22" i="36"/>
  <c r="D26" i="36"/>
  <c r="D98" i="35"/>
  <c r="I257" i="41"/>
  <c r="D273" i="35"/>
  <c r="G93" i="32" l="1"/>
  <c r="D42" i="27"/>
  <c r="D50" i="29" s="1"/>
  <c r="D18" i="36"/>
  <c r="D232" i="35"/>
  <c r="E225" i="35" l="1"/>
  <c r="G281" i="32"/>
  <c r="G136" i="32"/>
  <c r="D275" i="35"/>
  <c r="D272" i="35"/>
  <c r="D266" i="35"/>
  <c r="D231" i="35"/>
  <c r="D188" i="35"/>
  <c r="D156" i="35"/>
  <c r="D154" i="35"/>
  <c r="D142" i="35"/>
  <c r="D135" i="35" l="1"/>
  <c r="D100" i="35"/>
  <c r="D96" i="35"/>
  <c r="D95" i="35"/>
  <c r="D90" i="35"/>
  <c r="D88" i="35"/>
  <c r="D86" i="35"/>
  <c r="D82" i="35"/>
  <c r="D71" i="35" l="1"/>
  <c r="E18" i="35" l="1"/>
  <c r="I522" i="41" l="1"/>
  <c r="E113" i="36"/>
  <c r="H234" i="36"/>
  <c r="H229" i="36" s="1"/>
  <c r="G234" i="36"/>
  <c r="G229" i="36" s="1"/>
  <c r="I533" i="41" l="1"/>
  <c r="I521" i="41"/>
  <c r="E275" i="35"/>
  <c r="E274" i="35" s="1"/>
  <c r="F234" i="36"/>
  <c r="D234" i="36" l="1"/>
  <c r="F229" i="36"/>
  <c r="E273" i="35" l="1"/>
  <c r="E228" i="36"/>
  <c r="E272" i="35" l="1"/>
  <c r="E271" i="35" l="1"/>
  <c r="E269" i="35" s="1"/>
  <c r="E267" i="35" s="1"/>
  <c r="D231" i="36"/>
  <c r="D229" i="36"/>
  <c r="G313" i="32" l="1"/>
  <c r="G312" i="32" s="1"/>
  <c r="G311" i="32" s="1"/>
  <c r="G310" i="32" s="1"/>
  <c r="G309" i="32" s="1"/>
  <c r="G307" i="32" s="1"/>
  <c r="G305" i="32" l="1"/>
  <c r="D193" i="27" s="1"/>
  <c r="D262" i="29" s="1"/>
  <c r="D312" i="69"/>
  <c r="H199" i="36"/>
  <c r="G199" i="36"/>
  <c r="F199" i="36"/>
  <c r="D198" i="36"/>
  <c r="H196" i="36"/>
  <c r="H189" i="36" s="1"/>
  <c r="G196" i="36"/>
  <c r="F196" i="36"/>
  <c r="G189" i="36" l="1"/>
  <c r="F189" i="36"/>
  <c r="E232" i="35"/>
  <c r="D222" i="36"/>
  <c r="I496" i="41"/>
  <c r="D204" i="36"/>
  <c r="E238" i="35" s="1"/>
  <c r="D203" i="36"/>
  <c r="E237" i="35" s="1"/>
  <c r="D201" i="36"/>
  <c r="D196" i="36"/>
  <c r="D200" i="36"/>
  <c r="E234" i="35" s="1"/>
  <c r="E199" i="36"/>
  <c r="D197" i="36"/>
  <c r="E235" i="35" l="1"/>
  <c r="D199" i="36"/>
  <c r="E189" i="36"/>
  <c r="D191" i="36"/>
  <c r="D193" i="36"/>
  <c r="D174" i="36"/>
  <c r="E233" i="35"/>
  <c r="E231" i="35"/>
  <c r="E230" i="35" s="1"/>
  <c r="E223" i="35" l="1"/>
  <c r="G280" i="32" s="1"/>
  <c r="E161" i="36"/>
  <c r="E160" i="36" s="1"/>
  <c r="E140" i="36"/>
  <c r="E138" i="36" s="1"/>
  <c r="E129" i="36"/>
  <c r="E128" i="36" s="1"/>
  <c r="F113" i="36"/>
  <c r="F110" i="36" s="1"/>
  <c r="H113" i="36"/>
  <c r="I438" i="41"/>
  <c r="I380" i="41"/>
  <c r="I363" i="41" s="1"/>
  <c r="D87" i="36"/>
  <c r="E100" i="35" s="1"/>
  <c r="E99" i="35" s="1"/>
  <c r="H86" i="36"/>
  <c r="G86" i="36"/>
  <c r="F86" i="36"/>
  <c r="E85" i="36"/>
  <c r="D85" i="36" s="1"/>
  <c r="E98" i="35" s="1"/>
  <c r="E97" i="35" s="1"/>
  <c r="H84" i="36"/>
  <c r="G84" i="36"/>
  <c r="F84" i="36"/>
  <c r="E110" i="36" l="1"/>
  <c r="H112" i="36"/>
  <c r="H110" i="36" s="1"/>
  <c r="G112" i="36"/>
  <c r="I354" i="41"/>
  <c r="D161" i="36"/>
  <c r="E188" i="35" s="1"/>
  <c r="E187" i="35" s="1"/>
  <c r="D160" i="36"/>
  <c r="D140" i="36"/>
  <c r="E167" i="35" s="1"/>
  <c r="E165" i="35" s="1"/>
  <c r="D138" i="36"/>
  <c r="D129" i="36"/>
  <c r="E156" i="35" s="1"/>
  <c r="E155" i="35" s="1"/>
  <c r="D128" i="36"/>
  <c r="E86" i="36"/>
  <c r="D86" i="36" s="1"/>
  <c r="E84" i="36"/>
  <c r="D84" i="36" s="1"/>
  <c r="E77" i="36"/>
  <c r="E76" i="36" s="1"/>
  <c r="H76" i="36"/>
  <c r="G76" i="36"/>
  <c r="F76" i="36"/>
  <c r="E75" i="36"/>
  <c r="H74" i="36"/>
  <c r="G74" i="36"/>
  <c r="G61" i="36" s="1"/>
  <c r="F74" i="36"/>
  <c r="F61" i="36" s="1"/>
  <c r="E73" i="36"/>
  <c r="D73" i="36" s="1"/>
  <c r="E86" i="35" s="1"/>
  <c r="E69" i="36"/>
  <c r="E67" i="36"/>
  <c r="E66" i="36" s="1"/>
  <c r="H61" i="36" l="1"/>
  <c r="D112" i="36"/>
  <c r="E140" i="35" s="1"/>
  <c r="G264" i="32" s="1"/>
  <c r="G263" i="32" s="1"/>
  <c r="E68" i="36"/>
  <c r="D69" i="36"/>
  <c r="E82" i="35" s="1"/>
  <c r="E81" i="35" s="1"/>
  <c r="E141" i="35"/>
  <c r="D124" i="36"/>
  <c r="G113" i="36"/>
  <c r="G110" i="36" s="1"/>
  <c r="D126" i="36"/>
  <c r="E154" i="35" s="1"/>
  <c r="E152" i="35" s="1"/>
  <c r="G262" i="32" l="1"/>
  <c r="E138" i="35"/>
  <c r="E136" i="35" s="1"/>
  <c r="D110" i="36"/>
  <c r="D113" i="36"/>
  <c r="D83" i="36"/>
  <c r="E96" i="35" s="1"/>
  <c r="G261" i="32" l="1"/>
  <c r="G260" i="32" s="1"/>
  <c r="G259" i="32" s="1"/>
  <c r="G258" i="32" s="1"/>
  <c r="G256" i="32" s="1"/>
  <c r="D277" i="69" s="1"/>
  <c r="I270" i="41"/>
  <c r="F60" i="36"/>
  <c r="F59" i="36" s="1"/>
  <c r="F57" i="36" s="1"/>
  <c r="I282" i="41"/>
  <c r="I280" i="41"/>
  <c r="H59" i="36"/>
  <c r="H57" i="36" s="1"/>
  <c r="G59" i="36"/>
  <c r="G57" i="36" s="1"/>
  <c r="E59" i="36"/>
  <c r="E57" i="36" s="1"/>
  <c r="G254" i="32" l="1"/>
  <c r="D60" i="36"/>
  <c r="E71" i="35" s="1"/>
  <c r="E70" i="35" s="1"/>
  <c r="E68" i="35" s="1"/>
  <c r="G157" i="32" s="1"/>
  <c r="D59" i="36"/>
  <c r="I279" i="41"/>
  <c r="D57" i="36"/>
  <c r="I265" i="41"/>
  <c r="D169" i="27" l="1"/>
  <c r="D215" i="29" s="1"/>
  <c r="G156" i="32"/>
  <c r="G155" i="32" s="1"/>
  <c r="G154" i="32" s="1"/>
  <c r="G153" i="32" s="1"/>
  <c r="G151" i="32" s="1"/>
  <c r="E41" i="35"/>
  <c r="G149" i="32" l="1"/>
  <c r="D67" i="27" s="1"/>
  <c r="D224" i="69"/>
  <c r="G147" i="32" l="1"/>
  <c r="D60" i="27"/>
  <c r="D85" i="29"/>
  <c r="I254" i="41"/>
  <c r="I253" i="41" l="1"/>
  <c r="I264" i="41"/>
  <c r="I252" i="41" l="1"/>
  <c r="D82" i="36"/>
  <c r="E95" i="35" s="1"/>
  <c r="E94" i="35" s="1"/>
  <c r="D77" i="36"/>
  <c r="E90" i="35" s="1"/>
  <c r="E89" i="35" s="1"/>
  <c r="D76" i="36"/>
  <c r="D75" i="36"/>
  <c r="E88" i="35" s="1"/>
  <c r="E87" i="35" s="1"/>
  <c r="E74" i="36"/>
  <c r="E61" i="36" s="1"/>
  <c r="D68" i="36"/>
  <c r="D74" i="36" l="1"/>
  <c r="D80" i="35" l="1"/>
  <c r="D67" i="36"/>
  <c r="E80" i="35" s="1"/>
  <c r="E79" i="35" s="1"/>
  <c r="G177" i="32" s="1"/>
  <c r="E74" i="35" l="1"/>
  <c r="D81" i="36"/>
  <c r="D65" i="35" l="1"/>
  <c r="G55" i="36" l="1"/>
  <c r="G53" i="36" s="1"/>
  <c r="H55" i="36"/>
  <c r="H53" i="36" s="1"/>
  <c r="E55" i="36"/>
  <c r="E53" i="36" s="1"/>
  <c r="D66" i="36" l="1"/>
  <c r="G176" i="32" l="1"/>
  <c r="H227" i="36"/>
  <c r="H220" i="36" s="1"/>
  <c r="F227" i="36"/>
  <c r="F220" i="36" s="1"/>
  <c r="E227" i="36"/>
  <c r="E220" i="36" l="1"/>
  <c r="D228" i="36"/>
  <c r="E266" i="35" s="1"/>
  <c r="G227" i="36"/>
  <c r="D227" i="36" s="1"/>
  <c r="E265" i="35" l="1"/>
  <c r="E258" i="35" s="1"/>
  <c r="G302" i="32"/>
  <c r="G220" i="36"/>
  <c r="D220" i="36" l="1"/>
  <c r="G301" i="32"/>
  <c r="G300" i="32" l="1"/>
  <c r="G299" i="32" s="1"/>
  <c r="G298" i="32" s="1"/>
  <c r="G296" i="32" s="1"/>
  <c r="D301" i="69" s="1"/>
  <c r="E256" i="35"/>
  <c r="G294" i="32" l="1"/>
  <c r="H108" i="36"/>
  <c r="H106" i="36" s="1"/>
  <c r="H14" i="36" s="1"/>
  <c r="E108" i="36"/>
  <c r="D187" i="27" l="1"/>
  <c r="D251" i="29" s="1"/>
  <c r="E106" i="36"/>
  <c r="E14" i="36" s="1"/>
  <c r="E39" i="35" l="1"/>
  <c r="D32" i="36"/>
  <c r="E37" i="35" l="1"/>
  <c r="G146" i="32" s="1"/>
  <c r="E250" i="35" l="1"/>
  <c r="E248" i="35" l="1"/>
  <c r="D205" i="36"/>
  <c r="G238" i="32" l="1"/>
  <c r="G237" i="32" s="1"/>
  <c r="G108" i="36" l="1"/>
  <c r="F55" i="36"/>
  <c r="G106" i="36" l="1"/>
  <c r="G14" i="36" s="1"/>
  <c r="D42" i="36"/>
  <c r="F53" i="36"/>
  <c r="D56" i="36"/>
  <c r="D55" i="36"/>
  <c r="E65" i="35" l="1"/>
  <c r="E64" i="35" l="1"/>
  <c r="E20" i="35"/>
  <c r="E16" i="35" s="1"/>
  <c r="E14" i="35" s="1"/>
  <c r="D16" i="36"/>
  <c r="E62" i="35" l="1"/>
  <c r="E72" i="35"/>
  <c r="E66" i="35" s="1"/>
  <c r="G175" i="32"/>
  <c r="E60" i="35" l="1"/>
  <c r="E47" i="35" s="1"/>
  <c r="G55" i="32"/>
  <c r="G174" i="32"/>
  <c r="G173" i="32" s="1"/>
  <c r="G171" i="32" s="1"/>
  <c r="D237" i="69" s="1"/>
  <c r="E35" i="35"/>
  <c r="G145" i="32"/>
  <c r="G144" i="32" s="1"/>
  <c r="G143" i="32" s="1"/>
  <c r="G142" i="32" s="1"/>
  <c r="G140" i="32" s="1"/>
  <c r="D211" i="69" s="1"/>
  <c r="G169" i="32" l="1"/>
  <c r="D86" i="27" s="1"/>
  <c r="D109" i="29" s="1"/>
  <c r="G138" i="32"/>
  <c r="I247" i="41"/>
  <c r="D29" i="27" l="1"/>
  <c r="D36" i="29" s="1"/>
  <c r="G167" i="32"/>
  <c r="G134" i="32" l="1"/>
  <c r="G133" i="32" l="1"/>
  <c r="G132" i="32" s="1"/>
  <c r="G131" i="32" l="1"/>
  <c r="G129" i="32" s="1"/>
  <c r="D200" i="69" s="1"/>
  <c r="G123" i="32" l="1"/>
  <c r="G118" i="32" l="1"/>
  <c r="G116" i="32" s="1"/>
  <c r="F108" i="36"/>
  <c r="F106" i="36" s="1"/>
  <c r="F14" i="36" s="1"/>
  <c r="D109" i="36"/>
  <c r="E135" i="35" s="1"/>
  <c r="I246" i="41"/>
  <c r="I245" i="41" s="1"/>
  <c r="I244" i="41" s="1"/>
  <c r="G114" i="32" l="1"/>
  <c r="D23" i="27" s="1"/>
  <c r="D25" i="29" s="1"/>
  <c r="D25" i="69"/>
  <c r="G112" i="32" l="1"/>
  <c r="D16" i="27"/>
  <c r="D93" i="36"/>
  <c r="D61" i="36"/>
  <c r="D53" i="36" l="1"/>
  <c r="G292" i="32" l="1"/>
  <c r="G289" i="32" s="1"/>
  <c r="I50" i="41"/>
  <c r="I35" i="41" s="1"/>
  <c r="I10" i="41" s="1"/>
  <c r="G288" i="32" l="1"/>
  <c r="G287" i="32" s="1"/>
  <c r="G285" i="32" s="1"/>
  <c r="D134" i="69" s="1"/>
  <c r="E134" i="35"/>
  <c r="E132" i="35" s="1"/>
  <c r="E130" i="35" l="1"/>
  <c r="G79" i="32"/>
  <c r="G78" i="32" s="1"/>
  <c r="G77" i="32" s="1"/>
  <c r="G76" i="32" s="1"/>
  <c r="G75" i="32" s="1"/>
  <c r="G73" i="32" s="1"/>
  <c r="G71" i="32" s="1"/>
  <c r="G283" i="32"/>
  <c r="D108" i="36"/>
  <c r="D106" i="36"/>
  <c r="D181" i="27" l="1"/>
  <c r="D238" i="29" s="1"/>
  <c r="G69" i="32" l="1"/>
  <c r="G67" i="32" s="1"/>
  <c r="G65" i="32" s="1"/>
  <c r="G236" i="32"/>
  <c r="G235" i="32" s="1"/>
  <c r="G233" i="32" s="1"/>
  <c r="E246" i="35"/>
  <c r="D371" i="69" l="1"/>
  <c r="G231" i="32"/>
  <c r="D144" i="27"/>
  <c r="D163" i="27"/>
  <c r="D203" i="29" s="1"/>
  <c r="D137" i="27" l="1"/>
  <c r="D178" i="29"/>
  <c r="G54" i="32"/>
  <c r="G53" i="32" s="1"/>
  <c r="G52" i="32" s="1"/>
  <c r="G47" i="32" s="1"/>
  <c r="G45" i="32" l="1"/>
  <c r="D50" i="69" s="1"/>
  <c r="G43" i="32" l="1"/>
  <c r="D79" i="27"/>
  <c r="G41" i="32" l="1"/>
  <c r="G39" i="32" s="1"/>
  <c r="G37" i="32" s="1"/>
  <c r="D48" i="27"/>
  <c r="G12" i="36"/>
  <c r="F12" i="36"/>
  <c r="H12" i="36"/>
  <c r="D35" i="27" l="1"/>
  <c r="D61" i="29"/>
  <c r="G14" i="32"/>
  <c r="D189" i="36" l="1"/>
  <c r="G279" i="32"/>
  <c r="G278" i="32" s="1"/>
  <c r="E221" i="35"/>
  <c r="E12" i="35" l="1"/>
  <c r="G362" i="32" s="1"/>
  <c r="G277" i="32"/>
  <c r="G276" i="32" s="1"/>
  <c r="G274" i="32" s="1"/>
  <c r="D288" i="69" s="1"/>
  <c r="E12" i="36"/>
  <c r="D12" i="36" s="1"/>
  <c r="D14" i="36"/>
  <c r="G272" i="32" l="1"/>
  <c r="G229" i="32" l="1"/>
  <c r="D175" i="27"/>
  <c r="G222" i="32"/>
  <c r="G204" i="32" s="1"/>
  <c r="G187" i="32"/>
  <c r="G186" i="32" s="1"/>
  <c r="G184" i="32" s="1"/>
  <c r="G182" i="32" l="1"/>
  <c r="D99" i="27" s="1"/>
  <c r="D90" i="69"/>
  <c r="D156" i="27"/>
  <c r="D226" i="29"/>
  <c r="G191" i="32"/>
  <c r="D131" i="27"/>
  <c r="G91" i="32"/>
  <c r="G89" i="32" s="1"/>
  <c r="G35" i="32" s="1"/>
  <c r="G33" i="32" l="1"/>
  <c r="G180" i="32"/>
  <c r="D92" i="27"/>
  <c r="D14" i="27" s="1"/>
  <c r="D124" i="29"/>
  <c r="D118" i="27"/>
  <c r="D165" i="29"/>
  <c r="G110" i="32" l="1"/>
  <c r="G108" i="32" s="1"/>
  <c r="G106" i="32" s="1"/>
  <c r="G104" i="32" s="1"/>
  <c r="G13" i="32" s="1"/>
  <c r="G361" i="32" s="1"/>
  <c r="G360" i="32" s="1"/>
  <c r="G359" i="32" s="1"/>
  <c r="G357" i="32" s="1"/>
  <c r="G355" i="32" s="1"/>
  <c r="G353" i="32" s="1"/>
  <c r="D220" i="27" l="1"/>
  <c r="D213" i="27" s="1"/>
  <c r="D211" i="27" s="1"/>
  <c r="G351" i="32"/>
  <c r="G349" i="32" s="1"/>
  <c r="G347" i="32" s="1"/>
  <c r="G345" i="32" s="1"/>
  <c r="G344" i="32" s="1"/>
  <c r="G11" i="32" s="1"/>
  <c r="D312" i="29" l="1"/>
  <c r="D447" i="69"/>
  <c r="D12" i="27"/>
  <c r="D9" i="65" s="1"/>
  <c r="D10" i="65" s="1"/>
</calcChain>
</file>

<file path=xl/sharedStrings.xml><?xml version="1.0" encoding="utf-8"?>
<sst xmlns="http://schemas.openxmlformats.org/spreadsheetml/2006/main" count="4707" uniqueCount="1247">
  <si>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</si>
  <si>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</si>
  <si>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</si>
  <si>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</si>
  <si>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</si>
  <si>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</si>
  <si>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</si>
  <si>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</si>
  <si>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</si>
  <si>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</si>
  <si>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</si>
  <si>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</si>
  <si>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</si>
  <si>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</si>
  <si>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</si>
  <si>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</si>
  <si>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</si>
  <si>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</si>
  <si>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</si>
  <si>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</si>
  <si>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</si>
  <si>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</si>
  <si>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</si>
  <si>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</si>
  <si>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</si>
  <si>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</si>
  <si>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</si>
  <si>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</si>
  <si>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</si>
  <si>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</si>
  <si>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</si>
  <si>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</si>
  <si>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</si>
  <si>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</si>
  <si>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</si>
  <si>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</si>
  <si>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</si>
  <si>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</si>
  <si>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</si>
  <si>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</si>
  <si>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</si>
  <si>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</si>
  <si>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</si>
  <si>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</si>
  <si>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</si>
  <si>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</si>
  <si>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</si>
  <si>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</si>
  <si>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</si>
  <si>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</si>
  <si>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</si>
  <si>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</si>
  <si>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</si>
  <si>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</si>
  <si>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</si>
  <si>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</si>
  <si>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</si>
  <si>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</si>
  <si>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</si>
  <si>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</si>
  <si>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</si>
  <si>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</si>
  <si>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</si>
  <si>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</si>
  <si>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</si>
  <si>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</si>
  <si>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</si>
  <si>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</si>
  <si>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</si>
  <si>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</si>
  <si>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</si>
  <si>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</si>
  <si>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</si>
  <si>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</si>
  <si>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</si>
  <si>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</si>
  <si>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</si>
  <si>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</si>
  <si>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</si>
  <si>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</si>
  <si>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</si>
  <si>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</si>
  <si>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</si>
  <si>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</si>
  <si>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</si>
  <si>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</si>
  <si>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</si>
  <si>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</si>
  <si>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</si>
  <si>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</si>
  <si>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</si>
  <si>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</si>
  <si>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</si>
  <si>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</si>
  <si>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</si>
  <si>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</si>
  <si>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</si>
  <si>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</si>
  <si>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</si>
  <si>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</si>
  <si>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</si>
  <si>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</si>
  <si>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</si>
  <si>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</si>
  <si>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</si>
  <si>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</si>
  <si>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</si>
  <si>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</si>
  <si>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</si>
  <si>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 Կազմակերպությունների թիվը, որտեղ կատարվում են ներդրումները, հատ </t>
  </si>
  <si>
    <t>Կրթական օբյեկտների շենքային պայմանների բարելավում</t>
  </si>
  <si>
    <t>ՀՀ Արագածոտնի մարզ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</si>
  <si>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</si>
  <si>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Ցուցանիշների փոփոխությունը (ավելացումները նշված են դրական նշանով, իսկ նվազեցումները՝ փակագծերում)</t>
  </si>
  <si>
    <t>Հավելված N 7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</si>
  <si>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</si>
  <si>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</si>
  <si>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</si>
  <si>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</si>
  <si>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Ակտիվն օգտագործող կազմակերպությունների անվանումները </t>
  </si>
  <si>
    <t xml:space="preserve">Միջոցառման դասիչը` </t>
  </si>
  <si>
    <t>02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</si>
  <si>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</si>
  <si>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ՀՀ կառավարության  2023 թվականի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</si>
  <si>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</si>
  <si>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ՀՀ կառավարության  2023 թվականի 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</si>
  <si>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</si>
  <si>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ՀԱՅԱՍՏԱՆԻ ՀԱՆՐԱՊԵՏՈՒԹՅԱՆ ԿԱՌԱՎԱՐՈՒԹՅԱՆ 2022 ԹՎԱԿԱՆԻ ԴԵԿՏԵՄԲԵՐԻ 29-Ի 
N 2111-Ն ՈՐՈՇՄԱՆ N 10 ՀԱՎԵԼՎԱԾՈՒՄ ԿԱՏԱՐՎՈՂ ՓՈՓՈԽՈՒԹՅՈՒՆՆԵՐԸ ԵՎ ԼՐԱՑՈՒՄՆԵՐԸ
</t>
  </si>
  <si>
    <t xml:space="preserve"> այդ թվում՝ ըստ ուղղությունների</t>
  </si>
  <si>
    <t>ՀՀ Արմավիրի մարզ</t>
  </si>
  <si>
    <t>08</t>
  </si>
  <si>
    <t xml:space="preserve"> ՀԱՆԳԻՍՏ, ՄՇԱԿՈՒՅԹ ԵՎ ԿՐՈՆ</t>
  </si>
  <si>
    <t>05</t>
  </si>
  <si>
    <t>Միջոցառման անվանումը՝</t>
  </si>
  <si>
    <t>Նկարագրությունը՝</t>
  </si>
  <si>
    <t>Միջոցառման տեսակը՝</t>
  </si>
  <si>
    <t>ՀՀ Շիրակի մարզ</t>
  </si>
  <si>
    <t>ՀՀ քաղաքաշինության կոմիտե</t>
  </si>
  <si>
    <t xml:space="preserve"> Փոքրաքանակ երեխաներով համալրված հանրակրթական դպրոցների և կրթահամալիրների մոդուլային շենքերի կառուցում</t>
  </si>
  <si>
    <t>ՀՀ կառավարություն</t>
  </si>
  <si>
    <t xml:space="preserve"> - Շենքերի և շինությունների շինարարություն</t>
  </si>
  <si>
    <t xml:space="preserve"> Տրանսֆերտների տրամադրում</t>
  </si>
  <si>
    <t xml:space="preserve"> 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</si>
  <si>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</si>
  <si>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</si>
  <si>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</si>
  <si>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</si>
  <si>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Աղյուսակ 9․1.58</t>
  </si>
  <si>
    <t xml:space="preserve"> Ներդրումներ թատրոնների շենքերի կապիտալ վերանորոգման համար</t>
  </si>
  <si>
    <t>Երևան քաղաք</t>
  </si>
  <si>
    <t>1168-32001</t>
  </si>
  <si>
    <t>Բաժին N 08</t>
  </si>
  <si>
    <t>Խումբ N 02</t>
  </si>
  <si>
    <t>Դաս N 05</t>
  </si>
  <si>
    <t xml:space="preserve"> Արվեստ</t>
  </si>
  <si>
    <t xml:space="preserve"> 45611200-1</t>
  </si>
  <si>
    <t xml:space="preserve"> մշակութային օբյեկտների հիմնանորոգում</t>
  </si>
  <si>
    <t>ԲՄ</t>
  </si>
  <si>
    <t xml:space="preserve"> 71351540-1</t>
  </si>
  <si>
    <t xml:space="preserve"> 98111140-1</t>
  </si>
  <si>
    <t xml:space="preserve"> փորձաքննության ծառայություններ</t>
  </si>
  <si>
    <t xml:space="preserve"> տեխնիկական հսկողության ծառայություններ</t>
  </si>
  <si>
    <t xml:space="preserve"> հեղինակային հսկողության ծառայություններ</t>
  </si>
  <si>
    <t>1075-32001</t>
  </si>
  <si>
    <t>Դաս N 02</t>
  </si>
  <si>
    <t xml:space="preserve"> Թանգարաններ և ցուցասրահներ</t>
  </si>
  <si>
    <t xml:space="preserve"> Ներդրումներ թանգարանների և պատկերասրահների հիմնանորոգման համար</t>
  </si>
  <si>
    <t>ՀՀ Կոտայքի մարզ</t>
  </si>
  <si>
    <t>Դաս N 01</t>
  </si>
  <si>
    <t>ՀՀ Արարատի մարզ</t>
  </si>
  <si>
    <t>Ավագ մակարդակի կրթություն իրականացնող ուսումնական հաստատությունների շենքային պայմանների բարելավում</t>
  </si>
  <si>
    <t>Բաժին N 09</t>
  </si>
  <si>
    <t>Խումբ N 06</t>
  </si>
  <si>
    <t xml:space="preserve"> Կրթությանը տրամադրվող օժանդակ ծառայություններ</t>
  </si>
  <si>
    <t xml:space="preserve"> Ավագ մակարդակի կրթություն իրականացնող ուսումնական հաստատությունների շենքային պայմանների բարելավում</t>
  </si>
  <si>
    <t>ՀՀ Լոռու մարզ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</si>
  <si>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</si>
  <si>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1045-32001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</si>
  <si>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</si>
  <si>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>1045-32005</t>
  </si>
  <si>
    <t>Նախնական (արհեստագործական) և միջին մասնագիտական կրթություն</t>
  </si>
  <si>
    <t xml:space="preserve"> Հանրակրթական կրթություն իրականացնող ուսումնական հաստատությունների նոր մարզադահլիճների կառուցում</t>
  </si>
  <si>
    <t>«Ախուրյանի Նիկոլ Աղբալյանի անվան ավագ դպրոց»ՊՈԱԿ</t>
  </si>
  <si>
    <t>1183-32007</t>
  </si>
  <si>
    <t>«Մոդուլային» տիպի մանկապարտեզների շենքային ապահովում</t>
  </si>
  <si>
    <t>ՀՀ Վայոց Ձորի մարզ</t>
  </si>
  <si>
    <t>1146-12010</t>
  </si>
  <si>
    <t xml:space="preserve"> «Մոդուլային» տիպի մանկապարտեզների շենքային ապահովում</t>
  </si>
  <si>
    <t xml:space="preserve"> ԱՅԼ ՀԻՄՆԱԿԱՆ ՄԻՋՈՑՆԵՐ</t>
  </si>
  <si>
    <t xml:space="preserve"> - Նախագծահետազոտական ծախսեր</t>
  </si>
  <si>
    <t xml:space="preserve"> Մշակութային ծառայություններ</t>
  </si>
  <si>
    <t xml:space="preserve"> Մշակութային ժառանգության ծրագիր</t>
  </si>
  <si>
    <t xml:space="preserve"> Արվեստների ծրագիր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</si>
  <si>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</si>
  <si>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</si>
  <si>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</si>
  <si>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</si>
  <si>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</si>
  <si>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</si>
  <si>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</si>
  <si>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</si>
  <si>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</si>
  <si>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>ՀԱՅԱՍՏԱՆԻ ՀԱՆՐԱՊԵՏՈՒԹՅԱՆ ԿԱՌԱՎԱՐՈՒԹՅԱՆ 2022 ԹՎԱԿԱՆԻ ԴԵԿՏԵՄԲԵՐԻ 29-Ի N2111-Ն ՈՐՈՇՄԱՆ N 3 ԵՎ N 4 ՀԱՎԵԼՎԱԾՆԵՐՈՒՄ ԿԱՏԱՐՎՈՂ ՓՈՓՈԽՈՒԹՅՈՒՆՆԵՐԸ ԵՎ ԼՐԱՑՈՒՄՆԵՐԸ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</si>
  <si>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</si>
  <si>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</si>
  <si>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</si>
  <si>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</si>
  <si>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</si>
  <si>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ՆՄՄԿՈՒ հաստատությունների շենքերի (մասնաշենքերի) կառուցման և նախագծման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</si>
  <si>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</si>
  <si>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</si>
  <si>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</si>
  <si>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Համայնքներում «Մոդուլային» տիպի մանկապարտեզների կառուցում և նախագծում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</si>
  <si>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</si>
  <si>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</si>
  <si>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</si>
  <si>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</si>
  <si>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Ավագ դպրոցների շենքային պայմանների բարելավում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</si>
  <si>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</si>
  <si>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</si>
  <si>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</si>
  <si>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</si>
  <si>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</si>
  <si>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2022 ԹՎԱԿԱՆԻ ԴԵԿՏԵՄԲԵՐԻ 29-Ի N 2111-Ն ՈՐՈՇՄԱՆ N 9 ՀԱՎԵԼՎԱԾԻ NN 9.13 ԵՎ 9.47 ԱՂՅՈՒՍԱԿՆԵՐՈՒՄ ԿԱՏԱՐՎՈՂ ՓՈՓՈԽՈՒԹՅՈՒՆՆԵՐԸ ԵՎ ԼՐԱՑՈՒՄՆԵՐԸ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</si>
  <si>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</si>
  <si>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</si>
  <si>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</si>
  <si>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</si>
  <si>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հաստատությունների շենքերի կառուցում </t>
  </si>
  <si>
    <t xml:space="preserve"> ՆՄՄԿՈՒ հաստատությունների շենքերի (մասնաշենքերի) կառուցման և նախագծման աշխատանքների իրականացում </t>
  </si>
  <si>
    <t xml:space="preserve"> Նախագծանախահաշվային փաստաթղթերի քանակ, հատ </t>
  </si>
  <si>
    <t xml:space="preserve"> Մշակութային ժառանգության ծրագիր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</si>
  <si>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</si>
  <si>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</si>
  <si>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</si>
  <si>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Հիմնանորոգվող թանգարաններ և պատկերասրահներ քանակ, հատ 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</si>
  <si>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</si>
  <si>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</si>
  <si>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</si>
  <si>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</si>
  <si>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</si>
  <si>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Արվեստների ծրագիր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</si>
  <si>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</si>
  <si>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</si>
  <si>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</si>
  <si>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</si>
  <si>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</si>
  <si>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 Հանրակրթական դպրոցներ 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</si>
  <si>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</si>
  <si>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</si>
  <si>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 xml:space="preserve">  Ավագ դպրոցներ 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</si>
  <si>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</si>
  <si>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</si>
  <si>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Աղյուսակ 9․47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</si>
  <si>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</si>
  <si>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</si>
  <si>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</si>
  <si>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ՀԲՄ</t>
  </si>
  <si>
    <t>ՀՀ Վայոց ձորի մարզի Եղեգիս համայնքի Շատին բնակավայրում «Մոդուլային» տիպի 250 տեղ հզորությամբ մսուր-մանկապարտեզ</t>
  </si>
  <si>
    <t>«Մասիսի պետական գյուղատնտեսական քոլեջ» ՊՈԱԿ</t>
  </si>
  <si>
    <t xml:space="preserve"> 45451700-1</t>
  </si>
  <si>
    <t xml:space="preserve"> ԲՄ</t>
  </si>
  <si>
    <t xml:space="preserve">  Նախնական մասնագիտական (արհեստագործական) և միջին մասնագիտական ուսումնական հաստատությունների շենքերի կառուցում</t>
  </si>
  <si>
    <t xml:space="preserve"> 45221142-1</t>
  </si>
  <si>
    <t xml:space="preserve">  ընդհանուր շինարարական աշխատանքներ</t>
  </si>
  <si>
    <t>ՀՀ Գեղարքունիքի մարզ</t>
  </si>
  <si>
    <t>«Գավառի ակադեմիկոս Ա. Թամամշևի անվան պետական գյուղատնտեսական քոլեջ» ՊՈԱԿ</t>
  </si>
  <si>
    <t xml:space="preserve"> 71351540-2</t>
  </si>
  <si>
    <t xml:space="preserve"> 98111140-2</t>
  </si>
  <si>
    <t>«Ստեփանավանի պրոֆ. Քալանթարի անվան պետական գյուղատնտեսական քոլեջ» ՊՈԱԿ</t>
  </si>
  <si>
    <t xml:space="preserve"> 45221142-3</t>
  </si>
  <si>
    <t xml:space="preserve"> 71351540-3</t>
  </si>
  <si>
    <t xml:space="preserve"> 98111140-3</t>
  </si>
  <si>
    <t xml:space="preserve"> 71241200-1</t>
  </si>
  <si>
    <t xml:space="preserve">  նախագծերի պատրաստում, ծախսերի գնահատում</t>
  </si>
  <si>
    <t xml:space="preserve"> 50531140-1</t>
  </si>
  <si>
    <t>Բարձրագույն ուսումնական հաստատությունների և ««Զեյթուն» ուսանողական ավան» հիմնադրամի շենքային պայմանների բարելավում</t>
  </si>
  <si>
    <t>«Երևանի Կոմիտասի անվան պետական կոնսերվատորիա» ՊՈԱԿ</t>
  </si>
  <si>
    <t>1111-32001</t>
  </si>
  <si>
    <t xml:space="preserve"> Բարձրագույն ուսումնական հաստատությունների և ««Զեյթուն» ուսանողական ավան» հիմնադրամի շենքային պայմանների բարելավում</t>
  </si>
  <si>
    <t xml:space="preserve">ՀՀ Արարատի մարզի Արալեզ համայնքում «Մոդուլային» տիպի 144 տեղ հզորությամբ մսուր-մանկապարտեզ </t>
  </si>
  <si>
    <t xml:space="preserve"> 45221142-569</t>
  </si>
  <si>
    <t>ՀՀ Արմավիրի մարզի Այգևան համայնքում «Մոդուլային» տիպի 144 տեղ հզորությամբ մսուր-մանկապարտեզ</t>
  </si>
  <si>
    <t xml:space="preserve"> 71351540-614</t>
  </si>
  <si>
    <t xml:space="preserve"> 45221142-21</t>
  </si>
  <si>
    <t xml:space="preserve"> 98111140-7</t>
  </si>
  <si>
    <t>ՀՀ Արմավիրի մարզի Լենուղի համայնքում «Մոդուլային» տիպի 144 տեղ հզորությամբ մսուր-մանկապարտեզ</t>
  </si>
  <si>
    <t xml:space="preserve">ՀՀ Գեղարքունիքի մարզի Աստղաձոր համայնքում «Մոդուլային» տիպի 144 տեղ հզորությամբ մսուր-մանկապարտեզ </t>
  </si>
  <si>
    <t xml:space="preserve"> 98111140-8</t>
  </si>
  <si>
    <t xml:space="preserve"> 45221142-8</t>
  </si>
  <si>
    <t xml:space="preserve"> 71351540-8</t>
  </si>
  <si>
    <t xml:space="preserve">ՀՀ Լոռու մարզի Սպիտակ համայնքում «Մոդուլային» տիպի 144 տեղ հզորությամբ մսուր-մանկապարտեզ </t>
  </si>
  <si>
    <t xml:space="preserve"> 71351540-9</t>
  </si>
  <si>
    <t xml:space="preserve"> 45221142-9</t>
  </si>
  <si>
    <t xml:space="preserve"> 98111140-9</t>
  </si>
  <si>
    <t xml:space="preserve"> 71241200-2</t>
  </si>
  <si>
    <t>ՀՀ Սյունիքի մարզ</t>
  </si>
  <si>
    <t>ՀՀ Վայոց Ձոր</t>
  </si>
  <si>
    <t xml:space="preserve"> 45221142-16</t>
  </si>
  <si>
    <t xml:space="preserve"> 71351540-16</t>
  </si>
  <si>
    <t xml:space="preserve"> 98111140-16</t>
  </si>
  <si>
    <t>ՀՀ Տավուշի մարզ</t>
  </si>
  <si>
    <t>ՀՀ Տավուշի մարզի Այրում համայնքի Բագրատաշեն բնակավայրում «Մոդուլային» տիպի 144 տեղ հզորությամբ մսուր-մանկապարտեզ</t>
  </si>
  <si>
    <t xml:space="preserve"> 98111140-17</t>
  </si>
  <si>
    <t xml:space="preserve"> 71351540-17</t>
  </si>
  <si>
    <t xml:space="preserve"> 45221142-22</t>
  </si>
  <si>
    <t xml:space="preserve">Երևանի մնջախաղի պետական թատրոնի շենքի վերակառուցում </t>
  </si>
  <si>
    <t xml:space="preserve"> 45611200-2</t>
  </si>
  <si>
    <t xml:space="preserve"> կրթական օբյեկտների հիմնանորոգում</t>
  </si>
  <si>
    <t>Կրթական օբյեկտների շենքային ապահովվածության բարելավում</t>
  </si>
  <si>
    <t>1183-32002</t>
  </si>
  <si>
    <t xml:space="preserve"> Կրթական օբյեկտների շենքային ապահովվածության բարելավում</t>
  </si>
  <si>
    <t>«Բարձրաշենի միջնակարգ դպրոց»ՊՈԱԿ</t>
  </si>
  <si>
    <t xml:space="preserve"> 45221142-4</t>
  </si>
  <si>
    <t xml:space="preserve"> 71351540-4</t>
  </si>
  <si>
    <t xml:space="preserve"> 98111140-4</t>
  </si>
  <si>
    <t>«Վաղարշապատի Մովսես Խորենացու անվան N 10 ավագ դպրոց» ՊՈԱԿ</t>
  </si>
  <si>
    <t xml:space="preserve"> 45221142-5</t>
  </si>
  <si>
    <t xml:space="preserve"> 98111140-5</t>
  </si>
  <si>
    <t xml:space="preserve"> 71351540-5</t>
  </si>
  <si>
    <t>«Վարդենիսի Հ. Համբարձումյանի անվան ավագ դպրոց» ՊՈԱԿ</t>
  </si>
  <si>
    <t xml:space="preserve"> 45221142-7</t>
  </si>
  <si>
    <t xml:space="preserve"> 71351540-7</t>
  </si>
  <si>
    <t>«Հրազդանի Լևոն Խեչոյանի անվան թիվ 10 ավագ դպրոց» ՊՈԱԿ</t>
  </si>
  <si>
    <t>1183-32003</t>
  </si>
  <si>
    <t xml:space="preserve">  Փոքրաքանակ երեխաներով համալրված հանրակրթական դպրոցների և կրթահամալիրների մոդուլային շենքերի կառուցում</t>
  </si>
  <si>
    <t xml:space="preserve">  միջնակարգ դպրոցների կառուցման աշխատանքներ</t>
  </si>
  <si>
    <t xml:space="preserve"> 45211231-8</t>
  </si>
  <si>
    <t xml:space="preserve"> Ջրառատի միջնակարգ դպրոց ՊՈԱԿ</t>
  </si>
  <si>
    <t xml:space="preserve"> Կաթնաղբյուրի հիմնական դպրոց ՊՈԱԿ</t>
  </si>
  <si>
    <t xml:space="preserve"> 71351540-6</t>
  </si>
  <si>
    <t xml:space="preserve"> 45211231-9</t>
  </si>
  <si>
    <t>«Արեգնադեմի միջնակարգ դպրոց» ՊՈԱԿ</t>
  </si>
  <si>
    <t xml:space="preserve"> 45211231-11</t>
  </si>
  <si>
    <t>«Վաղատինի միջնակարգ դպրոց» ՊՈԱԿ</t>
  </si>
  <si>
    <t>«Դարբասի միջնակարգ դպրոց» ՊՈԱԿ</t>
  </si>
  <si>
    <t xml:space="preserve"> 45211231-14</t>
  </si>
  <si>
    <t xml:space="preserve"> 45211231-15</t>
  </si>
  <si>
    <t>«Կիրանցի Գ.Վարդանյանի անվ. հիմնական դպրոց» ՊՈԱԿ</t>
  </si>
  <si>
    <t xml:space="preserve"> 71351540-10</t>
  </si>
  <si>
    <t xml:space="preserve"> 45211231-19</t>
  </si>
  <si>
    <t>1183-32004</t>
  </si>
  <si>
    <t xml:space="preserve"> 98111140-6</t>
  </si>
  <si>
    <t xml:space="preserve"> 45221142-6</t>
  </si>
  <si>
    <t xml:space="preserve"> 45221142-10</t>
  </si>
  <si>
    <t xml:space="preserve"> 45221142-11</t>
  </si>
  <si>
    <t xml:space="preserve"> 71351540-11</t>
  </si>
  <si>
    <t xml:space="preserve"> 98111140-10</t>
  </si>
  <si>
    <t xml:space="preserve"> 98111140-11</t>
  </si>
  <si>
    <t xml:space="preserve"> 45221142-14</t>
  </si>
  <si>
    <t xml:space="preserve"> 45221142-15</t>
  </si>
  <si>
    <t xml:space="preserve"> 71351540-14</t>
  </si>
  <si>
    <t xml:space="preserve"> 71351540-15</t>
  </si>
  <si>
    <t xml:space="preserve"> 98111140-14</t>
  </si>
  <si>
    <t xml:space="preserve"> 98111140-15</t>
  </si>
  <si>
    <t xml:space="preserve"> 98111140-18</t>
  </si>
  <si>
    <t xml:space="preserve"> 71351540-18</t>
  </si>
  <si>
    <t xml:space="preserve"> 45221142-18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</si>
  <si>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</si>
  <si>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</si>
  <si>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 xml:space="preserve"> վերակառուցման աշխատանքներ</t>
  </si>
  <si>
    <t xml:space="preserve"> 71351540-12</t>
  </si>
  <si>
    <t xml:space="preserve"> 98111140-12</t>
  </si>
  <si>
    <t>«Երևանի թեթև արդյունաբերության պետական քոլեջ» ՊՈԱԿ</t>
  </si>
  <si>
    <t xml:space="preserve"> «Մոդուլային» տիպի 50 տեղ հզորությամբ մսուր-մանկապարտեզի բազմակի օգտագործման օրինակելի նախագծանախահաշվային փաստաթղթեր</t>
  </si>
  <si>
    <t xml:space="preserve"> «Մոդուլային» տիպի 100 տեղ հզորությամբ մսուր-մանկապարտեզի բազմակի օգտագործման օրինակելի նախագծանախահաշվային փաստաթղթեր</t>
  </si>
  <si>
    <t xml:space="preserve"> «Մոդուլային» տիպի 200 տեղ հզորությամբ մսուր-մանկապարտեզի բազմակի օգտագործման օրինակելի նախագծանախահաշվային փաստաթղթեր</t>
  </si>
  <si>
    <t>ՀՀ Լոռու մարզի Լեռնավան համայնքում «Մոդուլային» տիպի 144 տեղ հզորությամբ մսուր-մանկապարտեզ</t>
  </si>
  <si>
    <t xml:space="preserve"> Բարձրագույն և հետբուհական մասնագիտական կրթության ծրագիր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</si>
  <si>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</si>
  <si>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>«Գոշի միջնակարգ դպրոց» ՊՈԱԿ</t>
  </si>
  <si>
    <t xml:space="preserve"> ԱՅԼ  ԾԱԽՍԵՐ</t>
  </si>
  <si>
    <t xml:space="preserve"> - Պահուստային միջոցներ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</si>
  <si>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</si>
  <si>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</si>
  <si>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</si>
  <si>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</si>
  <si>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</si>
  <si>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Հավելված N 5</t>
  </si>
  <si>
    <t xml:space="preserve"> Բարձրագույն և հետբուհական մասնագիտական կրթության ծրագիր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</si>
  <si>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</si>
  <si>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</si>
  <si>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Բարձրագույն ուսումնական հաստատություններ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</si>
  <si>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</si>
  <si>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</si>
  <si>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</si>
  <si>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</si>
  <si>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նախագծերի պատրաստում, ծախսերի գնահատում</t>
  </si>
  <si>
    <t>«Երևանի հ․8 արհեստագործական պետական ուսումնարան» ՊՈԱԿ</t>
  </si>
  <si>
    <t>«Երևանի հ․9 արհեստագործական պետական ուսումնարան» ՊՈԱԿ</t>
  </si>
  <si>
    <t>«Գավառի պետական բժշկական քոլեջ» ՊՈԱԿ</t>
  </si>
  <si>
    <t xml:space="preserve">«Վանաձորի Կ. Ղարաքեշիշյանի անվան N 1 արհեստագործական պետական ուսումնարան» ՊՈԱԿ </t>
  </si>
  <si>
    <t>«Նոր Գեղիի ակադեմիկոս Գ. Աղաջանյանի անվան պետական գյուղատնտեսական քոլեջ» ՊՈԱԿ</t>
  </si>
  <si>
    <t xml:space="preserve">«Արթիկի պետական քոլեջ» ՊՈԱԿ </t>
  </si>
  <si>
    <t xml:space="preserve"> 45611100-537</t>
  </si>
  <si>
    <t xml:space="preserve"> 71351540-553</t>
  </si>
  <si>
    <t xml:space="preserve"> 71351540-554</t>
  </si>
  <si>
    <t xml:space="preserve"> 71241200-509</t>
  </si>
  <si>
    <t xml:space="preserve"> 50531140-522</t>
  </si>
  <si>
    <t xml:space="preserve"> 71241200-510</t>
  </si>
  <si>
    <t xml:space="preserve"> 50531140-523</t>
  </si>
  <si>
    <t xml:space="preserve"> 45451700-2</t>
  </si>
  <si>
    <t xml:space="preserve"> 71241200-511</t>
  </si>
  <si>
    <t xml:space="preserve"> 50531140-524</t>
  </si>
  <si>
    <t>Հայաստանի ազգային ագրարային համալսարան հիմնադրամի Ապարանի մասնաճյուղ</t>
  </si>
  <si>
    <t>«Գորիսի պրոֆեսոր Խ. Երիցյանի անվան պետական գյուղատնտեսական քոլեջ» ՊՈԱԿ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</si>
  <si>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</si>
  <si>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</si>
  <si>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</si>
  <si>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Հայոց ցեղասպանության հուշահամալիրի և թանգարանի հիմնանորոգում և բարեկարգում</t>
  </si>
  <si>
    <t>Ալավերդի համայնքի  Սանահինի վանական համալիրի Սբ Ամենափրկիչ եկեղեցու տանիքների նորոգում</t>
  </si>
  <si>
    <t>Քոբայր ե/գ կայարանի Քոբայրավանքի սեղանատան վերականգնում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</si>
  <si>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</si>
  <si>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</si>
  <si>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</si>
  <si>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45451600-1</t>
  </si>
  <si>
    <t xml:space="preserve"> վերականգնողական աշխատանքներ</t>
  </si>
  <si>
    <t xml:space="preserve"> 71351540-548</t>
  </si>
  <si>
    <t xml:space="preserve"> 45451600-14</t>
  </si>
  <si>
    <t xml:space="preserve"> 45451600-13</t>
  </si>
  <si>
    <t xml:space="preserve"> 45451600-4</t>
  </si>
  <si>
    <t xml:space="preserve">Այգեշատ համայնքի Թարգմանչաց եկեղեցու վերականգնում </t>
  </si>
  <si>
    <t xml:space="preserve"> 45451600-5</t>
  </si>
  <si>
    <t>«Հ. Թումանյանի թանգարան» ՊՈԱԿ</t>
  </si>
  <si>
    <t xml:space="preserve"> 50531140-3</t>
  </si>
  <si>
    <t xml:space="preserve"> 50531140-4</t>
  </si>
  <si>
    <t xml:space="preserve"> 50531140-5</t>
  </si>
  <si>
    <t>ՀՀ Արմավիրի մարզի Գետաշեն համայնքում «Մոդուլային» տիպի 144 տեղ հզորությամբ մսուր-մանկապարտեզ</t>
  </si>
  <si>
    <t xml:space="preserve"> 45221142-564</t>
  </si>
  <si>
    <t>ՀՀ Արմավիրի մարզի Նորավան համայնքում «Մոդուլային» տիպի 144 տեղ հզորությամբ մսուր-մանկապարտեզ</t>
  </si>
  <si>
    <t>ՀՀ Արմավիրի մարզի Փշատավան համայնքում «Մոդուլային» տիպի 144 տեղ հզորությամբ մսուր-մանկապարտեզ</t>
  </si>
  <si>
    <t>ՀՀ Լոռու մարզի Գոգարան համայնքում «Մոդուլային» տիպի 144 տեղ հզորությամբ մսուր-մանկապարտեզ</t>
  </si>
  <si>
    <t>ՀՀ Լոռու մարզի Լուսաղբյուր համայնքում «Մոդուլային» տիպի 144 տեղ հզորությամբ մսուր-մանկապարտեզ</t>
  </si>
  <si>
    <t xml:space="preserve"> 45221142-12</t>
  </si>
  <si>
    <t>ՀՀ Շիրակի մարզի Արթիկ համայնքում «Մոդուլային» տիպի 144 տեղ հզորությամբ մսուր-մանկապարտեզ</t>
  </si>
  <si>
    <t>ՀՀ Շիրակի մարզի Արևշատ համայնքում «Մոդուլային» տիպի 144 տեղ հզորությամբ մսուր-մանկապարտեզ</t>
  </si>
  <si>
    <t>«Արամ Մանուկյանի անվան մարզառազմական մասնագիտացված դպրոց» ՊՈԱԿ-ի մարզադահլիճի կառուցում</t>
  </si>
  <si>
    <t>«Արամ Մանուկյանի անվան մարզառազմական մասնագիտացված դպրոց» ՊՈԱԿ</t>
  </si>
  <si>
    <t>1148-32003</t>
  </si>
  <si>
    <t xml:space="preserve"> «Արամ Մանուկյանի անվան մարզառազմական մասնագիտացված դպրոց» ՊՈԱԿ-ի մարզադահլիճի կառուցում</t>
  </si>
  <si>
    <t xml:space="preserve"> 45211138-1</t>
  </si>
  <si>
    <t xml:space="preserve">  մարզական դահլիճների կառուցման աշխատանքներ</t>
  </si>
  <si>
    <t>Մարզական օբյեկտների շինարարություն</t>
  </si>
  <si>
    <t>«Հեծանվային սպորտի օլիմպիական մանկապատանեկան մարզադպրոց» ՊՈԱԿ</t>
  </si>
  <si>
    <t>Արթուր Աբրահամի անվան մարզահամալիր</t>
  </si>
  <si>
    <t xml:space="preserve"> ընդհանուր շինարարական աշխատանքներ</t>
  </si>
  <si>
    <t>1163-32001</t>
  </si>
  <si>
    <t xml:space="preserve"> 71241200-243</t>
  </si>
  <si>
    <t>ՀՄԱ</t>
  </si>
  <si>
    <t>Մարզական օբյեկտների հիմնանորոգում</t>
  </si>
  <si>
    <t>«Երևանի օլիմպիական հերթափոխի պետական մարզական քոլեջ» ՊՈԱԿ</t>
  </si>
  <si>
    <t>«Խաղային մարզաձևերի օլիմպիական մանկապատանեկան մարզադպրոց» ՊՈԱԿ</t>
  </si>
  <si>
    <t>«Թիավարության մարզաձևերի օլիմպիական մանկապատանեական մարզադպրոց» ՊՈԱԿ</t>
  </si>
  <si>
    <t>«Գյումրու մանկապատանեկան համալիր մարզադպրոց» ՊՈԱԿ</t>
  </si>
  <si>
    <t xml:space="preserve"> Մարզական օբյեկտների շինարարություն</t>
  </si>
  <si>
    <t xml:space="preserve"> Մարզական օբյեկտների հիմնանորոգում</t>
  </si>
  <si>
    <t>1163-32002</t>
  </si>
  <si>
    <t xml:space="preserve"> 45211131-1</t>
  </si>
  <si>
    <t xml:space="preserve">  մարզական օբյեկտների շինարարական աշխատանքներ</t>
  </si>
  <si>
    <t xml:space="preserve"> 71351540-27</t>
  </si>
  <si>
    <t>300 տեղ հզորությամբ դպրոցի կառուցման նախագծի լրամշակում (վերափոխում 350 տեղ հզորության)</t>
  </si>
  <si>
    <t>«Երևանի թիվ 109 ավագ դպրոց» ՊՈԱԿ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</si>
  <si>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</si>
  <si>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</si>
  <si>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գ. Ներքին Սասնաշենի միջնակարգ դպրոց</t>
  </si>
  <si>
    <t>ք. Աշտարակի Վ.Պետրոսյան անվ. հիմնական դպրոց</t>
  </si>
  <si>
    <t>գ. Ալագյազի միջնակարգ դպրոց</t>
  </si>
  <si>
    <t>գ. Օշականի Մ.Մաշտոցի անվ. միջնակարգ դպրոց</t>
  </si>
  <si>
    <t>գ. Արագածավանի թիվ 2 միջնակարգ դպրոց</t>
  </si>
  <si>
    <t>գ. Նոր Եդեսիայի Ն. Շնորհալու անվ. միջնակարգ դպրոց</t>
  </si>
  <si>
    <t>«Վեդիի ավագ դպրոց» ՊՈԱԿ</t>
  </si>
  <si>
    <t>Արտաշատի թիվ 1 հիմնական դպրոց</t>
  </si>
  <si>
    <t>ՀՀ տարածքային կառավարման և ենթակառուցվածքների նախարարություն</t>
  </si>
  <si>
    <t>գ. Ջրառատի Թ.Խաչատրյանի անվ. միջնակարգ դպրոց</t>
  </si>
  <si>
    <t>գ. Արաքսի Զ.Ավետիսյանի անվ. միջնակարգ դպրոց</t>
  </si>
  <si>
    <t>գ. Գեղակերտի միջնակարգ դպրոց</t>
  </si>
  <si>
    <t>ք. Վաղարշապատի Վ.Ռշտունու անվ. թիվ 11 հիմնական դպրոց</t>
  </si>
  <si>
    <t>ք. Վաղարշապատի Ե.Օտյանի անվ. թիվ 7 հիմնական դպրոց</t>
  </si>
  <si>
    <t xml:space="preserve">գ. Վանանդի միջնակարգ դպրոց            </t>
  </si>
  <si>
    <t>գ. Նոր Կեսարիայի միջնակարգ դպրոց</t>
  </si>
  <si>
    <t xml:space="preserve">գ. Ամբերդի Հ. Նավասարդյանի անվ. միջնակարգ դպրոց  </t>
  </si>
  <si>
    <t>Ն.Գետաշենի թիվ 1 հիմնական դպրոց ՊՈԱԿ</t>
  </si>
  <si>
    <t>ք. Գավառի թիվ 5 հիմնական դպրոց</t>
  </si>
  <si>
    <t>գ. Ծովինարի Արծրուն Խաչատրյանի անվ. միջնակարգ դպրոց</t>
  </si>
  <si>
    <t>ք. Սևանի Վ.Կարապետյանի անվ. թիվ 3 հիմնական դպրոց</t>
  </si>
  <si>
    <t>գ. Լիճքի միջնակարգ դպրոց (գ. Լիճքի հիմնական դպրոցի տեղակայման վայրում)</t>
  </si>
  <si>
    <t>ք. Վարդենիսի թիվ 3 հիմնական դպրոց</t>
  </si>
  <si>
    <t xml:space="preserve">ք. Գավառի Գեորգի Մնացականյանի թիվ 7 միջնակարգ դպրոց     </t>
  </si>
  <si>
    <t>«Ալավերդու Սայաթ Նովայի անվան թիվ 8 ավագ դպրոց» ՊՈԱԿ</t>
  </si>
  <si>
    <t>գ. Ճոճկանի միջնակարգ դպրոց</t>
  </si>
  <si>
    <t>գ. Արևածագի Կ․ Մելիքսեթյան անվան միջնակարգ դպրոց</t>
  </si>
  <si>
    <t>գ. Օձունի թիվ 2 միջնակարգ դպրոց</t>
  </si>
  <si>
    <t>ք. Տաշիրի միջնակարգ դպրոց (ք. Տաշիրի թիվ 1 հիմնական դպրոցի տեղակայման վայրում)</t>
  </si>
  <si>
    <t>ք. Սպիտակի թիվ 8 միջնակարգ դպրոց</t>
  </si>
  <si>
    <t>գ. Աքորու միջնակարգ դպրոց</t>
  </si>
  <si>
    <t>ք. Ալավերդու Մյասնիկյանի անվան թիվ 7 միջնակարգ դպրոց</t>
  </si>
  <si>
    <t>ք. Վանաձորի Ստ.Շահումյանի անվան թիվ 6 հիմնական դպրոց</t>
  </si>
  <si>
    <t>գ. Մեծավանի թիվ 2 միջնակարգ դպրոց</t>
  </si>
  <si>
    <t>գ. Դսեղի Հ.Թումանյանի անվան միջնակարգ դպրոց</t>
  </si>
  <si>
    <t>գ. Շիրակամուտի թիվ 1 միջնակարգ դպրոց</t>
  </si>
  <si>
    <t>Կապուտան բնակավայրի միջնակարգ դպրոց</t>
  </si>
  <si>
    <t>Կոտայք և Նոր Գյուղ բնակավայրերի միջնակարգ դպրոց</t>
  </si>
  <si>
    <t>Զառ բնակավայրի միջնակարգ դպրոց</t>
  </si>
  <si>
    <t>Գեղադիր բնակավայրի միջնակարգ դպրոց</t>
  </si>
  <si>
    <t>Արգել բնակավայրի միջնակարգ դպրոց</t>
  </si>
  <si>
    <t>Արագյուղ բնակավայրի միջնակարգ դպրոց</t>
  </si>
  <si>
    <t>Գողթ բնակավայրի միջնակարգ դպրոց</t>
  </si>
  <si>
    <t>Պռոշյան բնակավայրի միջնակարգ դպրոց</t>
  </si>
  <si>
    <t>Զովունի բնակավայրի միջնակարգ դպրոց</t>
  </si>
  <si>
    <t>Լեռնանիստ բնակավայրի միջնակարգ դպրոց</t>
  </si>
  <si>
    <t>Մայակովսկի բնակավայրի միջնակարգ դպրոց</t>
  </si>
  <si>
    <t>Արամուս բնակավայրի միջնակարգ դպրոց</t>
  </si>
  <si>
    <t>«գ. Շաղաթի միջնակարգ դպրոց» ՊՈԱԿ</t>
  </si>
  <si>
    <t>«գ. Խնձորեսկի միջնակարգ դպրոց» ՊՈԱԿ</t>
  </si>
  <si>
    <t>«գ. Շինուհայրի միջնակարգ դպրոց» ՊՈԱԿ</t>
  </si>
  <si>
    <t xml:space="preserve">«ք. Գորիսի Ս. Խանզադյանի անվան թիվ 6 հիմնական դպրոց» ՊՈԱԿ </t>
  </si>
  <si>
    <t xml:space="preserve">«ք. Սիսիանի թիվ 2 հիմնական դպրոց» ՊՈԱԿ </t>
  </si>
  <si>
    <t>71241200-238</t>
  </si>
  <si>
    <t>71241200-239</t>
  </si>
  <si>
    <t>50531140-210</t>
  </si>
  <si>
    <t>50531140-211</t>
  </si>
  <si>
    <t xml:space="preserve">ք. Այրումի Հ.Մալինյանի անվան միջնակարգ դպրոց </t>
  </si>
  <si>
    <t>գ. Կոթիի միջնակարգ դպրոց</t>
  </si>
  <si>
    <t>գ. Բագրատաշենի Մ․ Մագուլյանի անվան թիվ 1 միջնակարգ դպրոց</t>
  </si>
  <si>
    <t>գ. Արծվաբերդի թիվ 1 միջնակարգ դպրոց</t>
  </si>
  <si>
    <t>գ. Այգեձորի միջնակարգ դպրոց</t>
  </si>
  <si>
    <t>ք. Նոյեմբերյանի միջնակարգ դպրոց (ք. Նոյեմբերյանի թիվ 1 ավագ դպրոցի տեղակայման վայրում)</t>
  </si>
  <si>
    <t>գ. Կողբի Ջ.Կարախանյանի անվ. թիվ 1 միջնակարգ դպրոց</t>
  </si>
  <si>
    <t>գ. Սևքարի միջնակարգ դպրոց</t>
  </si>
  <si>
    <t>«Լուսակնի միջնակարգ դպրոց» ՀՈԱԿ</t>
  </si>
  <si>
    <t xml:space="preserve"> 45211231-1</t>
  </si>
  <si>
    <t>«Շատջրեք գյուղի միջնակարգ դպրոց» ՊՈԱԿ</t>
  </si>
  <si>
    <t>«Ջիլի միջնակարգ դպրոց» ՊՈԱԿ</t>
  </si>
  <si>
    <t xml:space="preserve"> 45211231-4</t>
  </si>
  <si>
    <t xml:space="preserve"> 45211231-21</t>
  </si>
  <si>
    <t xml:space="preserve"> ՀԲՄ</t>
  </si>
  <si>
    <t>«Հարժիսի Համլետ Մինասյանի անվան միջնակարգ դպրոց» ՊՈԱԿ</t>
  </si>
  <si>
    <t xml:space="preserve"> 45211231-13</t>
  </si>
  <si>
    <t>«Չիվայի միջնակարգ դպրոց» ՊՈԱԿ</t>
  </si>
  <si>
    <t>«Գոմքի միջնակարգ դպրոց» ՊՈԱԿ</t>
  </si>
  <si>
    <t xml:space="preserve"> 45211231-17</t>
  </si>
  <si>
    <t xml:space="preserve"> 45211231-18</t>
  </si>
  <si>
    <t>«գ. Դովեղի միջնակարգ դպրոց» ՊՈԱԿ</t>
  </si>
  <si>
    <t xml:space="preserve"> 45211231-20</t>
  </si>
  <si>
    <t>«Գյումրու «Ֆոտոն» վարժարան» ՊՈԱԿ</t>
  </si>
  <si>
    <t>«Եղեգնաձորի ավագ դպրոցի» ՊՈԱԿ</t>
  </si>
  <si>
    <t>«Ալավերդու N 5 ավագ դպրոց» ՊՈԱԿ</t>
  </si>
  <si>
    <t xml:space="preserve"> 45231129-3</t>
  </si>
  <si>
    <t xml:space="preserve"> ջեռուցման հետ կապված աշխատանքներ</t>
  </si>
  <si>
    <t xml:space="preserve"> 45611100-1</t>
  </si>
  <si>
    <t xml:space="preserve"> 71351540-523</t>
  </si>
  <si>
    <t xml:space="preserve"> 71241200-514</t>
  </si>
  <si>
    <t xml:space="preserve"> 50531140-527</t>
  </si>
  <si>
    <t>«Մրգաստանի միջնակարգ դպրոց» ՊՈԱԿ</t>
  </si>
  <si>
    <t xml:space="preserve"> 50531140-2</t>
  </si>
  <si>
    <t>գ. Ախթալայի թիվ 2 միջնակարգ դպրոց</t>
  </si>
  <si>
    <t>գ. Ղուրսալու միջնակարգ դպրոց</t>
  </si>
  <si>
    <t xml:space="preserve"> 50531140-188</t>
  </si>
  <si>
    <t xml:space="preserve"> 50531140-189</t>
  </si>
  <si>
    <t xml:space="preserve"> 71241200-213</t>
  </si>
  <si>
    <t xml:space="preserve"> 71241200-214</t>
  </si>
  <si>
    <t>«Երևանի Վ. Թեքեյանի անվան թիվ 92 հիմնական դպրոց» ՊՈԱԿ</t>
  </si>
  <si>
    <t>«Երևանի հ. 37 հիմնական դպրոց» ՊՈԱԿ</t>
  </si>
  <si>
    <t xml:space="preserve"> 45451700-3</t>
  </si>
  <si>
    <t xml:space="preserve"> 45451700-11</t>
  </si>
  <si>
    <t>«Ալավերդու թիվ 12 հիմնական դպրոց» ՊՈԱԿ-ի մարզադահլիճի վերակառուցում</t>
  </si>
  <si>
    <t>Հանրակրթական դպրոցների գույքով և տեխնիկայով ապահովում</t>
  </si>
  <si>
    <t>«Գառնահովիտի  միջնակարգ դպրոց» ՊՈԱԿ</t>
  </si>
  <si>
    <t>«Մեդովկայի միջնակարգ դպրոց» ՊՈԱԿ</t>
  </si>
  <si>
    <t>«Կապսի միջնակարգ դպրոց» ՊՈԱԿ</t>
  </si>
  <si>
    <t>1183-32012</t>
  </si>
  <si>
    <t xml:space="preserve"> Հանրակրթական դպրոցների գույքով և տեխնիկայով ապահովում</t>
  </si>
  <si>
    <t xml:space="preserve"> ՄԱՍ I.  ԱՊՐԱՆՔՆԵՐ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</si>
  <si>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</si>
  <si>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գ. Ագարակավանի կրթահամալիր</t>
  </si>
  <si>
    <t>գ. Ռյա Թազայի կրթահամալիր</t>
  </si>
  <si>
    <t>գ. Նոր-Ամանոսի կրթահամալիր</t>
  </si>
  <si>
    <t>գ. Ճարճակիսի կրթահամալիր</t>
  </si>
  <si>
    <t>գ. Զարինջայի կրթահամալիր</t>
  </si>
  <si>
    <t>գ. Վարդենուտի կրթահամալիր</t>
  </si>
  <si>
    <t>գ. Կարինի կրթահամալիր</t>
  </si>
  <si>
    <t>գ. Երասխահունի կրթահամալիր</t>
  </si>
  <si>
    <t>գ. Վարդանաշենի կրթահամալիր</t>
  </si>
  <si>
    <t>գ. Երվանդաշատի կրթահամալիր</t>
  </si>
  <si>
    <t>գ. Նոր Արտագերսի կրթահամալիր</t>
  </si>
  <si>
    <t>գ. Թթուջուրի կրթահամալիր</t>
  </si>
  <si>
    <t>գ. Մարտունու կրթահամալիր</t>
  </si>
  <si>
    <t>գ. Դպրաբակի կրթահամալիր</t>
  </si>
  <si>
    <t>գ. Շատվանի կրթահամալիր</t>
  </si>
  <si>
    <t>գ. Կախակնի կրթահամալիր</t>
  </si>
  <si>
    <t>գ. Արեգունու կրթահամալիր</t>
  </si>
  <si>
    <t>գ. Փոքր Մասրիկի  կրթահամալիր</t>
  </si>
  <si>
    <t>գ. Մաքենիսի  կրթահամալիր</t>
  </si>
  <si>
    <t>գ. Մադինայի  կրթահամալիր</t>
  </si>
  <si>
    <t>1183-32013</t>
  </si>
  <si>
    <t xml:space="preserve">  ՀՀ մարզերում կրթական որակյալ ծառայությունների հասանելիության ապահովման ծրագրի շրջանակներում կրթական կենտրոնների ստեղծում</t>
  </si>
  <si>
    <t>գ. Հարթագյուղի կրթահամալիր</t>
  </si>
  <si>
    <t>գ. Լորուտի կրթահամալիր</t>
  </si>
  <si>
    <t>ք. Ալավերդիի կրթահամալիր (ք. Ալավերդու թիվ 4 հիմնական դպրոցի տեղակայման վայրում)</t>
  </si>
  <si>
    <t>ք. Թումանյանի կրթահամալիր (ք. Թումանյանի Խ.Աբովյանի անվան միջնակարգ դպրոցի տեղակայման վայրում)</t>
  </si>
  <si>
    <t>գ. Քարինջի կրթահամալիր</t>
  </si>
  <si>
    <t>գ. Բազումի կրթահամալիր</t>
  </si>
  <si>
    <t>գ. Միխայլովկայի կրթահամալիր</t>
  </si>
  <si>
    <t>գ. Լեջանի կրթահամալիր</t>
  </si>
  <si>
    <t>գ. Կաթնառատի կրթահամալիր</t>
  </si>
  <si>
    <t>գ. Գարգառի կրթահամալիր</t>
  </si>
  <si>
    <t>գ. Նորաշենի կրթահամալիր</t>
  </si>
  <si>
    <t>Գորայք համայնքի Գորայքի կրթահամալիր</t>
  </si>
  <si>
    <t>Գորայք համայնքի Սառնակունքի կրթահամալիր</t>
  </si>
  <si>
    <t>Սիսիան համայնքի Աշոտավանի կրթահամալիր</t>
  </si>
  <si>
    <t>Սիսիան համայնքի Նորավանի կրթահամալիր</t>
  </si>
  <si>
    <t>Սիսիան համայնքի Ախլաթյանի կրթահամալիր</t>
  </si>
  <si>
    <t>Սիսիան համայնքի Իշխանասարի կրթահամալիր</t>
  </si>
  <si>
    <t>Սիսիան համայնքի Ույծի կրթահամալիր</t>
  </si>
  <si>
    <t>Սիսիան համայնքի Շաքիի կրթահամալիր</t>
  </si>
  <si>
    <t>Գորիս համայնքի Որոտանի կրթահամալիր</t>
  </si>
  <si>
    <t>Գորիս համայնքի Հարթաշենի կրթահամալիր</t>
  </si>
  <si>
    <t>Տեղ համայնքի Տեղի թիվ 2 կրթահամալիր</t>
  </si>
  <si>
    <t>Տեղ համայնքի Խնածախի կրթահամալիր</t>
  </si>
  <si>
    <t>Տեղ համայնքի Կորնիձորի կրթահամալիր</t>
  </si>
  <si>
    <t>Տեղ համայնքի Քարաշենի կրթահամալիր</t>
  </si>
  <si>
    <t>գ. Լուսաձորի կրթահամալիր</t>
  </si>
  <si>
    <t>գ. Պտղավանի կրթահամալիր</t>
  </si>
  <si>
    <t>գ. Աղավնավանքի կրթահամալիր</t>
  </si>
  <si>
    <t>գ. Ոսկևանի կրթահամալիր</t>
  </si>
  <si>
    <t>Արտավազի կրթահամալիր</t>
  </si>
  <si>
    <t>71241200-89</t>
  </si>
  <si>
    <t>50531140-85</t>
  </si>
  <si>
    <t>71241200-90</t>
  </si>
  <si>
    <t>71241200-91</t>
  </si>
  <si>
    <t>71241200-92</t>
  </si>
  <si>
    <t>71241200-93</t>
  </si>
  <si>
    <t>71241200-94</t>
  </si>
  <si>
    <t>71241200-95</t>
  </si>
  <si>
    <t>71241200-96</t>
  </si>
  <si>
    <t>71241200-97</t>
  </si>
  <si>
    <t>71241200-98</t>
  </si>
  <si>
    <t>71241200-99</t>
  </si>
  <si>
    <t>71241200-100</t>
  </si>
  <si>
    <t>71241200-101</t>
  </si>
  <si>
    <t>71241200-102</t>
  </si>
  <si>
    <t>71241200-103</t>
  </si>
  <si>
    <t>71241200-104</t>
  </si>
  <si>
    <t>71241200-105</t>
  </si>
  <si>
    <t>71241200-106</t>
  </si>
  <si>
    <t>71241200-107</t>
  </si>
  <si>
    <t>71241200-108</t>
  </si>
  <si>
    <t>71241200-109</t>
  </si>
  <si>
    <t>71241200-110</t>
  </si>
  <si>
    <t>71241200-111</t>
  </si>
  <si>
    <t>71241200-193</t>
  </si>
  <si>
    <t>71241200-194</t>
  </si>
  <si>
    <t>71241200-195</t>
  </si>
  <si>
    <t>71241200-196</t>
  </si>
  <si>
    <t>71241200-197</t>
  </si>
  <si>
    <t>71241200-198</t>
  </si>
  <si>
    <t>71241200-199</t>
  </si>
  <si>
    <t>71241200-200</t>
  </si>
  <si>
    <t>71241200-201</t>
  </si>
  <si>
    <t>71241200-202</t>
  </si>
  <si>
    <t>71241200-203</t>
  </si>
  <si>
    <t>71241200-73</t>
  </si>
  <si>
    <t>71241200-74</t>
  </si>
  <si>
    <t>71241200-75</t>
  </si>
  <si>
    <t>71241200-76</t>
  </si>
  <si>
    <t>71241200-77</t>
  </si>
  <si>
    <t>71241200-78</t>
  </si>
  <si>
    <t>71241200-79</t>
  </si>
  <si>
    <t>71241200-80</t>
  </si>
  <si>
    <t>71241200-81</t>
  </si>
  <si>
    <t>71241200-82</t>
  </si>
  <si>
    <t>71241200-83</t>
  </si>
  <si>
    <t>71241200-84</t>
  </si>
  <si>
    <t>71241200-134</t>
  </si>
  <si>
    <t>71241200-135</t>
  </si>
  <si>
    <t>71241200-138</t>
  </si>
  <si>
    <t>71241200-139</t>
  </si>
  <si>
    <t>71241200-140</t>
  </si>
  <si>
    <t>71241200-141</t>
  </si>
  <si>
    <t>71241200-142</t>
  </si>
  <si>
    <t>71241200-143</t>
  </si>
  <si>
    <t>71241200-144</t>
  </si>
  <si>
    <t>71241200-145</t>
  </si>
  <si>
    <t>50531140-86</t>
  </si>
  <si>
    <t>50531140-87</t>
  </si>
  <si>
    <t>50531140-88</t>
  </si>
  <si>
    <t>50531140-89</t>
  </si>
  <si>
    <t>50531140-90</t>
  </si>
  <si>
    <t>50531140-91</t>
  </si>
  <si>
    <t>50531140-92</t>
  </si>
  <si>
    <t>50531140-93</t>
  </si>
  <si>
    <t>50531140-94</t>
  </si>
  <si>
    <t>50531140-95</t>
  </si>
  <si>
    <t>50531140-96</t>
  </si>
  <si>
    <t>50531140-97</t>
  </si>
  <si>
    <t>50531140-98</t>
  </si>
  <si>
    <t>50531140-99</t>
  </si>
  <si>
    <t>50531140-100</t>
  </si>
  <si>
    <t>50531140-101</t>
  </si>
  <si>
    <t>50531140-102</t>
  </si>
  <si>
    <t>50531140-103</t>
  </si>
  <si>
    <t>50531140-104</t>
  </si>
  <si>
    <t>50531140-105</t>
  </si>
  <si>
    <t>50531140-106</t>
  </si>
  <si>
    <t>50531140-107</t>
  </si>
  <si>
    <t>50531140-168</t>
  </si>
  <si>
    <t>50531140-169</t>
  </si>
  <si>
    <t>50531140-170</t>
  </si>
  <si>
    <t>50531140-171</t>
  </si>
  <si>
    <t>50531140-172</t>
  </si>
  <si>
    <t>50531140-173</t>
  </si>
  <si>
    <t>50531140-174</t>
  </si>
  <si>
    <t>50531140-175</t>
  </si>
  <si>
    <t>50531140-176</t>
  </si>
  <si>
    <t>50531140-177</t>
  </si>
  <si>
    <t>50531140-178</t>
  </si>
  <si>
    <t>50531140-69</t>
  </si>
  <si>
    <t>50531140-70</t>
  </si>
  <si>
    <t>50531140-71</t>
  </si>
  <si>
    <t>50531140-72</t>
  </si>
  <si>
    <t>50531140-73</t>
  </si>
  <si>
    <t>50531140-74</t>
  </si>
  <si>
    <t>50531140-75</t>
  </si>
  <si>
    <t>50531140-76</t>
  </si>
  <si>
    <t>50531140-77</t>
  </si>
  <si>
    <t>50531140-78</t>
  </si>
  <si>
    <t>50531140-79</t>
  </si>
  <si>
    <t>50531140-80</t>
  </si>
  <si>
    <t>50531140-130</t>
  </si>
  <si>
    <t>50531140-131</t>
  </si>
  <si>
    <t>50531140-134</t>
  </si>
  <si>
    <t>50531140-135</t>
  </si>
  <si>
    <t>50531140-136</t>
  </si>
  <si>
    <t>50531140-137</t>
  </si>
  <si>
    <t>50531140-138</t>
  </si>
  <si>
    <t>50531140-139</t>
  </si>
  <si>
    <t>50531140-140</t>
  </si>
  <si>
    <t>50531140-141</t>
  </si>
  <si>
    <t xml:space="preserve"> 71241200-18</t>
  </si>
  <si>
    <t xml:space="preserve"> 50531140-18</t>
  </si>
  <si>
    <t>71241200-112</t>
  </si>
  <si>
    <t>71241200-113</t>
  </si>
  <si>
    <t>71241200-114</t>
  </si>
  <si>
    <t>71241200-115</t>
  </si>
  <si>
    <t>71241200-116</t>
  </si>
  <si>
    <t>71241200-117</t>
  </si>
  <si>
    <t>71241200-118</t>
  </si>
  <si>
    <t>71241200-119</t>
  </si>
  <si>
    <t>71241200-120</t>
  </si>
  <si>
    <t>71241200-121</t>
  </si>
  <si>
    <t>71241200-122</t>
  </si>
  <si>
    <t>71241200-123</t>
  </si>
  <si>
    <t>71241200-124</t>
  </si>
  <si>
    <t>71241200-125</t>
  </si>
  <si>
    <t>71241200-126</t>
  </si>
  <si>
    <t>71241200-127</t>
  </si>
  <si>
    <t>71241200-128</t>
  </si>
  <si>
    <t>71241200-129</t>
  </si>
  <si>
    <t>71241200-130</t>
  </si>
  <si>
    <t>71241200-131</t>
  </si>
  <si>
    <t>71241200-220</t>
  </si>
  <si>
    <t>71241200-221</t>
  </si>
  <si>
    <t>71241200-222</t>
  </si>
  <si>
    <t>71241200-223</t>
  </si>
  <si>
    <t>71241200-224</t>
  </si>
  <si>
    <t>71241200-225</t>
  </si>
  <si>
    <t>71241200-226</t>
  </si>
  <si>
    <t>71241200-227</t>
  </si>
  <si>
    <t>71241200-228</t>
  </si>
  <si>
    <t>71241200-229</t>
  </si>
  <si>
    <t>71241200-230</t>
  </si>
  <si>
    <t>71241200-88</t>
  </si>
  <si>
    <t>71241200-40</t>
  </si>
  <si>
    <t>71241200-41</t>
  </si>
  <si>
    <t>71241200-42</t>
  </si>
  <si>
    <t>71241200-43</t>
  </si>
  <si>
    <t>71241200-44</t>
  </si>
  <si>
    <t>71241200-28</t>
  </si>
  <si>
    <t>71241200-45</t>
  </si>
  <si>
    <t>71241200-241</t>
  </si>
  <si>
    <t>71241200-52</t>
  </si>
  <si>
    <t>71241200-53</t>
  </si>
  <si>
    <t>71241200-56</t>
  </si>
  <si>
    <t>71241200-57</t>
  </si>
  <si>
    <t>71241200-58</t>
  </si>
  <si>
    <t>71241200-59</t>
  </si>
  <si>
    <t>71241200-150</t>
  </si>
  <si>
    <t>71241200-151</t>
  </si>
  <si>
    <t>71241200-152</t>
  </si>
  <si>
    <t>71241200-153</t>
  </si>
  <si>
    <t>71241200-154</t>
  </si>
  <si>
    <t>50531140-108</t>
  </si>
  <si>
    <t>50531140-109</t>
  </si>
  <si>
    <t>50531140-110</t>
  </si>
  <si>
    <t>50531140-111</t>
  </si>
  <si>
    <t>50531140-112</t>
  </si>
  <si>
    <t>50531140-113</t>
  </si>
  <si>
    <t>50531140-114</t>
  </si>
  <si>
    <t>50531140-115</t>
  </si>
  <si>
    <t>50531140-116</t>
  </si>
  <si>
    <t>50531140-117</t>
  </si>
  <si>
    <t>50531140-118</t>
  </si>
  <si>
    <t>50531140-119</t>
  </si>
  <si>
    <t>50531140-120</t>
  </si>
  <si>
    <t>50531140-121</t>
  </si>
  <si>
    <t>50531140-122</t>
  </si>
  <si>
    <t>50531140-123</t>
  </si>
  <si>
    <t>50531140-124</t>
  </si>
  <si>
    <t>50531140-125</t>
  </si>
  <si>
    <t>50531140-126</t>
  </si>
  <si>
    <t>50531140-127</t>
  </si>
  <si>
    <t>50531140-195</t>
  </si>
  <si>
    <t>50531140-196</t>
  </si>
  <si>
    <t>50531140-197</t>
  </si>
  <si>
    <t>50531140-198</t>
  </si>
  <si>
    <t>50531140-199</t>
  </si>
  <si>
    <t>50531140-200</t>
  </si>
  <si>
    <t>50531140-201</t>
  </si>
  <si>
    <t>50531140-202</t>
  </si>
  <si>
    <t>50531140-203</t>
  </si>
  <si>
    <t>50531140-204</t>
  </si>
  <si>
    <t>50531140-205</t>
  </si>
  <si>
    <t>50531140-84</t>
  </si>
  <si>
    <t>50531140-37</t>
  </si>
  <si>
    <t>50531140-38</t>
  </si>
  <si>
    <t>50531140-39</t>
  </si>
  <si>
    <t>50531140-40</t>
  </si>
  <si>
    <t>50531140-41</t>
  </si>
  <si>
    <t>50531140-25</t>
  </si>
  <si>
    <t>50531140-42</t>
  </si>
  <si>
    <t>50531140-213</t>
  </si>
  <si>
    <t>50531140-49</t>
  </si>
  <si>
    <t>50531140-50</t>
  </si>
  <si>
    <t>50531140-53</t>
  </si>
  <si>
    <t>50531140-54</t>
  </si>
  <si>
    <t>50531140-55</t>
  </si>
  <si>
    <t>50531140-56</t>
  </si>
  <si>
    <t>50531140-146</t>
  </si>
  <si>
    <t>50531140-147</t>
  </si>
  <si>
    <t>50531140-148</t>
  </si>
  <si>
    <t>50531140-149</t>
  </si>
  <si>
    <t>50531140-150</t>
  </si>
  <si>
    <t>39121100-4</t>
  </si>
  <si>
    <t>30239170-1</t>
  </si>
  <si>
    <t>33191180-501</t>
  </si>
  <si>
    <t>33141211-2</t>
  </si>
  <si>
    <t>33191180-2</t>
  </si>
  <si>
    <t>39713432-502</t>
  </si>
  <si>
    <t>37311100-508</t>
  </si>
  <si>
    <t>37311100-6</t>
  </si>
  <si>
    <t>37421141-1</t>
  </si>
  <si>
    <t>37421170-2</t>
  </si>
  <si>
    <t>33141211-501</t>
  </si>
  <si>
    <t>37421181-503</t>
  </si>
  <si>
    <t>38311100-1</t>
  </si>
  <si>
    <t>37421181-1</t>
  </si>
  <si>
    <t>37451290-3</t>
  </si>
  <si>
    <t>37451580-2</t>
  </si>
  <si>
    <t>37421300-1</t>
  </si>
  <si>
    <t>37421152-1</t>
  </si>
  <si>
    <t>37421142-1</t>
  </si>
  <si>
    <t>37421151-2</t>
  </si>
  <si>
    <t>37451861-1</t>
  </si>
  <si>
    <t>37451420-2</t>
  </si>
  <si>
    <t>39132220-1</t>
  </si>
  <si>
    <t>39141260-1</t>
  </si>
  <si>
    <t>39299310-1</t>
  </si>
  <si>
    <t>39292600-1</t>
  </si>
  <si>
    <t>31151120-1</t>
  </si>
  <si>
    <t>37421190-2</t>
  </si>
  <si>
    <t>37421181-2</t>
  </si>
  <si>
    <t>37421240-2</t>
  </si>
  <si>
    <t>39713432-1</t>
  </si>
  <si>
    <t>37451420-3</t>
  </si>
  <si>
    <t>37451290-4</t>
  </si>
  <si>
    <t>37421142-2</t>
  </si>
  <si>
    <t>37451580-3</t>
  </si>
  <si>
    <t>37451830-2</t>
  </si>
  <si>
    <t>37421141-2</t>
  </si>
  <si>
    <t>39111140-8</t>
  </si>
  <si>
    <t>39292110-5</t>
  </si>
  <si>
    <t>39132220-2</t>
  </si>
  <si>
    <t>39111140-6</t>
  </si>
  <si>
    <t>39121200-1</t>
  </si>
  <si>
    <t>39292600-2</t>
  </si>
  <si>
    <t>39111140-7</t>
  </si>
  <si>
    <t>37421151-3</t>
  </si>
  <si>
    <t>37421153-2</t>
  </si>
  <si>
    <t>37451410-4</t>
  </si>
  <si>
    <t>37451581-2</t>
  </si>
  <si>
    <t>37471200-2</t>
  </si>
  <si>
    <t>39295420-2</t>
  </si>
  <si>
    <t>32421300-1</t>
  </si>
  <si>
    <t>37451861-2</t>
  </si>
  <si>
    <t>37421160-1</t>
  </si>
  <si>
    <t>37421300-2</t>
  </si>
  <si>
    <t>37421152-2</t>
  </si>
  <si>
    <t>38311100-2</t>
  </si>
  <si>
    <t>39121470-3</t>
  </si>
  <si>
    <t>39121520-4</t>
  </si>
  <si>
    <t>38651200-1</t>
  </si>
  <si>
    <t>30211200-1</t>
  </si>
  <si>
    <t>30211200-502</t>
  </si>
  <si>
    <t>37421170-4</t>
  </si>
  <si>
    <t>39292110-3</t>
  </si>
  <si>
    <t>44421300-1</t>
  </si>
  <si>
    <t>37461400-2</t>
  </si>
  <si>
    <t>39121200-2</t>
  </si>
  <si>
    <t>39141260-3</t>
  </si>
  <si>
    <t>39121520-5</t>
  </si>
  <si>
    <t>39141260-4</t>
  </si>
  <si>
    <t>39121470-2</t>
  </si>
  <si>
    <t>39121470-1</t>
  </si>
  <si>
    <t>39111140-9</t>
  </si>
  <si>
    <t>39121360-1</t>
  </si>
  <si>
    <t>39111140-5</t>
  </si>
  <si>
    <t>39141260-2</t>
  </si>
  <si>
    <t>39299310-2</t>
  </si>
  <si>
    <t>39111220-2</t>
  </si>
  <si>
    <t>35121240-1</t>
  </si>
  <si>
    <t>37461400-1</t>
  </si>
  <si>
    <t>30211280-2</t>
  </si>
  <si>
    <t>39132210-1</t>
  </si>
  <si>
    <t>39292110-6</t>
  </si>
  <si>
    <t>35121240-502</t>
  </si>
  <si>
    <t>39151210-1</t>
  </si>
  <si>
    <t>39121440-1</t>
  </si>
  <si>
    <t>39111320-1</t>
  </si>
  <si>
    <t>38651200-502</t>
  </si>
  <si>
    <t>39111140-4</t>
  </si>
  <si>
    <t>37421160-502</t>
  </si>
  <si>
    <t>37421141-503</t>
  </si>
  <si>
    <t>37471200-503</t>
  </si>
  <si>
    <t>37451290-505</t>
  </si>
  <si>
    <t>38311100-503</t>
  </si>
  <si>
    <t>37421170-505</t>
  </si>
  <si>
    <t>37451410-505</t>
  </si>
  <si>
    <t>37451580-504</t>
  </si>
  <si>
    <t>37421152-503</t>
  </si>
  <si>
    <t>37451410-3</t>
  </si>
  <si>
    <t>39292110-4</t>
  </si>
  <si>
    <t>37451830-1</t>
  </si>
  <si>
    <t>39515410-3</t>
  </si>
  <si>
    <t>գրասեղաններ</t>
  </si>
  <si>
    <t>բազմաֆունկցիոնալ սարք` լազերային</t>
  </si>
  <si>
    <t>բժշկական թախտեր</t>
  </si>
  <si>
    <t>բժշկական այլ գործիքներ ― պարագաներ</t>
  </si>
  <si>
    <t>փոշեկուլ</t>
  </si>
  <si>
    <t>դաշնամուրներ</t>
  </si>
  <si>
    <t>պտտաձող</t>
  </si>
  <si>
    <t>մարմնամարզական օղակներ</t>
  </si>
  <si>
    <t>մարմնամարզական պարան` մագլցման համար</t>
  </si>
  <si>
    <t>էլեկտրոնային կշեռքներ ― պարագաներ</t>
  </si>
  <si>
    <t>ֆուտբոլի գնդակներ</t>
  </si>
  <si>
    <t>վոլեյբոլի գնդակներ</t>
  </si>
  <si>
    <t>մարմնամարզական ներքնակներ</t>
  </si>
  <si>
    <t>մարմնամարզական կամրջակ</t>
  </si>
  <si>
    <t>բարձրացատկի կանգնակներ ― ձող</t>
  </si>
  <si>
    <t>մարմնամարզական պատ</t>
  </si>
  <si>
    <t>ֆուտբոլի դարպասներ</t>
  </si>
  <si>
    <t>բասկետբոլի ամբողջական խաղային կոմպլեքսներ</t>
  </si>
  <si>
    <t>կախիչներ</t>
  </si>
  <si>
    <t>զգեստապահարաններ</t>
  </si>
  <si>
    <t>հայելի, շրջանակով</t>
  </si>
  <si>
    <t>ամբիոն</t>
  </si>
  <si>
    <t>անխափան սնուցման աղբյուրներ</t>
  </si>
  <si>
    <t>մարմնամարզական ցատկերի սարքեր</t>
  </si>
  <si>
    <t>սպորտային մարմնամարզության նժույգ թափեր (մարզումային)</t>
  </si>
  <si>
    <t>վոլեյբոլի ցանց</t>
  </si>
  <si>
    <t>աթոռներ</t>
  </si>
  <si>
    <t>գրատախտակներ</t>
  </si>
  <si>
    <t>սեղաններ</t>
  </si>
  <si>
    <t>մարմնամարզական նստարան</t>
  </si>
  <si>
    <t>բասկետբոլի գնդակներ</t>
  </si>
  <si>
    <t>վոլեյբոլի կանգնակ</t>
  </si>
  <si>
    <t>բուլավա</t>
  </si>
  <si>
    <t>զուգափայտեր</t>
  </si>
  <si>
    <t>ցանցային բաժանարար</t>
  </si>
  <si>
    <t>մարմնամարզական պարաններ</t>
  </si>
  <si>
    <t>սեղան` աշակերտական, միաձույլ մետաղյա կարկասով</t>
  </si>
  <si>
    <t>գրապահարաններ</t>
  </si>
  <si>
    <t>պրոյեկտորներ</t>
  </si>
  <si>
    <t>դյուրակիր համակարգիչներ</t>
  </si>
  <si>
    <t>չհրկիզվող պահարաններ</t>
  </si>
  <si>
    <t>շախմատ</t>
  </si>
  <si>
    <t>սեղան` ղեկավարի</t>
  </si>
  <si>
    <t>բազկաթոռ` ղեկավարի</t>
  </si>
  <si>
    <t>ժամանակաչափման համակարգ</t>
  </si>
  <si>
    <t>համակարգիչ ամբողջը մեկում</t>
  </si>
  <si>
    <t>տեսակավորման դարակաշարեր</t>
  </si>
  <si>
    <t>ճեմասրահի ― ընդունարանի կահույք</t>
  </si>
  <si>
    <t>սեղան` նախագահության</t>
  </si>
  <si>
    <t>նստարաններ</t>
  </si>
  <si>
    <t>ներքին շերտավարագույրներ</t>
  </si>
  <si>
    <t>ԷԱՃ</t>
  </si>
  <si>
    <t>հատ</t>
  </si>
  <si>
    <t>լրակազմ</t>
  </si>
  <si>
    <t>քմ</t>
  </si>
  <si>
    <t>սեղան` աշակերտական միաձույլ կարկասով</t>
  </si>
  <si>
    <t>փաստաթղթերի պահման պահարաններ</t>
  </si>
  <si>
    <t>ճեմասրահի և ընդունարանի կահույք</t>
  </si>
  <si>
    <t>մ2</t>
  </si>
  <si>
    <t>բարձրացատկի  կանգնակ և ձող</t>
  </si>
  <si>
    <t>էլեկտրոնային կշեռքներ և պարագաներ</t>
  </si>
  <si>
    <t>սպորտային մարմնամարզության նժույգ թափեր</t>
  </si>
  <si>
    <t>վիրաբուժական սեղաններ</t>
  </si>
  <si>
    <t>բժշկական կահույք</t>
  </si>
  <si>
    <t>բժշկական այլ գործիքներ և պարագաներ</t>
  </si>
  <si>
    <t>ներքին շերտավարգույրներ</t>
  </si>
  <si>
    <r>
      <t>մ</t>
    </r>
    <r>
      <rPr>
        <vertAlign val="superscript"/>
        <sz val="12"/>
        <rFont val="GHEA Grapalat"/>
        <family val="3"/>
      </rPr>
      <t>2</t>
    </r>
  </si>
  <si>
    <t>30211280-9</t>
  </si>
  <si>
    <t>31151120-8</t>
  </si>
  <si>
    <t>30211200-6</t>
  </si>
  <si>
    <t>30239170-6</t>
  </si>
  <si>
    <t>32421300-6</t>
  </si>
  <si>
    <t>38651200-6</t>
  </si>
  <si>
    <t>39713432-6</t>
  </si>
  <si>
    <t>39121470-12</t>
  </si>
  <si>
    <t>39121470-13</t>
  </si>
  <si>
    <t>39121470-14</t>
  </si>
  <si>
    <t>39121470-15</t>
  </si>
  <si>
    <t>39111140-23</t>
  </si>
  <si>
    <t>39111140-24</t>
  </si>
  <si>
    <t>39121100-11</t>
  </si>
  <si>
    <t>39121520-16</t>
  </si>
  <si>
    <t>39292110-16</t>
  </si>
  <si>
    <t>39292110-17</t>
  </si>
  <si>
    <t>39111140-25</t>
  </si>
  <si>
    <t>39132220-6</t>
  </si>
  <si>
    <t>39121520-17</t>
  </si>
  <si>
    <t>39292600-6</t>
  </si>
  <si>
    <t>39111140-26</t>
  </si>
  <si>
    <t>39132100-3</t>
  </si>
  <si>
    <t>39111220-7</t>
  </si>
  <si>
    <t>39121360-5</t>
  </si>
  <si>
    <t>39151210-4</t>
  </si>
  <si>
    <t>39121440-4</t>
  </si>
  <si>
    <t>39141260-13</t>
  </si>
  <si>
    <t>39132210-5</t>
  </si>
  <si>
    <t>39292110-18</t>
  </si>
  <si>
    <t>39141260-14</t>
  </si>
  <si>
    <t>39299310-7</t>
  </si>
  <si>
    <t>37461400-13</t>
  </si>
  <si>
    <t>35121240-6</t>
  </si>
  <si>
    <t>37461400-14</t>
  </si>
  <si>
    <t>39121200-8</t>
  </si>
  <si>
    <t>39111320-5</t>
  </si>
  <si>
    <t>39121200-9</t>
  </si>
  <si>
    <t>39111140-27</t>
  </si>
  <si>
    <t>39121520-18</t>
  </si>
  <si>
    <t>37421142-7</t>
  </si>
  <si>
    <t>37421300-9</t>
  </si>
  <si>
    <t>37421152-7</t>
  </si>
  <si>
    <t>37421151-7</t>
  </si>
  <si>
    <t>37421190-6</t>
  </si>
  <si>
    <t>37451581-9</t>
  </si>
  <si>
    <t>37451420-9</t>
  </si>
  <si>
    <t>37421153-6</t>
  </si>
  <si>
    <t>37451861-8</t>
  </si>
  <si>
    <t>37421141-8</t>
  </si>
  <si>
    <t>37421181-8</t>
  </si>
  <si>
    <t>37451830-6</t>
  </si>
  <si>
    <t>37421170-12</t>
  </si>
  <si>
    <t>37471200-8</t>
  </si>
  <si>
    <t>37451580-9</t>
  </si>
  <si>
    <t>37451410-10</t>
  </si>
  <si>
    <t>37451290-10</t>
  </si>
  <si>
    <t>38311100-10</t>
  </si>
  <si>
    <t>39295420-6</t>
  </si>
  <si>
    <t>37421240-5</t>
  </si>
  <si>
    <t>37421160-6</t>
  </si>
  <si>
    <t>33191220-6</t>
  </si>
  <si>
    <t>33191120-11</t>
  </si>
  <si>
    <t>33191120-12</t>
  </si>
  <si>
    <t>33141211-6</t>
  </si>
  <si>
    <t>33191180-6</t>
  </si>
  <si>
    <t>39515410-7</t>
  </si>
  <si>
    <t>«Երևանի Ղևոնդ Ալիշանի անվան թիվ 95 միջնակարգ դպրոց» ՊՈԱԿ</t>
  </si>
  <si>
    <t>«Երևանի Ա. Ղարիբյանի անվան N 142 ավագ  դպրոց» ՊՈԱԿ</t>
  </si>
  <si>
    <t>«Սևան քաղաքի Խ. Աբովյանի անվան ավագ դպրոց» ՊՈԱԿ</t>
  </si>
  <si>
    <t>«Զոլաքար գյուղի Ա. Վարդանյանի անվան N2 միջնակարգ դպրոց» ՊՈԱԿ</t>
  </si>
  <si>
    <t>«Ալավերդու Ստ.Շահումյանի անվան թիվ 5 ավագ դպրոց» ՊՈԱԿ</t>
  </si>
  <si>
    <t>«Գյումրու Ակադեմիական Վարժարան» ՊՈԱԿ</t>
  </si>
  <si>
    <t>«Արթիկ քաղաքի թիվ 3 ավագ դպրոց» ՊՈԱԿ</t>
  </si>
  <si>
    <t>«Գյումրու թիվ 27 միջնակարգ դպրոց» ՊՈԱԿ</t>
  </si>
  <si>
    <t>«Գորիսի Ա.Բակունցի անվ.թիվ 1 ավագ դպրոց» ՊՈԱԿ</t>
  </si>
  <si>
    <t>«Եղեգնաձորի թիվ 1 հիմնական դպրոց» ՊՈԱԿ</t>
  </si>
  <si>
    <t xml:space="preserve"> 45221142-2</t>
  </si>
  <si>
    <t>ՀՀ Գեղարքունքի մարզ</t>
  </si>
  <si>
    <t>Գիտական կենտրոնները ժամանակակից սարքավորումներով վերազինում ու համատեղ օգտագործման գիտական սարքավորումների կենտրոնների ստեղծում</t>
  </si>
  <si>
    <t xml:space="preserve"> ՀՀ կրթության, գիտության, մշակույթի և սպորտի  նախարարության բարձրագույն կրթության և գիտության կոմիտե</t>
  </si>
  <si>
    <t>ՀԱՅԱՍՏԱՆԻ ՀԱՆՐԱՊԵՏՈՒԹՅԱՆ ԿԱՌԱՎԱՐՈՒԹՅԱՆ 2022 ԹՎԱԿԱՆԻ ԴԵԿՏԵՄԲԵՐԻ 29-Ի N 2111-Ն ՈՐՈՇՄԱՆ N 5 ՀԱՎԵԼՎԱԾԻ N 7 ԱՂՅՈՒՍԱԿՈՒՄ  ԿԱՏԱՐՎՈՂ ԼՐԱՑՈՒՄՆԵՐԸ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</si>
  <si>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</si>
  <si>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</si>
  <si>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>Արվեստների ծրագիր</t>
  </si>
  <si>
    <t>«Լանջիկի միջնակարգ դպրոց» ՊՈԱԿ</t>
  </si>
  <si>
    <t>«Ալավերդու պետական քոլեջ» ՊՈԱԿ</t>
  </si>
  <si>
    <t>«Մատենադարան»  Մեսրոպ Մաշտոցի անվան հին ձեռագրերի գիտահետազոտական ինստիտուտ» հիմնադրամ</t>
  </si>
  <si>
    <t>Թանգարանների և պատկերասրահների գույքային և տեխնիկական հագեցվածության բարելավում</t>
  </si>
  <si>
    <t>«Երվանդ Քոչարի թանգարան» ՊՈԱԿ</t>
  </si>
  <si>
    <t>«Ալեքսանդր Սպենդիարյանի տուն-թանգարան» ՊՈԱԿ</t>
  </si>
  <si>
    <t>Բարձրագույն և հետբուհական մասնագիտական կրթության ծրագիր</t>
  </si>
  <si>
    <t>Բարձրագույն ուսումնական հաստատությունների և ««Զեյթուն» ուսանողկան ավան» հիմնադրամի նյութատեխնիկական բազայի համալրում և գույքով ապահովում</t>
  </si>
  <si>
    <t>«Երևանի թատրոնի և կինոյի պետական ինստիտուտ» ՊՈԱԿ</t>
  </si>
  <si>
    <t xml:space="preserve"> Թատերահամերգային կազմակերպությունների նյութատեխնիկական բազայի  համալրում</t>
  </si>
  <si>
    <t>«Երևանի կամերային պետական թատրոն» ՊՈԱԿ</t>
  </si>
  <si>
    <t>«Հայաստանի պետական ազգային ակադեմիական երգչախումբ» ՊՈԱԿ</t>
  </si>
  <si>
    <t xml:space="preserve"> Կրթական օբյեկտների շենքային պայմանների բարելավում</t>
  </si>
  <si>
    <t>ՀՀ Արմավիրի մարզպետի աշխատակազմ</t>
  </si>
  <si>
    <t>«Ծիածանի միջնակարգ դպրոց» ՊՈԱԿ</t>
  </si>
  <si>
    <t>«Նորակերտի միջնակարգ դպրոց» ՊՈԱԿ</t>
  </si>
  <si>
    <t>ՀՀ Շիրակի մարզպետի աշխատակազմ</t>
  </si>
  <si>
    <t>«Գյումրու թիվ 9 հիմնական դպրոց» ՊՈԱԿ</t>
  </si>
  <si>
    <t>«Գյումրու թիվ 18 միջնակարգ դպրոց» ՊՈԱԿ</t>
  </si>
  <si>
    <t>«Գեղհովիտ գյուղի Ալ. Մյասնիկյանի անվան թիվ 1 միջնակարգ դպրոց»</t>
  </si>
  <si>
    <t>Մասսայական սպորտ</t>
  </si>
  <si>
    <t>«Գյումրու մարզական բարձրագույն վարպետության դպրոց» ՊՈԱԿ</t>
  </si>
  <si>
    <t>«Երևանի Գ.Էմինի անվ. 182 ավագ դպրոց» հիմնադրամ</t>
  </si>
  <si>
    <t>ՀՀ Արագածոտնի մարզպետի աշխատակազմ</t>
  </si>
  <si>
    <t>«Ներքին Բազմաբերդի Ե. Ասատրյանի անվան միջնակարգ դպրոց» ՊՈԱԿ</t>
  </si>
  <si>
    <t>ԸՆԹԱՑԻԿ ԾԱԽՍԵՐ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</si>
  <si>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</si>
  <si>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</si>
  <si>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</si>
  <si>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- Այլ կապիտալ դրամաշնորհներ </t>
  </si>
  <si>
    <t>07</t>
  </si>
  <si>
    <t xml:space="preserve">  Հուշարձանների և մշակութային արժեքների վերականգնում և պահպանում</t>
  </si>
  <si>
    <t>01</t>
  </si>
  <si>
    <t xml:space="preserve">  Արտադպրոցական դաստիարակության ծրագիր 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</si>
  <si>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</si>
  <si>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</si>
  <si>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</si>
  <si>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 xml:space="preserve"> Գիտական և գիտատեխնիկական հետազոտությունների ծրագիր</t>
  </si>
  <si>
    <t xml:space="preserve"> Գիտական կենտրոնները ժամանակակից սարքավորումներով վերազինում ու համատեղ օգտագործման գիտական սարքավորումների կենտրոնների ստեղծում</t>
  </si>
  <si>
    <t xml:space="preserve"> ՄԵՔԵՆԱՆԵՐ  ԵՎ  ՍԱՐՔԱՎՈՐՈՒՄՆԵՐ</t>
  </si>
  <si>
    <t xml:space="preserve"> - Վարչական սարքավորումներ</t>
  </si>
  <si>
    <t>ՀՀ Գեղարքունիքի մարզպետի աշխատակազմ</t>
  </si>
  <si>
    <t xml:space="preserve"> Թանգարանների և պատկերասրահների համար անհրաժեշտ  գույքի, տեխնիկայի և սարքավորումների ձեռքբերում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</si>
  <si>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</si>
  <si>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</si>
  <si>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Բարձրագույն ուսումնական հաստատությունների և «Զեյթուն» ուսանողական ավան» հիմնադրամի նյութատեխնիկական բազայի համալրում և գույքով ապահովում</t>
  </si>
  <si>
    <t>Բարձրագույն  ուսումնական հաստատությունների և «Զեյթուն» ուսանողական ավան» հիմնադրամի համար անհրաժեշտ լաբորատոր և այլ սարքավորումների, տեխնիկայի, կահույքի ձեռքբերում</t>
  </si>
  <si>
    <t>Այլ պետական կազմակերպությունների կողմից օգտագործվող ոչ ֆինանսական ակտիվների հետ գործառնություններ</t>
  </si>
  <si>
    <t xml:space="preserve"> «Արամ Մանուկյանի անվան մարզառազմական մասնագիտացված դպրոց» պետական ոչ առևտրային կազմակերպության համար մարզադահլիճի կառուցում </t>
  </si>
  <si>
    <t xml:space="preserve"> Արամ Մանուկյանի անվան մարզառազմական մասնագիտացված դպրոցի մարզադահլիճի կառուցմամբ դպրոցականների շրջանում &lt;&lt;ֆիզիկական կուլտուրա&gt;&gt; առարկայի պետական չափորոշիչների ապահովում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</si>
  <si>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</si>
  <si>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</si>
  <si>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</si>
  <si>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</si>
  <si>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 xml:space="preserve"> 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</si>
  <si>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 xml:space="preserve"> Գիտական կենտրոնները վերազինված են ոլորտային համալիր հետազոտությունների համար անհարժեշտ սարքավորումներով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</si>
  <si>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</si>
  <si>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</si>
  <si>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</si>
  <si>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</si>
  <si>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</si>
  <si>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Թատերահամերգային կազմակերպությունների համար անհրաժեշտ տեխնիկայի և սարքավորումենրի ձեռքբերում</t>
  </si>
  <si>
    <t xml:space="preserve"> Կրթական ժամանակակից նորմերին համապատասխանող գույքի ձեռքբերում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</si>
  <si>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</si>
  <si>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«ՀԱՅԱՍՏԱՆԻ ՀԱՆՐԱՊԵՏՈՒԹՅԱՆ 2023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</si>
  <si>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</si>
  <si>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</si>
  <si>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</si>
  <si>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</si>
  <si>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ՀԱՅԱՍՏԱՆԻ ՀԱՆՐԱՊԵՏՈՒԹՅԱՆ ԿԱՌԱՎԱՐՈՒԹՅԱՆ 2022 ԹՎԱԿԱՆԻ ԴԵԿՏԵՄԲԵՐԻ 29-Ի N 2111-Ն ՈՐՈՇՄԱՆ
N 6 ՀԱՎԵԼՎԱԾՈՒՄ ԿԱՏԱՐՎՈՂ ԼՐԱՑՈՒՄԸ
</t>
  </si>
  <si>
    <t xml:space="preserve">NN
ը/կ </t>
  </si>
  <si>
    <t xml:space="preserve">Եկամտատեսակը 
</t>
  </si>
  <si>
    <t xml:space="preserve">Գանձման համար
պատասխանատու
պետական կառավարման
մարմինը (մարմինները) </t>
  </si>
  <si>
    <t>Ցուցանիշների փոփոխությունը (ավելացումները նշված են դրական նշանով)</t>
  </si>
  <si>
    <t>Այլ եկամուտներ, ընդամենը՝</t>
  </si>
  <si>
    <t>Օրենքով և այլ իրավական ակտերով սահմանված
պետական բյուջե մուտքագրվող այլ եկամուտներ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</si>
  <si>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</si>
  <si>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ՀՀ պետական կառավարման
մարմիններ</t>
  </si>
  <si>
    <t xml:space="preserve">«ՀԱՅԱՍՏԱՆԻ ՀԱՆՐԱՊԵՏՈՒԹՅԱՆ 2023 ԹՎԱԿԱՆԻ ՊԵՏԱԿԱՆ ԲՅՈՒՋԵԻ ՄԱՍԻՆ» ՀԱՅԱՍՏԱՆԻ ՀԱՆՐԱՊԵՏՈՒԹՅԱՆ ՕՐԵՆՔԻ 6-ՐԴ ՀՈԴՎԱԾԻ ԱՂՅՈՒՍԱԿՈՒՄ ԵՎ ՀԱՅԱՍՏԱՆԻ ՀԱՆՐԱՊԵՏՈՒԹՅԱՆ ԿԱՌԱՎԱՐՈՒԹՅԱՆ 2022 ԹՎԱԿԱՆԻ ԴԵԿՏԵՄԲԵՐԻ 29-Ի N 2111-Ն ՈՐՈՇՄԱՆ N 2 ՀԱՎԵԼՎԱԾԻ ԱՂՅՈՒՍԱԿՈՒՄ ԿԱՏԱՐՎՈՂ ՓՈՓՈԽՈՒԹՅՈՒՆՆԵՐԸ 
</t>
  </si>
  <si>
    <t>Պետական բյուջեի դեֆիցիտի ֆինանսավորման աղբյուրներն ու դրանց տարրերի անվանումները</t>
  </si>
  <si>
    <t xml:space="preserve">ՊԵՏԱԿԱՆ ԲՅՈՒՋԵԻ  ԵԿԱՄՈՒՏՆԵՐ </t>
  </si>
  <si>
    <t>Այլ եկամուտներ</t>
  </si>
  <si>
    <t>Հավելված N 8</t>
  </si>
  <si>
    <t>Հավելված N 9</t>
  </si>
  <si>
    <t xml:space="preserve"> Հիմնանորոգվող միջին մասնագիտական ուսումնական հաստատությունների քանակ, հատ </t>
  </si>
  <si>
    <t xml:space="preserve"> Կառուցվող միջին մասնագիտական ուսումնական հաստատությունների քանակ, հատ </t>
  </si>
  <si>
    <t xml:space="preserve"> Միջոցառման դասիչը` </t>
  </si>
  <si>
    <t xml:space="preserve"> 21001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</si>
  <si>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</si>
  <si>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</si>
  <si>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</si>
  <si>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իրականացնողիանվանումը </t>
  </si>
  <si>
    <t xml:space="preserve"> Մասնագիտացված կազմակերպություն </t>
  </si>
  <si>
    <t xml:space="preserve"> Հուշարձանների ամրակայման, նորոգման և վերականգնման աշխատանքներ, քանակ </t>
  </si>
  <si>
    <t xml:space="preserve">Ցուցանիշների փոփոխությունը (ավելացումները նշված են դրական նշանով, իսկ նվազեցումները փակագծերում)  </t>
  </si>
  <si>
    <t xml:space="preserve">Այլ պետական կազմակերպությունների կողմից օգտագործվող ոչ ֆինանսական ակտիվների հետ գործառնություններ </t>
  </si>
  <si>
    <t>Թանգարաններ և պատկերասրահներ</t>
  </si>
  <si>
    <t xml:space="preserve"> Թանգարանների թիվը, որտեղ կատարվում են ներդրումները, հատ </t>
  </si>
  <si>
    <t xml:space="preserve"> Ակտիվն օգտագործող կազմակերպությունների անվանումները</t>
  </si>
  <si>
    <t>Բարձրագույն ուսումնական հաստատություններ և «Զեյթուն» ուսանողական ավան» հիմնադրամ</t>
  </si>
  <si>
    <t>Կազմակերպությունների թիվը, որտեղ կատարվում են ներդրումները, հատ</t>
  </si>
  <si>
    <t xml:space="preserve"> «Արամ Մանուկյանի անվան մարզառազմական մասնագիտացված դպրոց» պետական ոչ առևտրային կազմակերպության համար մարզադահլիճի կառուցում  </t>
  </si>
  <si>
    <t xml:space="preserve"> Արամ Մանուկյանի անվան մարզառազմական մասնագիտացված դպրոցի մարզադահլիճի կառուցմամբ դպրոցականների շրջանում &lt;&lt;ֆիզիկական կուլտուրա&gt;&gt; առարկայի պետական չափորոշիչների ապահովում </t>
  </si>
  <si>
    <t xml:space="preserve"> «Արամ Մանուկյանի անվան մարզառազմական մասնագիտացված դպրոց» պետական ոչ առևտրային կազմակերպություն </t>
  </si>
  <si>
    <t xml:space="preserve"> Հաստատությունների քանակ, որոնց շինարարական աշխատանքների ավարտվածության աստիճանը 100% է, հատ </t>
  </si>
  <si>
    <t xml:space="preserve"> Գիտական և գիտատեխնիկական հետազոտությունների ծրագիր </t>
  </si>
  <si>
    <t xml:space="preserve"> Գիտական կենտրոնները ժամանակակից սարքավորումներով վերազինում ու համատեղ օգտագործման գիտական սարքավորումների կենտրոնների ստեղծում </t>
  </si>
  <si>
    <t xml:space="preserve"> Գիտական կենտրոնները վերազինված են ոլորտային համալիր հետազոտությունների համար անհարժեշտ սարքավորումներով </t>
  </si>
  <si>
    <t xml:space="preserve"> Միջոցառումն իրականացնողի անվանումը՛ </t>
  </si>
  <si>
    <t xml:space="preserve"> Գնումների մասին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</si>
  <si>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Վերազինված գիտական կենտրոններ թիվ, հատ </t>
  </si>
  <si>
    <t xml:space="preserve"> Մարզական օբյեկտների շինարարություն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</si>
  <si>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</si>
  <si>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Մարզական հաստատություններ </t>
  </si>
  <si>
    <t xml:space="preserve"> Նախագծանահաշվային փաստաթղթերի քանակ, հատ </t>
  </si>
  <si>
    <t xml:space="preserve"> Մարզական օբյեկտների հիմնանորոգում </t>
  </si>
  <si>
    <t xml:space="preserve"> Մարզական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</si>
  <si>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Հիմնանորոգման ենթակա օբյյեկտների թիվ, հատ </t>
  </si>
  <si>
    <t xml:space="preserve"> Թատերահամերգային կազմակերպությունների նյութատեխնիկական բազայի  համալրում </t>
  </si>
  <si>
    <t xml:space="preserve"> Թատերահամերգային կազմակերպությունների համար անհրաժեշտ տեխնիկայի և սարքավորումենրի ձեռքբերում </t>
  </si>
  <si>
    <t xml:space="preserve"> Թատերահամերգային կազմակերպություններ</t>
  </si>
  <si>
    <t xml:space="preserve">Համերգային կազմակերպությունների թիվը, որտեղ կատարվում են ներդրումները, հատ </t>
  </si>
  <si>
    <t xml:space="preserve">  Հիմնանորոգվող ուսումնական հաստատությունների քանակ, հատ </t>
  </si>
  <si>
    <t xml:space="preserve">  Ուսումնական հաստատությունների քանակ, որոնց համար կառուցվում են նոր մարզադահլիճներ, հատ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</si>
  <si>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</si>
  <si>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</si>
  <si>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 Մոդուլային դպրոցների թիվը, որոնք ապահովվում են գույքով, հատ </t>
  </si>
  <si>
    <t xml:space="preserve">  Ոչ մոդուլային դպրոցների թիվը, որոնք ապահովվում են գույքով, հատ </t>
  </si>
  <si>
    <t xml:space="preserve">  «Կրթության բարելավում» ծրագրի շրջանակներում հիմնանորոգված ավագ դպրոցների թիվը, որոնք ապահովվում են գույքով, հատ </t>
  </si>
  <si>
    <t xml:space="preserve">  Սեյսմիկ անվտանգության բարելավման ծրագրի շրջանակներում կառուցված/վերակառուցված դպրոցների թիվը, որոնք ապահովվում են գույքով, հատ </t>
  </si>
  <si>
    <t xml:space="preserve"> Բարեգործական ծրագրերով առուցված / հիմնանորոգված դպրոցների թիվը, որոնք ապահովվում են գույքով, հատ</t>
  </si>
  <si>
    <t xml:space="preserve"> Ակտիվն օգտագործող կազմակերպությունների անվանում </t>
  </si>
  <si>
    <t xml:space="preserve"> ՀՀ մարզերում տեղակայված կրթահամալիրներ</t>
  </si>
  <si>
    <t>Աղյուսակ 9․1․13</t>
  </si>
  <si>
    <t>Աղյուսակ 9․1․42</t>
  </si>
  <si>
    <t>Աղյուսակ 9․1․48</t>
  </si>
  <si>
    <t>Աղյուսակ 9․1․50</t>
  </si>
  <si>
    <t>Աղյուսակ 9․1․51</t>
  </si>
  <si>
    <t>Աղյուսակ 9․1․54</t>
  </si>
  <si>
    <t>Աղյուսակ 9․1․28</t>
  </si>
  <si>
    <t>Հավելված N 11</t>
  </si>
  <si>
    <t>Հավելված N 10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</si>
  <si>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</si>
  <si>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</si>
  <si>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</si>
  <si>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</si>
  <si>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Հավելված N 12</t>
  </si>
  <si>
    <t xml:space="preserve"> 45611100-2</t>
  </si>
  <si>
    <t xml:space="preserve"> 71351540-555</t>
  </si>
  <si>
    <t>«Ալագյազի միջնակարգ դպրոց» ՀՈԱԿ</t>
  </si>
  <si>
    <t xml:space="preserve">  Դպրոցների թիվը, որոնց մարզադահլիճները ապահովվում են գույքով, հատ </t>
  </si>
  <si>
    <t xml:space="preserve">ՀԱՅԱՍՏԱՆԻ ՀԱՆՐԱՊԵՏՈՒԹՅԱՆ ԿԱՌԱՎԱՐՈՒԹՅԱՆ 2022 ԹՎԱԿԱՆԻ ԴԵԿՏԵՄԲԵՐԻ 29-Ի N 2111-Ն ՈՐՈՇՄԱՆ N 9.1 ՀԱՎԵԼՎԱԾԻ NN 9.1.13, 9.1.28, 9.1.42, 9.1.48, 9.1.50, 9.1.51, 9.1.54 ԵՎ 9.1.58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</si>
</sst>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General_)"/>
    <numFmt numFmtId="174" formatCode="_-* #,##0.00\ _р_._-;\-* #,##0.00\ _р_._-;_-* &quot;-&quot;??\ _р_._-;_-@_-"/>
    <numFmt numFmtId="175" formatCode="_-* #,##0.0\ _р_._-;\-* #,##0.0\ _р_._-;_-* &quot;-&quot;?\ _р_._-;_-@_-"/>
    <numFmt numFmtId="176" formatCode="0.000%"/>
    <numFmt numFmtId="177" formatCode="_(* #,##0_);_(* \(#,##0\);_(* &quot;-&quot;??_);_(@_)"/>
    <numFmt numFmtId="178" formatCode="_(* #,##0.0_);_(* \(#,##0.0\);_(* &quot;-&quot;?_);_(@_)"/>
    <numFmt numFmtId="179" formatCode="#,##0.0000000000_);\(#,##0.0000000000\)"/>
    <numFmt numFmtId="180" formatCode="#,##0.00000000000_);\(#,##0.00000000000\)"/>
    <numFmt numFmtId="181" formatCode="_(* #,##0.000_);_(* \(#,##0.000\);_(* &quot;-&quot;??_);_(@_)"/>
  </numFmts>
  <fonts count="10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8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1"/>
      <scheme val="minor"/>
    </font>
    <font>
      <b/>
      <i/>
      <sz val="11"/>
      <name val="GHEA Grapalat"/>
      <family val="3"/>
    </font>
    <font>
      <i/>
      <sz val="11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Calibri"/>
      <family val="2"/>
      <scheme val="minor"/>
    </font>
    <font>
      <sz val="11"/>
      <name val="GHEA Grapalat"/>
      <family val="3"/>
    </font>
    <font>
      <vertAlign val="superscript"/>
      <sz val="12"/>
      <name val="GHEA Grapalat"/>
      <family val="3"/>
    </font>
    <font>
      <b/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8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3" fillId="0" borderId="39">
      <protection locked="0"/>
    </xf>
    <xf numFmtId="173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43" fontId="91" fillId="0" borderId="0" applyFont="0" applyFill="0" applyBorder="0" applyAlignment="0" applyProtection="0"/>
    <xf numFmtId="174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5" fillId="0" borderId="0"/>
    <xf numFmtId="164" fontId="1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2" fillId="0" borderId="0"/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5" fillId="55" borderId="38" applyNumberFormat="0" applyFont="0" applyAlignment="0" applyProtection="0"/>
  </cellStyleXfs>
  <cellXfs count="863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9" fontId="72" fillId="2" borderId="1" xfId="96" applyNumberFormat="1" applyFont="1" applyFill="1" applyBorder="1" applyAlignment="1">
      <alignment horizontal="center" vertical="center" wrapText="1"/>
    </xf>
    <xf numFmtId="166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70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8" fontId="72" fillId="2" borderId="30" xfId="0" applyNumberFormat="1" applyFont="1" applyFill="1" applyBorder="1" applyAlignment="1">
      <alignment horizontal="center" vertical="center" wrapText="1"/>
    </xf>
    <xf numFmtId="166" fontId="16" fillId="2" borderId="30" xfId="0" applyNumberFormat="1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0" xfId="0" applyFont="1" applyFill="1" applyBorder="1" applyAlignment="1">
      <alignment horizontal="center" vertical="top" wrapText="1"/>
    </xf>
    <xf numFmtId="0" fontId="87" fillId="2" borderId="1" xfId="0" applyFont="1" applyFill="1" applyBorder="1" applyAlignment="1">
      <alignment horizontal="center" vertical="center" wrapText="1"/>
    </xf>
    <xf numFmtId="169" fontId="72" fillId="2" borderId="30" xfId="96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13" fillId="2" borderId="31" xfId="0" applyFont="1" applyFill="1" applyBorder="1" applyAlignment="1">
      <alignment vertical="top" wrapText="1"/>
    </xf>
    <xf numFmtId="166" fontId="73" fillId="2" borderId="1" xfId="6" applyNumberFormat="1" applyFont="1" applyFill="1" applyBorder="1" applyAlignment="1">
      <alignment horizontal="center" vertical="center"/>
    </xf>
    <xf numFmtId="170" fontId="16" fillId="2" borderId="45" xfId="96" applyNumberFormat="1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vertical="center" wrapText="1"/>
    </xf>
    <xf numFmtId="170" fontId="16" fillId="2" borderId="30" xfId="7" applyNumberFormat="1" applyFont="1" applyFill="1" applyBorder="1" applyAlignment="1">
      <alignment horizontal="center" vertical="top" wrapText="1"/>
    </xf>
    <xf numFmtId="43" fontId="72" fillId="2" borderId="0" xfId="0" applyNumberFormat="1" applyFont="1" applyFill="1"/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70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72" fillId="2" borderId="0" xfId="0" applyFont="1" applyFill="1" applyAlignment="1">
      <alignment vertical="center"/>
    </xf>
    <xf numFmtId="0" fontId="75" fillId="2" borderId="0" xfId="0" applyFont="1" applyFill="1" applyBorder="1"/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6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166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8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169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6" fontId="72" fillId="2" borderId="1" xfId="6" applyNumberFormat="1" applyFont="1" applyFill="1" applyBorder="1" applyAlignment="1">
      <alignment horizontal="right" vertical="center"/>
    </xf>
    <xf numFmtId="169" fontId="72" fillId="2" borderId="0" xfId="0" applyNumberFormat="1" applyFont="1" applyFill="1" applyAlignment="1">
      <alignment vertical="center"/>
    </xf>
    <xf numFmtId="172" fontId="87" fillId="2" borderId="1" xfId="6" applyNumberFormat="1" applyFont="1" applyFill="1" applyBorder="1" applyAlignment="1">
      <alignment horizontal="right" vertical="center"/>
    </xf>
    <xf numFmtId="170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9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8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70" fontId="16" fillId="2" borderId="1" xfId="96" applyNumberFormat="1" applyFont="1" applyFill="1" applyBorder="1" applyAlignment="1">
      <alignment horizontal="center" vertical="center" wrapText="1"/>
    </xf>
    <xf numFmtId="166" fontId="16" fillId="2" borderId="0" xfId="0" applyNumberFormat="1" applyFont="1" applyFill="1"/>
    <xf numFmtId="166" fontId="16" fillId="2" borderId="48" xfId="6" applyNumberFormat="1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vertical="top" wrapText="1"/>
    </xf>
    <xf numFmtId="0" fontId="16" fillId="2" borderId="48" xfId="96" applyFont="1" applyFill="1" applyBorder="1" applyAlignment="1">
      <alignment horizontal="left" vertical="center" wrapText="1"/>
    </xf>
    <xf numFmtId="0" fontId="72" fillId="2" borderId="48" xfId="0" applyFont="1" applyFill="1" applyBorder="1"/>
    <xf numFmtId="167" fontId="87" fillId="2" borderId="48" xfId="7" applyNumberFormat="1" applyFont="1" applyFill="1" applyBorder="1" applyAlignment="1">
      <alignment vertical="center"/>
    </xf>
    <xf numFmtId="170" fontId="16" fillId="2" borderId="48" xfId="96" applyNumberFormat="1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/>
    </xf>
    <xf numFmtId="167" fontId="73" fillId="2" borderId="48" xfId="7" applyNumberFormat="1" applyFont="1" applyFill="1" applyBorder="1"/>
    <xf numFmtId="167" fontId="72" fillId="2" borderId="30" xfId="7" applyNumberFormat="1" applyFont="1" applyFill="1" applyBorder="1" applyAlignment="1">
      <alignment vertical="center"/>
    </xf>
    <xf numFmtId="0" fontId="72" fillId="2" borderId="0" xfId="0" applyFont="1" applyFill="1" applyAlignment="1">
      <alignment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0" xfId="0" applyFont="1" applyFill="1" applyBorder="1" applyAlignment="1">
      <alignment horizontal="right"/>
    </xf>
    <xf numFmtId="49" fontId="16" fillId="2" borderId="48" xfId="0" applyNumberFormat="1" applyFont="1" applyFill="1" applyBorder="1" applyAlignment="1">
      <alignment vertical="top" wrapText="1"/>
    </xf>
    <xf numFmtId="0" fontId="72" fillId="2" borderId="48" xfId="0" applyFont="1" applyFill="1" applyBorder="1" applyAlignment="1">
      <alignment vertical="center" wrapText="1"/>
    </xf>
    <xf numFmtId="170" fontId="72" fillId="2" borderId="0" xfId="0" applyNumberFormat="1" applyFont="1" applyFill="1"/>
    <xf numFmtId="0" fontId="72" fillId="2" borderId="49" xfId="0" applyFont="1" applyFill="1" applyBorder="1" applyAlignment="1">
      <alignment vertical="top" wrapText="1"/>
    </xf>
    <xf numFmtId="170" fontId="16" fillId="2" borderId="49" xfId="96" applyNumberFormat="1" applyFont="1" applyFill="1" applyBorder="1" applyAlignment="1">
      <alignment horizontal="center" vertical="center" wrapText="1"/>
    </xf>
    <xf numFmtId="0" fontId="87" fillId="2" borderId="50" xfId="0" applyFont="1" applyFill="1" applyBorder="1" applyAlignment="1">
      <alignment vertical="center" wrapText="1"/>
    </xf>
    <xf numFmtId="0" fontId="72" fillId="2" borderId="49" xfId="96" applyFont="1" applyFill="1" applyBorder="1" applyAlignment="1">
      <alignment horizontal="center" vertical="center" wrapText="1"/>
    </xf>
    <xf numFmtId="169" fontId="72" fillId="2" borderId="49" xfId="96" applyNumberFormat="1" applyFont="1" applyFill="1" applyBorder="1" applyAlignment="1">
      <alignment horizontal="center" vertical="center" wrapText="1"/>
    </xf>
    <xf numFmtId="166" fontId="73" fillId="2" borderId="49" xfId="6" applyNumberFormat="1" applyFont="1" applyFill="1" applyBorder="1" applyAlignment="1">
      <alignment horizontal="center" vertical="center"/>
    </xf>
    <xf numFmtId="167" fontId="87" fillId="2" borderId="49" xfId="7" applyNumberFormat="1" applyFont="1" applyFill="1" applyBorder="1" applyAlignment="1">
      <alignment vertical="center"/>
    </xf>
    <xf numFmtId="0" fontId="72" fillId="2" borderId="49" xfId="0" applyFont="1" applyFill="1" applyBorder="1"/>
    <xf numFmtId="0" fontId="94" fillId="2" borderId="0" xfId="0" applyFont="1" applyFill="1"/>
    <xf numFmtId="0" fontId="87" fillId="0" borderId="49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center" wrapText="1"/>
    </xf>
    <xf numFmtId="0" fontId="88" fillId="0" borderId="49" xfId="165" applyFont="1" applyBorder="1">
      <alignment horizontal="left" vertical="top" wrapText="1"/>
    </xf>
    <xf numFmtId="0" fontId="92" fillId="0" borderId="49" xfId="165" applyFont="1" applyBorder="1" applyAlignment="1">
      <alignment horizontal="left" vertical="top" wrapText="1"/>
    </xf>
    <xf numFmtId="0" fontId="16" fillId="0" borderId="49" xfId="165" applyFont="1" applyBorder="1" applyAlignment="1">
      <alignment horizontal="left" vertical="center" wrapText="1"/>
    </xf>
    <xf numFmtId="0" fontId="75" fillId="0" borderId="49" xfId="0" applyFont="1" applyBorder="1" applyAlignment="1">
      <alignment vertical="top" wrapText="1"/>
    </xf>
    <xf numFmtId="0" fontId="75" fillId="0" borderId="49" xfId="0" applyFont="1" applyBorder="1" applyAlignment="1">
      <alignment horizontal="left" vertical="top" wrapText="1"/>
    </xf>
    <xf numFmtId="0" fontId="87" fillId="0" borderId="50" xfId="0" applyFont="1" applyBorder="1" applyAlignment="1">
      <alignment horizontal="left" vertical="top" wrapText="1"/>
    </xf>
    <xf numFmtId="0" fontId="87" fillId="2" borderId="33" xfId="0" applyFont="1" applyFill="1" applyBorder="1" applyAlignment="1">
      <alignment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 wrapText="1"/>
    </xf>
    <xf numFmtId="43" fontId="72" fillId="2" borderId="0" xfId="0" applyNumberFormat="1" applyFont="1" applyFill="1" applyAlignment="1">
      <alignment vertical="center"/>
    </xf>
    <xf numFmtId="167" fontId="16" fillId="2" borderId="45" xfId="0" applyNumberFormat="1" applyFont="1" applyFill="1" applyBorder="1" applyAlignment="1">
      <alignment vertical="center"/>
    </xf>
    <xf numFmtId="0" fontId="72" fillId="2" borderId="49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0" fontId="87" fillId="2" borderId="5" xfId="0" applyFont="1" applyFill="1" applyBorder="1" applyAlignment="1">
      <alignment horizontal="left" vertical="top" wrapText="1"/>
    </xf>
    <xf numFmtId="170" fontId="72" fillId="2" borderId="49" xfId="7" applyNumberFormat="1" applyFont="1" applyFill="1" applyBorder="1" applyAlignment="1">
      <alignment horizontal="center" vertical="center" wrapText="1"/>
    </xf>
    <xf numFmtId="49" fontId="72" fillId="2" borderId="49" xfId="0" applyNumberFormat="1" applyFont="1" applyFill="1" applyBorder="1" applyAlignment="1">
      <alignment horizontal="left" vertical="top" wrapText="1"/>
    </xf>
    <xf numFmtId="167" fontId="72" fillId="2" borderId="49" xfId="7" applyNumberFormat="1" applyFont="1" applyFill="1" applyBorder="1" applyAlignment="1">
      <alignment horizontal="right" vertical="center" wrapText="1"/>
    </xf>
    <xf numFmtId="0" fontId="16" fillId="2" borderId="49" xfId="0" applyFont="1" applyFill="1" applyBorder="1" applyAlignment="1">
      <alignment horizontal="left" vertical="top" wrapText="1"/>
    </xf>
    <xf numFmtId="170" fontId="16" fillId="2" borderId="49" xfId="7" applyNumberFormat="1" applyFont="1" applyFill="1" applyBorder="1" applyAlignment="1">
      <alignment horizontal="center" vertical="center" wrapText="1"/>
    </xf>
    <xf numFmtId="43" fontId="72" fillId="2" borderId="49" xfId="7" applyNumberFormat="1" applyFont="1" applyFill="1" applyBorder="1" applyAlignment="1">
      <alignment vertical="center" wrapText="1"/>
    </xf>
    <xf numFmtId="0" fontId="16" fillId="2" borderId="49" xfId="0" applyFont="1" applyFill="1" applyBorder="1" applyAlignment="1"/>
    <xf numFmtId="167" fontId="72" fillId="2" borderId="49" xfId="7" applyNumberFormat="1" applyFont="1" applyFill="1" applyBorder="1" applyAlignment="1">
      <alignment horizontal="center" vertical="center" wrapText="1"/>
    </xf>
    <xf numFmtId="0" fontId="87" fillId="2" borderId="49" xfId="165" applyFont="1" applyFill="1" applyBorder="1" applyAlignment="1">
      <alignment horizontal="left" vertical="top" wrapText="1"/>
    </xf>
    <xf numFmtId="167" fontId="87" fillId="2" borderId="49" xfId="7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16" fillId="2" borderId="48" xfId="96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horizontal="left" vertical="center" wrapText="1"/>
    </xf>
    <xf numFmtId="0" fontId="75" fillId="2" borderId="0" xfId="253" applyFont="1" applyFill="1"/>
    <xf numFmtId="0" fontId="16" fillId="2" borderId="53" xfId="96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3" xfId="96" applyFont="1" applyFill="1" applyBorder="1" applyAlignment="1">
      <alignment horizontal="left" vertical="center" wrapText="1"/>
    </xf>
    <xf numFmtId="166" fontId="16" fillId="2" borderId="53" xfId="6" applyNumberFormat="1" applyFont="1" applyFill="1" applyBorder="1" applyAlignment="1">
      <alignment horizontal="center" vertical="center"/>
    </xf>
    <xf numFmtId="0" fontId="16" fillId="2" borderId="31" xfId="96" applyFont="1" applyFill="1" applyBorder="1" applyAlignment="1">
      <alignment horizontal="center" vertical="center" wrapText="1"/>
    </xf>
    <xf numFmtId="0" fontId="75" fillId="2" borderId="53" xfId="299" applyFont="1" applyFill="1" applyBorder="1" applyAlignment="1">
      <alignment horizontal="center"/>
    </xf>
    <xf numFmtId="169" fontId="72" fillId="2" borderId="53" xfId="96" applyNumberFormat="1" applyFont="1" applyFill="1" applyBorder="1" applyAlignment="1">
      <alignment horizontal="center" vertical="center" wrapText="1"/>
    </xf>
    <xf numFmtId="49" fontId="16" fillId="2" borderId="53" xfId="96" applyNumberFormat="1" applyFont="1" applyFill="1" applyBorder="1" applyAlignment="1">
      <alignment vertical="center" textRotation="90" wrapText="1"/>
    </xf>
    <xf numFmtId="0" fontId="73" fillId="2" borderId="52" xfId="96" applyFont="1" applyFill="1" applyBorder="1" applyAlignment="1">
      <alignment horizontal="center" vertical="center" wrapText="1"/>
    </xf>
    <xf numFmtId="166" fontId="73" fillId="2" borderId="53" xfId="6" applyNumberFormat="1" applyFont="1" applyFill="1" applyBorder="1" applyAlignment="1">
      <alignment horizontal="center" vertical="center"/>
    </xf>
    <xf numFmtId="0" fontId="75" fillId="2" borderId="53" xfId="0" applyFont="1" applyFill="1" applyBorder="1" applyAlignment="1">
      <alignment horizontal="center"/>
    </xf>
    <xf numFmtId="0" fontId="75" fillId="2" borderId="53" xfId="253" applyFont="1" applyFill="1" applyBorder="1"/>
    <xf numFmtId="49" fontId="16" fillId="2" borderId="31" xfId="96" applyNumberFormat="1" applyFont="1" applyFill="1" applyBorder="1" applyAlignment="1">
      <alignment vertical="center" textRotation="90" wrapText="1"/>
    </xf>
    <xf numFmtId="0" fontId="73" fillId="2" borderId="53" xfId="96" applyFont="1" applyFill="1" applyBorder="1" applyAlignment="1">
      <alignment horizontal="left" vertical="center" wrapText="1"/>
    </xf>
    <xf numFmtId="43" fontId="13" fillId="2" borderId="53" xfId="253" applyNumberFormat="1" applyFont="1" applyFill="1" applyBorder="1"/>
    <xf numFmtId="0" fontId="87" fillId="2" borderId="52" xfId="0" applyFont="1" applyFill="1" applyBorder="1" applyAlignment="1">
      <alignment vertical="center" wrapText="1"/>
    </xf>
    <xf numFmtId="43" fontId="75" fillId="2" borderId="53" xfId="7" applyFont="1" applyFill="1" applyBorder="1" applyAlignment="1">
      <alignment vertical="center"/>
    </xf>
    <xf numFmtId="0" fontId="72" fillId="2" borderId="53" xfId="0" applyFont="1" applyFill="1" applyBorder="1" applyAlignment="1">
      <alignment vertical="top" wrapText="1"/>
    </xf>
    <xf numFmtId="170" fontId="16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top" wrapText="1"/>
    </xf>
    <xf numFmtId="167" fontId="72" fillId="2" borderId="53" xfId="7" applyNumberFormat="1" applyFont="1" applyFill="1" applyBorder="1" applyAlignment="1">
      <alignment horizontal="center" vertical="center" wrapText="1"/>
    </xf>
    <xf numFmtId="170" fontId="72" fillId="2" borderId="53" xfId="7" applyNumberFormat="1" applyFont="1" applyFill="1" applyBorder="1" applyAlignment="1">
      <alignment horizontal="center" vertical="center" wrapText="1"/>
    </xf>
    <xf numFmtId="43" fontId="72" fillId="2" borderId="53" xfId="7" applyNumberFormat="1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center"/>
    </xf>
    <xf numFmtId="0" fontId="87" fillId="2" borderId="53" xfId="165" applyFont="1" applyFill="1" applyBorder="1" applyAlignment="1">
      <alignment horizontal="left" vertical="top" wrapText="1"/>
    </xf>
    <xf numFmtId="167" fontId="87" fillId="2" borderId="53" xfId="7" applyNumberFormat="1" applyFont="1" applyFill="1" applyBorder="1" applyAlignment="1">
      <alignment horizontal="center" vertical="center" wrapText="1"/>
    </xf>
    <xf numFmtId="167" fontId="87" fillId="2" borderId="53" xfId="7" applyNumberFormat="1" applyFont="1" applyFill="1" applyBorder="1" applyAlignment="1">
      <alignment horizontal="right" vertical="center" wrapText="1"/>
    </xf>
    <xf numFmtId="167" fontId="72" fillId="2" borderId="53" xfId="7" applyNumberFormat="1" applyFont="1" applyFill="1" applyBorder="1" applyAlignment="1">
      <alignment horizontal="right" vertical="center" wrapText="1"/>
    </xf>
    <xf numFmtId="0" fontId="87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left" vertical="center" wrapText="1"/>
    </xf>
    <xf numFmtId="0" fontId="87" fillId="2" borderId="53" xfId="165" applyFont="1" applyFill="1" applyBorder="1">
      <alignment horizontal="left" vertical="top" wrapText="1"/>
    </xf>
    <xf numFmtId="0" fontId="72" fillId="2" borderId="53" xfId="165" applyFont="1" applyFill="1" applyBorder="1" applyAlignment="1">
      <alignment horizontal="left" vertical="top" wrapText="1"/>
    </xf>
    <xf numFmtId="0" fontId="72" fillId="2" borderId="53" xfId="0" applyFont="1" applyFill="1" applyBorder="1" applyAlignment="1"/>
    <xf numFmtId="0" fontId="72" fillId="2" borderId="53" xfId="165" applyFont="1" applyFill="1" applyBorder="1" applyAlignment="1">
      <alignment horizontal="center" vertical="top"/>
    </xf>
    <xf numFmtId="0" fontId="16" fillId="2" borderId="53" xfId="165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vertical="top" wrapText="1"/>
    </xf>
    <xf numFmtId="0" fontId="72" fillId="2" borderId="53" xfId="0" applyFont="1" applyFill="1" applyBorder="1"/>
    <xf numFmtId="0" fontId="72" fillId="2" borderId="54" xfId="0" applyFont="1" applyFill="1" applyBorder="1" applyAlignment="1">
      <alignment horizontal="left" vertical="top" wrapText="1"/>
    </xf>
    <xf numFmtId="172" fontId="87" fillId="2" borderId="53" xfId="6" applyNumberFormat="1" applyFont="1" applyFill="1" applyBorder="1" applyAlignment="1">
      <alignment horizontal="right" vertical="top"/>
    </xf>
    <xf numFmtId="0" fontId="72" fillId="2" borderId="53" xfId="0" applyFont="1" applyFill="1" applyBorder="1" applyAlignment="1">
      <alignment horizontal="left" vertical="center"/>
    </xf>
    <xf numFmtId="166" fontId="72" fillId="2" borderId="53" xfId="6" applyNumberFormat="1" applyFont="1" applyFill="1" applyBorder="1" applyAlignment="1">
      <alignment horizontal="right" vertical="center"/>
    </xf>
    <xf numFmtId="0" fontId="72" fillId="2" borderId="53" xfId="0" applyFont="1" applyFill="1" applyBorder="1" applyAlignment="1">
      <alignment horizontal="center" vertical="center" wrapText="1"/>
    </xf>
    <xf numFmtId="166" fontId="72" fillId="2" borderId="0" xfId="6" applyNumberFormat="1" applyFont="1" applyFill="1" applyBorder="1" applyAlignment="1">
      <alignment horizontal="right" vertical="center"/>
    </xf>
    <xf numFmtId="0" fontId="72" fillId="2" borderId="1" xfId="0" applyFont="1" applyFill="1" applyBorder="1" applyAlignment="1">
      <alignment horizontal="center" vertical="top" wrapText="1"/>
    </xf>
    <xf numFmtId="0" fontId="72" fillId="2" borderId="0" xfId="253" applyFont="1" applyFill="1"/>
    <xf numFmtId="43" fontId="72" fillId="2" borderId="53" xfId="7" applyFont="1" applyFill="1" applyBorder="1" applyAlignment="1">
      <alignment vertical="center"/>
    </xf>
    <xf numFmtId="0" fontId="87" fillId="2" borderId="53" xfId="0" applyFont="1" applyFill="1" applyBorder="1" applyAlignment="1">
      <alignment vertical="center" wrapText="1"/>
    </xf>
    <xf numFmtId="0" fontId="16" fillId="0" borderId="53" xfId="96" applyFont="1" applyBorder="1" applyAlignment="1">
      <alignment vertical="center" wrapText="1"/>
    </xf>
    <xf numFmtId="0" fontId="73" fillId="0" borderId="53" xfId="96" applyFont="1" applyFill="1" applyBorder="1" applyAlignment="1">
      <alignment horizontal="left" vertical="center" wrapText="1"/>
    </xf>
    <xf numFmtId="0" fontId="72" fillId="0" borderId="53" xfId="96" applyFont="1" applyBorder="1" applyAlignment="1">
      <alignment horizontal="center" vertical="center" wrapText="1"/>
    </xf>
    <xf numFmtId="0" fontId="73" fillId="0" borderId="53" xfId="96" applyFont="1" applyBorder="1" applyAlignment="1">
      <alignment horizontal="center" vertical="center" wrapText="1"/>
    </xf>
    <xf numFmtId="0" fontId="16" fillId="0" borderId="53" xfId="96" applyFont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horizontal="center" vertical="center" wrapText="1"/>
    </xf>
    <xf numFmtId="0" fontId="16" fillId="2" borderId="57" xfId="96" applyFont="1" applyFill="1" applyBorder="1" applyAlignment="1">
      <alignment horizontal="left" vertical="center" wrapText="1"/>
    </xf>
    <xf numFmtId="166" fontId="16" fillId="2" borderId="57" xfId="6" applyNumberFormat="1" applyFont="1" applyFill="1" applyBorder="1" applyAlignment="1">
      <alignment horizontal="center" vertical="center"/>
    </xf>
    <xf numFmtId="0" fontId="75" fillId="2" borderId="57" xfId="299" applyFont="1" applyFill="1" applyBorder="1" applyAlignment="1">
      <alignment horizontal="center"/>
    </xf>
    <xf numFmtId="169" fontId="72" fillId="2" borderId="57" xfId="96" applyNumberFormat="1" applyFont="1" applyFill="1" applyBorder="1" applyAlignment="1">
      <alignment horizontal="center" vertical="center" wrapText="1"/>
    </xf>
    <xf numFmtId="49" fontId="16" fillId="2" borderId="57" xfId="96" applyNumberFormat="1" applyFont="1" applyFill="1" applyBorder="1" applyAlignment="1">
      <alignment vertical="center" textRotation="90" wrapText="1"/>
    </xf>
    <xf numFmtId="0" fontId="73" fillId="2" borderId="56" xfId="96" applyFont="1" applyFill="1" applyBorder="1" applyAlignment="1">
      <alignment horizontal="center" vertical="center" wrapText="1"/>
    </xf>
    <xf numFmtId="166" fontId="73" fillId="2" borderId="57" xfId="6" applyNumberFormat="1" applyFont="1" applyFill="1" applyBorder="1" applyAlignment="1">
      <alignment horizontal="center" vertical="center"/>
    </xf>
    <xf numFmtId="170" fontId="16" fillId="2" borderId="57" xfId="7" applyNumberFormat="1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horizontal="left" vertical="top" wrapText="1"/>
    </xf>
    <xf numFmtId="170" fontId="16" fillId="2" borderId="57" xfId="7" applyNumberFormat="1" applyFont="1" applyFill="1" applyBorder="1" applyAlignment="1">
      <alignment horizontal="right" vertical="center" wrapText="1"/>
    </xf>
    <xf numFmtId="170" fontId="72" fillId="2" borderId="57" xfId="7" applyNumberFormat="1" applyFont="1" applyFill="1" applyBorder="1" applyAlignment="1">
      <alignment horizontal="center" vertical="center" wrapText="1"/>
    </xf>
    <xf numFmtId="167" fontId="87" fillId="2" borderId="57" xfId="7" applyNumberFormat="1" applyFont="1" applyFill="1" applyBorder="1" applyAlignment="1">
      <alignment horizontal="right" vertical="center" wrapText="1"/>
    </xf>
    <xf numFmtId="167" fontId="72" fillId="2" borderId="57" xfId="7" applyNumberFormat="1" applyFont="1" applyFill="1" applyBorder="1" applyAlignment="1">
      <alignment horizontal="right" vertical="center" wrapText="1"/>
    </xf>
    <xf numFmtId="0" fontId="72" fillId="2" borderId="57" xfId="0" applyFont="1" applyFill="1" applyBorder="1" applyAlignment="1">
      <alignment horizontal="center" vertical="top" wrapText="1"/>
    </xf>
    <xf numFmtId="49" fontId="72" fillId="2" borderId="57" xfId="0" applyNumberFormat="1" applyFont="1" applyFill="1" applyBorder="1" applyAlignment="1">
      <alignment horizontal="left" vertical="top" wrapText="1"/>
    </xf>
    <xf numFmtId="0" fontId="16" fillId="0" borderId="57" xfId="96" applyFont="1" applyBorder="1" applyAlignment="1">
      <alignment horizontal="left" vertical="center" wrapText="1"/>
    </xf>
    <xf numFmtId="0" fontId="72" fillId="2" borderId="57" xfId="0" applyFont="1" applyFill="1" applyBorder="1" applyAlignment="1">
      <alignment vertical="top" wrapText="1"/>
    </xf>
    <xf numFmtId="0" fontId="87" fillId="0" borderId="57" xfId="0" applyFont="1" applyBorder="1" applyAlignment="1">
      <alignment horizontal="left" vertical="top" wrapText="1"/>
    </xf>
    <xf numFmtId="0" fontId="75" fillId="2" borderId="57" xfId="0" applyFont="1" applyFill="1" applyBorder="1" applyAlignment="1">
      <alignment vertical="top" wrapText="1"/>
    </xf>
    <xf numFmtId="0" fontId="88" fillId="0" borderId="57" xfId="0" applyFont="1" applyBorder="1" applyAlignment="1">
      <alignment horizontal="left" vertical="top" wrapText="1"/>
    </xf>
    <xf numFmtId="0" fontId="87" fillId="0" borderId="3" xfId="0" applyFont="1" applyBorder="1" applyAlignment="1">
      <alignment horizontal="left" vertical="top" wrapText="1"/>
    </xf>
    <xf numFmtId="0" fontId="16" fillId="0" borderId="57" xfId="0" applyFont="1" applyBorder="1" applyAlignment="1">
      <alignment horizontal="left" vertical="center" wrapText="1"/>
    </xf>
    <xf numFmtId="0" fontId="92" fillId="0" borderId="57" xfId="8" applyFont="1" applyBorder="1" applyAlignment="1">
      <alignment horizontal="left" vertical="top" wrapText="1"/>
    </xf>
    <xf numFmtId="0" fontId="92" fillId="0" borderId="31" xfId="8" applyFont="1" applyBorder="1" applyAlignment="1">
      <alignment horizontal="left" vertical="top" wrapText="1"/>
    </xf>
    <xf numFmtId="0" fontId="16" fillId="0" borderId="57" xfId="8" applyFont="1" applyBorder="1" applyAlignment="1">
      <alignment horizontal="left" vertical="center" wrapText="1"/>
    </xf>
    <xf numFmtId="0" fontId="72" fillId="0" borderId="57" xfId="8" applyFont="1" applyBorder="1" applyAlignment="1">
      <alignment horizontal="left" vertical="top" wrapText="1"/>
    </xf>
    <xf numFmtId="0" fontId="16" fillId="0" borderId="57" xfId="0" applyFont="1" applyFill="1" applyBorder="1" applyAlignment="1">
      <alignment horizontal="left" vertical="top" wrapText="1"/>
    </xf>
    <xf numFmtId="0" fontId="75" fillId="0" borderId="57" xfId="0" applyFont="1" applyBorder="1" applyAlignment="1">
      <alignment horizontal="left" vertical="top" wrapText="1"/>
    </xf>
    <xf numFmtId="0" fontId="87" fillId="0" borderId="56" xfId="0" applyFont="1" applyBorder="1" applyAlignment="1">
      <alignment horizontal="left" vertical="top" wrapText="1"/>
    </xf>
    <xf numFmtId="166" fontId="72" fillId="2" borderId="57" xfId="6" applyNumberFormat="1" applyFont="1" applyFill="1" applyBorder="1" applyAlignment="1">
      <alignment horizontal="center" vertical="center"/>
    </xf>
    <xf numFmtId="0" fontId="72" fillId="2" borderId="57" xfId="96" applyFont="1" applyFill="1" applyBorder="1" applyAlignment="1">
      <alignment horizontal="center" vertical="center" wrapText="1"/>
    </xf>
    <xf numFmtId="0" fontId="16" fillId="2" borderId="57" xfId="0" applyFont="1" applyFill="1" applyBorder="1" applyAlignment="1">
      <alignment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87" fillId="2" borderId="57" xfId="0" applyFont="1" applyFill="1" applyBorder="1" applyAlignment="1">
      <alignment vertical="center" wrapText="1"/>
    </xf>
    <xf numFmtId="0" fontId="95" fillId="2" borderId="57" xfId="96" applyFont="1" applyFill="1" applyBorder="1" applyAlignment="1">
      <alignment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vertical="center" wrapText="1"/>
    </xf>
    <xf numFmtId="170" fontId="16" fillId="2" borderId="57" xfId="96" applyNumberFormat="1" applyFont="1" applyFill="1" applyBorder="1" applyAlignment="1">
      <alignment horizontal="center" vertical="center" wrapText="1"/>
    </xf>
    <xf numFmtId="0" fontId="72" fillId="0" borderId="57" xfId="0" applyFont="1" applyBorder="1"/>
    <xf numFmtId="0" fontId="75" fillId="0" borderId="57" xfId="0" applyFont="1" applyBorder="1" applyAlignment="1">
      <alignment horizontal="center"/>
    </xf>
    <xf numFmtId="0" fontId="72" fillId="0" borderId="0" xfId="0" applyFont="1"/>
    <xf numFmtId="0" fontId="73" fillId="2" borderId="57" xfId="96" applyFont="1" applyFill="1" applyBorder="1" applyAlignment="1">
      <alignment horizontal="left" vertical="center" wrapText="1"/>
    </xf>
    <xf numFmtId="167" fontId="89" fillId="2" borderId="57" xfId="300" applyNumberFormat="1" applyFont="1" applyFill="1" applyBorder="1"/>
    <xf numFmtId="0" fontId="93" fillId="2" borderId="0" xfId="0" applyFont="1" applyFill="1"/>
    <xf numFmtId="0" fontId="93" fillId="2" borderId="57" xfId="0" applyFont="1" applyFill="1" applyBorder="1" applyAlignment="1">
      <alignment vertical="center" wrapText="1"/>
    </xf>
    <xf numFmtId="167" fontId="93" fillId="2" borderId="57" xfId="300" applyNumberFormat="1" applyFont="1" applyFill="1" applyBorder="1" applyAlignment="1">
      <alignment vertical="center"/>
    </xf>
    <xf numFmtId="0" fontId="72" fillId="2" borderId="57" xfId="0" applyFont="1" applyFill="1" applyBorder="1"/>
    <xf numFmtId="0" fontId="16" fillId="0" borderId="3" xfId="96" applyFont="1" applyBorder="1" applyAlignment="1">
      <alignment horizontal="center" vertical="center" wrapText="1"/>
    </xf>
    <xf numFmtId="170" fontId="16" fillId="0" borderId="57" xfId="96" applyNumberFormat="1" applyFont="1" applyBorder="1" applyAlignment="1">
      <alignment horizontal="center" vertical="center" wrapText="1"/>
    </xf>
    <xf numFmtId="169" fontId="72" fillId="0" borderId="0" xfId="0" applyNumberFormat="1" applyFont="1"/>
    <xf numFmtId="0" fontId="16" fillId="0" borderId="57" xfId="96" applyFont="1" applyBorder="1" applyAlignment="1">
      <alignment vertical="center" wrapText="1"/>
    </xf>
    <xf numFmtId="0" fontId="75" fillId="0" borderId="57" xfId="0" applyFont="1" applyBorder="1"/>
    <xf numFmtId="0" fontId="75" fillId="2" borderId="57" xfId="0" applyFont="1" applyFill="1" applyBorder="1"/>
    <xf numFmtId="175" fontId="75" fillId="0" borderId="0" xfId="0" applyNumberFormat="1" applyFont="1"/>
    <xf numFmtId="0" fontId="75" fillId="0" borderId="0" xfId="0" applyFont="1"/>
    <xf numFmtId="0" fontId="73" fillId="0" borderId="57" xfId="96" applyFont="1" applyFill="1" applyBorder="1" applyAlignment="1">
      <alignment horizontal="left" vertical="center" wrapText="1"/>
    </xf>
    <xf numFmtId="167" fontId="73" fillId="0" borderId="57" xfId="7" applyNumberFormat="1" applyFont="1" applyBorder="1"/>
    <xf numFmtId="167" fontId="87" fillId="0" borderId="57" xfId="7" applyNumberFormat="1" applyFont="1" applyBorder="1" applyAlignment="1">
      <alignment vertical="center"/>
    </xf>
    <xf numFmtId="0" fontId="72" fillId="2" borderId="0" xfId="299" applyFont="1" applyFill="1"/>
    <xf numFmtId="0" fontId="16" fillId="2" borderId="57" xfId="96" applyFont="1" applyFill="1" applyBorder="1" applyAlignment="1">
      <alignment vertical="center" wrapText="1"/>
    </xf>
    <xf numFmtId="0" fontId="72" fillId="2" borderId="57" xfId="0" applyFont="1" applyFill="1" applyBorder="1" applyAlignment="1">
      <alignment horizontal="center"/>
    </xf>
    <xf numFmtId="176" fontId="72" fillId="2" borderId="57" xfId="2028" applyNumberFormat="1" applyFont="1" applyFill="1" applyBorder="1"/>
    <xf numFmtId="167" fontId="72" fillId="2" borderId="57" xfId="0" applyNumberFormat="1" applyFont="1" applyFill="1" applyBorder="1"/>
    <xf numFmtId="49" fontId="16" fillId="2" borderId="57" xfId="96" applyNumberFormat="1" applyFont="1" applyFill="1" applyBorder="1" applyAlignment="1">
      <alignment horizontal="center" vertical="center" textRotation="90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57" xfId="0" applyFont="1" applyFill="1" applyBorder="1" applyAlignment="1">
      <alignment horizontal="left" vertical="top" wrapText="1"/>
    </xf>
    <xf numFmtId="43" fontId="72" fillId="2" borderId="53" xfId="7" applyFont="1" applyFill="1" applyBorder="1" applyAlignment="1">
      <alignment horizontal="center" vertical="center" wrapText="1"/>
    </xf>
    <xf numFmtId="170" fontId="72" fillId="2" borderId="49" xfId="7" applyNumberFormat="1" applyFont="1" applyFill="1" applyBorder="1" applyAlignment="1">
      <alignment vertical="center" wrapText="1"/>
    </xf>
    <xf numFmtId="170" fontId="72" fillId="2" borderId="53" xfId="7" applyNumberFormat="1" applyFont="1" applyFill="1" applyBorder="1" applyAlignment="1">
      <alignment horizontal="right" vertical="center" wrapText="1"/>
    </xf>
    <xf numFmtId="170" fontId="72" fillId="2" borderId="49" xfId="7" applyNumberFormat="1" applyFont="1" applyFill="1" applyBorder="1" applyAlignment="1">
      <alignment horizontal="right" vertical="center" wrapText="1"/>
    </xf>
    <xf numFmtId="170" fontId="72" fillId="2" borderId="57" xfId="7" applyNumberFormat="1" applyFont="1" applyFill="1" applyBorder="1" applyAlignment="1">
      <alignment horizontal="right" vertical="center" wrapText="1"/>
    </xf>
    <xf numFmtId="0" fontId="16" fillId="2" borderId="57" xfId="0" applyFont="1" applyFill="1" applyBorder="1" applyAlignment="1">
      <alignment horizontal="left" vertical="center" wrapText="1"/>
    </xf>
    <xf numFmtId="0" fontId="87" fillId="2" borderId="57" xfId="0" applyFont="1" applyFill="1" applyBorder="1" applyAlignment="1">
      <alignment horizontal="left" vertical="top" wrapText="1"/>
    </xf>
    <xf numFmtId="170" fontId="16" fillId="2" borderId="57" xfId="7" applyNumberFormat="1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wrapText="1"/>
    </xf>
    <xf numFmtId="0" fontId="16" fillId="2" borderId="56" xfId="0" applyFont="1" applyFill="1" applyBorder="1" applyAlignment="1">
      <alignment horizontal="center" wrapText="1"/>
    </xf>
    <xf numFmtId="0" fontId="72" fillId="2" borderId="56" xfId="0" applyFont="1" applyFill="1" applyBorder="1" applyAlignment="1">
      <alignment horizontal="left" vertical="top" wrapText="1"/>
    </xf>
    <xf numFmtId="0" fontId="72" fillId="2" borderId="56" xfId="0" applyFont="1" applyFill="1" applyBorder="1" applyAlignment="1">
      <alignment horizontal="center" vertical="top" wrapText="1"/>
    </xf>
    <xf numFmtId="166" fontId="72" fillId="2" borderId="57" xfId="8" applyNumberFormat="1" applyFont="1" applyFill="1" applyBorder="1" applyAlignment="1">
      <alignment horizontal="center" vertical="center" wrapText="1"/>
    </xf>
    <xf numFmtId="169" fontId="16" fillId="2" borderId="57" xfId="0" applyNumberFormat="1" applyFont="1" applyFill="1" applyBorder="1" applyAlignment="1">
      <alignment horizontal="center" vertical="center"/>
    </xf>
    <xf numFmtId="166" fontId="16" fillId="2" borderId="57" xfId="6" applyNumberFormat="1" applyFont="1" applyFill="1" applyBorder="1" applyAlignment="1">
      <alignment horizontal="right" vertical="center"/>
    </xf>
    <xf numFmtId="169" fontId="72" fillId="2" borderId="57" xfId="0" applyNumberFormat="1" applyFont="1" applyFill="1" applyBorder="1" applyAlignment="1">
      <alignment horizontal="right" vertical="center"/>
    </xf>
    <xf numFmtId="166" fontId="87" fillId="2" borderId="57" xfId="6" applyNumberFormat="1" applyFont="1" applyFill="1" applyBorder="1" applyAlignment="1">
      <alignment horizontal="right" vertical="center"/>
    </xf>
    <xf numFmtId="166" fontId="72" fillId="2" borderId="57" xfId="6" applyNumberFormat="1" applyFont="1" applyFill="1" applyBorder="1" applyAlignment="1">
      <alignment horizontal="right" vertical="center"/>
    </xf>
    <xf numFmtId="0" fontId="72" fillId="2" borderId="57" xfId="0" applyFont="1" applyFill="1" applyBorder="1" applyAlignment="1"/>
    <xf numFmtId="0" fontId="16" fillId="2" borderId="10" xfId="0" applyFont="1" applyFill="1" applyBorder="1" applyAlignment="1">
      <alignment horizontal="center" vertical="top" wrapText="1"/>
    </xf>
    <xf numFmtId="0" fontId="72" fillId="2" borderId="57" xfId="8" applyFont="1" applyFill="1" applyBorder="1" applyAlignment="1">
      <alignment horizontal="left" vertical="top" wrapText="1"/>
    </xf>
    <xf numFmtId="0" fontId="72" fillId="2" borderId="31" xfId="8" applyFont="1" applyFill="1" applyBorder="1" applyAlignment="1">
      <alignment horizontal="left" vertical="top" wrapText="1"/>
    </xf>
    <xf numFmtId="0" fontId="16" fillId="2" borderId="57" xfId="8" applyFont="1" applyFill="1" applyBorder="1" applyAlignment="1">
      <alignment horizontal="left" vertical="center" wrapText="1"/>
    </xf>
    <xf numFmtId="0" fontId="72" fillId="2" borderId="0" xfId="8" applyFont="1" applyFill="1" applyBorder="1" applyAlignment="1">
      <alignment horizontal="left" vertical="top" wrapText="1"/>
    </xf>
    <xf numFmtId="166" fontId="72" fillId="2" borderId="57" xfId="0" applyNumberFormat="1" applyFont="1" applyFill="1" applyBorder="1"/>
    <xf numFmtId="0" fontId="16" fillId="2" borderId="57" xfId="0" applyFont="1" applyFill="1" applyBorder="1"/>
    <xf numFmtId="0" fontId="72" fillId="2" borderId="57" xfId="0" applyFont="1" applyFill="1" applyBorder="1" applyAlignment="1">
      <alignment horizontal="center" vertical="top"/>
    </xf>
    <xf numFmtId="166" fontId="72" fillId="2" borderId="57" xfId="6" applyNumberFormat="1" applyFont="1" applyFill="1" applyBorder="1" applyAlignment="1">
      <alignment horizontal="right" vertical="top"/>
    </xf>
    <xf numFmtId="0" fontId="16" fillId="2" borderId="57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left" vertical="top" wrapText="1"/>
    </xf>
    <xf numFmtId="170" fontId="16" fillId="2" borderId="0" xfId="7" applyNumberFormat="1" applyFont="1" applyFill="1" applyBorder="1" applyAlignment="1">
      <alignment horizontal="center" vertical="top" wrapText="1"/>
    </xf>
    <xf numFmtId="0" fontId="88" fillId="2" borderId="57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57" xfId="0" applyFont="1" applyFill="1" applyBorder="1" applyAlignment="1">
      <alignment horizontal="left" vertical="center" wrapText="1"/>
    </xf>
    <xf numFmtId="0" fontId="75" fillId="2" borderId="0" xfId="0" applyFont="1" applyFill="1" applyBorder="1" applyAlignment="1">
      <alignment horizontal="left" vertical="center"/>
    </xf>
    <xf numFmtId="0" fontId="87" fillId="2" borderId="57" xfId="0" applyFont="1" applyFill="1" applyBorder="1" applyAlignment="1">
      <alignment horizontal="left" vertical="center" wrapText="1"/>
    </xf>
    <xf numFmtId="0" fontId="72" fillId="2" borderId="54" xfId="0" applyFont="1" applyFill="1" applyBorder="1" applyAlignment="1">
      <alignment vertical="top" wrapText="1"/>
    </xf>
    <xf numFmtId="0" fontId="72" fillId="2" borderId="56" xfId="0" applyFont="1" applyFill="1" applyBorder="1" applyAlignment="1">
      <alignment vertical="top" wrapText="1"/>
    </xf>
    <xf numFmtId="43" fontId="75" fillId="2" borderId="57" xfId="7" applyFont="1" applyFill="1" applyBorder="1"/>
    <xf numFmtId="166" fontId="75" fillId="2" borderId="0" xfId="253" applyNumberFormat="1" applyFont="1" applyFill="1"/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177" fontId="87" fillId="2" borderId="3" xfId="7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horizontal="right"/>
    </xf>
    <xf numFmtId="0" fontId="72" fillId="2" borderId="57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49" fontId="16" fillId="2" borderId="31" xfId="96" applyNumberFormat="1" applyFont="1" applyFill="1" applyBorder="1" applyAlignment="1">
      <alignment horizontal="center" vertical="center" textRotation="90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75" fillId="2" borderId="60" xfId="0" applyFont="1" applyFill="1" applyBorder="1" applyAlignment="1"/>
    <xf numFmtId="0" fontId="72" fillId="2" borderId="60" xfId="0" applyFont="1" applyFill="1" applyBorder="1"/>
    <xf numFmtId="0" fontId="87" fillId="2" borderId="59" xfId="0" applyFont="1" applyFill="1" applyBorder="1" applyAlignment="1">
      <alignment vertical="center" wrapText="1"/>
    </xf>
    <xf numFmtId="167" fontId="13" fillId="2" borderId="53" xfId="253" applyNumberFormat="1" applyFont="1" applyFill="1" applyBorder="1"/>
    <xf numFmtId="43" fontId="13" fillId="2" borderId="53" xfId="253" applyNumberFormat="1" applyFont="1" applyFill="1" applyBorder="1" applyAlignment="1">
      <alignment vertical="center"/>
    </xf>
    <xf numFmtId="0" fontId="16" fillId="2" borderId="57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horizontal="center" vertical="top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16" fillId="2" borderId="9" xfId="0" applyFont="1" applyFill="1" applyBorder="1" applyAlignment="1">
      <alignment horizontal="center" vertical="top" wrapText="1"/>
    </xf>
    <xf numFmtId="0" fontId="72" fillId="2" borderId="3" xfId="8" applyFont="1" applyFill="1" applyBorder="1" applyAlignment="1">
      <alignment horizontal="left" vertical="top" wrapText="1"/>
    </xf>
    <xf numFmtId="0" fontId="97" fillId="2" borderId="0" xfId="0" applyFont="1" applyFill="1"/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/>
    </xf>
    <xf numFmtId="0" fontId="72" fillId="2" borderId="30" xfId="0" applyFont="1" applyFill="1" applyBorder="1" applyAlignment="1">
      <alignment horizontal="center"/>
    </xf>
    <xf numFmtId="0" fontId="72" fillId="2" borderId="30" xfId="0" applyFont="1" applyFill="1" applyBorder="1" applyAlignment="1">
      <alignment horizontal="center" wrapText="1"/>
    </xf>
    <xf numFmtId="167" fontId="16" fillId="57" borderId="41" xfId="7" applyNumberFormat="1" applyFont="1" applyFill="1" applyBorder="1" applyAlignment="1">
      <alignment vertical="top" wrapText="1"/>
    </xf>
    <xf numFmtId="167" fontId="72" fillId="2" borderId="0" xfId="0" applyNumberFormat="1" applyFont="1" applyFill="1"/>
    <xf numFmtId="0" fontId="72" fillId="58" borderId="30" xfId="0" applyFont="1" applyFill="1" applyBorder="1" applyAlignment="1">
      <alignment wrapText="1"/>
    </xf>
    <xf numFmtId="170" fontId="72" fillId="58" borderId="33" xfId="0" applyNumberFormat="1" applyFont="1" applyFill="1" applyBorder="1" applyAlignment="1">
      <alignment horizontal="right" vertical="center" wrapText="1"/>
    </xf>
    <xf numFmtId="170" fontId="72" fillId="2" borderId="47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6" xfId="0" applyFont="1" applyFill="1" applyBorder="1" applyAlignment="1">
      <alignment vertical="center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170" fontId="72" fillId="2" borderId="30" xfId="0" applyNumberFormat="1" applyFont="1" applyFill="1" applyBorder="1" applyAlignment="1">
      <alignment horizontal="right" vertical="center" wrapText="1"/>
    </xf>
    <xf numFmtId="0" fontId="72" fillId="2" borderId="48" xfId="0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horizontal="center" vertical="center" wrapText="1"/>
    </xf>
    <xf numFmtId="166" fontId="72" fillId="2" borderId="48" xfId="6" applyNumberFormat="1" applyFont="1" applyFill="1" applyBorder="1" applyAlignment="1">
      <alignment horizontal="center" vertical="center"/>
    </xf>
    <xf numFmtId="172" fontId="72" fillId="2" borderId="48" xfId="6" applyNumberFormat="1" applyFont="1" applyFill="1" applyBorder="1" applyAlignment="1">
      <alignment horizontal="center" vertical="center"/>
    </xf>
    <xf numFmtId="170" fontId="72" fillId="2" borderId="48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3" xfId="0" applyFont="1" applyFill="1" applyBorder="1" applyAlignment="1">
      <alignment horizontal="center" vertical="center"/>
    </xf>
    <xf numFmtId="166" fontId="72" fillId="2" borderId="30" xfId="6" applyNumberFormat="1" applyFont="1" applyFill="1" applyBorder="1" applyAlignment="1">
      <alignment horizontal="center" vertical="center"/>
    </xf>
    <xf numFmtId="172" fontId="72" fillId="2" borderId="30" xfId="6" applyNumberFormat="1" applyFont="1" applyFill="1" applyBorder="1" applyAlignment="1">
      <alignment horizontal="center" vertical="center"/>
    </xf>
    <xf numFmtId="166" fontId="72" fillId="2" borderId="45" xfId="6" applyNumberFormat="1" applyFont="1" applyFill="1" applyBorder="1" applyAlignment="1">
      <alignment horizontal="center" vertical="center"/>
    </xf>
    <xf numFmtId="172" fontId="72" fillId="2" borderId="45" xfId="6" applyNumberFormat="1" applyFont="1" applyFill="1" applyBorder="1" applyAlignment="1">
      <alignment horizontal="center" vertical="center"/>
    </xf>
    <xf numFmtId="43" fontId="75" fillId="0" borderId="53" xfId="7" applyFont="1" applyFill="1" applyBorder="1" applyAlignment="1">
      <alignment vertical="center"/>
    </xf>
    <xf numFmtId="0" fontId="95" fillId="2" borderId="3" xfId="96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3" fillId="2" borderId="60" xfId="96" applyFont="1" applyFill="1" applyBorder="1" applyAlignment="1">
      <alignment horizontal="left" vertical="center" wrapText="1"/>
    </xf>
    <xf numFmtId="0" fontId="87" fillId="2" borderId="60" xfId="208" applyFont="1" applyFill="1" applyBorder="1" applyAlignment="1">
      <alignment vertical="center" wrapText="1"/>
    </xf>
    <xf numFmtId="167" fontId="89" fillId="2" borderId="60" xfId="2030" applyNumberFormat="1" applyFont="1" applyFill="1" applyBorder="1"/>
    <xf numFmtId="0" fontId="99" fillId="2" borderId="0" xfId="208" applyFont="1" applyFill="1"/>
    <xf numFmtId="167" fontId="93" fillId="2" borderId="60" xfId="2030" applyNumberFormat="1" applyFont="1" applyFill="1" applyBorder="1" applyAlignment="1">
      <alignment vertical="center"/>
    </xf>
    <xf numFmtId="0" fontId="93" fillId="2" borderId="60" xfId="208" applyFont="1" applyFill="1" applyBorder="1" applyAlignment="1">
      <alignment vertical="center"/>
    </xf>
    <xf numFmtId="0" fontId="93" fillId="2" borderId="60" xfId="208" applyFont="1" applyFill="1" applyBorder="1" applyAlignment="1">
      <alignment vertical="center" wrapText="1"/>
    </xf>
    <xf numFmtId="0" fontId="75" fillId="2" borderId="60" xfId="208" applyFont="1" applyFill="1" applyBorder="1" applyAlignment="1">
      <alignment horizontal="center"/>
    </xf>
    <xf numFmtId="0" fontId="16" fillId="2" borderId="60" xfId="96" applyFont="1" applyFill="1" applyBorder="1" applyAlignment="1">
      <alignment horizontal="center" vertical="center" wrapText="1"/>
    </xf>
    <xf numFmtId="0" fontId="2" fillId="2" borderId="0" xfId="208" applyFill="1"/>
    <xf numFmtId="0" fontId="100" fillId="2" borderId="0" xfId="208" applyFont="1" applyFill="1"/>
    <xf numFmtId="167" fontId="87" fillId="2" borderId="60" xfId="2030" applyNumberFormat="1" applyFont="1" applyFill="1" applyBorder="1" applyAlignment="1">
      <alignment vertical="center"/>
    </xf>
    <xf numFmtId="170" fontId="16" fillId="2" borderId="60" xfId="96" applyNumberFormat="1" applyFont="1" applyFill="1" applyBorder="1" applyAlignment="1">
      <alignment horizontal="center" vertical="center" wrapText="1"/>
    </xf>
    <xf numFmtId="0" fontId="73" fillId="2" borderId="60" xfId="96" applyFont="1" applyFill="1" applyBorder="1" applyAlignment="1">
      <alignment horizontal="center" vertical="center" wrapText="1"/>
    </xf>
    <xf numFmtId="170" fontId="73" fillId="2" borderId="60" xfId="96" applyNumberFormat="1" applyFont="1" applyFill="1" applyBorder="1" applyAlignment="1">
      <alignment horizontal="center" vertical="center" wrapText="1"/>
    </xf>
    <xf numFmtId="0" fontId="102" fillId="2" borderId="0" xfId="208" applyFont="1" applyFill="1"/>
    <xf numFmtId="167" fontId="101" fillId="2" borderId="60" xfId="2030" applyNumberFormat="1" applyFont="1" applyFill="1" applyBorder="1"/>
    <xf numFmtId="0" fontId="72" fillId="58" borderId="30" xfId="0" applyFont="1" applyFill="1" applyBorder="1" applyAlignment="1">
      <alignment vertical="center" wrapText="1"/>
    </xf>
    <xf numFmtId="167" fontId="73" fillId="2" borderId="60" xfId="2030" applyNumberFormat="1" applyFont="1" applyFill="1" applyBorder="1"/>
    <xf numFmtId="0" fontId="103" fillId="2" borderId="0" xfId="208" applyFont="1" applyFill="1"/>
    <xf numFmtId="0" fontId="103" fillId="2" borderId="0" xfId="208" applyFont="1" applyFill="1" applyAlignment="1">
      <alignment vertical="center"/>
    </xf>
    <xf numFmtId="0" fontId="16" fillId="2" borderId="60" xfId="96" applyFont="1" applyFill="1" applyBorder="1" applyAlignment="1">
      <alignment horizontal="left" vertical="center" wrapText="1"/>
    </xf>
    <xf numFmtId="0" fontId="97" fillId="2" borderId="0" xfId="208" applyFont="1" applyFill="1"/>
    <xf numFmtId="0" fontId="72" fillId="2" borderId="60" xfId="96" applyFont="1" applyFill="1" applyBorder="1" applyAlignment="1">
      <alignment horizontal="left" vertical="center" wrapText="1"/>
    </xf>
    <xf numFmtId="0" fontId="72" fillId="2" borderId="60" xfId="96" applyFont="1" applyFill="1" applyBorder="1" applyAlignment="1">
      <alignment horizontal="center" vertical="center" wrapText="1"/>
    </xf>
    <xf numFmtId="0" fontId="104" fillId="2" borderId="60" xfId="208" applyFont="1" applyFill="1" applyBorder="1" applyAlignment="1"/>
    <xf numFmtId="0" fontId="73" fillId="0" borderId="60" xfId="96" applyFont="1" applyFill="1" applyBorder="1" applyAlignment="1">
      <alignment horizontal="left" vertical="center" wrapText="1"/>
    </xf>
    <xf numFmtId="167" fontId="73" fillId="0" borderId="57" xfId="7" applyNumberFormat="1" applyFont="1" applyBorder="1" applyAlignment="1">
      <alignment vertical="center"/>
    </xf>
    <xf numFmtId="0" fontId="95" fillId="2" borderId="31" xfId="96" applyFont="1" applyFill="1" applyBorder="1" applyAlignment="1">
      <alignment horizontal="center" vertical="center" wrapText="1"/>
    </xf>
    <xf numFmtId="0" fontId="87" fillId="2" borderId="60" xfId="0" applyFont="1" applyFill="1" applyBorder="1" applyAlignment="1">
      <alignment vertical="center" wrapText="1"/>
    </xf>
    <xf numFmtId="0" fontId="75" fillId="2" borderId="60" xfId="208" applyFont="1" applyFill="1" applyBorder="1" applyAlignment="1">
      <alignment horizontal="left"/>
    </xf>
    <xf numFmtId="0" fontId="75" fillId="2" borderId="60" xfId="208" applyFont="1" applyFill="1" applyBorder="1"/>
    <xf numFmtId="0" fontId="100" fillId="2" borderId="0" xfId="208" applyFont="1" applyFill="1" applyAlignment="1">
      <alignment vertical="center"/>
    </xf>
    <xf numFmtId="0" fontId="75" fillId="2" borderId="60" xfId="208" applyFont="1" applyFill="1" applyBorder="1" applyAlignment="1">
      <alignment horizontal="center" vertical="center"/>
    </xf>
    <xf numFmtId="167" fontId="89" fillId="2" borderId="60" xfId="2030" applyNumberFormat="1" applyFont="1" applyFill="1" applyBorder="1" applyAlignment="1">
      <alignment vertical="center"/>
    </xf>
    <xf numFmtId="0" fontId="105" fillId="2" borderId="0" xfId="208" applyFont="1" applyFill="1"/>
    <xf numFmtId="0" fontId="72" fillId="2" borderId="60" xfId="208" applyFont="1" applyFill="1" applyBorder="1" applyAlignment="1">
      <alignment horizontal="center"/>
    </xf>
    <xf numFmtId="0" fontId="72" fillId="2" borderId="60" xfId="208" applyFont="1" applyFill="1" applyBorder="1" applyAlignment="1">
      <alignment horizontal="left"/>
    </xf>
    <xf numFmtId="0" fontId="72" fillId="2" borderId="60" xfId="208" applyFont="1" applyFill="1" applyBorder="1"/>
    <xf numFmtId="167" fontId="73" fillId="2" borderId="60" xfId="2030" applyNumberFormat="1" applyFont="1" applyFill="1" applyBorder="1" applyAlignment="1">
      <alignment vertical="center"/>
    </xf>
    <xf numFmtId="0" fontId="94" fillId="2" borderId="60" xfId="208" applyFont="1" applyFill="1" applyBorder="1" applyAlignment="1"/>
    <xf numFmtId="0" fontId="72" fillId="2" borderId="60" xfId="208" applyFont="1" applyFill="1" applyBorder="1" applyAlignment="1"/>
    <xf numFmtId="0" fontId="72" fillId="2" borderId="31" xfId="0" applyFont="1" applyFill="1" applyBorder="1" applyAlignment="1"/>
    <xf numFmtId="167" fontId="73" fillId="2" borderId="60" xfId="223" applyNumberFormat="1" applyFont="1" applyFill="1" applyBorder="1" applyAlignment="1">
      <alignment vertical="center"/>
    </xf>
    <xf numFmtId="167" fontId="103" fillId="2" borderId="0" xfId="0" applyNumberFormat="1" applyFont="1" applyFill="1"/>
    <xf numFmtId="0" fontId="103" fillId="2" borderId="0" xfId="0" applyFont="1" applyFill="1"/>
    <xf numFmtId="167" fontId="73" fillId="2" borderId="60" xfId="223" applyNumberFormat="1" applyFont="1" applyFill="1" applyBorder="1"/>
    <xf numFmtId="167" fontId="87" fillId="2" borderId="60" xfId="223" applyNumberFormat="1" applyFont="1" applyFill="1" applyBorder="1" applyAlignment="1">
      <alignment vertical="center"/>
    </xf>
    <xf numFmtId="0" fontId="72" fillId="2" borderId="60" xfId="0" applyFont="1" applyFill="1" applyBorder="1" applyAlignment="1"/>
    <xf numFmtId="0" fontId="72" fillId="2" borderId="0" xfId="299" applyFont="1" applyFill="1" applyAlignment="1">
      <alignment vertical="center"/>
    </xf>
    <xf numFmtId="178" fontId="72" fillId="2" borderId="0" xfId="0" applyNumberFormat="1" applyFont="1" applyFill="1" applyAlignment="1">
      <alignment vertical="top"/>
    </xf>
    <xf numFmtId="0" fontId="16" fillId="2" borderId="60" xfId="96" applyFont="1" applyFill="1" applyBorder="1" applyAlignment="1">
      <alignment vertical="center" wrapText="1"/>
    </xf>
    <xf numFmtId="0" fontId="72" fillId="2" borderId="3" xfId="299" applyFont="1" applyFill="1" applyBorder="1" applyAlignment="1">
      <alignment horizontal="center"/>
    </xf>
    <xf numFmtId="0" fontId="87" fillId="2" borderId="5" xfId="0" applyFont="1" applyFill="1" applyBorder="1" applyAlignment="1">
      <alignment vertical="center" wrapText="1"/>
    </xf>
    <xf numFmtId="166" fontId="16" fillId="2" borderId="1" xfId="6" applyFont="1" applyFill="1" applyBorder="1" applyAlignment="1">
      <alignment horizontal="center" vertical="center"/>
    </xf>
    <xf numFmtId="167" fontId="93" fillId="2" borderId="1" xfId="2063" applyNumberFormat="1" applyFont="1" applyFill="1" applyBorder="1" applyAlignment="1">
      <alignment vertical="center"/>
    </xf>
    <xf numFmtId="0" fontId="93" fillId="2" borderId="1" xfId="2062" applyFont="1" applyFill="1" applyBorder="1" applyAlignment="1">
      <alignment vertical="center"/>
    </xf>
    <xf numFmtId="167" fontId="75" fillId="2" borderId="1" xfId="2063" applyNumberFormat="1" applyFont="1" applyFill="1" applyBorder="1"/>
    <xf numFmtId="0" fontId="75" fillId="2" borderId="1" xfId="2062" applyFont="1" applyFill="1" applyBorder="1"/>
    <xf numFmtId="0" fontId="16" fillId="0" borderId="1" xfId="96" applyFont="1" applyBorder="1" applyAlignment="1">
      <alignment horizontal="left" vertical="center" wrapText="1"/>
    </xf>
    <xf numFmtId="0" fontId="75" fillId="2" borderId="1" xfId="2062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87" fillId="2" borderId="1" xfId="0" applyFont="1" applyFill="1" applyBorder="1" applyAlignment="1">
      <alignment vertical="center" wrapText="1"/>
    </xf>
    <xf numFmtId="0" fontId="75" fillId="2" borderId="1" xfId="2062" applyFont="1" applyFill="1" applyBorder="1" applyAlignment="1">
      <alignment horizontal="left"/>
    </xf>
    <xf numFmtId="0" fontId="72" fillId="2" borderId="31" xfId="0" applyFont="1" applyFill="1" applyBorder="1"/>
    <xf numFmtId="167" fontId="73" fillId="2" borderId="1" xfId="223" applyNumberFormat="1" applyFont="1" applyFill="1" applyBorder="1"/>
    <xf numFmtId="0" fontId="87" fillId="2" borderId="61" xfId="0" applyFont="1" applyFill="1" applyBorder="1" applyAlignment="1">
      <alignment vertical="center" wrapText="1"/>
    </xf>
    <xf numFmtId="167" fontId="89" fillId="2" borderId="1" xfId="2063" applyNumberFormat="1" applyFont="1" applyFill="1" applyBorder="1"/>
    <xf numFmtId="0" fontId="72" fillId="2" borderId="8" xfId="0" applyFont="1" applyFill="1" applyBorder="1"/>
    <xf numFmtId="167" fontId="72" fillId="2" borderId="1" xfId="0" applyNumberFormat="1" applyFont="1" applyFill="1" applyBorder="1"/>
    <xf numFmtId="167" fontId="87" fillId="2" borderId="1" xfId="223" applyNumberFormat="1" applyFont="1" applyFill="1" applyBorder="1" applyAlignment="1">
      <alignment vertical="center"/>
    </xf>
    <xf numFmtId="176" fontId="72" fillId="2" borderId="1" xfId="2028" applyNumberFormat="1" applyFont="1" applyFill="1" applyBorder="1"/>
    <xf numFmtId="0" fontId="75" fillId="2" borderId="1" xfId="2062" applyFont="1" applyFill="1" applyBorder="1" applyAlignment="1"/>
    <xf numFmtId="0" fontId="16" fillId="2" borderId="1" xfId="96" applyFont="1" applyFill="1" applyBorder="1" applyAlignment="1">
      <alignment vertical="center" wrapText="1"/>
    </xf>
    <xf numFmtId="0" fontId="93" fillId="2" borderId="1" xfId="2062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center"/>
    </xf>
    <xf numFmtId="167" fontId="73" fillId="2" borderId="1" xfId="2063" applyNumberFormat="1" applyFont="1" applyFill="1" applyBorder="1"/>
    <xf numFmtId="170" fontId="16" fillId="2" borderId="1" xfId="96" applyNumberFormat="1" applyFont="1" applyFill="1" applyBorder="1" applyAlignment="1">
      <alignment horizontal="center" vertical="center" wrapText="1"/>
    </xf>
    <xf numFmtId="0" fontId="16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left" vertical="center" wrapText="1"/>
    </xf>
    <xf numFmtId="0" fontId="16" fillId="2" borderId="1" xfId="96" applyFont="1" applyFill="1" applyBorder="1" applyAlignment="1">
      <alignment horizontal="left" vertical="center" wrapText="1"/>
    </xf>
    <xf numFmtId="167" fontId="87" fillId="2" borderId="1" xfId="2063" applyNumberFormat="1" applyFont="1" applyFill="1" applyBorder="1" applyAlignment="1">
      <alignment vertical="center"/>
    </xf>
    <xf numFmtId="0" fontId="106" fillId="2" borderId="62" xfId="2062" applyFont="1" applyFill="1" applyBorder="1" applyAlignment="1">
      <alignment horizontal="center"/>
    </xf>
    <xf numFmtId="170" fontId="16" fillId="2" borderId="1" xfId="96" applyNumberFormat="1" applyFont="1" applyFill="1" applyBorder="1" applyAlignment="1">
      <alignment horizontal="center" vertical="center" wrapText="1"/>
    </xf>
    <xf numFmtId="0" fontId="16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left" vertical="center" wrapText="1"/>
    </xf>
    <xf numFmtId="166" fontId="16" fillId="2" borderId="1" xfId="6" applyNumberFormat="1" applyFont="1" applyFill="1" applyBorder="1" applyAlignment="1">
      <alignment horizontal="center" vertical="center"/>
    </xf>
    <xf numFmtId="0" fontId="16" fillId="2" borderId="1" xfId="96" applyFont="1" applyFill="1" applyBorder="1" applyAlignment="1">
      <alignment horizontal="left" vertical="center" wrapText="1"/>
    </xf>
    <xf numFmtId="0" fontId="87" fillId="2" borderId="1" xfId="2062" applyFont="1" applyFill="1" applyBorder="1" applyAlignment="1">
      <alignment vertical="center" wrapText="1"/>
    </xf>
    <xf numFmtId="0" fontId="16" fillId="0" borderId="3" xfId="96" applyFont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72" fillId="2" borderId="62" xfId="0" applyFont="1" applyFill="1" applyBorder="1" applyAlignment="1">
      <alignment vertical="center"/>
    </xf>
    <xf numFmtId="170" fontId="72" fillId="2" borderId="62" xfId="0" applyNumberFormat="1" applyFont="1" applyFill="1" applyBorder="1" applyAlignment="1">
      <alignment horizontal="right" vertical="center" wrapText="1"/>
    </xf>
    <xf numFmtId="0" fontId="72" fillId="2" borderId="62" xfId="0" applyFont="1" applyFill="1" applyBorder="1"/>
    <xf numFmtId="0" fontId="73" fillId="2" borderId="62" xfId="0" applyFont="1" applyFill="1" applyBorder="1" applyAlignment="1">
      <alignment vertical="center" wrapText="1"/>
    </xf>
    <xf numFmtId="167" fontId="73" fillId="0" borderId="62" xfId="300" applyNumberFormat="1" applyFont="1" applyBorder="1" applyAlignment="1">
      <alignment vertical="center"/>
    </xf>
    <xf numFmtId="167" fontId="73" fillId="2" borderId="62" xfId="300" applyNumberFormat="1" applyFont="1" applyFill="1" applyBorder="1"/>
    <xf numFmtId="167" fontId="72" fillId="0" borderId="0" xfId="0" applyNumberFormat="1" applyFont="1"/>
    <xf numFmtId="167" fontId="87" fillId="2" borderId="62" xfId="223" applyNumberFormat="1" applyFont="1" applyFill="1" applyBorder="1" applyAlignment="1">
      <alignment vertical="center"/>
    </xf>
    <xf numFmtId="0" fontId="72" fillId="2" borderId="1" xfId="2062" applyFont="1" applyFill="1" applyBorder="1" applyAlignment="1">
      <alignment horizontal="center"/>
    </xf>
    <xf numFmtId="167" fontId="87" fillId="2" borderId="57" xfId="300" applyNumberFormat="1" applyFont="1" applyFill="1" applyBorder="1" applyAlignment="1">
      <alignment vertical="center"/>
    </xf>
    <xf numFmtId="0" fontId="87" fillId="2" borderId="60" xfId="208" applyFont="1" applyFill="1" applyBorder="1" applyAlignment="1">
      <alignment vertical="center"/>
    </xf>
    <xf numFmtId="169" fontId="72" fillId="2" borderId="62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center"/>
    </xf>
    <xf numFmtId="0" fontId="72" fillId="2" borderId="57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2" borderId="56" xfId="0" applyFont="1" applyFill="1" applyBorder="1" applyAlignment="1">
      <alignment horizontal="left" vertical="top" wrapText="1"/>
    </xf>
    <xf numFmtId="0" fontId="75" fillId="2" borderId="0" xfId="0" applyFont="1" applyFill="1" applyAlignment="1">
      <alignment horizontal="right"/>
    </xf>
    <xf numFmtId="0" fontId="72" fillId="2" borderId="48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0" borderId="62" xfId="96" applyFont="1" applyBorder="1" applyAlignment="1">
      <alignment vertical="center" wrapText="1"/>
    </xf>
    <xf numFmtId="0" fontId="87" fillId="2" borderId="62" xfId="0" applyFont="1" applyFill="1" applyBorder="1" applyAlignment="1">
      <alignment vertical="center" wrapText="1"/>
    </xf>
    <xf numFmtId="43" fontId="72" fillId="2" borderId="62" xfId="7" applyFont="1" applyFill="1" applyBorder="1" applyAlignment="1">
      <alignment vertical="center"/>
    </xf>
    <xf numFmtId="0" fontId="73" fillId="0" borderId="62" xfId="96" applyFont="1" applyFill="1" applyBorder="1" applyAlignment="1">
      <alignment horizontal="left" vertical="center" wrapText="1"/>
    </xf>
    <xf numFmtId="43" fontId="13" fillId="2" borderId="62" xfId="253" applyNumberFormat="1" applyFont="1" applyFill="1" applyBorder="1"/>
    <xf numFmtId="0" fontId="16" fillId="2" borderId="63" xfId="96" applyFont="1" applyFill="1" applyBorder="1" applyAlignment="1">
      <alignment horizontal="center" vertical="center" wrapText="1"/>
    </xf>
    <xf numFmtId="170" fontId="16" fillId="2" borderId="63" xfId="96" applyNumberFormat="1" applyFont="1" applyFill="1" applyBorder="1" applyAlignment="1">
      <alignment horizontal="center" vertical="center" wrapText="1"/>
    </xf>
    <xf numFmtId="0" fontId="16" fillId="2" borderId="63" xfId="96" applyFont="1" applyFill="1" applyBorder="1" applyAlignment="1">
      <alignment horizontal="left" vertical="center" wrapText="1"/>
    </xf>
    <xf numFmtId="0" fontId="87" fillId="2" borderId="63" xfId="96" applyFont="1" applyFill="1" applyBorder="1" applyAlignment="1">
      <alignment horizontal="center" vertical="center" wrapText="1"/>
    </xf>
    <xf numFmtId="0" fontId="73" fillId="2" borderId="63" xfId="96" applyFont="1" applyFill="1" applyBorder="1" applyAlignment="1">
      <alignment horizontal="center" vertical="center" wrapText="1"/>
    </xf>
    <xf numFmtId="0" fontId="96" fillId="2" borderId="0" xfId="2062" applyFont="1" applyFill="1"/>
    <xf numFmtId="0" fontId="87" fillId="2" borderId="64" xfId="0" applyFont="1" applyFill="1" applyBorder="1" applyAlignment="1">
      <alignment vertical="center" wrapText="1"/>
    </xf>
    <xf numFmtId="49" fontId="16" fillId="2" borderId="63" xfId="96" applyNumberFormat="1" applyFont="1" applyFill="1" applyBorder="1" applyAlignment="1">
      <alignment vertical="center" textRotation="90" wrapText="1"/>
    </xf>
    <xf numFmtId="0" fontId="75" fillId="2" borderId="63" xfId="253" applyFont="1" applyFill="1" applyBorder="1"/>
    <xf numFmtId="0" fontId="72" fillId="2" borderId="63" xfId="96" applyFont="1" applyFill="1" applyBorder="1" applyAlignment="1">
      <alignment horizontal="center" vertical="center" wrapText="1"/>
    </xf>
    <xf numFmtId="43" fontId="89" fillId="2" borderId="63" xfId="253" applyNumberFormat="1" applyFont="1" applyFill="1" applyBorder="1" applyAlignment="1">
      <alignment vertical="center"/>
    </xf>
    <xf numFmtId="0" fontId="75" fillId="2" borderId="0" xfId="0" applyFont="1" applyFill="1" applyAlignment="1"/>
    <xf numFmtId="0" fontId="13" fillId="2" borderId="0" xfId="0" applyFont="1" applyFill="1" applyAlignment="1">
      <alignment horizontal="center" wrapText="1"/>
    </xf>
    <xf numFmtId="0" fontId="72" fillId="2" borderId="63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6" fontId="16" fillId="2" borderId="63" xfId="6" applyNumberFormat="1" applyFont="1" applyFill="1" applyBorder="1" applyAlignment="1">
      <alignment horizontal="center" vertical="center"/>
    </xf>
    <xf numFmtId="166" fontId="72" fillId="2" borderId="0" xfId="8" applyNumberFormat="1" applyFont="1" applyFill="1" applyAlignment="1">
      <alignment horizontal="left" vertical="center" wrapText="1"/>
    </xf>
    <xf numFmtId="0" fontId="16" fillId="2" borderId="63" xfId="0" applyFont="1" applyFill="1" applyBorder="1" applyAlignment="1">
      <alignment horizontal="center" vertical="center"/>
    </xf>
    <xf numFmtId="166" fontId="16" fillId="2" borderId="64" xfId="0" applyNumberFormat="1" applyFont="1" applyFill="1" applyBorder="1" applyAlignment="1">
      <alignment vertical="center" wrapText="1"/>
    </xf>
    <xf numFmtId="0" fontId="72" fillId="2" borderId="63" xfId="8" applyFont="1" applyFill="1" applyBorder="1">
      <alignment horizontal="left" vertical="top" wrapText="1"/>
    </xf>
    <xf numFmtId="4" fontId="16" fillId="2" borderId="64" xfId="8" applyNumberFormat="1" applyFont="1" applyFill="1" applyBorder="1" applyAlignment="1">
      <alignment horizontal="center" vertical="top" wrapText="1"/>
    </xf>
    <xf numFmtId="39" fontId="16" fillId="2" borderId="64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75" fillId="2" borderId="63" xfId="0" applyFont="1" applyFill="1" applyBorder="1" applyAlignment="1">
      <alignment vertical="center" wrapText="1"/>
    </xf>
    <xf numFmtId="0" fontId="72" fillId="2" borderId="63" xfId="0" applyFont="1" applyFill="1" applyBorder="1" applyAlignment="1">
      <alignment horizontal="left" vertical="center" wrapText="1"/>
    </xf>
    <xf numFmtId="170" fontId="93" fillId="2" borderId="63" xfId="0" applyNumberFormat="1" applyFont="1" applyFill="1" applyBorder="1" applyAlignment="1">
      <alignment horizontal="right" vertical="center" wrapText="1"/>
    </xf>
    <xf numFmtId="166" fontId="72" fillId="2" borderId="63" xfId="6" applyNumberFormat="1" applyFont="1" applyFill="1" applyBorder="1" applyAlignment="1">
      <alignment horizontal="center" vertical="center"/>
    </xf>
    <xf numFmtId="0" fontId="72" fillId="2" borderId="63" xfId="0" applyFont="1" applyFill="1" applyBorder="1" applyAlignment="1">
      <alignment vertical="center" wrapText="1"/>
    </xf>
    <xf numFmtId="170" fontId="87" fillId="2" borderId="63" xfId="0" applyNumberFormat="1" applyFont="1" applyFill="1" applyBorder="1" applyAlignment="1">
      <alignment horizontal="right" vertical="center" wrapText="1"/>
    </xf>
    <xf numFmtId="4" fontId="87" fillId="2" borderId="64" xfId="8" applyNumberFormat="1" applyFont="1" applyFill="1" applyBorder="1" applyAlignment="1">
      <alignment horizontal="left" vertical="center" wrapText="1"/>
    </xf>
    <xf numFmtId="0" fontId="72" fillId="2" borderId="0" xfId="8" applyFont="1" applyFill="1" applyAlignment="1">
      <alignment horizontal="left" vertical="top" wrapText="1"/>
    </xf>
    <xf numFmtId="170" fontId="87" fillId="2" borderId="64" xfId="0" applyNumberFormat="1" applyFont="1" applyFill="1" applyBorder="1" applyAlignment="1">
      <alignment horizontal="right" vertical="center" wrapText="1"/>
    </xf>
    <xf numFmtId="170" fontId="93" fillId="2" borderId="64" xfId="0" applyNumberFormat="1" applyFont="1" applyFill="1" applyBorder="1" applyAlignment="1">
      <alignment horizontal="right" vertical="center" wrapText="1"/>
    </xf>
    <xf numFmtId="0" fontId="72" fillId="2" borderId="63" xfId="8" applyFont="1" applyFill="1" applyBorder="1" applyAlignment="1">
      <alignment horizontal="left" vertical="center" wrapText="1"/>
    </xf>
    <xf numFmtId="39" fontId="16" fillId="2" borderId="64" xfId="8" applyNumberFormat="1" applyFont="1" applyFill="1" applyBorder="1" applyAlignment="1">
      <alignment horizontal="center" vertical="top" wrapText="1"/>
    </xf>
    <xf numFmtId="170" fontId="72" fillId="2" borderId="0" xfId="8" applyNumberFormat="1" applyFont="1" applyFill="1">
      <alignment horizontal="left" vertical="top" wrapText="1"/>
    </xf>
    <xf numFmtId="179" fontId="72" fillId="2" borderId="0" xfId="8" applyNumberFormat="1" applyFont="1" applyFill="1">
      <alignment horizontal="left" vertical="top" wrapText="1"/>
    </xf>
    <xf numFmtId="180" fontId="72" fillId="2" borderId="0" xfId="8" applyNumberFormat="1" applyFont="1" applyFill="1" applyAlignment="1">
      <alignment horizontal="left" vertical="center" wrapText="1"/>
    </xf>
    <xf numFmtId="0" fontId="72" fillId="2" borderId="63" xfId="0" applyFont="1" applyFill="1" applyBorder="1" applyAlignment="1">
      <alignment horizontal="center" vertical="center" wrapText="1"/>
    </xf>
    <xf numFmtId="0" fontId="72" fillId="2" borderId="63" xfId="0" applyFont="1" applyFill="1" applyBorder="1" applyAlignment="1">
      <alignment horizontal="left" vertical="top" wrapText="1"/>
    </xf>
    <xf numFmtId="170" fontId="72" fillId="2" borderId="63" xfId="7" applyNumberFormat="1" applyFont="1" applyFill="1" applyBorder="1" applyAlignment="1">
      <alignment horizontal="center" vertical="center" wrapText="1"/>
    </xf>
    <xf numFmtId="167" fontId="72" fillId="2" borderId="63" xfId="7" applyNumberFormat="1" applyFont="1" applyFill="1" applyBorder="1" applyAlignment="1">
      <alignment horizontal="right" vertical="center" wrapText="1"/>
    </xf>
    <xf numFmtId="167" fontId="72" fillId="2" borderId="63" xfId="7" applyNumberFormat="1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top" wrapText="1"/>
    </xf>
    <xf numFmtId="0" fontId="72" fillId="2" borderId="3" xfId="0" applyFont="1" applyFill="1" applyBorder="1" applyAlignment="1">
      <alignment horizontal="left" vertical="top" wrapText="1"/>
    </xf>
    <xf numFmtId="0" fontId="16" fillId="2" borderId="63" xfId="0" applyFont="1" applyFill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left" vertical="top" wrapText="1"/>
    </xf>
    <xf numFmtId="170" fontId="16" fillId="2" borderId="63" xfId="7" applyNumberFormat="1" applyFont="1" applyFill="1" applyBorder="1" applyAlignment="1">
      <alignment horizontal="center" vertical="center" wrapText="1"/>
    </xf>
    <xf numFmtId="170" fontId="16" fillId="2" borderId="63" xfId="7" applyNumberFormat="1" applyFont="1" applyFill="1" applyBorder="1" applyAlignment="1">
      <alignment horizontal="right" vertical="center" wrapText="1"/>
    </xf>
    <xf numFmtId="0" fontId="16" fillId="2" borderId="63" xfId="0" applyFont="1" applyFill="1" applyBorder="1" applyAlignment="1">
      <alignment horizontal="center" wrapText="1"/>
    </xf>
    <xf numFmtId="49" fontId="16" fillId="2" borderId="31" xfId="0" applyNumberFormat="1" applyFont="1" applyFill="1" applyBorder="1" applyAlignment="1">
      <alignment vertical="center" wrapText="1"/>
    </xf>
    <xf numFmtId="0" fontId="72" fillId="2" borderId="63" xfId="0" applyFont="1" applyFill="1" applyBorder="1" applyAlignment="1">
      <alignment vertical="top" wrapText="1"/>
    </xf>
    <xf numFmtId="0" fontId="16" fillId="2" borderId="31" xfId="0" applyFont="1" applyFill="1" applyBorder="1" applyAlignment="1">
      <alignment vertical="top" wrapText="1"/>
    </xf>
    <xf numFmtId="0" fontId="16" fillId="2" borderId="63" xfId="0" applyFont="1" applyFill="1" applyBorder="1" applyAlignment="1">
      <alignment wrapText="1"/>
    </xf>
    <xf numFmtId="181" fontId="72" fillId="2" borderId="0" xfId="7" applyNumberFormat="1" applyFont="1" applyFill="1"/>
    <xf numFmtId="43" fontId="72" fillId="2" borderId="0" xfId="7" applyFont="1" applyFill="1" applyAlignment="1">
      <alignment horizontal="left" vertical="top" wrapText="1"/>
    </xf>
    <xf numFmtId="39" fontId="75" fillId="2" borderId="0" xfId="253" applyNumberFormat="1" applyFont="1" applyFill="1"/>
    <xf numFmtId="170" fontId="75" fillId="2" borderId="0" xfId="253" applyNumberFormat="1" applyFont="1" applyFill="1"/>
    <xf numFmtId="0" fontId="72" fillId="2" borderId="63" xfId="165" applyFont="1" applyFill="1" applyBorder="1" applyAlignment="1">
      <alignment horizontal="left" vertical="top" wrapText="1"/>
    </xf>
    <xf numFmtId="0" fontId="87" fillId="2" borderId="63" xfId="165" applyFont="1" applyFill="1" applyBorder="1">
      <alignment horizontal="left" vertical="top" wrapText="1"/>
    </xf>
    <xf numFmtId="0" fontId="87" fillId="2" borderId="63" xfId="0" applyFont="1" applyFill="1" applyBorder="1" applyAlignment="1">
      <alignment horizontal="left" vertical="top" wrapText="1"/>
    </xf>
    <xf numFmtId="0" fontId="16" fillId="2" borderId="63" xfId="0" applyFont="1" applyFill="1" applyBorder="1" applyAlignment="1">
      <alignment horizontal="left" vertical="center" wrapText="1"/>
    </xf>
    <xf numFmtId="0" fontId="72" fillId="0" borderId="63" xfId="8" applyFont="1" applyBorder="1" applyAlignment="1">
      <alignment horizontal="left" vertical="top" wrapText="1"/>
    </xf>
    <xf numFmtId="0" fontId="72" fillId="2" borderId="63" xfId="8" applyFont="1" applyFill="1" applyBorder="1" applyAlignment="1">
      <alignment horizontal="left" vertical="top" wrapText="1"/>
    </xf>
    <xf numFmtId="0" fontId="87" fillId="0" borderId="63" xfId="0" applyFont="1" applyBorder="1" applyAlignment="1">
      <alignment horizontal="left" vertical="top" wrapText="1"/>
    </xf>
    <xf numFmtId="0" fontId="16" fillId="0" borderId="63" xfId="8" applyFont="1" applyBorder="1" applyAlignment="1">
      <alignment horizontal="left" vertical="center" wrapText="1"/>
    </xf>
    <xf numFmtId="39" fontId="16" fillId="2" borderId="30" xfId="7" applyNumberFormat="1" applyFont="1" applyFill="1" applyBorder="1" applyAlignment="1">
      <alignment horizontal="center" vertical="center" wrapText="1"/>
    </xf>
    <xf numFmtId="0" fontId="92" fillId="2" borderId="0" xfId="165" applyFont="1" applyFill="1">
      <alignment horizontal="left" vertical="top" wrapText="1"/>
    </xf>
    <xf numFmtId="0" fontId="92" fillId="2" borderId="0" xfId="165" applyFont="1" applyFill="1" applyAlignment="1"/>
    <xf numFmtId="167" fontId="92" fillId="2" borderId="0" xfId="2021" applyNumberFormat="1" applyFont="1" applyFill="1" applyAlignment="1">
      <alignment horizontal="right"/>
    </xf>
    <xf numFmtId="0" fontId="108" fillId="2" borderId="0" xfId="165" applyFont="1" applyFill="1" applyAlignment="1">
      <alignment horizontal="center" vertical="top" wrapText="1"/>
    </xf>
    <xf numFmtId="0" fontId="72" fillId="2" borderId="9" xfId="165" applyFont="1" applyFill="1" applyBorder="1" applyAlignment="1">
      <alignment horizontal="right" vertical="top" wrapText="1"/>
    </xf>
    <xf numFmtId="0" fontId="16" fillId="2" borderId="63" xfId="165" applyFont="1" applyFill="1" applyBorder="1" applyAlignment="1">
      <alignment horizontal="center" vertical="top" wrapText="1"/>
    </xf>
    <xf numFmtId="0" fontId="92" fillId="2" borderId="0" xfId="165" applyFont="1" applyFill="1" applyAlignment="1">
      <alignment horizontal="left" vertical="top" wrapText="1"/>
    </xf>
    <xf numFmtId="0" fontId="108" fillId="2" borderId="0" xfId="165" applyFont="1" applyFill="1" applyAlignment="1">
      <alignment horizontal="center" vertical="center" wrapText="1"/>
    </xf>
    <xf numFmtId="0" fontId="75" fillId="2" borderId="63" xfId="165" applyFont="1" applyFill="1" applyBorder="1" applyAlignment="1">
      <alignment horizontal="center" vertical="center" wrapText="1"/>
    </xf>
    <xf numFmtId="0" fontId="16" fillId="2" borderId="64" xfId="165" applyFont="1" applyFill="1" applyBorder="1" applyAlignment="1">
      <alignment horizontal="left" vertical="top" wrapText="1"/>
    </xf>
    <xf numFmtId="170" fontId="13" fillId="2" borderId="63" xfId="165" applyNumberFormat="1" applyFont="1" applyFill="1" applyBorder="1" applyAlignment="1">
      <alignment horizontal="center" vertical="center" wrapText="1"/>
    </xf>
    <xf numFmtId="0" fontId="92" fillId="2" borderId="65" xfId="165" applyFont="1" applyFill="1" applyBorder="1" applyAlignment="1">
      <alignment vertical="top" wrapText="1"/>
    </xf>
    <xf numFmtId="0" fontId="92" fillId="2" borderId="64" xfId="165" applyFont="1" applyFill="1" applyBorder="1" applyAlignment="1">
      <alignment horizontal="left" vertical="top" wrapText="1"/>
    </xf>
    <xf numFmtId="167" fontId="72" fillId="2" borderId="63" xfId="7" applyNumberFormat="1" applyFont="1" applyFill="1" applyBorder="1" applyAlignment="1">
      <alignment horizontal="center" vertical="top" wrapText="1"/>
    </xf>
    <xf numFmtId="0" fontId="72" fillId="2" borderId="63" xfId="165" applyFont="1" applyFill="1" applyBorder="1" applyAlignment="1">
      <alignment horizontal="center" vertical="top" wrapText="1"/>
    </xf>
    <xf numFmtId="0" fontId="72" fillId="2" borderId="0" xfId="165" applyFont="1" applyFill="1">
      <alignment horizontal="left" vertical="top" wrapText="1"/>
    </xf>
    <xf numFmtId="0" fontId="92" fillId="2" borderId="63" xfId="165" applyFont="1" applyFill="1" applyBorder="1" applyAlignment="1">
      <alignment horizontal="center" vertical="center" wrapText="1"/>
    </xf>
    <xf numFmtId="0" fontId="92" fillId="2" borderId="0" xfId="165" applyFont="1" applyFill="1" applyAlignment="1">
      <alignment horizontal="left" vertical="center" wrapText="1"/>
    </xf>
    <xf numFmtId="0" fontId="72" fillId="2" borderId="63" xfId="165" applyFont="1" applyFill="1" applyBorder="1" applyAlignment="1">
      <alignment horizontal="center" vertical="center" wrapText="1"/>
    </xf>
    <xf numFmtId="49" fontId="72" fillId="2" borderId="60" xfId="299" applyNumberFormat="1" applyFont="1" applyFill="1" applyBorder="1" applyAlignment="1">
      <alignment horizontal="left" vertical="center" wrapText="1"/>
    </xf>
    <xf numFmtId="0" fontId="72" fillId="2" borderId="60" xfId="0" applyFont="1" applyFill="1" applyBorder="1" applyAlignment="1">
      <alignment horizontal="left" vertical="center" wrapText="1"/>
    </xf>
    <xf numFmtId="0" fontId="72" fillId="2" borderId="62" xfId="0" applyFont="1" applyFill="1" applyBorder="1" applyAlignment="1">
      <alignment horizontal="center" vertical="center"/>
    </xf>
    <xf numFmtId="0" fontId="72" fillId="0" borderId="62" xfId="0" applyFont="1" applyBorder="1" applyAlignment="1">
      <alignment horizontal="left" wrapText="1"/>
    </xf>
    <xf numFmtId="0" fontId="72" fillId="0" borderId="62" xfId="0" applyFont="1" applyBorder="1" applyAlignment="1">
      <alignment horizontal="center" wrapText="1"/>
    </xf>
    <xf numFmtId="3" fontId="72" fillId="0" borderId="62" xfId="0" applyNumberFormat="1" applyFont="1" applyBorder="1" applyAlignment="1">
      <alignment horizontal="center" wrapText="1"/>
    </xf>
    <xf numFmtId="43" fontId="72" fillId="0" borderId="62" xfId="7" applyFont="1" applyBorder="1" applyAlignment="1">
      <alignment horizontal="center" wrapText="1"/>
    </xf>
    <xf numFmtId="43" fontId="72" fillId="2" borderId="0" xfId="299" applyNumberFormat="1" applyFont="1" applyFill="1"/>
    <xf numFmtId="170" fontId="72" fillId="2" borderId="0" xfId="299" applyNumberFormat="1" applyFont="1" applyFill="1"/>
    <xf numFmtId="0" fontId="72" fillId="2" borderId="62" xfId="0" applyFont="1" applyFill="1" applyBorder="1" applyAlignment="1">
      <alignment horizontal="left" wrapText="1"/>
    </xf>
    <xf numFmtId="0" fontId="72" fillId="0" borderId="62" xfId="0" applyFont="1" applyBorder="1" applyAlignment="1">
      <alignment horizontal="left" vertical="center" wrapText="1"/>
    </xf>
    <xf numFmtId="0" fontId="72" fillId="0" borderId="62" xfId="0" applyFont="1" applyBorder="1" applyAlignment="1">
      <alignment horizontal="center" vertical="center" wrapText="1"/>
    </xf>
    <xf numFmtId="3" fontId="72" fillId="0" borderId="62" xfId="0" applyNumberFormat="1" applyFont="1" applyBorder="1" applyAlignment="1">
      <alignment horizontal="center" vertical="center" wrapText="1"/>
    </xf>
    <xf numFmtId="43" fontId="72" fillId="0" borderId="62" xfId="7" applyFont="1" applyBorder="1" applyAlignment="1">
      <alignment horizontal="center" vertical="center" wrapText="1"/>
    </xf>
    <xf numFmtId="0" fontId="72" fillId="2" borderId="62" xfId="299" applyFont="1" applyFill="1" applyBorder="1" applyAlignment="1">
      <alignment horizontal="left" vertical="center" wrapText="1"/>
    </xf>
    <xf numFmtId="0" fontId="72" fillId="2" borderId="62" xfId="299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vertical="center"/>
    </xf>
    <xf numFmtId="0" fontId="72" fillId="2" borderId="55" xfId="0" applyFont="1" applyFill="1" applyBorder="1" applyAlignment="1">
      <alignment horizontal="center" vertical="center" wrapText="1"/>
    </xf>
    <xf numFmtId="0" fontId="72" fillId="2" borderId="55" xfId="0" applyFont="1" applyFill="1" applyBorder="1" applyAlignment="1">
      <alignment vertical="center"/>
    </xf>
    <xf numFmtId="0" fontId="72" fillId="2" borderId="61" xfId="0" applyFont="1" applyFill="1" applyBorder="1" applyAlignment="1">
      <alignment vertical="center"/>
    </xf>
    <xf numFmtId="39" fontId="72" fillId="58" borderId="33" xfId="0" applyNumberFormat="1" applyFont="1" applyFill="1" applyBorder="1" applyAlignment="1">
      <alignment horizontal="right" vertical="center" wrapText="1"/>
    </xf>
    <xf numFmtId="0" fontId="72" fillId="2" borderId="0" xfId="0" applyFont="1" applyFill="1" applyBorder="1" applyAlignment="1">
      <alignment horizontal="left" vertical="center"/>
    </xf>
    <xf numFmtId="0" fontId="72" fillId="2" borderId="63" xfId="0" applyFont="1" applyFill="1" applyBorder="1" applyAlignment="1">
      <alignment wrapText="1"/>
    </xf>
    <xf numFmtId="0" fontId="88" fillId="2" borderId="63" xfId="0" applyFont="1" applyFill="1" applyBorder="1" applyAlignment="1">
      <alignment horizontal="left" vertical="top" wrapText="1"/>
    </xf>
    <xf numFmtId="0" fontId="94" fillId="2" borderId="0" xfId="0" applyFont="1" applyFill="1" applyAlignment="1">
      <alignment vertical="center"/>
    </xf>
    <xf numFmtId="169" fontId="94" fillId="2" borderId="0" xfId="0" applyNumberFormat="1" applyFont="1" applyFill="1" applyAlignment="1">
      <alignment vertical="center"/>
    </xf>
    <xf numFmtId="0" fontId="87" fillId="2" borderId="49" xfId="0" applyFont="1" applyFill="1" applyBorder="1" applyAlignment="1">
      <alignment horizontal="left" vertical="top" wrapText="1"/>
    </xf>
    <xf numFmtId="0" fontId="87" fillId="2" borderId="50" xfId="0" applyFont="1" applyFill="1" applyBorder="1" applyAlignment="1">
      <alignment horizontal="left" vertical="top" wrapText="1"/>
    </xf>
    <xf numFmtId="172" fontId="87" fillId="2" borderId="63" xfId="6" applyNumberFormat="1" applyFont="1" applyFill="1" applyBorder="1" applyAlignment="1">
      <alignment horizontal="right" vertical="top"/>
    </xf>
    <xf numFmtId="172" fontId="87" fillId="2" borderId="63" xfId="6" applyNumberFormat="1" applyFont="1" applyFill="1" applyBorder="1" applyAlignment="1">
      <alignment horizontal="right" vertical="center"/>
    </xf>
    <xf numFmtId="166" fontId="72" fillId="2" borderId="63" xfId="6" applyNumberFormat="1" applyFont="1" applyFill="1" applyBorder="1" applyAlignment="1">
      <alignment horizontal="right" vertical="center"/>
    </xf>
    <xf numFmtId="0" fontId="72" fillId="0" borderId="49" xfId="0" applyFont="1" applyBorder="1" applyAlignment="1">
      <alignment vertical="top" wrapText="1"/>
    </xf>
    <xf numFmtId="0" fontId="72" fillId="0" borderId="49" xfId="0" applyFont="1" applyBorder="1" applyAlignment="1">
      <alignment horizontal="left" vertical="top" wrapText="1"/>
    </xf>
    <xf numFmtId="168" fontId="72" fillId="2" borderId="0" xfId="0" applyNumberFormat="1" applyFont="1" applyFill="1" applyBorder="1"/>
    <xf numFmtId="0" fontId="16" fillId="2" borderId="53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right"/>
    </xf>
    <xf numFmtId="0" fontId="72" fillId="0" borderId="57" xfId="0" applyFont="1" applyBorder="1" applyAlignment="1">
      <alignment horizontal="left" vertical="top" wrapText="1"/>
    </xf>
    <xf numFmtId="39" fontId="16" fillId="2" borderId="57" xfId="7" applyNumberFormat="1" applyFont="1" applyFill="1" applyBorder="1" applyAlignment="1">
      <alignment horizontal="center" vertical="center" wrapText="1"/>
    </xf>
    <xf numFmtId="166" fontId="16" fillId="2" borderId="63" xfId="8" applyNumberFormat="1" applyFont="1" applyFill="1" applyBorder="1" applyAlignment="1">
      <alignment horizontal="center" vertical="center" wrapText="1"/>
    </xf>
    <xf numFmtId="170" fontId="16" fillId="2" borderId="63" xfId="0" applyNumberFormat="1" applyFont="1" applyFill="1" applyBorder="1" applyAlignment="1">
      <alignment horizontal="center" vertical="center"/>
    </xf>
    <xf numFmtId="166" fontId="72" fillId="2" borderId="63" xfId="8" applyNumberFormat="1" applyFont="1" applyFill="1" applyBorder="1" applyAlignment="1">
      <alignment horizontal="center" vertical="center" wrapText="1"/>
    </xf>
    <xf numFmtId="169" fontId="16" fillId="2" borderId="63" xfId="0" applyNumberFormat="1" applyFont="1" applyFill="1" applyBorder="1" applyAlignment="1">
      <alignment horizontal="center" vertical="center"/>
    </xf>
    <xf numFmtId="166" fontId="16" fillId="2" borderId="63" xfId="6" applyNumberFormat="1" applyFont="1" applyFill="1" applyBorder="1" applyAlignment="1">
      <alignment horizontal="right" vertical="center"/>
    </xf>
    <xf numFmtId="166" fontId="87" fillId="2" borderId="63" xfId="6" applyNumberFormat="1" applyFont="1" applyFill="1" applyBorder="1" applyAlignment="1">
      <alignment horizontal="right" vertical="center"/>
    </xf>
    <xf numFmtId="0" fontId="72" fillId="2" borderId="64" xfId="0" applyFont="1" applyFill="1" applyBorder="1" applyAlignment="1">
      <alignment horizontal="left" vertical="top" wrapText="1"/>
    </xf>
    <xf numFmtId="0" fontId="16" fillId="2" borderId="66" xfId="0" applyFont="1" applyFill="1" applyBorder="1" applyAlignment="1">
      <alignment horizontal="center" vertical="top" wrapText="1"/>
    </xf>
    <xf numFmtId="43" fontId="72" fillId="2" borderId="63" xfId="7" applyNumberFormat="1" applyFont="1" applyFill="1" applyBorder="1" applyAlignment="1">
      <alignment horizontal="center" vertical="center" wrapText="1"/>
    </xf>
    <xf numFmtId="167" fontId="16" fillId="2" borderId="63" xfId="7" applyNumberFormat="1" applyFont="1" applyFill="1" applyBorder="1" applyAlignment="1">
      <alignment horizontal="right" vertical="center" wrapText="1"/>
    </xf>
    <xf numFmtId="167" fontId="87" fillId="2" borderId="63" xfId="7" applyNumberFormat="1" applyFont="1" applyFill="1" applyBorder="1" applyAlignment="1">
      <alignment horizontal="center" vertical="center" wrapText="1"/>
    </xf>
    <xf numFmtId="167" fontId="72" fillId="2" borderId="63" xfId="7" applyNumberFormat="1" applyFont="1" applyFill="1" applyBorder="1" applyAlignment="1">
      <alignment vertical="center" wrapText="1"/>
    </xf>
    <xf numFmtId="0" fontId="72" fillId="2" borderId="9" xfId="0" applyFont="1" applyFill="1" applyBorder="1" applyAlignment="1">
      <alignment horizontal="right"/>
    </xf>
    <xf numFmtId="0" fontId="72" fillId="2" borderId="60" xfId="0" applyFont="1" applyFill="1" applyBorder="1" applyAlignment="1">
      <alignment horizontal="left" vertical="center" wrapText="1"/>
    </xf>
    <xf numFmtId="170" fontId="13" fillId="2" borderId="0" xfId="0" applyNumberFormat="1" applyFont="1" applyFill="1" applyAlignment="1">
      <alignment horizontal="center" wrapText="1"/>
    </xf>
    <xf numFmtId="0" fontId="72" fillId="2" borderId="40" xfId="0" applyFont="1" applyFill="1" applyBorder="1" applyAlignment="1">
      <alignment vertical="top" wrapText="1"/>
    </xf>
    <xf numFmtId="0" fontId="72" fillId="2" borderId="65" xfId="165" applyFont="1" applyFill="1" applyBorder="1" applyAlignment="1">
      <alignment horizontal="left" vertical="top" wrapText="1"/>
    </xf>
    <xf numFmtId="0" fontId="72" fillId="2" borderId="66" xfId="165" applyFont="1" applyFill="1" applyBorder="1" applyAlignment="1">
      <alignment horizontal="left" vertical="top" wrapText="1"/>
    </xf>
    <xf numFmtId="0" fontId="72" fillId="2" borderId="64" xfId="165" applyFont="1" applyFill="1" applyBorder="1" applyAlignment="1">
      <alignment horizontal="left" vertical="top" wrapText="1"/>
    </xf>
    <xf numFmtId="167" fontId="92" fillId="2" borderId="0" xfId="2021" applyNumberFormat="1" applyFont="1" applyFill="1" applyAlignment="1">
      <alignment horizontal="right" vertical="top" wrapText="1"/>
    </xf>
    <xf numFmtId="167" fontId="92" fillId="2" borderId="0" xfId="2021" applyNumberFormat="1" applyFont="1" applyFill="1" applyAlignment="1">
      <alignment horizontal="right"/>
    </xf>
    <xf numFmtId="0" fontId="108" fillId="2" borderId="0" xfId="165" applyFont="1" applyFill="1" applyAlignment="1">
      <alignment horizontal="center" vertical="center" wrapText="1"/>
    </xf>
    <xf numFmtId="0" fontId="16" fillId="2" borderId="32" xfId="165" applyFont="1" applyFill="1" applyBorder="1" applyAlignment="1">
      <alignment horizontal="center" vertical="top" wrapText="1"/>
    </xf>
    <xf numFmtId="0" fontId="16" fillId="2" borderId="35" xfId="165" applyFont="1" applyFill="1" applyBorder="1" applyAlignment="1">
      <alignment horizontal="center" vertical="top" wrapText="1"/>
    </xf>
    <xf numFmtId="0" fontId="16" fillId="2" borderId="34" xfId="165" applyFont="1" applyFill="1" applyBorder="1" applyAlignment="1">
      <alignment horizontal="center" vertical="top" wrapText="1"/>
    </xf>
    <xf numFmtId="0" fontId="16" fillId="2" borderId="65" xfId="165" applyFont="1" applyFill="1" applyBorder="1" applyAlignment="1">
      <alignment horizontal="left" vertical="top" wrapText="1"/>
    </xf>
    <xf numFmtId="0" fontId="16" fillId="2" borderId="66" xfId="165" applyFont="1" applyFill="1" applyBorder="1" applyAlignment="1">
      <alignment horizontal="left" vertical="top" wrapText="1"/>
    </xf>
    <xf numFmtId="0" fontId="16" fillId="2" borderId="64" xfId="165" applyFont="1" applyFill="1" applyBorder="1" applyAlignment="1">
      <alignment horizontal="left" vertical="top" wrapText="1"/>
    </xf>
    <xf numFmtId="0" fontId="16" fillId="2" borderId="65" xfId="165" applyFont="1" applyFill="1" applyBorder="1" applyAlignment="1">
      <alignment horizontal="left" vertical="center" wrapText="1"/>
    </xf>
    <xf numFmtId="0" fontId="16" fillId="2" borderId="66" xfId="165" applyFont="1" applyFill="1" applyBorder="1" applyAlignment="1">
      <alignment horizontal="left" vertical="center" wrapText="1"/>
    </xf>
    <xf numFmtId="0" fontId="16" fillId="2" borderId="64" xfId="165" applyFont="1" applyFill="1" applyBorder="1" applyAlignment="1">
      <alignment horizontal="left" vertical="center" wrapText="1"/>
    </xf>
    <xf numFmtId="0" fontId="92" fillId="2" borderId="65" xfId="165" applyFont="1" applyFill="1" applyBorder="1" applyAlignment="1">
      <alignment horizontal="left" vertical="top" wrapText="1"/>
    </xf>
    <xf numFmtId="0" fontId="92" fillId="2" borderId="66" xfId="165" applyFont="1" applyFill="1" applyBorder="1" applyAlignment="1">
      <alignment horizontal="left" vertical="top" wrapText="1"/>
    </xf>
    <xf numFmtId="0" fontId="92" fillId="2" borderId="64" xfId="165" applyFont="1" applyFill="1" applyBorder="1" applyAlignment="1">
      <alignment horizontal="left" vertical="top" wrapText="1"/>
    </xf>
    <xf numFmtId="0" fontId="72" fillId="2" borderId="32" xfId="165" applyFont="1" applyFill="1" applyBorder="1" applyAlignment="1">
      <alignment horizontal="center" vertical="top" wrapText="1"/>
    </xf>
    <xf numFmtId="0" fontId="72" fillId="2" borderId="35" xfId="165" applyFont="1" applyFill="1" applyBorder="1" applyAlignment="1">
      <alignment horizontal="center" vertical="top" wrapText="1"/>
    </xf>
    <xf numFmtId="0" fontId="72" fillId="2" borderId="34" xfId="165" applyFont="1" applyFill="1" applyBorder="1" applyAlignment="1">
      <alignment horizontal="center" vertical="top" wrapText="1"/>
    </xf>
    <xf numFmtId="0" fontId="72" fillId="2" borderId="10" xfId="165" applyFont="1" applyFill="1" applyBorder="1" applyAlignment="1">
      <alignment horizontal="center" vertical="top" wrapText="1"/>
    </xf>
    <xf numFmtId="0" fontId="72" fillId="2" borderId="9" xfId="165" applyFont="1" applyFill="1" applyBorder="1" applyAlignment="1">
      <alignment horizontal="center" vertical="top" wrapText="1"/>
    </xf>
    <xf numFmtId="0" fontId="72" fillId="2" borderId="29" xfId="165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57" xfId="0" applyFont="1" applyFill="1" applyBorder="1" applyAlignment="1">
      <alignment horizontal="center" vertical="top" wrapText="1"/>
    </xf>
    <xf numFmtId="0" fontId="16" fillId="2" borderId="57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63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53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63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63" xfId="0" applyFont="1" applyFill="1" applyBorder="1" applyAlignment="1">
      <alignment horizontal="center" vertical="top" wrapText="1"/>
    </xf>
    <xf numFmtId="0" fontId="16" fillId="2" borderId="63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center" wrapText="1"/>
    </xf>
    <xf numFmtId="0" fontId="16" fillId="2" borderId="58" xfId="0" applyFont="1" applyFill="1" applyBorder="1" applyAlignment="1">
      <alignment horizontal="center" wrapText="1"/>
    </xf>
    <xf numFmtId="49" fontId="16" fillId="2" borderId="49" xfId="0" applyNumberFormat="1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wrapText="1"/>
    </xf>
    <xf numFmtId="0" fontId="16" fillId="2" borderId="49" xfId="0" applyFont="1" applyFill="1" applyBorder="1" applyAlignment="1">
      <alignment horizontal="center" wrapText="1"/>
    </xf>
    <xf numFmtId="0" fontId="16" fillId="2" borderId="57" xfId="0" applyFont="1" applyFill="1" applyBorder="1" applyAlignment="1">
      <alignment horizontal="center" wrapText="1"/>
    </xf>
    <xf numFmtId="49" fontId="16" fillId="2" borderId="40" xfId="0" applyNumberFormat="1" applyFont="1" applyFill="1" applyBorder="1" applyAlignment="1">
      <alignment horizontal="center" vertical="top" wrapText="1"/>
    </xf>
    <xf numFmtId="0" fontId="72" fillId="2" borderId="63" xfId="0" applyNumberFormat="1" applyFont="1" applyFill="1" applyBorder="1" applyAlignment="1">
      <alignment horizontal="center" vertical="top" wrapText="1"/>
    </xf>
    <xf numFmtId="0" fontId="72" fillId="2" borderId="67" xfId="0" applyNumberFormat="1" applyFont="1" applyFill="1" applyBorder="1" applyAlignment="1">
      <alignment horizontal="center" vertical="top" wrapText="1"/>
    </xf>
    <xf numFmtId="0" fontId="16" fillId="2" borderId="60" xfId="0" applyFont="1" applyFill="1" applyBorder="1" applyAlignment="1">
      <alignment horizontal="center" vertical="top" wrapText="1"/>
    </xf>
    <xf numFmtId="0" fontId="72" fillId="2" borderId="63" xfId="8" applyFont="1" applyFill="1" applyBorder="1" applyAlignment="1">
      <alignment horizontal="center" vertical="top" wrapText="1"/>
    </xf>
    <xf numFmtId="0" fontId="16" fillId="2" borderId="63" xfId="8" applyFont="1" applyFill="1" applyBorder="1" applyAlignment="1">
      <alignment horizontal="center" vertical="top" wrapText="1"/>
    </xf>
    <xf numFmtId="0" fontId="16" fillId="2" borderId="57" xfId="8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horizontal="left" wrapText="1"/>
    </xf>
    <xf numFmtId="0" fontId="16" fillId="2" borderId="57" xfId="0" applyFont="1" applyFill="1" applyBorder="1" applyAlignment="1">
      <alignment horizontal="left" wrapText="1"/>
    </xf>
    <xf numFmtId="0" fontId="75" fillId="2" borderId="60" xfId="208" applyFont="1" applyFill="1" applyBorder="1" applyAlignment="1">
      <alignment horizontal="center"/>
    </xf>
    <xf numFmtId="0" fontId="95" fillId="2" borderId="60" xfId="96" applyFont="1" applyFill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43" fontId="16" fillId="0" borderId="2" xfId="7" applyFont="1" applyBorder="1" applyAlignment="1">
      <alignment horizontal="center" vertical="center" wrapText="1"/>
    </xf>
    <xf numFmtId="43" fontId="16" fillId="0" borderId="3" xfId="7" applyFont="1" applyBorder="1" applyAlignment="1">
      <alignment horizontal="center" vertical="center" wrapText="1"/>
    </xf>
    <xf numFmtId="170" fontId="72" fillId="2" borderId="0" xfId="96" applyNumberFormat="1" applyFont="1" applyFill="1" applyAlignment="1">
      <alignment horizontal="right" vertical="top" wrapText="1"/>
    </xf>
    <xf numFmtId="170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9" fontId="16" fillId="2" borderId="8" xfId="96" applyNumberFormat="1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169" fontId="72" fillId="2" borderId="44" xfId="96" applyNumberFormat="1" applyFont="1" applyFill="1" applyBorder="1" applyAlignment="1">
      <alignment horizontal="center" vertical="center" wrapText="1"/>
    </xf>
    <xf numFmtId="169" fontId="72" fillId="2" borderId="42" xfId="96" applyNumberFormat="1" applyFont="1" applyFill="1" applyBorder="1" applyAlignment="1">
      <alignment horizontal="center" vertical="center" wrapText="1"/>
    </xf>
    <xf numFmtId="169" fontId="72" fillId="2" borderId="43" xfId="96" applyNumberFormat="1" applyFont="1" applyFill="1" applyBorder="1" applyAlignment="1">
      <alignment horizontal="center" vertical="center" wrapText="1"/>
    </xf>
    <xf numFmtId="0" fontId="95" fillId="2" borderId="31" xfId="96" applyFont="1" applyFill="1" applyBorder="1" applyAlignment="1">
      <alignment horizontal="center" vertical="center" wrapText="1"/>
    </xf>
    <xf numFmtId="0" fontId="95" fillId="2" borderId="3" xfId="96" applyFont="1" applyFill="1" applyBorder="1" applyAlignment="1">
      <alignment horizontal="center" vertical="center" wrapText="1"/>
    </xf>
    <xf numFmtId="0" fontId="94" fillId="2" borderId="31" xfId="208" applyFont="1" applyFill="1" applyBorder="1" applyAlignment="1">
      <alignment horizontal="center"/>
    </xf>
    <xf numFmtId="0" fontId="94" fillId="2" borderId="2" xfId="208" applyFont="1" applyFill="1" applyBorder="1" applyAlignment="1">
      <alignment horizontal="center"/>
    </xf>
    <xf numFmtId="0" fontId="94" fillId="2" borderId="3" xfId="208" applyFont="1" applyFill="1" applyBorder="1" applyAlignment="1">
      <alignment horizontal="center"/>
    </xf>
    <xf numFmtId="0" fontId="72" fillId="2" borderId="31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95" fillId="2" borderId="2" xfId="96" applyFont="1" applyFill="1" applyBorder="1" applyAlignment="1">
      <alignment horizontal="center" vertical="center" wrapText="1"/>
    </xf>
    <xf numFmtId="0" fontId="16" fillId="0" borderId="40" xfId="96" applyFont="1" applyBorder="1" applyAlignment="1">
      <alignment horizontal="center" vertical="center" wrapText="1"/>
    </xf>
    <xf numFmtId="0" fontId="75" fillId="2" borderId="31" xfId="208" applyFont="1" applyFill="1" applyBorder="1" applyAlignment="1">
      <alignment horizontal="center"/>
    </xf>
    <xf numFmtId="0" fontId="75" fillId="2" borderId="3" xfId="208" applyFont="1" applyFill="1" applyBorder="1" applyAlignment="1">
      <alignment horizontal="center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72" fillId="2" borderId="31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0" fontId="72" fillId="2" borderId="3" xfId="299" applyFont="1" applyFill="1" applyBorder="1" applyAlignment="1">
      <alignment horizontal="center"/>
    </xf>
    <xf numFmtId="0" fontId="104" fillId="2" borderId="8" xfId="2062" applyFont="1" applyFill="1" applyBorder="1" applyAlignment="1">
      <alignment horizontal="center"/>
    </xf>
    <xf numFmtId="0" fontId="104" fillId="2" borderId="2" xfId="2062" applyFont="1" applyFill="1" applyBorder="1" applyAlignment="1">
      <alignment horizontal="center"/>
    </xf>
    <xf numFmtId="0" fontId="104" fillId="2" borderId="3" xfId="2062" applyFont="1" applyFill="1" applyBorder="1" applyAlignment="1">
      <alignment horizontal="center"/>
    </xf>
    <xf numFmtId="0" fontId="72" fillId="2" borderId="31" xfId="2062" applyFont="1" applyFill="1" applyBorder="1" applyAlignment="1">
      <alignment horizontal="center"/>
    </xf>
    <xf numFmtId="0" fontId="72" fillId="2" borderId="2" xfId="2062" applyFont="1" applyFill="1" applyBorder="1" applyAlignment="1">
      <alignment horizontal="center"/>
    </xf>
    <xf numFmtId="0" fontId="72" fillId="2" borderId="3" xfId="2062" applyFont="1" applyFill="1" applyBorder="1" applyAlignment="1">
      <alignment horizontal="center"/>
    </xf>
    <xf numFmtId="0" fontId="72" fillId="2" borderId="40" xfId="2062" applyFont="1" applyFill="1" applyBorder="1" applyAlignment="1">
      <alignment horizontal="center"/>
    </xf>
    <xf numFmtId="0" fontId="72" fillId="2" borderId="1" xfId="0" applyFont="1" applyFill="1" applyBorder="1" applyAlignment="1">
      <alignment horizontal="center"/>
    </xf>
    <xf numFmtId="0" fontId="72" fillId="2" borderId="8" xfId="299" applyFont="1" applyFill="1" applyBorder="1" applyAlignment="1">
      <alignment horizontal="center"/>
    </xf>
    <xf numFmtId="0" fontId="72" fillId="2" borderId="8" xfId="0" applyFont="1" applyFill="1" applyBorder="1" applyAlignment="1">
      <alignment horizontal="center"/>
    </xf>
    <xf numFmtId="0" fontId="72" fillId="2" borderId="62" xfId="0" applyFont="1" applyFill="1" applyBorder="1" applyAlignment="1">
      <alignment horizontal="center"/>
    </xf>
    <xf numFmtId="0" fontId="16" fillId="0" borderId="62" xfId="96" applyFont="1" applyBorder="1" applyAlignment="1">
      <alignment horizontal="center" vertical="center" wrapText="1"/>
    </xf>
    <xf numFmtId="0" fontId="16" fillId="0" borderId="60" xfId="96" applyFont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169" fontId="16" fillId="2" borderId="31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49" fontId="16" fillId="2" borderId="31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16" fillId="2" borderId="65" xfId="0" applyFont="1" applyFill="1" applyBorder="1" applyAlignment="1">
      <alignment horizontal="center" vertical="center" wrapText="1"/>
    </xf>
    <xf numFmtId="0" fontId="16" fillId="2" borderId="66" xfId="0" applyFont="1" applyFill="1" applyBorder="1" applyAlignment="1">
      <alignment horizontal="center" vertical="center" wrapText="1"/>
    </xf>
    <xf numFmtId="0" fontId="16" fillId="2" borderId="64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vertical="center" wrapText="1"/>
    </xf>
    <xf numFmtId="0" fontId="75" fillId="2" borderId="9" xfId="0" applyFont="1" applyFill="1" applyBorder="1" applyAlignment="1">
      <alignment horizontal="right" wrapText="1"/>
    </xf>
    <xf numFmtId="0" fontId="72" fillId="2" borderId="63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65" xfId="0" applyFont="1" applyFill="1" applyBorder="1" applyAlignment="1">
      <alignment horizontal="left" vertical="center" wrapText="1"/>
    </xf>
    <xf numFmtId="0" fontId="16" fillId="2" borderId="66" xfId="0" applyFont="1" applyFill="1" applyBorder="1" applyAlignment="1">
      <alignment horizontal="left" vertical="center" wrapText="1"/>
    </xf>
    <xf numFmtId="0" fontId="16" fillId="2" borderId="64" xfId="0" applyFont="1" applyFill="1" applyBorder="1" applyAlignment="1">
      <alignment horizontal="left" vertical="center" wrapText="1"/>
    </xf>
    <xf numFmtId="0" fontId="16" fillId="2" borderId="65" xfId="0" applyFont="1" applyFill="1" applyBorder="1" applyAlignment="1">
      <alignment horizontal="center" vertical="center"/>
    </xf>
    <xf numFmtId="0" fontId="16" fillId="2" borderId="66" xfId="0" applyFont="1" applyFill="1" applyBorder="1" applyAlignment="1">
      <alignment horizontal="center" vertical="center"/>
    </xf>
    <xf numFmtId="0" fontId="16" fillId="2" borderId="64" xfId="0" applyFont="1" applyFill="1" applyBorder="1" applyAlignment="1">
      <alignment horizontal="center" vertical="center"/>
    </xf>
    <xf numFmtId="0" fontId="72" fillId="2" borderId="63" xfId="165" applyFont="1" applyFill="1" applyBorder="1" applyAlignment="1">
      <alignment horizontal="left" vertical="top" wrapText="1"/>
    </xf>
    <xf numFmtId="0" fontId="92" fillId="2" borderId="63" xfId="165" applyFont="1" applyFill="1" applyBorder="1" applyAlignment="1">
      <alignment horizontal="left" vertical="center" wrapText="1"/>
    </xf>
    <xf numFmtId="0" fontId="72" fillId="2" borderId="31" xfId="165" applyFont="1" applyFill="1" applyBorder="1" applyAlignment="1">
      <alignment horizontal="center" vertical="top" wrapText="1"/>
    </xf>
    <xf numFmtId="0" fontId="72" fillId="2" borderId="3" xfId="165" applyFont="1" applyFill="1" applyBorder="1" applyAlignment="1">
      <alignment horizontal="center" vertical="top" wrapText="1"/>
    </xf>
    <xf numFmtId="0" fontId="87" fillId="2" borderId="54" xfId="0" applyFont="1" applyFill="1" applyBorder="1" applyAlignment="1">
      <alignment horizontal="left" vertical="top" wrapText="1"/>
    </xf>
    <xf numFmtId="0" fontId="96" fillId="2" borderId="52" xfId="0" applyFont="1" applyFill="1" applyBorder="1" applyAlignment="1">
      <alignment horizontal="left" vertical="top" wrapText="1"/>
    </xf>
    <xf numFmtId="0" fontId="16" fillId="2" borderId="5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left" vertical="center" wrapText="1"/>
    </xf>
    <xf numFmtId="0" fontId="86" fillId="2" borderId="52" xfId="0" applyFont="1" applyFill="1" applyBorder="1" applyAlignment="1">
      <alignment vertical="center" wrapText="1"/>
    </xf>
    <xf numFmtId="0" fontId="72" fillId="2" borderId="63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top" wrapText="1"/>
    </xf>
    <xf numFmtId="0" fontId="72" fillId="2" borderId="52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87" fillId="2" borderId="65" xfId="0" applyFont="1" applyFill="1" applyBorder="1" applyAlignment="1">
      <alignment horizontal="left" vertical="top" wrapText="1"/>
    </xf>
    <xf numFmtId="0" fontId="87" fillId="2" borderId="64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wrapText="1"/>
    </xf>
    <xf numFmtId="0" fontId="72" fillId="2" borderId="65" xfId="0" applyFont="1" applyFill="1" applyBorder="1" applyAlignment="1">
      <alignment horizontal="center" vertical="top" wrapText="1"/>
    </xf>
    <xf numFmtId="0" fontId="72" fillId="2" borderId="64" xfId="0" applyFont="1" applyFill="1" applyBorder="1" applyAlignment="1">
      <alignment horizontal="center" vertical="top" wrapText="1"/>
    </xf>
    <xf numFmtId="0" fontId="96" fillId="2" borderId="64" xfId="0" applyFont="1" applyFill="1" applyBorder="1" applyAlignment="1">
      <alignment horizontal="left" vertical="top" wrapText="1"/>
    </xf>
    <xf numFmtId="0" fontId="88" fillId="0" borderId="63" xfId="0" applyFont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horizontal="left" vertical="top" wrapText="1"/>
    </xf>
    <xf numFmtId="0" fontId="72" fillId="2" borderId="57" xfId="0" applyFont="1" applyFill="1" applyBorder="1" applyAlignment="1">
      <alignment horizontal="left" vertical="center"/>
    </xf>
    <xf numFmtId="0" fontId="73" fillId="2" borderId="0" xfId="0" applyFont="1" applyFill="1" applyBorder="1" applyAlignment="1">
      <alignment horizontal="right" vertical="top" wrapText="1"/>
    </xf>
    <xf numFmtId="0" fontId="16" fillId="2" borderId="4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wrapText="1"/>
    </xf>
    <xf numFmtId="0" fontId="97" fillId="2" borderId="64" xfId="0" applyFont="1" applyFill="1" applyBorder="1" applyAlignment="1">
      <alignment horizontal="left" vertical="top" wrapText="1"/>
    </xf>
    <xf numFmtId="0" fontId="97" fillId="2" borderId="52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left" vertical="center" wrapText="1"/>
    </xf>
    <xf numFmtId="0" fontId="72" fillId="2" borderId="55" xfId="0" applyFont="1" applyFill="1" applyBorder="1" applyAlignment="1">
      <alignment horizontal="left" vertical="center" wrapText="1"/>
    </xf>
    <xf numFmtId="0" fontId="72" fillId="2" borderId="61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62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58" borderId="54" xfId="0" applyFont="1" applyFill="1" applyBorder="1" applyAlignment="1">
      <alignment horizontal="left" vertical="center" wrapText="1"/>
    </xf>
    <xf numFmtId="0" fontId="72" fillId="58" borderId="55" xfId="0" applyFont="1" applyFill="1" applyBorder="1" applyAlignment="1">
      <alignment horizontal="left" vertical="center" wrapText="1"/>
    </xf>
    <xf numFmtId="0" fontId="72" fillId="58" borderId="59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2" fillId="2" borderId="60" xfId="299" applyFont="1" applyFill="1" applyBorder="1" applyAlignment="1">
      <alignment horizontal="left" vertical="center" wrapText="1"/>
    </xf>
    <xf numFmtId="0" fontId="72" fillId="2" borderId="59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16" fillId="57" borderId="41" xfId="0" applyFont="1" applyFill="1" applyBorder="1" applyAlignment="1">
      <alignment vertical="top" wrapText="1"/>
    </xf>
    <xf numFmtId="0" fontId="72" fillId="2" borderId="60" xfId="0" applyFont="1" applyFill="1" applyBorder="1" applyAlignment="1">
      <alignment horizontal="left" vertical="center" wrapText="1"/>
    </xf>
    <xf numFmtId="0" fontId="16" fillId="57" borderId="54" xfId="0" applyFont="1" applyFill="1" applyBorder="1" applyAlignment="1">
      <alignment vertical="top" wrapText="1"/>
    </xf>
    <xf numFmtId="0" fontId="16" fillId="57" borderId="55" xfId="0" applyFont="1" applyFill="1" applyBorder="1" applyAlignment="1">
      <alignment vertical="top" wrapText="1"/>
    </xf>
    <xf numFmtId="0" fontId="16" fillId="57" borderId="59" xfId="0" applyFont="1" applyFill="1" applyBorder="1" applyAlignment="1">
      <alignment vertical="top" wrapText="1"/>
    </xf>
    <xf numFmtId="0" fontId="72" fillId="2" borderId="62" xfId="0" applyFont="1" applyFill="1" applyBorder="1" applyAlignment="1">
      <alignment horizontal="center" vertical="center" wrapText="1"/>
    </xf>
    <xf numFmtId="0" fontId="72" fillId="0" borderId="62" xfId="0" applyFont="1" applyBorder="1" applyAlignment="1">
      <alignment horizontal="left" wrapText="1"/>
    </xf>
    <xf numFmtId="0" fontId="72" fillId="2" borderId="62" xfId="0" applyFont="1" applyFill="1" applyBorder="1" applyAlignment="1">
      <alignment horizontal="left" wrapText="1"/>
    </xf>
    <xf numFmtId="0" fontId="72" fillId="0" borderId="62" xfId="0" applyFont="1" applyBorder="1" applyAlignment="1">
      <alignment horizontal="left" vertical="center" wrapText="1"/>
    </xf>
    <xf numFmtId="0" fontId="72" fillId="2" borderId="62" xfId="299" applyFont="1" applyFill="1" applyBorder="1" applyAlignment="1">
      <alignment horizontal="left" vertical="center" wrapText="1"/>
    </xf>
    <xf numFmtId="0" fontId="16" fillId="2" borderId="63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63" xfId="0" applyFont="1" applyFill="1" applyBorder="1" applyAlignment="1">
      <alignment horizontal="left" vertical="center" wrapText="1"/>
    </xf>
    <xf numFmtId="170" fontId="16" fillId="59" borderId="53" xfId="7" applyNumberFormat="1" applyFont="1" applyFill="1" applyBorder="1" applyAlignment="1">
      <alignment horizontal="right" vertical="center" wrapText="1"/>
    </xf>
    <xf numFmtId="170" fontId="16" fillId="59" borderId="49" xfId="7" applyNumberFormat="1" applyFont="1" applyFill="1" applyBorder="1" applyAlignment="1">
      <alignment horizontal="right" vertical="center" wrapText="1"/>
    </xf>
    <xf numFmtId="170" fontId="16" fillId="59" borderId="57" xfId="7" applyNumberFormat="1" applyFont="1" applyFill="1" applyBorder="1" applyAlignment="1">
      <alignment horizontal="right" vertical="center" wrapText="1"/>
    </xf>
  </cellXfs>
  <cellStyles count="208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 2" xfId="2051"/>
    <cellStyle name="Comma 15" xfId="2022"/>
    <cellStyle name="Comma 19" xfId="2030"/>
    <cellStyle name="Comma 19 2" xfId="2063"/>
    <cellStyle name="Comma 2" xfId="10"/>
    <cellStyle name="Comma 2 2" xfId="100"/>
    <cellStyle name="Comma 2 2 2" xfId="135"/>
    <cellStyle name="Comma 2 2 2 2" xfId="218"/>
    <cellStyle name="Comma 2 2 2 3" xfId="2040"/>
    <cellStyle name="Comma 2 2 3" xfId="219"/>
    <cellStyle name="Comma 2 2 4" xfId="2038"/>
    <cellStyle name="Comma 2 3" xfId="103"/>
    <cellStyle name="Comma 2 3 2" xfId="220"/>
    <cellStyle name="Comma 2 3 3" xfId="221"/>
    <cellStyle name="Comma 2 3 4" xfId="2033"/>
    <cellStyle name="Comma 2 4" xfId="222"/>
    <cellStyle name="Comma 2 5" xfId="223"/>
    <cellStyle name="Comma 2 6" xfId="2036"/>
    <cellStyle name="Comma 3" xfId="99"/>
    <cellStyle name="Comma 3 2" xfId="136"/>
    <cellStyle name="Comma 3 2 2" xfId="188"/>
    <cellStyle name="Comma 3 2 2 2" xfId="211"/>
    <cellStyle name="Comma 3 2 2 2 2" xfId="2084"/>
    <cellStyle name="Comma 3 2 2 2 3" xfId="2060"/>
    <cellStyle name="Comma 3 2 2 3" xfId="2074"/>
    <cellStyle name="Comma 3 2 2 4" xfId="2048"/>
    <cellStyle name="Comma 3 2 3" xfId="181"/>
    <cellStyle name="Comma 3 2 3 2" xfId="2078"/>
    <cellStyle name="Comma 3 2 3 3" xfId="2054"/>
    <cellStyle name="Comma 3 2 4" xfId="205"/>
    <cellStyle name="Comma 3 2 4 2" xfId="2068"/>
    <cellStyle name="Comma 3 2 5" xfId="2041"/>
    <cellStyle name="Comma 3 3" xfId="224"/>
    <cellStyle name="Comma 3 4" xfId="2037"/>
    <cellStyle name="Comma 4" xfId="102"/>
    <cellStyle name="Comma 4 2" xfId="225"/>
    <cellStyle name="Comma 4 2 2" xfId="2023"/>
    <cellStyle name="Comma 4 3" xfId="226"/>
    <cellStyle name="Comma 4 4" xfId="2039"/>
    <cellStyle name="Comma 5" xfId="95"/>
    <cellStyle name="Comma 5 2" xfId="180"/>
    <cellStyle name="Comma 5 2 2" xfId="2077"/>
    <cellStyle name="Comma 5 2 3" xfId="2053"/>
    <cellStyle name="Comma 5 3" xfId="204"/>
    <cellStyle name="Comma 5 3 2" xfId="2067"/>
    <cellStyle name="Comma 5 4" xfId="2035"/>
    <cellStyle name="Comma 6" xfId="187"/>
    <cellStyle name="Comma 6 2" xfId="210"/>
    <cellStyle name="Comma 6 2 2" xfId="2083"/>
    <cellStyle name="Comma 6 2 3" xfId="2059"/>
    <cellStyle name="Comma 6 3" xfId="227"/>
    <cellStyle name="Comma 6 3 2" xfId="2073"/>
    <cellStyle name="Comma 6 4" xfId="204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081"/>
    <cellStyle name="Normal 10 2 3" xfId="2057"/>
    <cellStyle name="Normal 10 3" xfId="208"/>
    <cellStyle name="Normal 10 3 2" xfId="2062"/>
    <cellStyle name="Normal 10 4" xfId="2071"/>
    <cellStyle name="Normal 10 5" xfId="2045"/>
    <cellStyle name="Normal 11" xfId="164"/>
    <cellStyle name="Normal 11 2" xfId="186"/>
    <cellStyle name="Normal 11 2 2" xfId="2082"/>
    <cellStyle name="Normal 11 2 3" xfId="2058"/>
    <cellStyle name="Normal 11 3" xfId="209"/>
    <cellStyle name="Normal 11 3 2" xfId="2065"/>
    <cellStyle name="Normal 11 4" xfId="2072"/>
    <cellStyle name="Normal 11 5" xfId="2046"/>
    <cellStyle name="Normal 12" xfId="165"/>
    <cellStyle name="Normal 12 2" xfId="241"/>
    <cellStyle name="Normal 12 3" xfId="2024"/>
    <cellStyle name="Normal 12 4" xfId="2050"/>
    <cellStyle name="Normal 13" xfId="242"/>
    <cellStyle name="Normal 13 2" xfId="2064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085"/>
    <cellStyle name="Normal 5 2 2 2 3" xfId="2061"/>
    <cellStyle name="Normal 5 2 2 3" xfId="2075"/>
    <cellStyle name="Normal 5 2 2 4" xfId="2049"/>
    <cellStyle name="Normal 5 2 3" xfId="182"/>
    <cellStyle name="Normal 5 2 3 2" xfId="2079"/>
    <cellStyle name="Normal 5 2 3 3" xfId="2055"/>
    <cellStyle name="Normal 5 2 4" xfId="206"/>
    <cellStyle name="Normal 5 2 4 2" xfId="2069"/>
    <cellStyle name="Normal 5 2 5" xfId="204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2 2" xfId="2076"/>
    <cellStyle name="Normal 8 2 3" xfId="2052"/>
    <cellStyle name="Normal 8 3" xfId="179"/>
    <cellStyle name="Normal 8 3 2" xfId="2066"/>
    <cellStyle name="Normal 8 4" xfId="203"/>
    <cellStyle name="Normal 8 5" xfId="2034"/>
    <cellStyle name="Normal 9" xfId="94"/>
    <cellStyle name="Normal 9 2" xfId="184"/>
    <cellStyle name="Normal 9 2 2" xfId="2080"/>
    <cellStyle name="Normal 9 2 3" xfId="2056"/>
    <cellStyle name="Normal 9 3" xfId="207"/>
    <cellStyle name="Normal 9 3 2" xfId="2070"/>
    <cellStyle name="Normal 9 4" xfId="2044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2 4" xfId="2086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0" xfId="204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9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Обычный 9" xfId="203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Финансовый 6" xfId="2032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zoomScale="85" zoomScaleNormal="85" zoomScaleSheetLayoutView="115" workbookViewId="0">
      <selection activeCell="D14" sqref="D14"/>
    </sheetView>
  </sheetViews>
  <sheetFormatPr defaultColWidth="8.21875" defaultRowHeight="17.399999999999999" x14ac:dyDescent="0.3"/>
  <cols>
    <col min="1" max="1" width="12.33203125" style="546" customWidth="1"/>
    <col min="2" max="2" width="15.44140625" style="546" customWidth="1"/>
    <col min="3" max="3" width="48" style="552" customWidth="1"/>
    <col min="4" max="4" width="29.5546875" style="552" customWidth="1"/>
    <col min="5" max="5" width="20.6640625" style="546" customWidth="1"/>
    <col min="6" max="6" width="21" style="546" customWidth="1"/>
    <col min="7" max="8" width="8.6640625" style="546" bestFit="1" customWidth="1"/>
    <col min="9" max="16384" width="8.21875" style="546"/>
  </cols>
  <sheetData>
    <row r="1" spans="1:5" ht="36.6" customHeight="1" x14ac:dyDescent="0.3">
      <c r="C1" s="622" t="s">
        <v>79</v>
      </c>
      <c r="D1" s="622"/>
    </row>
    <row r="2" spans="1:5" ht="17.100000000000001" customHeight="1" x14ac:dyDescent="0.4">
      <c r="C2" s="623" t="s">
        <v>123</v>
      </c>
      <c r="D2" s="623"/>
      <c r="E2" s="547"/>
    </row>
    <row r="3" spans="1:5" ht="17.100000000000001" customHeight="1" x14ac:dyDescent="0.4">
      <c r="C3" s="623" t="s">
        <v>7</v>
      </c>
      <c r="D3" s="623"/>
      <c r="E3" s="547"/>
    </row>
    <row r="4" spans="1:5" x14ac:dyDescent="0.4">
      <c r="C4" s="548"/>
      <c r="D4" s="548"/>
      <c r="E4" s="547"/>
    </row>
    <row r="5" spans="1:5" ht="75.75" customHeight="1" x14ac:dyDescent="0.3">
      <c r="A5" s="624" t="s">
        <v>1159</v>
      </c>
      <c r="B5" s="624"/>
      <c r="C5" s="624"/>
      <c r="D5" s="624"/>
    </row>
    <row r="6" spans="1:5" ht="17.55" customHeight="1" x14ac:dyDescent="0.3">
      <c r="A6" s="549"/>
      <c r="B6" s="549"/>
      <c r="C6" s="549"/>
      <c r="D6" s="550" t="s">
        <v>21</v>
      </c>
    </row>
    <row r="7" spans="1:5" ht="90.6" customHeight="1" x14ac:dyDescent="0.3">
      <c r="A7" s="625"/>
      <c r="B7" s="626"/>
      <c r="C7" s="627"/>
      <c r="D7" s="551" t="s">
        <v>1160</v>
      </c>
    </row>
    <row r="8" spans="1:5" ht="28.8" customHeight="1" x14ac:dyDescent="0.3">
      <c r="A8" s="619" t="s">
        <v>1161</v>
      </c>
      <c r="B8" s="620"/>
      <c r="C8" s="621"/>
      <c r="D8" s="519">
        <f>+'Հավելված N 2 '!D11</f>
        <v>7503.5</v>
      </c>
    </row>
    <row r="9" spans="1:5" ht="28.8" customHeight="1" x14ac:dyDescent="0.3">
      <c r="A9" s="619" t="s">
        <v>1162</v>
      </c>
      <c r="B9" s="620"/>
      <c r="C9" s="621"/>
      <c r="D9" s="519">
        <f>+'Հավելված N 3'!D12</f>
        <v>7503.5</v>
      </c>
    </row>
    <row r="10" spans="1:5" ht="28.8" customHeight="1" x14ac:dyDescent="0.3">
      <c r="A10" s="619" t="s">
        <v>1163</v>
      </c>
      <c r="B10" s="620"/>
      <c r="C10" s="621"/>
      <c r="D10" s="519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="85" zoomScaleNormal="85" zoomScaleSheetLayoutView="115" workbookViewId="0">
      <selection activeCell="A6" sqref="A6:D6"/>
    </sheetView>
  </sheetViews>
  <sheetFormatPr defaultColWidth="8.21875" defaultRowHeight="17.399999999999999" x14ac:dyDescent="0.3"/>
  <cols>
    <col min="1" max="1" width="12.33203125" style="546" customWidth="1"/>
    <col min="2" max="2" width="15.44140625" style="546" customWidth="1"/>
    <col min="3" max="3" width="48" style="552" customWidth="1"/>
    <col min="4" max="4" width="28" style="552" customWidth="1"/>
    <col min="5" max="5" width="20.6640625" style="546" customWidth="1"/>
    <col min="6" max="6" width="21" style="546" customWidth="1"/>
    <col min="7" max="8" width="8.6640625" style="546" bestFit="1" customWidth="1"/>
    <col min="9" max="16384" width="8.21875" style="546"/>
  </cols>
  <sheetData>
    <row r="1" spans="1:5" ht="36.6" customHeight="1" x14ac:dyDescent="0.3">
      <c r="C1" s="622" t="s">
        <v>80</v>
      </c>
      <c r="D1" s="622"/>
    </row>
    <row r="2" spans="1:5" ht="17.100000000000001" customHeight="1" x14ac:dyDescent="0.4">
      <c r="C2" s="623" t="s">
        <v>123</v>
      </c>
      <c r="D2" s="623"/>
      <c r="E2" s="547"/>
    </row>
    <row r="3" spans="1:5" ht="17.100000000000001" customHeight="1" x14ac:dyDescent="0.4">
      <c r="C3" s="623" t="s">
        <v>7</v>
      </c>
      <c r="D3" s="623"/>
      <c r="E3" s="547"/>
    </row>
    <row r="4" spans="1:5" x14ac:dyDescent="0.4">
      <c r="C4" s="548"/>
      <c r="D4" s="548"/>
      <c r="E4" s="547"/>
    </row>
    <row r="5" spans="1:5" x14ac:dyDescent="0.4">
      <c r="C5" s="548"/>
      <c r="D5" s="548"/>
      <c r="E5" s="547"/>
    </row>
    <row r="6" spans="1:5" ht="84" customHeight="1" x14ac:dyDescent="0.3">
      <c r="A6" s="624" t="s">
        <v>1173</v>
      </c>
      <c r="B6" s="624"/>
      <c r="C6" s="624"/>
      <c r="D6" s="624"/>
    </row>
    <row r="7" spans="1:5" ht="18" x14ac:dyDescent="0.3">
      <c r="A7" s="553"/>
      <c r="B7" s="553"/>
      <c r="C7" s="553"/>
      <c r="D7" s="553"/>
    </row>
    <row r="8" spans="1:5" ht="17.55" customHeight="1" x14ac:dyDescent="0.3">
      <c r="A8" s="549"/>
      <c r="B8" s="549"/>
      <c r="C8" s="549"/>
      <c r="D8" s="550"/>
    </row>
    <row r="9" spans="1:5" ht="68.25" customHeight="1" x14ac:dyDescent="0.3">
      <c r="A9" s="637" t="s">
        <v>1174</v>
      </c>
      <c r="B9" s="638"/>
      <c r="C9" s="639"/>
      <c r="D9" s="564" t="s">
        <v>1168</v>
      </c>
    </row>
    <row r="10" spans="1:5" x14ac:dyDescent="0.3">
      <c r="A10" s="640"/>
      <c r="B10" s="641"/>
      <c r="C10" s="642"/>
      <c r="D10" s="554" t="s">
        <v>12</v>
      </c>
    </row>
    <row r="11" spans="1:5" ht="28.35" customHeight="1" x14ac:dyDescent="0.3">
      <c r="A11" s="628" t="s">
        <v>1175</v>
      </c>
      <c r="B11" s="629"/>
      <c r="C11" s="630"/>
      <c r="D11" s="556">
        <f t="shared" ref="D11" si="0">+D12</f>
        <v>7503.5</v>
      </c>
    </row>
    <row r="12" spans="1:5" s="563" customFormat="1" ht="28.8" customHeight="1" x14ac:dyDescent="0.3">
      <c r="A12" s="631" t="s">
        <v>89</v>
      </c>
      <c r="B12" s="632"/>
      <c r="C12" s="633"/>
      <c r="D12" s="527">
        <f t="shared" ref="D12" si="1">+D14</f>
        <v>7503.5</v>
      </c>
    </row>
    <row r="13" spans="1:5" x14ac:dyDescent="0.3">
      <c r="A13" s="634" t="s">
        <v>58</v>
      </c>
      <c r="B13" s="635"/>
      <c r="C13" s="636"/>
      <c r="D13" s="559"/>
    </row>
    <row r="14" spans="1:5" s="561" customFormat="1" x14ac:dyDescent="0.3">
      <c r="A14" s="619" t="s">
        <v>1176</v>
      </c>
      <c r="B14" s="620"/>
      <c r="C14" s="621"/>
      <c r="D14" s="559">
        <f>+'Հավելված N 8'!E11</f>
        <v>7503.5</v>
      </c>
    </row>
  </sheetData>
  <mergeCells count="9">
    <mergeCell ref="A11:C11"/>
    <mergeCell ref="A12:C12"/>
    <mergeCell ref="A13:C13"/>
    <mergeCell ref="A14:C14"/>
    <mergeCell ref="C1:D1"/>
    <mergeCell ref="C2:D2"/>
    <mergeCell ref="C3:D3"/>
    <mergeCell ref="A6:D6"/>
    <mergeCell ref="A9:C10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0"/>
  <sheetViews>
    <sheetView topLeftCell="A215" zoomScale="85" zoomScaleNormal="85" zoomScaleSheetLayoutView="100" workbookViewId="0">
      <selection activeCell="I221" sqref="I221"/>
    </sheetView>
  </sheetViews>
  <sheetFormatPr defaultColWidth="9.109375" defaultRowHeight="17.399999999999999" x14ac:dyDescent="0.4"/>
  <cols>
    <col min="1" max="1" width="9.6640625" style="8" customWidth="1"/>
    <col min="2" max="2" width="24.6640625" style="8" customWidth="1"/>
    <col min="3" max="3" width="64.44140625" style="8" customWidth="1"/>
    <col min="4" max="4" width="31.88671875" style="8" customWidth="1"/>
    <col min="5" max="5" width="15.88671875" style="8" customWidth="1"/>
    <col min="6" max="6" width="15.6640625" style="8" customWidth="1"/>
    <col min="7" max="7" width="13.88671875" style="8" customWidth="1"/>
    <col min="8" max="9" width="12.21875" style="8" customWidth="1"/>
    <col min="10" max="16384" width="9.109375" style="8"/>
  </cols>
  <sheetData>
    <row r="1" spans="1:5" ht="37.35" customHeight="1" x14ac:dyDescent="0.4">
      <c r="C1" s="646" t="s">
        <v>82</v>
      </c>
      <c r="D1" s="646"/>
    </row>
    <row r="2" spans="1:5" ht="17.55" customHeight="1" x14ac:dyDescent="0.4">
      <c r="C2" s="647" t="s">
        <v>125</v>
      </c>
      <c r="D2" s="647"/>
    </row>
    <row r="3" spans="1:5" ht="17.55" customHeight="1" x14ac:dyDescent="0.4">
      <c r="C3" s="647" t="s">
        <v>7</v>
      </c>
      <c r="D3" s="647"/>
    </row>
    <row r="6" spans="1:5" ht="75.900000000000006" customHeight="1" x14ac:dyDescent="0.4">
      <c r="A6" s="650" t="s">
        <v>126</v>
      </c>
      <c r="B6" s="650"/>
      <c r="C6" s="650"/>
      <c r="D6" s="650"/>
    </row>
    <row r="7" spans="1:5" ht="18" x14ac:dyDescent="0.4">
      <c r="A7" s="100"/>
      <c r="B7" s="100"/>
      <c r="C7" s="100"/>
      <c r="D7" s="100"/>
    </row>
    <row r="9" spans="1:5" x14ac:dyDescent="0.4">
      <c r="D9" s="298" t="s">
        <v>21</v>
      </c>
    </row>
    <row r="10" spans="1:5" s="27" customFormat="1" ht="110.1" customHeight="1" x14ac:dyDescent="0.3">
      <c r="A10" s="651" t="s">
        <v>10</v>
      </c>
      <c r="B10" s="652"/>
      <c r="C10" s="648" t="s">
        <v>11</v>
      </c>
      <c r="D10" s="517" t="s">
        <v>103</v>
      </c>
    </row>
    <row r="11" spans="1:5" s="27" customFormat="1" ht="44.55" customHeight="1" x14ac:dyDescent="0.3">
      <c r="A11" s="33" t="s">
        <v>51</v>
      </c>
      <c r="B11" s="101" t="s">
        <v>14</v>
      </c>
      <c r="C11" s="649"/>
      <c r="D11" s="99" t="s">
        <v>12</v>
      </c>
    </row>
    <row r="12" spans="1:5" s="27" customFormat="1" ht="34.950000000000003" customHeight="1" x14ac:dyDescent="0.3">
      <c r="A12" s="34" t="s">
        <v>47</v>
      </c>
      <c r="B12" s="35"/>
      <c r="C12" s="109" t="s">
        <v>20</v>
      </c>
      <c r="D12" s="25">
        <f>+ROUND((D14+D211),1)</f>
        <v>7503.5</v>
      </c>
    </row>
    <row r="13" spans="1:5" s="27" customFormat="1" ht="18" customHeight="1" x14ac:dyDescent="0.3">
      <c r="A13" s="34"/>
      <c r="B13" s="35"/>
      <c r="C13" s="11" t="s">
        <v>38</v>
      </c>
      <c r="D13" s="9"/>
    </row>
    <row r="14" spans="1:5" s="27" customFormat="1" ht="36" x14ac:dyDescent="0.3">
      <c r="A14" s="40"/>
      <c r="B14" s="36"/>
      <c r="C14" s="12" t="s">
        <v>55</v>
      </c>
      <c r="D14" s="545">
        <f>+ROUND((D16+D35+D60+D79+D92+D105+D118+D137+D156),1)</f>
        <v>-14473714.699999999</v>
      </c>
    </row>
    <row r="15" spans="1:5" s="27" customFormat="1" ht="18" x14ac:dyDescent="0.3">
      <c r="A15" s="643">
        <v>1045</v>
      </c>
      <c r="B15" s="653"/>
      <c r="C15" s="159" t="s">
        <v>25</v>
      </c>
      <c r="D15" s="10"/>
    </row>
    <row r="16" spans="1:5" s="27" customFormat="1" ht="36" x14ac:dyDescent="0.3">
      <c r="A16" s="644"/>
      <c r="B16" s="654"/>
      <c r="C16" s="160" t="s">
        <v>203</v>
      </c>
      <c r="D16" s="7">
        <f>+D23+D29</f>
        <v>-1662413.3000000003</v>
      </c>
      <c r="E16" s="41"/>
    </row>
    <row r="17" spans="1:5" s="27" customFormat="1" ht="18" x14ac:dyDescent="0.3">
      <c r="A17" s="644"/>
      <c r="B17" s="654"/>
      <c r="C17" s="161" t="s">
        <v>26</v>
      </c>
      <c r="D17" s="29"/>
    </row>
    <row r="18" spans="1:5" s="27" customFormat="1" ht="87" x14ac:dyDescent="0.3">
      <c r="A18" s="644"/>
      <c r="B18" s="654"/>
      <c r="C18" s="162" t="s">
        <v>204</v>
      </c>
      <c r="D18" s="29"/>
    </row>
    <row r="19" spans="1:5" s="27" customFormat="1" ht="18" x14ac:dyDescent="0.3">
      <c r="A19" s="644"/>
      <c r="B19" s="654"/>
      <c r="C19" s="161" t="s">
        <v>27</v>
      </c>
      <c r="D19" s="29"/>
    </row>
    <row r="20" spans="1:5" s="27" customFormat="1" ht="69.599999999999994" x14ac:dyDescent="0.3">
      <c r="A20" s="644"/>
      <c r="B20" s="654"/>
      <c r="C20" s="162" t="s">
        <v>205</v>
      </c>
      <c r="D20" s="29"/>
    </row>
    <row r="21" spans="1:5" s="27" customFormat="1" ht="24" customHeight="1" x14ac:dyDescent="0.4">
      <c r="A21" s="644"/>
      <c r="B21" s="163"/>
      <c r="C21" s="164" t="s">
        <v>46</v>
      </c>
      <c r="D21" s="29"/>
    </row>
    <row r="22" spans="1:5" s="27" customFormat="1" ht="18" x14ac:dyDescent="0.3">
      <c r="A22" s="644"/>
      <c r="B22" s="655">
        <v>32001</v>
      </c>
      <c r="C22" s="161" t="s">
        <v>28</v>
      </c>
      <c r="D22" s="29"/>
    </row>
    <row r="23" spans="1:5" s="27" customFormat="1" ht="72" x14ac:dyDescent="0.3">
      <c r="A23" s="644"/>
      <c r="B23" s="655"/>
      <c r="C23" s="165" t="s">
        <v>206</v>
      </c>
      <c r="D23" s="29">
        <f>+'Հավելված N 4'!G114</f>
        <v>-706947.60000000009</v>
      </c>
      <c r="E23" s="44"/>
    </row>
    <row r="24" spans="1:5" s="27" customFormat="1" x14ac:dyDescent="0.4">
      <c r="A24" s="644"/>
      <c r="B24" s="655"/>
      <c r="C24" s="161" t="s">
        <v>29</v>
      </c>
      <c r="D24" s="42"/>
    </row>
    <row r="25" spans="1:5" s="27" customFormat="1" ht="69.599999999999994" x14ac:dyDescent="0.4">
      <c r="A25" s="644"/>
      <c r="B25" s="655"/>
      <c r="C25" s="162" t="s">
        <v>207</v>
      </c>
      <c r="D25" s="42"/>
    </row>
    <row r="26" spans="1:5" s="27" customFormat="1" x14ac:dyDescent="0.4">
      <c r="A26" s="644"/>
      <c r="B26" s="655"/>
      <c r="C26" s="161" t="s">
        <v>30</v>
      </c>
      <c r="D26" s="42"/>
    </row>
    <row r="27" spans="1:5" s="27" customFormat="1" ht="52.2" x14ac:dyDescent="0.4">
      <c r="A27" s="644"/>
      <c r="B27" s="655"/>
      <c r="C27" s="162" t="s">
        <v>66</v>
      </c>
      <c r="D27" s="42"/>
    </row>
    <row r="28" spans="1:5" s="27" customFormat="1" ht="18" x14ac:dyDescent="0.3">
      <c r="A28" s="644"/>
      <c r="B28" s="655">
        <v>32005</v>
      </c>
      <c r="C28" s="161" t="s">
        <v>28</v>
      </c>
      <c r="D28" s="29"/>
    </row>
    <row r="29" spans="1:5" s="27" customFormat="1" ht="54" x14ac:dyDescent="0.3">
      <c r="A29" s="644"/>
      <c r="B29" s="655"/>
      <c r="C29" s="165" t="s">
        <v>178</v>
      </c>
      <c r="D29" s="29">
        <f>+'Հավելված N 4'!G138</f>
        <v>-955465.70000000007</v>
      </c>
      <c r="E29" s="44"/>
    </row>
    <row r="30" spans="1:5" s="27" customFormat="1" x14ac:dyDescent="0.4">
      <c r="A30" s="644"/>
      <c r="B30" s="655"/>
      <c r="C30" s="161" t="s">
        <v>29</v>
      </c>
      <c r="D30" s="42"/>
    </row>
    <row r="31" spans="1:5" s="27" customFormat="1" ht="52.2" x14ac:dyDescent="0.4">
      <c r="A31" s="644"/>
      <c r="B31" s="655"/>
      <c r="C31" s="162" t="s">
        <v>208</v>
      </c>
      <c r="D31" s="42"/>
    </row>
    <row r="32" spans="1:5" s="27" customFormat="1" x14ac:dyDescent="0.4">
      <c r="A32" s="644"/>
      <c r="B32" s="655"/>
      <c r="C32" s="161" t="s">
        <v>30</v>
      </c>
      <c r="D32" s="42"/>
    </row>
    <row r="33" spans="1:5" s="27" customFormat="1" ht="52.2" x14ac:dyDescent="0.4">
      <c r="A33" s="645"/>
      <c r="B33" s="655"/>
      <c r="C33" s="162" t="s">
        <v>66</v>
      </c>
      <c r="D33" s="42"/>
    </row>
    <row r="34" spans="1:5" s="27" customFormat="1" ht="18" x14ac:dyDescent="0.3">
      <c r="A34" s="643">
        <v>1075</v>
      </c>
      <c r="B34" s="653"/>
      <c r="C34" s="159" t="s">
        <v>25</v>
      </c>
      <c r="D34" s="10"/>
    </row>
    <row r="35" spans="1:5" s="27" customFormat="1" ht="18" x14ac:dyDescent="0.3">
      <c r="A35" s="644"/>
      <c r="B35" s="654"/>
      <c r="C35" s="160" t="s">
        <v>191</v>
      </c>
      <c r="D35" s="7">
        <f>+D42+D48+D54</f>
        <v>-407946.4</v>
      </c>
      <c r="E35" s="41"/>
    </row>
    <row r="36" spans="1:5" s="27" customFormat="1" ht="18" x14ac:dyDescent="0.3">
      <c r="A36" s="644"/>
      <c r="B36" s="654"/>
      <c r="C36" s="161" t="s">
        <v>26</v>
      </c>
      <c r="D36" s="29"/>
    </row>
    <row r="37" spans="1:5" s="27" customFormat="1" ht="34.799999999999997" x14ac:dyDescent="0.3">
      <c r="A37" s="644"/>
      <c r="B37" s="654"/>
      <c r="C37" s="162" t="s">
        <v>209</v>
      </c>
      <c r="D37" s="29"/>
    </row>
    <row r="38" spans="1:5" s="27" customFormat="1" ht="18" x14ac:dyDescent="0.3">
      <c r="A38" s="644"/>
      <c r="B38" s="654"/>
      <c r="C38" s="161" t="s">
        <v>27</v>
      </c>
      <c r="D38" s="29"/>
    </row>
    <row r="39" spans="1:5" s="27" customFormat="1" ht="52.2" x14ac:dyDescent="0.3">
      <c r="A39" s="644"/>
      <c r="B39" s="654"/>
      <c r="C39" s="162" t="s">
        <v>210</v>
      </c>
      <c r="D39" s="29"/>
    </row>
    <row r="40" spans="1:5" s="27" customFormat="1" ht="24" customHeight="1" x14ac:dyDescent="0.4">
      <c r="A40" s="644"/>
      <c r="B40" s="163"/>
      <c r="C40" s="164" t="s">
        <v>46</v>
      </c>
      <c r="D40" s="29"/>
    </row>
    <row r="41" spans="1:5" s="27" customFormat="1" ht="18" x14ac:dyDescent="0.3">
      <c r="A41" s="644"/>
      <c r="B41" s="656">
        <v>21001</v>
      </c>
      <c r="C41" s="538" t="s">
        <v>28</v>
      </c>
      <c r="D41" s="29"/>
    </row>
    <row r="42" spans="1:5" s="27" customFormat="1" ht="36" x14ac:dyDescent="0.3">
      <c r="A42" s="644"/>
      <c r="B42" s="656"/>
      <c r="C42" s="525" t="s">
        <v>406</v>
      </c>
      <c r="D42" s="29">
        <f>+'Հավելված N 4'!G95</f>
        <v>-280378</v>
      </c>
      <c r="E42" s="44"/>
    </row>
    <row r="43" spans="1:5" s="27" customFormat="1" x14ac:dyDescent="0.4">
      <c r="A43" s="644"/>
      <c r="B43" s="656"/>
      <c r="C43" s="538" t="s">
        <v>29</v>
      </c>
      <c r="D43" s="42"/>
    </row>
    <row r="44" spans="1:5" s="27" customFormat="1" ht="87" x14ac:dyDescent="0.4">
      <c r="A44" s="644"/>
      <c r="B44" s="656"/>
      <c r="C44" s="537" t="s">
        <v>1138</v>
      </c>
      <c r="D44" s="42"/>
    </row>
    <row r="45" spans="1:5" s="27" customFormat="1" x14ac:dyDescent="0.4">
      <c r="A45" s="644"/>
      <c r="B45" s="656"/>
      <c r="C45" s="538" t="s">
        <v>30</v>
      </c>
      <c r="D45" s="42"/>
    </row>
    <row r="46" spans="1:5" s="27" customFormat="1" ht="34.799999999999997" x14ac:dyDescent="0.4">
      <c r="A46" s="644"/>
      <c r="B46" s="656"/>
      <c r="C46" s="537" t="s">
        <v>1139</v>
      </c>
      <c r="D46" s="42"/>
    </row>
    <row r="47" spans="1:5" s="27" customFormat="1" ht="18" x14ac:dyDescent="0.3">
      <c r="A47" s="644"/>
      <c r="B47" s="655">
        <v>32001</v>
      </c>
      <c r="C47" s="161" t="s">
        <v>28</v>
      </c>
      <c r="D47" s="29"/>
    </row>
    <row r="48" spans="1:5" s="27" customFormat="1" ht="36" x14ac:dyDescent="0.3">
      <c r="A48" s="644"/>
      <c r="B48" s="655"/>
      <c r="C48" s="165" t="s">
        <v>166</v>
      </c>
      <c r="D48" s="29">
        <f>+'Հավելված N 4'!G43</f>
        <v>-130536.40000000002</v>
      </c>
      <c r="E48" s="44"/>
    </row>
    <row r="49" spans="1:5" s="27" customFormat="1" x14ac:dyDescent="0.4">
      <c r="A49" s="644"/>
      <c r="B49" s="655"/>
      <c r="C49" s="161" t="s">
        <v>29</v>
      </c>
      <c r="D49" s="42"/>
    </row>
    <row r="50" spans="1:5" s="27" customFormat="1" ht="87" x14ac:dyDescent="0.4">
      <c r="A50" s="644"/>
      <c r="B50" s="655"/>
      <c r="C50" s="162" t="s">
        <v>211</v>
      </c>
      <c r="D50" s="42"/>
    </row>
    <row r="51" spans="1:5" s="27" customFormat="1" x14ac:dyDescent="0.4">
      <c r="A51" s="644"/>
      <c r="B51" s="655"/>
      <c r="C51" s="161" t="s">
        <v>30</v>
      </c>
      <c r="D51" s="42"/>
    </row>
    <row r="52" spans="1:5" s="27" customFormat="1" ht="52.2" x14ac:dyDescent="0.4">
      <c r="A52" s="644"/>
      <c r="B52" s="655"/>
      <c r="C52" s="162" t="s">
        <v>66</v>
      </c>
      <c r="D52" s="42"/>
    </row>
    <row r="53" spans="1:5" s="27" customFormat="1" ht="18" x14ac:dyDescent="0.3">
      <c r="A53" s="644"/>
      <c r="B53" s="656">
        <v>32008</v>
      </c>
      <c r="C53" s="538" t="s">
        <v>28</v>
      </c>
      <c r="D53" s="29"/>
    </row>
    <row r="54" spans="1:5" s="27" customFormat="1" ht="36" x14ac:dyDescent="0.3">
      <c r="A54" s="644"/>
      <c r="B54" s="656"/>
      <c r="C54" s="525" t="s">
        <v>1098</v>
      </c>
      <c r="D54" s="29">
        <f>+'Հավելված N 4'!G56</f>
        <v>2968</v>
      </c>
      <c r="E54" s="44"/>
    </row>
    <row r="55" spans="1:5" s="27" customFormat="1" x14ac:dyDescent="0.4">
      <c r="A55" s="644"/>
      <c r="B55" s="656"/>
      <c r="C55" s="538" t="s">
        <v>29</v>
      </c>
      <c r="D55" s="42"/>
    </row>
    <row r="56" spans="1:5" s="27" customFormat="1" ht="52.2" x14ac:dyDescent="0.4">
      <c r="A56" s="644"/>
      <c r="B56" s="656"/>
      <c r="C56" s="537" t="s">
        <v>1137</v>
      </c>
      <c r="D56" s="42"/>
    </row>
    <row r="57" spans="1:5" s="27" customFormat="1" x14ac:dyDescent="0.4">
      <c r="A57" s="644"/>
      <c r="B57" s="656"/>
      <c r="C57" s="538" t="s">
        <v>30</v>
      </c>
      <c r="D57" s="42"/>
    </row>
    <row r="58" spans="1:5" s="27" customFormat="1" ht="52.2" x14ac:dyDescent="0.4">
      <c r="A58" s="645"/>
      <c r="B58" s="656"/>
      <c r="C58" s="537" t="s">
        <v>66</v>
      </c>
      <c r="D58" s="42"/>
    </row>
    <row r="59" spans="1:5" s="27" customFormat="1" ht="18" x14ac:dyDescent="0.3">
      <c r="A59" s="643">
        <v>1111</v>
      </c>
      <c r="B59" s="653"/>
      <c r="C59" s="159" t="s">
        <v>25</v>
      </c>
      <c r="D59" s="10"/>
    </row>
    <row r="60" spans="1:5" s="27" customFormat="1" ht="36" x14ac:dyDescent="0.3">
      <c r="A60" s="644"/>
      <c r="B60" s="654"/>
      <c r="C60" s="160" t="s">
        <v>368</v>
      </c>
      <c r="D60" s="7">
        <f>+D67+D73</f>
        <v>-324838.17</v>
      </c>
      <c r="E60" s="41"/>
    </row>
    <row r="61" spans="1:5" s="27" customFormat="1" ht="18" x14ac:dyDescent="0.3">
      <c r="A61" s="644"/>
      <c r="B61" s="654"/>
      <c r="C61" s="161" t="s">
        <v>26</v>
      </c>
      <c r="D61" s="29"/>
    </row>
    <row r="62" spans="1:5" s="27" customFormat="1" ht="34.799999999999997" x14ac:dyDescent="0.3">
      <c r="A62" s="644"/>
      <c r="B62" s="654"/>
      <c r="C62" s="162" t="s">
        <v>373</v>
      </c>
      <c r="D62" s="29"/>
    </row>
    <row r="63" spans="1:5" s="27" customFormat="1" ht="18" x14ac:dyDescent="0.3">
      <c r="A63" s="644"/>
      <c r="B63" s="654"/>
      <c r="C63" s="161" t="s">
        <v>27</v>
      </c>
      <c r="D63" s="29"/>
    </row>
    <row r="64" spans="1:5" s="27" customFormat="1" ht="69.599999999999994" x14ac:dyDescent="0.3">
      <c r="A64" s="644"/>
      <c r="B64" s="654"/>
      <c r="C64" s="162" t="s">
        <v>374</v>
      </c>
      <c r="D64" s="29"/>
    </row>
    <row r="65" spans="1:5" s="27" customFormat="1" ht="24" customHeight="1" x14ac:dyDescent="0.4">
      <c r="A65" s="644"/>
      <c r="B65" s="163"/>
      <c r="C65" s="164" t="s">
        <v>46</v>
      </c>
      <c r="D65" s="29"/>
    </row>
    <row r="66" spans="1:5" s="27" customFormat="1" ht="18" x14ac:dyDescent="0.3">
      <c r="A66" s="644"/>
      <c r="B66" s="655">
        <v>32001</v>
      </c>
      <c r="C66" s="161" t="s">
        <v>28</v>
      </c>
      <c r="D66" s="29"/>
    </row>
    <row r="67" spans="1:5" s="27" customFormat="1" ht="54" x14ac:dyDescent="0.3">
      <c r="A67" s="644"/>
      <c r="B67" s="655"/>
      <c r="C67" s="165" t="s">
        <v>369</v>
      </c>
      <c r="D67" s="29">
        <f>+'Հավելված N 4'!G149</f>
        <v>-374821.87</v>
      </c>
      <c r="E67" s="44"/>
    </row>
    <row r="68" spans="1:5" s="27" customFormat="1" x14ac:dyDescent="0.4">
      <c r="A68" s="644"/>
      <c r="B68" s="655"/>
      <c r="C68" s="161" t="s">
        <v>29</v>
      </c>
      <c r="D68" s="42"/>
    </row>
    <row r="69" spans="1:5" s="27" customFormat="1" ht="52.2" x14ac:dyDescent="0.4">
      <c r="A69" s="644"/>
      <c r="B69" s="655"/>
      <c r="C69" s="162" t="s">
        <v>375</v>
      </c>
      <c r="D69" s="42"/>
    </row>
    <row r="70" spans="1:5" s="27" customFormat="1" x14ac:dyDescent="0.4">
      <c r="A70" s="644"/>
      <c r="B70" s="655"/>
      <c r="C70" s="161" t="s">
        <v>30</v>
      </c>
      <c r="D70" s="42"/>
    </row>
    <row r="71" spans="1:5" s="27" customFormat="1" ht="52.2" x14ac:dyDescent="0.4">
      <c r="A71" s="644"/>
      <c r="B71" s="655"/>
      <c r="C71" s="162" t="s">
        <v>66</v>
      </c>
      <c r="D71" s="42"/>
    </row>
    <row r="72" spans="1:5" s="27" customFormat="1" ht="18" x14ac:dyDescent="0.3">
      <c r="A72" s="644"/>
      <c r="B72" s="655">
        <v>32003</v>
      </c>
      <c r="C72" s="161" t="s">
        <v>28</v>
      </c>
      <c r="D72" s="29"/>
    </row>
    <row r="73" spans="1:5" s="27" customFormat="1" ht="72" x14ac:dyDescent="0.3">
      <c r="A73" s="644"/>
      <c r="B73" s="655"/>
      <c r="C73" s="165" t="s">
        <v>1140</v>
      </c>
      <c r="D73" s="29">
        <f>+'Հավելված N 4'!G158</f>
        <v>49983.7</v>
      </c>
      <c r="E73" s="44"/>
    </row>
    <row r="74" spans="1:5" s="27" customFormat="1" x14ac:dyDescent="0.4">
      <c r="A74" s="644"/>
      <c r="B74" s="655"/>
      <c r="C74" s="161" t="s">
        <v>29</v>
      </c>
      <c r="D74" s="42"/>
    </row>
    <row r="75" spans="1:5" s="27" customFormat="1" ht="69.599999999999994" x14ac:dyDescent="0.4">
      <c r="A75" s="644"/>
      <c r="B75" s="655"/>
      <c r="C75" s="162" t="s">
        <v>1141</v>
      </c>
      <c r="D75" s="42"/>
    </row>
    <row r="76" spans="1:5" s="27" customFormat="1" x14ac:dyDescent="0.4">
      <c r="A76" s="644"/>
      <c r="B76" s="655"/>
      <c r="C76" s="161" t="s">
        <v>30</v>
      </c>
      <c r="D76" s="42"/>
    </row>
    <row r="77" spans="1:5" s="27" customFormat="1" ht="52.2" x14ac:dyDescent="0.4">
      <c r="A77" s="645"/>
      <c r="B77" s="655"/>
      <c r="C77" s="162" t="s">
        <v>1142</v>
      </c>
      <c r="D77" s="42"/>
    </row>
    <row r="78" spans="1:5" s="27" customFormat="1" ht="18" x14ac:dyDescent="0.3">
      <c r="A78" s="663">
        <v>1146</v>
      </c>
      <c r="B78" s="658"/>
      <c r="C78" s="90" t="s">
        <v>25</v>
      </c>
      <c r="D78" s="10"/>
    </row>
    <row r="79" spans="1:5" s="27" customFormat="1" ht="18" x14ac:dyDescent="0.3">
      <c r="A79" s="644"/>
      <c r="B79" s="659"/>
      <c r="C79" s="91" t="s">
        <v>116</v>
      </c>
      <c r="D79" s="7">
        <f t="shared" ref="D79" si="0">+D86</f>
        <v>-2928071.5999999996</v>
      </c>
      <c r="E79" s="41"/>
    </row>
    <row r="80" spans="1:5" s="27" customFormat="1" ht="18" x14ac:dyDescent="0.3">
      <c r="A80" s="644"/>
      <c r="B80" s="659"/>
      <c r="C80" s="92" t="s">
        <v>26</v>
      </c>
      <c r="D80" s="29"/>
    </row>
    <row r="81" spans="1:5" s="27" customFormat="1" ht="18" x14ac:dyDescent="0.3">
      <c r="A81" s="644"/>
      <c r="B81" s="659"/>
      <c r="C81" s="93" t="s">
        <v>117</v>
      </c>
      <c r="D81" s="29"/>
    </row>
    <row r="82" spans="1:5" s="27" customFormat="1" ht="18" x14ac:dyDescent="0.3">
      <c r="A82" s="644"/>
      <c r="B82" s="659"/>
      <c r="C82" s="92" t="s">
        <v>27</v>
      </c>
      <c r="D82" s="29"/>
    </row>
    <row r="83" spans="1:5" s="27" customFormat="1" ht="87" x14ac:dyDescent="0.3">
      <c r="A83" s="644"/>
      <c r="B83" s="659"/>
      <c r="C83" s="93" t="s">
        <v>118</v>
      </c>
      <c r="D83" s="29"/>
    </row>
    <row r="84" spans="1:5" s="27" customFormat="1" ht="24" customHeight="1" x14ac:dyDescent="0.4">
      <c r="A84" s="644"/>
      <c r="B84" s="42"/>
      <c r="C84" s="43" t="s">
        <v>46</v>
      </c>
      <c r="D84" s="29"/>
    </row>
    <row r="85" spans="1:5" s="27" customFormat="1" ht="18" x14ac:dyDescent="0.3">
      <c r="A85" s="644"/>
      <c r="B85" s="660">
        <v>12010</v>
      </c>
      <c r="C85" s="92" t="s">
        <v>28</v>
      </c>
      <c r="D85" s="29"/>
    </row>
    <row r="86" spans="1:5" s="27" customFormat="1" ht="36" x14ac:dyDescent="0.3">
      <c r="A86" s="644"/>
      <c r="B86" s="660"/>
      <c r="C86" s="94" t="s">
        <v>187</v>
      </c>
      <c r="D86" s="29">
        <f>+'Հավելված N 4'!G169</f>
        <v>-2928071.5999999996</v>
      </c>
      <c r="E86" s="44"/>
    </row>
    <row r="87" spans="1:5" s="27" customFormat="1" x14ac:dyDescent="0.4">
      <c r="A87" s="644"/>
      <c r="B87" s="660"/>
      <c r="C87" s="92" t="s">
        <v>29</v>
      </c>
      <c r="D87" s="42"/>
    </row>
    <row r="88" spans="1:5" s="27" customFormat="1" ht="34.799999999999997" x14ac:dyDescent="0.4">
      <c r="A88" s="644"/>
      <c r="B88" s="660"/>
      <c r="C88" s="93" t="s">
        <v>212</v>
      </c>
      <c r="D88" s="42"/>
    </row>
    <row r="89" spans="1:5" s="27" customFormat="1" x14ac:dyDescent="0.4">
      <c r="A89" s="644"/>
      <c r="B89" s="660"/>
      <c r="C89" s="92" t="s">
        <v>30</v>
      </c>
      <c r="D89" s="42"/>
    </row>
    <row r="90" spans="1:5" s="27" customFormat="1" x14ac:dyDescent="0.4">
      <c r="A90" s="644"/>
      <c r="B90" s="660"/>
      <c r="C90" s="93" t="s">
        <v>141</v>
      </c>
      <c r="D90" s="42"/>
    </row>
    <row r="91" spans="1:5" s="27" customFormat="1" ht="18" x14ac:dyDescent="0.3">
      <c r="A91" s="663">
        <v>1148</v>
      </c>
      <c r="B91" s="658"/>
      <c r="C91" s="90" t="s">
        <v>25</v>
      </c>
      <c r="D91" s="10"/>
    </row>
    <row r="92" spans="1:5" s="27" customFormat="1" ht="18" x14ac:dyDescent="0.3">
      <c r="A92" s="644"/>
      <c r="B92" s="659"/>
      <c r="C92" s="91" t="s">
        <v>1145</v>
      </c>
      <c r="D92" s="7">
        <f t="shared" ref="D92" si="1">+D99</f>
        <v>-113596.4</v>
      </c>
      <c r="E92" s="41"/>
    </row>
    <row r="93" spans="1:5" s="27" customFormat="1" ht="18" x14ac:dyDescent="0.3">
      <c r="A93" s="644"/>
      <c r="B93" s="659"/>
      <c r="C93" s="92" t="s">
        <v>26</v>
      </c>
      <c r="D93" s="29"/>
    </row>
    <row r="94" spans="1:5" s="27" customFormat="1" ht="69.599999999999994" x14ac:dyDescent="0.3">
      <c r="A94" s="644"/>
      <c r="B94" s="659"/>
      <c r="C94" s="93" t="s">
        <v>1146</v>
      </c>
      <c r="D94" s="29"/>
    </row>
    <row r="95" spans="1:5" s="27" customFormat="1" ht="18" x14ac:dyDescent="0.3">
      <c r="A95" s="644"/>
      <c r="B95" s="659"/>
      <c r="C95" s="92" t="s">
        <v>27</v>
      </c>
      <c r="D95" s="29"/>
    </row>
    <row r="96" spans="1:5" s="27" customFormat="1" ht="52.2" x14ac:dyDescent="0.3">
      <c r="A96" s="644"/>
      <c r="B96" s="659"/>
      <c r="C96" s="93" t="s">
        <v>1147</v>
      </c>
      <c r="D96" s="29"/>
    </row>
    <row r="97" spans="1:5" s="27" customFormat="1" ht="24" customHeight="1" x14ac:dyDescent="0.4">
      <c r="A97" s="644"/>
      <c r="B97" s="42"/>
      <c r="C97" s="43" t="s">
        <v>46</v>
      </c>
      <c r="D97" s="29"/>
    </row>
    <row r="98" spans="1:5" s="27" customFormat="1" ht="18" x14ac:dyDescent="0.3">
      <c r="A98" s="644"/>
      <c r="B98" s="660">
        <v>32003</v>
      </c>
      <c r="C98" s="92" t="s">
        <v>28</v>
      </c>
      <c r="D98" s="29"/>
    </row>
    <row r="99" spans="1:5" s="27" customFormat="1" ht="54" x14ac:dyDescent="0.3">
      <c r="A99" s="644"/>
      <c r="B99" s="660"/>
      <c r="C99" s="94" t="s">
        <v>1143</v>
      </c>
      <c r="D99" s="29">
        <f>+'Հավելված N 4'!G182</f>
        <v>-113596.4</v>
      </c>
      <c r="E99" s="44"/>
    </row>
    <row r="100" spans="1:5" s="27" customFormat="1" x14ac:dyDescent="0.4">
      <c r="A100" s="644"/>
      <c r="B100" s="660"/>
      <c r="C100" s="92" t="s">
        <v>29</v>
      </c>
      <c r="D100" s="42"/>
    </row>
    <row r="101" spans="1:5" s="27" customFormat="1" ht="69.599999999999994" x14ac:dyDescent="0.4">
      <c r="A101" s="644"/>
      <c r="B101" s="660"/>
      <c r="C101" s="93" t="s">
        <v>1144</v>
      </c>
      <c r="D101" s="42"/>
    </row>
    <row r="102" spans="1:5" s="27" customFormat="1" x14ac:dyDescent="0.4">
      <c r="A102" s="644"/>
      <c r="B102" s="660"/>
      <c r="C102" s="92" t="s">
        <v>30</v>
      </c>
      <c r="D102" s="42"/>
    </row>
    <row r="103" spans="1:5" s="27" customFormat="1" ht="52.2" x14ac:dyDescent="0.4">
      <c r="A103" s="644"/>
      <c r="B103" s="660"/>
      <c r="C103" s="93" t="s">
        <v>66</v>
      </c>
      <c r="D103" s="42"/>
    </row>
    <row r="104" spans="1:5" s="27" customFormat="1" ht="18" x14ac:dyDescent="0.3">
      <c r="A104" s="643">
        <v>1162</v>
      </c>
      <c r="B104" s="658"/>
      <c r="C104" s="90" t="s">
        <v>25</v>
      </c>
      <c r="D104" s="10"/>
    </row>
    <row r="105" spans="1:5" s="27" customFormat="1" ht="36" x14ac:dyDescent="0.3">
      <c r="A105" s="644"/>
      <c r="B105" s="659"/>
      <c r="C105" s="91" t="s">
        <v>1132</v>
      </c>
      <c r="D105" s="7">
        <f>D112</f>
        <v>-3200000</v>
      </c>
      <c r="E105" s="41"/>
    </row>
    <row r="106" spans="1:5" s="27" customFormat="1" ht="18" x14ac:dyDescent="0.3">
      <c r="A106" s="644"/>
      <c r="B106" s="659"/>
      <c r="C106" s="92" t="s">
        <v>26</v>
      </c>
      <c r="D106" s="29"/>
    </row>
    <row r="107" spans="1:5" s="27" customFormat="1" ht="104.4" x14ac:dyDescent="0.3">
      <c r="A107" s="644"/>
      <c r="B107" s="659"/>
      <c r="C107" s="93" t="s">
        <v>1148</v>
      </c>
      <c r="D107" s="29"/>
    </row>
    <row r="108" spans="1:5" s="27" customFormat="1" ht="18" x14ac:dyDescent="0.3">
      <c r="A108" s="644"/>
      <c r="B108" s="659"/>
      <c r="C108" s="92" t="s">
        <v>27</v>
      </c>
      <c r="D108" s="29"/>
    </row>
    <row r="109" spans="1:5" s="27" customFormat="1" ht="69.599999999999994" x14ac:dyDescent="0.3">
      <c r="A109" s="644"/>
      <c r="B109" s="659"/>
      <c r="C109" s="93" t="s">
        <v>1149</v>
      </c>
      <c r="D109" s="29"/>
    </row>
    <row r="110" spans="1:5" s="27" customFormat="1" ht="24" customHeight="1" x14ac:dyDescent="0.4">
      <c r="A110" s="644"/>
      <c r="B110" s="42"/>
      <c r="C110" s="43" t="s">
        <v>46</v>
      </c>
      <c r="D110" s="29"/>
    </row>
    <row r="111" spans="1:5" s="27" customFormat="1" ht="18" x14ac:dyDescent="0.3">
      <c r="A111" s="644"/>
      <c r="B111" s="660">
        <v>32004</v>
      </c>
      <c r="C111" s="92" t="s">
        <v>28</v>
      </c>
      <c r="D111" s="29"/>
    </row>
    <row r="112" spans="1:5" s="27" customFormat="1" ht="72" x14ac:dyDescent="0.3">
      <c r="A112" s="644"/>
      <c r="B112" s="660"/>
      <c r="C112" s="94" t="s">
        <v>1133</v>
      </c>
      <c r="D112" s="29">
        <f>+'Հավելված N 4'!G24</f>
        <v>-3200000</v>
      </c>
      <c r="E112" s="44"/>
    </row>
    <row r="113" spans="1:5" s="27" customFormat="1" x14ac:dyDescent="0.4">
      <c r="A113" s="644"/>
      <c r="B113" s="660"/>
      <c r="C113" s="92" t="s">
        <v>29</v>
      </c>
      <c r="D113" s="42"/>
    </row>
    <row r="114" spans="1:5" s="27" customFormat="1" ht="52.2" x14ac:dyDescent="0.4">
      <c r="A114" s="644"/>
      <c r="B114" s="660"/>
      <c r="C114" s="93" t="s">
        <v>1150</v>
      </c>
      <c r="D114" s="42"/>
    </row>
    <row r="115" spans="1:5" s="27" customFormat="1" x14ac:dyDescent="0.4">
      <c r="A115" s="644"/>
      <c r="B115" s="660"/>
      <c r="C115" s="92" t="s">
        <v>30</v>
      </c>
      <c r="D115" s="42"/>
    </row>
    <row r="116" spans="1:5" s="27" customFormat="1" ht="52.2" x14ac:dyDescent="0.4">
      <c r="A116" s="645"/>
      <c r="B116" s="660"/>
      <c r="C116" s="93" t="s">
        <v>66</v>
      </c>
      <c r="D116" s="42"/>
    </row>
    <row r="117" spans="1:5" s="27" customFormat="1" ht="18" x14ac:dyDescent="0.3">
      <c r="A117" s="643">
        <v>1163</v>
      </c>
      <c r="B117" s="658"/>
      <c r="C117" s="90" t="s">
        <v>25</v>
      </c>
      <c r="D117" s="10"/>
    </row>
    <row r="118" spans="1:5" s="27" customFormat="1" ht="18" x14ac:dyDescent="0.3">
      <c r="A118" s="644"/>
      <c r="B118" s="659"/>
      <c r="C118" s="91" t="s">
        <v>1151</v>
      </c>
      <c r="D118" s="7">
        <f>+D125+D131</f>
        <v>-405494.1</v>
      </c>
      <c r="E118" s="41"/>
    </row>
    <row r="119" spans="1:5" s="27" customFormat="1" ht="18" x14ac:dyDescent="0.3">
      <c r="A119" s="644"/>
      <c r="B119" s="659"/>
      <c r="C119" s="92" t="s">
        <v>26</v>
      </c>
      <c r="D119" s="29"/>
    </row>
    <row r="120" spans="1:5" s="27" customFormat="1" ht="69.599999999999994" x14ac:dyDescent="0.3">
      <c r="A120" s="644"/>
      <c r="B120" s="659"/>
      <c r="C120" s="93" t="s">
        <v>1152</v>
      </c>
      <c r="D120" s="29"/>
    </row>
    <row r="121" spans="1:5" s="27" customFormat="1" ht="18" x14ac:dyDescent="0.3">
      <c r="A121" s="644"/>
      <c r="B121" s="659"/>
      <c r="C121" s="92" t="s">
        <v>27</v>
      </c>
      <c r="D121" s="29"/>
    </row>
    <row r="122" spans="1:5" s="27" customFormat="1" ht="34.799999999999997" x14ac:dyDescent="0.3">
      <c r="A122" s="644"/>
      <c r="B122" s="659"/>
      <c r="C122" s="93" t="s">
        <v>1153</v>
      </c>
      <c r="D122" s="29"/>
    </row>
    <row r="123" spans="1:5" s="27" customFormat="1" ht="24" customHeight="1" x14ac:dyDescent="0.4">
      <c r="A123" s="644"/>
      <c r="B123" s="42"/>
      <c r="C123" s="43" t="s">
        <v>46</v>
      </c>
      <c r="D123" s="29"/>
    </row>
    <row r="124" spans="1:5" s="27" customFormat="1" ht="18" x14ac:dyDescent="0.3">
      <c r="A124" s="644"/>
      <c r="B124" s="660">
        <v>32001</v>
      </c>
      <c r="C124" s="92" t="s">
        <v>28</v>
      </c>
      <c r="D124" s="29"/>
    </row>
    <row r="125" spans="1:5" s="27" customFormat="1" ht="18" x14ac:dyDescent="0.3">
      <c r="A125" s="644"/>
      <c r="B125" s="660"/>
      <c r="C125" s="94" t="s">
        <v>454</v>
      </c>
      <c r="D125" s="29">
        <f>+'Հավելված N 4'!G193</f>
        <v>-160815.1</v>
      </c>
      <c r="E125" s="44"/>
    </row>
    <row r="126" spans="1:5" s="27" customFormat="1" x14ac:dyDescent="0.4">
      <c r="A126" s="644"/>
      <c r="B126" s="660"/>
      <c r="C126" s="92" t="s">
        <v>29</v>
      </c>
      <c r="D126" s="42"/>
    </row>
    <row r="127" spans="1:5" s="27" customFormat="1" ht="69.599999999999994" x14ac:dyDescent="0.4">
      <c r="A127" s="644"/>
      <c r="B127" s="660"/>
      <c r="C127" s="93" t="s">
        <v>1154</v>
      </c>
      <c r="D127" s="42"/>
    </row>
    <row r="128" spans="1:5" s="27" customFormat="1" x14ac:dyDescent="0.4">
      <c r="A128" s="644"/>
      <c r="B128" s="660"/>
      <c r="C128" s="92" t="s">
        <v>30</v>
      </c>
      <c r="D128" s="42"/>
    </row>
    <row r="129" spans="1:5" s="27" customFormat="1" ht="52.2" x14ac:dyDescent="0.4">
      <c r="A129" s="644"/>
      <c r="B129" s="660"/>
      <c r="C129" s="93" t="s">
        <v>66</v>
      </c>
      <c r="D129" s="42"/>
    </row>
    <row r="130" spans="1:5" s="27" customFormat="1" ht="18" x14ac:dyDescent="0.3">
      <c r="A130" s="644"/>
      <c r="B130" s="660">
        <v>32002</v>
      </c>
      <c r="C130" s="92" t="s">
        <v>28</v>
      </c>
      <c r="D130" s="29"/>
    </row>
    <row r="131" spans="1:5" s="27" customFormat="1" ht="18" x14ac:dyDescent="0.3">
      <c r="A131" s="644"/>
      <c r="B131" s="660"/>
      <c r="C131" s="94" t="s">
        <v>455</v>
      </c>
      <c r="D131" s="29">
        <f>+'Հավելված N 4'!G204</f>
        <v>-244679</v>
      </c>
      <c r="E131" s="44"/>
    </row>
    <row r="132" spans="1:5" s="27" customFormat="1" x14ac:dyDescent="0.4">
      <c r="A132" s="644"/>
      <c r="B132" s="660"/>
      <c r="C132" s="92" t="s">
        <v>29</v>
      </c>
      <c r="D132" s="42"/>
    </row>
    <row r="133" spans="1:5" s="27" customFormat="1" ht="69.599999999999994" x14ac:dyDescent="0.4">
      <c r="A133" s="644"/>
      <c r="B133" s="660"/>
      <c r="C133" s="93" t="s">
        <v>1155</v>
      </c>
      <c r="D133" s="42"/>
    </row>
    <row r="134" spans="1:5" s="27" customFormat="1" x14ac:dyDescent="0.4">
      <c r="A134" s="644"/>
      <c r="B134" s="660"/>
      <c r="C134" s="92" t="s">
        <v>30</v>
      </c>
      <c r="D134" s="42"/>
    </row>
    <row r="135" spans="1:5" s="27" customFormat="1" ht="52.2" x14ac:dyDescent="0.4">
      <c r="A135" s="645"/>
      <c r="B135" s="660"/>
      <c r="C135" s="93" t="s">
        <v>66</v>
      </c>
      <c r="D135" s="42"/>
    </row>
    <row r="136" spans="1:5" s="27" customFormat="1" ht="18" x14ac:dyDescent="0.3">
      <c r="A136" s="643">
        <v>1168</v>
      </c>
      <c r="B136" s="653"/>
      <c r="C136" s="205" t="s">
        <v>25</v>
      </c>
      <c r="D136" s="10"/>
    </row>
    <row r="137" spans="1:5" s="27" customFormat="1" ht="18" x14ac:dyDescent="0.3">
      <c r="A137" s="644"/>
      <c r="B137" s="654"/>
      <c r="C137" s="206" t="s">
        <v>192</v>
      </c>
      <c r="D137" s="7">
        <f>+D144+D150</f>
        <v>-60026.3</v>
      </c>
      <c r="E137" s="41"/>
    </row>
    <row r="138" spans="1:5" s="27" customFormat="1" ht="18" x14ac:dyDescent="0.3">
      <c r="A138" s="644"/>
      <c r="B138" s="654"/>
      <c r="C138" s="202" t="s">
        <v>26</v>
      </c>
      <c r="D138" s="29"/>
    </row>
    <row r="139" spans="1:5" s="27" customFormat="1" ht="52.2" x14ac:dyDescent="0.3">
      <c r="A139" s="644"/>
      <c r="B139" s="654"/>
      <c r="C139" s="207" t="s">
        <v>213</v>
      </c>
      <c r="D139" s="29"/>
    </row>
    <row r="140" spans="1:5" s="27" customFormat="1" ht="18" x14ac:dyDescent="0.3">
      <c r="A140" s="644"/>
      <c r="B140" s="654"/>
      <c r="C140" s="202" t="s">
        <v>27</v>
      </c>
      <c r="D140" s="29"/>
    </row>
    <row r="141" spans="1:5" s="27" customFormat="1" ht="69.599999999999994" x14ac:dyDescent="0.3">
      <c r="A141" s="644"/>
      <c r="B141" s="654"/>
      <c r="C141" s="208" t="s">
        <v>214</v>
      </c>
      <c r="D141" s="29"/>
    </row>
    <row r="142" spans="1:5" s="27" customFormat="1" ht="24" customHeight="1" x14ac:dyDescent="0.4">
      <c r="A142" s="644"/>
      <c r="B142" s="163"/>
      <c r="C142" s="164" t="s">
        <v>46</v>
      </c>
      <c r="D142" s="29"/>
    </row>
    <row r="143" spans="1:5" s="27" customFormat="1" ht="18" x14ac:dyDescent="0.3">
      <c r="A143" s="644"/>
      <c r="B143" s="655">
        <v>32001</v>
      </c>
      <c r="C143" s="202" t="s">
        <v>28</v>
      </c>
      <c r="D143" s="29"/>
    </row>
    <row r="144" spans="1:5" s="27" customFormat="1" ht="54" x14ac:dyDescent="0.3">
      <c r="A144" s="644"/>
      <c r="B144" s="655"/>
      <c r="C144" s="209" t="s">
        <v>215</v>
      </c>
      <c r="D144" s="29">
        <f>+'Հավելված N 4'!G71</f>
        <v>-79831.3</v>
      </c>
      <c r="E144" s="44"/>
    </row>
    <row r="145" spans="1:5" s="27" customFormat="1" x14ac:dyDescent="0.4">
      <c r="A145" s="644"/>
      <c r="B145" s="655"/>
      <c r="C145" s="202" t="s">
        <v>29</v>
      </c>
      <c r="D145" s="42"/>
    </row>
    <row r="146" spans="1:5" s="27" customFormat="1" ht="108.6" customHeight="1" x14ac:dyDescent="0.4">
      <c r="A146" s="644"/>
      <c r="B146" s="655"/>
      <c r="C146" s="210" t="s">
        <v>216</v>
      </c>
      <c r="D146" s="42"/>
    </row>
    <row r="147" spans="1:5" s="27" customFormat="1" x14ac:dyDescent="0.4">
      <c r="A147" s="644"/>
      <c r="B147" s="655"/>
      <c r="C147" s="202" t="s">
        <v>30</v>
      </c>
      <c r="D147" s="42"/>
    </row>
    <row r="148" spans="1:5" s="27" customFormat="1" ht="52.2" x14ac:dyDescent="0.4">
      <c r="A148" s="644"/>
      <c r="B148" s="655"/>
      <c r="C148" s="210" t="s">
        <v>66</v>
      </c>
      <c r="D148" s="42"/>
    </row>
    <row r="149" spans="1:5" s="27" customFormat="1" ht="18" x14ac:dyDescent="0.3">
      <c r="A149" s="458"/>
      <c r="B149" s="655">
        <v>32007</v>
      </c>
      <c r="C149" s="539" t="s">
        <v>28</v>
      </c>
      <c r="D149" s="29"/>
    </row>
    <row r="150" spans="1:5" s="27" customFormat="1" ht="36" x14ac:dyDescent="0.3">
      <c r="A150" s="458"/>
      <c r="B150" s="655"/>
      <c r="C150" s="525" t="s">
        <v>1104</v>
      </c>
      <c r="D150" s="29">
        <f>+'Հավելված N 4'!G80</f>
        <v>19805</v>
      </c>
      <c r="E150" s="44"/>
    </row>
    <row r="151" spans="1:5" s="27" customFormat="1" ht="18" x14ac:dyDescent="0.4">
      <c r="A151" s="458"/>
      <c r="B151" s="655"/>
      <c r="C151" s="539" t="s">
        <v>29</v>
      </c>
      <c r="D151" s="42"/>
    </row>
    <row r="152" spans="1:5" s="27" customFormat="1" ht="34.799999999999997" x14ac:dyDescent="0.4">
      <c r="A152" s="458"/>
      <c r="B152" s="655"/>
      <c r="C152" s="542" t="s">
        <v>1156</v>
      </c>
      <c r="D152" s="42"/>
    </row>
    <row r="153" spans="1:5" s="27" customFormat="1" ht="18" x14ac:dyDescent="0.4">
      <c r="A153" s="458"/>
      <c r="B153" s="655"/>
      <c r="C153" s="539" t="s">
        <v>30</v>
      </c>
      <c r="D153" s="42"/>
    </row>
    <row r="154" spans="1:5" s="27" customFormat="1" ht="52.2" x14ac:dyDescent="0.4">
      <c r="A154" s="458"/>
      <c r="B154" s="655"/>
      <c r="C154" s="542" t="s">
        <v>66</v>
      </c>
      <c r="D154" s="42"/>
    </row>
    <row r="155" spans="1:5" ht="17.850000000000001" customHeight="1" x14ac:dyDescent="0.4">
      <c r="A155" s="665">
        <v>1183</v>
      </c>
      <c r="B155" s="661"/>
      <c r="C155" s="257" t="s">
        <v>25</v>
      </c>
      <c r="D155" s="275"/>
    </row>
    <row r="156" spans="1:5" ht="19.350000000000001" customHeight="1" x14ac:dyDescent="0.4">
      <c r="A156" s="665"/>
      <c r="B156" s="661"/>
      <c r="C156" s="256" t="s">
        <v>95</v>
      </c>
      <c r="D156" s="192">
        <f>+D163+D169+D175+D181+D187+D193+D199+D205</f>
        <v>-5371328.3999999994</v>
      </c>
      <c r="E156" s="38"/>
    </row>
    <row r="157" spans="1:5" ht="17.850000000000001" customHeight="1" x14ac:dyDescent="0.4">
      <c r="A157" s="665"/>
      <c r="B157" s="661"/>
      <c r="C157" s="257" t="s">
        <v>26</v>
      </c>
      <c r="D157" s="276"/>
    </row>
    <row r="158" spans="1:5" ht="87" x14ac:dyDescent="0.4">
      <c r="A158" s="665"/>
      <c r="B158" s="661"/>
      <c r="C158" s="271" t="s">
        <v>96</v>
      </c>
      <c r="D158" s="276"/>
    </row>
    <row r="159" spans="1:5" ht="17.850000000000001" customHeight="1" x14ac:dyDescent="0.4">
      <c r="A159" s="665"/>
      <c r="B159" s="661"/>
      <c r="C159" s="257" t="s">
        <v>27</v>
      </c>
      <c r="D159" s="276"/>
    </row>
    <row r="160" spans="1:5" ht="18" x14ac:dyDescent="0.4">
      <c r="A160" s="665"/>
      <c r="B160" s="661"/>
      <c r="C160" s="271" t="s">
        <v>97</v>
      </c>
      <c r="D160" s="276"/>
    </row>
    <row r="161" spans="1:5" ht="24" customHeight="1" x14ac:dyDescent="0.4">
      <c r="A161" s="665"/>
      <c r="B161" s="198"/>
      <c r="C161" s="277" t="s">
        <v>15</v>
      </c>
      <c r="D161" s="269"/>
    </row>
    <row r="162" spans="1:5" ht="17.850000000000001" customHeight="1" x14ac:dyDescent="0.4">
      <c r="A162" s="665"/>
      <c r="B162" s="662">
        <v>32001</v>
      </c>
      <c r="C162" s="257" t="s">
        <v>28</v>
      </c>
      <c r="D162" s="278"/>
    </row>
    <row r="163" spans="1:5" ht="36" x14ac:dyDescent="0.4">
      <c r="A163" s="665"/>
      <c r="B163" s="662"/>
      <c r="C163" s="250" t="s">
        <v>110</v>
      </c>
      <c r="D163" s="194">
        <f>+'Հավելված N 4'!G231</f>
        <v>132471.1</v>
      </c>
      <c r="E163" s="38"/>
    </row>
    <row r="164" spans="1:5" ht="17.55" customHeight="1" x14ac:dyDescent="0.4">
      <c r="A164" s="665"/>
      <c r="B164" s="662"/>
      <c r="C164" s="257" t="s">
        <v>29</v>
      </c>
      <c r="D164" s="193"/>
    </row>
    <row r="165" spans="1:5" ht="69.599999999999994" x14ac:dyDescent="0.4">
      <c r="A165" s="665"/>
      <c r="B165" s="662"/>
      <c r="C165" s="271" t="s">
        <v>112</v>
      </c>
      <c r="D165" s="193"/>
    </row>
    <row r="166" spans="1:5" ht="17.55" customHeight="1" x14ac:dyDescent="0.4">
      <c r="A166" s="665"/>
      <c r="B166" s="662"/>
      <c r="C166" s="257" t="s">
        <v>30</v>
      </c>
      <c r="D166" s="193"/>
    </row>
    <row r="167" spans="1:5" ht="52.2" x14ac:dyDescent="0.4">
      <c r="A167" s="665"/>
      <c r="B167" s="662"/>
      <c r="C167" s="271" t="s">
        <v>66</v>
      </c>
      <c r="D167" s="193"/>
    </row>
    <row r="168" spans="1:5" ht="17.850000000000001" customHeight="1" x14ac:dyDescent="0.4">
      <c r="A168" s="665"/>
      <c r="B168" s="662">
        <v>32002</v>
      </c>
      <c r="C168" s="257" t="s">
        <v>28</v>
      </c>
      <c r="D168" s="278"/>
    </row>
    <row r="169" spans="1:5" ht="36" x14ac:dyDescent="0.4">
      <c r="A169" s="665"/>
      <c r="B169" s="662"/>
      <c r="C169" s="310" t="s">
        <v>311</v>
      </c>
      <c r="D169" s="194">
        <f>+'Հավելված N 4'!G254</f>
        <v>-2887155</v>
      </c>
      <c r="E169" s="38"/>
    </row>
    <row r="170" spans="1:5" ht="17.55" customHeight="1" x14ac:dyDescent="0.4">
      <c r="A170" s="665"/>
      <c r="B170" s="662"/>
      <c r="C170" s="257" t="s">
        <v>29</v>
      </c>
      <c r="D170" s="193"/>
    </row>
    <row r="171" spans="1:5" ht="69.599999999999994" x14ac:dyDescent="0.4">
      <c r="A171" s="665"/>
      <c r="B171" s="662"/>
      <c r="C171" s="271" t="s">
        <v>376</v>
      </c>
      <c r="D171" s="193"/>
    </row>
    <row r="172" spans="1:5" ht="17.55" customHeight="1" x14ac:dyDescent="0.4">
      <c r="A172" s="665"/>
      <c r="B172" s="662"/>
      <c r="C172" s="257" t="s">
        <v>30</v>
      </c>
      <c r="D172" s="193"/>
    </row>
    <row r="173" spans="1:5" ht="52.2" x14ac:dyDescent="0.4">
      <c r="A173" s="665"/>
      <c r="B173" s="662"/>
      <c r="C173" s="271" t="s">
        <v>66</v>
      </c>
      <c r="D173" s="193"/>
    </row>
    <row r="174" spans="1:5" ht="17.850000000000001" customHeight="1" x14ac:dyDescent="0.4">
      <c r="A174" s="665"/>
      <c r="B174" s="657">
        <v>32003</v>
      </c>
      <c r="C174" s="202" t="s">
        <v>28</v>
      </c>
      <c r="D174" s="278"/>
    </row>
    <row r="175" spans="1:5" ht="54" x14ac:dyDescent="0.4">
      <c r="A175" s="665"/>
      <c r="B175" s="657"/>
      <c r="C175" s="211" t="s">
        <v>142</v>
      </c>
      <c r="D175" s="194">
        <f>+'Հավելված N 4'!G272</f>
        <v>-1368042.7</v>
      </c>
      <c r="E175" s="38"/>
    </row>
    <row r="176" spans="1:5" ht="17.55" customHeight="1" x14ac:dyDescent="0.4">
      <c r="A176" s="665"/>
      <c r="B176" s="657"/>
      <c r="C176" s="202" t="s">
        <v>29</v>
      </c>
      <c r="D176" s="193"/>
    </row>
    <row r="177" spans="1:5" ht="34.799999999999997" x14ac:dyDescent="0.4">
      <c r="A177" s="665"/>
      <c r="B177" s="657"/>
      <c r="C177" s="210" t="s">
        <v>143</v>
      </c>
      <c r="D177" s="193"/>
    </row>
    <row r="178" spans="1:5" ht="17.55" customHeight="1" x14ac:dyDescent="0.4">
      <c r="A178" s="665"/>
      <c r="B178" s="657"/>
      <c r="C178" s="202" t="s">
        <v>30</v>
      </c>
      <c r="D178" s="193"/>
    </row>
    <row r="179" spans="1:5" ht="52.2" x14ac:dyDescent="0.4">
      <c r="A179" s="665"/>
      <c r="B179" s="657"/>
      <c r="C179" s="210" t="s">
        <v>66</v>
      </c>
      <c r="D179" s="193"/>
    </row>
    <row r="180" spans="1:5" ht="17.850000000000001" customHeight="1" x14ac:dyDescent="0.4">
      <c r="A180" s="665"/>
      <c r="B180" s="657">
        <v>32004</v>
      </c>
      <c r="C180" s="202" t="s">
        <v>28</v>
      </c>
      <c r="D180" s="278"/>
    </row>
    <row r="181" spans="1:5" ht="54" x14ac:dyDescent="0.4">
      <c r="A181" s="665"/>
      <c r="B181" s="657"/>
      <c r="C181" s="211" t="s">
        <v>174</v>
      </c>
      <c r="D181" s="194">
        <f>+'Հավելված N 4'!G283</f>
        <v>-94431.5</v>
      </c>
      <c r="E181" s="38"/>
    </row>
    <row r="182" spans="1:5" ht="17.55" customHeight="1" x14ac:dyDescent="0.4">
      <c r="A182" s="665"/>
      <c r="B182" s="657"/>
      <c r="C182" s="202" t="s">
        <v>29</v>
      </c>
      <c r="D182" s="193"/>
    </row>
    <row r="183" spans="1:5" x14ac:dyDescent="0.4">
      <c r="A183" s="665"/>
      <c r="B183" s="657"/>
      <c r="C183" s="210" t="s">
        <v>217</v>
      </c>
      <c r="D183" s="193"/>
    </row>
    <row r="184" spans="1:5" ht="17.55" customHeight="1" x14ac:dyDescent="0.4">
      <c r="A184" s="665"/>
      <c r="B184" s="657"/>
      <c r="C184" s="202" t="s">
        <v>30</v>
      </c>
      <c r="D184" s="193"/>
    </row>
    <row r="185" spans="1:5" ht="52.2" x14ac:dyDescent="0.4">
      <c r="A185" s="665"/>
      <c r="B185" s="657"/>
      <c r="C185" s="210" t="s">
        <v>66</v>
      </c>
      <c r="D185" s="193"/>
    </row>
    <row r="186" spans="1:5" ht="17.850000000000001" customHeight="1" x14ac:dyDescent="0.4">
      <c r="A186" s="665"/>
      <c r="B186" s="657">
        <v>32007</v>
      </c>
      <c r="C186" s="202" t="s">
        <v>28</v>
      </c>
      <c r="D186" s="278"/>
    </row>
    <row r="187" spans="1:5" ht="54" x14ac:dyDescent="0.4">
      <c r="A187" s="665"/>
      <c r="B187" s="657"/>
      <c r="C187" s="211" t="s">
        <v>181</v>
      </c>
      <c r="D187" s="194">
        <f>+'Հավելված N 4'!G294</f>
        <v>-67555</v>
      </c>
      <c r="E187" s="38"/>
    </row>
    <row r="188" spans="1:5" ht="17.55" customHeight="1" x14ac:dyDescent="0.4">
      <c r="A188" s="665"/>
      <c r="B188" s="657"/>
      <c r="C188" s="202" t="s">
        <v>29</v>
      </c>
      <c r="D188" s="193"/>
    </row>
    <row r="189" spans="1:5" ht="52.2" x14ac:dyDescent="0.4">
      <c r="A189" s="665"/>
      <c r="B189" s="657"/>
      <c r="C189" s="210" t="s">
        <v>218</v>
      </c>
      <c r="D189" s="193"/>
    </row>
    <row r="190" spans="1:5" ht="17.55" customHeight="1" x14ac:dyDescent="0.4">
      <c r="A190" s="665"/>
      <c r="B190" s="657"/>
      <c r="C190" s="202" t="s">
        <v>30</v>
      </c>
      <c r="D190" s="193"/>
    </row>
    <row r="191" spans="1:5" ht="52.2" x14ac:dyDescent="0.4">
      <c r="A191" s="665"/>
      <c r="B191" s="657"/>
      <c r="C191" s="210" t="s">
        <v>66</v>
      </c>
      <c r="D191" s="193"/>
    </row>
    <row r="192" spans="1:5" ht="17.850000000000001" customHeight="1" x14ac:dyDescent="0.4">
      <c r="A192" s="665"/>
      <c r="B192" s="657">
        <v>32009</v>
      </c>
      <c r="C192" s="202" t="s">
        <v>28</v>
      </c>
      <c r="D192" s="278"/>
    </row>
    <row r="193" spans="1:5" ht="54" x14ac:dyDescent="0.4">
      <c r="A193" s="665"/>
      <c r="B193" s="657"/>
      <c r="C193" s="211" t="s">
        <v>358</v>
      </c>
      <c r="D193" s="194">
        <f>+'Հավելված N 4'!G305</f>
        <v>-224588.6</v>
      </c>
      <c r="E193" s="38"/>
    </row>
    <row r="194" spans="1:5" ht="17.55" customHeight="1" x14ac:dyDescent="0.4">
      <c r="A194" s="665"/>
      <c r="B194" s="657"/>
      <c r="C194" s="202" t="s">
        <v>29</v>
      </c>
      <c r="D194" s="193"/>
    </row>
    <row r="195" spans="1:5" ht="52.2" x14ac:dyDescent="0.4">
      <c r="A195" s="665"/>
      <c r="B195" s="657"/>
      <c r="C195" s="210" t="s">
        <v>377</v>
      </c>
      <c r="D195" s="193"/>
    </row>
    <row r="196" spans="1:5" ht="17.55" customHeight="1" x14ac:dyDescent="0.4">
      <c r="A196" s="665"/>
      <c r="B196" s="657"/>
      <c r="C196" s="202" t="s">
        <v>30</v>
      </c>
      <c r="D196" s="193"/>
    </row>
    <row r="197" spans="1:5" ht="52.2" x14ac:dyDescent="0.4">
      <c r="A197" s="665"/>
      <c r="B197" s="657"/>
      <c r="C197" s="210" t="s">
        <v>66</v>
      </c>
      <c r="D197" s="193"/>
    </row>
    <row r="198" spans="1:5" ht="17.850000000000001" customHeight="1" x14ac:dyDescent="0.4">
      <c r="A198" s="665"/>
      <c r="B198" s="657">
        <v>32012</v>
      </c>
      <c r="C198" s="202" t="s">
        <v>28</v>
      </c>
      <c r="D198" s="278"/>
    </row>
    <row r="199" spans="1:5" ht="36" x14ac:dyDescent="0.4">
      <c r="A199" s="665"/>
      <c r="B199" s="657"/>
      <c r="C199" s="211" t="s">
        <v>571</v>
      </c>
      <c r="D199" s="194">
        <f>+'Հավելված N 4'!G314</f>
        <v>-594726.70000000007</v>
      </c>
      <c r="E199" s="38"/>
    </row>
    <row r="200" spans="1:5" ht="17.55" customHeight="1" x14ac:dyDescent="0.4">
      <c r="A200" s="665"/>
      <c r="B200" s="657"/>
      <c r="C200" s="202" t="s">
        <v>29</v>
      </c>
      <c r="D200" s="193"/>
    </row>
    <row r="201" spans="1:5" ht="34.799999999999997" x14ac:dyDescent="0.4">
      <c r="A201" s="665"/>
      <c r="B201" s="657"/>
      <c r="C201" s="210" t="s">
        <v>1157</v>
      </c>
      <c r="D201" s="193"/>
    </row>
    <row r="202" spans="1:5" ht="17.55" customHeight="1" x14ac:dyDescent="0.4">
      <c r="A202" s="665"/>
      <c r="B202" s="657"/>
      <c r="C202" s="202" t="s">
        <v>30</v>
      </c>
      <c r="D202" s="193"/>
    </row>
    <row r="203" spans="1:5" ht="52.2" x14ac:dyDescent="0.4">
      <c r="A203" s="665"/>
      <c r="B203" s="657"/>
      <c r="C203" s="210" t="s">
        <v>66</v>
      </c>
      <c r="D203" s="193"/>
    </row>
    <row r="204" spans="1:5" ht="17.850000000000001" customHeight="1" x14ac:dyDescent="0.4">
      <c r="A204" s="665"/>
      <c r="B204" s="657">
        <v>32013</v>
      </c>
      <c r="C204" s="543" t="s">
        <v>28</v>
      </c>
      <c r="D204" s="278"/>
    </row>
    <row r="205" spans="1:5" ht="54" x14ac:dyDescent="0.4">
      <c r="A205" s="665"/>
      <c r="B205" s="657"/>
      <c r="C205" s="544" t="s">
        <v>573</v>
      </c>
      <c r="D205" s="194">
        <f>+'Հավելված N 4'!G334</f>
        <v>-267300</v>
      </c>
      <c r="E205" s="38"/>
    </row>
    <row r="206" spans="1:5" ht="17.55" customHeight="1" x14ac:dyDescent="0.4">
      <c r="A206" s="665"/>
      <c r="B206" s="657"/>
      <c r="C206" s="543" t="s">
        <v>29</v>
      </c>
      <c r="D206" s="193"/>
    </row>
    <row r="207" spans="1:5" ht="87" x14ac:dyDescent="0.4">
      <c r="A207" s="665"/>
      <c r="B207" s="657"/>
      <c r="C207" s="541" t="s">
        <v>1158</v>
      </c>
      <c r="D207" s="193"/>
    </row>
    <row r="208" spans="1:5" ht="17.55" customHeight="1" x14ac:dyDescent="0.4">
      <c r="A208" s="665"/>
      <c r="B208" s="657"/>
      <c r="C208" s="543" t="s">
        <v>30</v>
      </c>
      <c r="D208" s="193"/>
    </row>
    <row r="209" spans="1:7" ht="52.2" x14ac:dyDescent="0.4">
      <c r="A209" s="665"/>
      <c r="B209" s="657"/>
      <c r="C209" s="541" t="s">
        <v>66</v>
      </c>
      <c r="D209" s="193"/>
    </row>
    <row r="210" spans="1:7" ht="8.1" customHeight="1" x14ac:dyDescent="0.4">
      <c r="A210" s="13"/>
      <c r="B210" s="13"/>
      <c r="C210" s="274"/>
      <c r="D210" s="46"/>
    </row>
    <row r="211" spans="1:7" s="28" customFormat="1" ht="34.950000000000003" customHeight="1" x14ac:dyDescent="0.3">
      <c r="A211" s="193"/>
      <c r="B211" s="193"/>
      <c r="C211" s="250" t="s">
        <v>193</v>
      </c>
      <c r="D211" s="7">
        <f>+D213</f>
        <v>14481218.200000001</v>
      </c>
      <c r="E211" s="280"/>
      <c r="F211" s="281"/>
      <c r="G211" s="281"/>
    </row>
    <row r="212" spans="1:7" ht="18" x14ac:dyDescent="0.4">
      <c r="A212" s="643">
        <v>1139</v>
      </c>
      <c r="B212" s="664"/>
      <c r="C212" s="37" t="s">
        <v>25</v>
      </c>
      <c r="D212" s="10"/>
    </row>
    <row r="213" spans="1:7" ht="18" x14ac:dyDescent="0.4">
      <c r="A213" s="644"/>
      <c r="B213" s="661"/>
      <c r="C213" s="250" t="s">
        <v>197</v>
      </c>
      <c r="D213" s="7">
        <f>+D220+D226</f>
        <v>14481218.200000001</v>
      </c>
    </row>
    <row r="214" spans="1:7" ht="18" x14ac:dyDescent="0.4">
      <c r="A214" s="644"/>
      <c r="B214" s="661"/>
      <c r="C214" s="257" t="s">
        <v>26</v>
      </c>
      <c r="D214" s="29"/>
    </row>
    <row r="215" spans="1:7" ht="52.2" x14ac:dyDescent="0.4">
      <c r="A215" s="644"/>
      <c r="B215" s="661"/>
      <c r="C215" s="271" t="s">
        <v>219</v>
      </c>
      <c r="D215" s="29"/>
    </row>
    <row r="216" spans="1:7" ht="18" x14ac:dyDescent="0.4">
      <c r="A216" s="644"/>
      <c r="B216" s="661"/>
      <c r="C216" s="257" t="s">
        <v>27</v>
      </c>
      <c r="D216" s="29"/>
    </row>
    <row r="217" spans="1:7" ht="34.799999999999997" x14ac:dyDescent="0.4">
      <c r="A217" s="644"/>
      <c r="B217" s="661"/>
      <c r="C217" s="272" t="s">
        <v>220</v>
      </c>
      <c r="D217" s="29"/>
    </row>
    <row r="218" spans="1:7" s="27" customFormat="1" ht="24" customHeight="1" x14ac:dyDescent="0.4">
      <c r="A218" s="644"/>
      <c r="B218" s="163"/>
      <c r="C218" s="164" t="s">
        <v>46</v>
      </c>
      <c r="D218" s="29"/>
    </row>
    <row r="219" spans="1:7" ht="18" x14ac:dyDescent="0.4">
      <c r="A219" s="644"/>
      <c r="B219" s="662" t="s">
        <v>221</v>
      </c>
      <c r="C219" s="257" t="s">
        <v>28</v>
      </c>
      <c r="D219" s="29"/>
    </row>
    <row r="220" spans="1:7" ht="18" x14ac:dyDescent="0.4">
      <c r="A220" s="644"/>
      <c r="B220" s="662"/>
      <c r="C220" s="273" t="s">
        <v>197</v>
      </c>
      <c r="D220" s="29">
        <f>+'Հավելված N 4'!G355</f>
        <v>14531201.9</v>
      </c>
    </row>
    <row r="221" spans="1:7" ht="18" x14ac:dyDescent="0.4">
      <c r="A221" s="644"/>
      <c r="B221" s="662"/>
      <c r="C221" s="257" t="s">
        <v>29</v>
      </c>
      <c r="D221" s="29"/>
    </row>
    <row r="222" spans="1:7" ht="69.599999999999994" x14ac:dyDescent="0.4">
      <c r="A222" s="644"/>
      <c r="B222" s="662"/>
      <c r="C222" s="271" t="s">
        <v>222</v>
      </c>
      <c r="D222" s="42"/>
    </row>
    <row r="223" spans="1:7" x14ac:dyDescent="0.4">
      <c r="A223" s="644"/>
      <c r="B223" s="662"/>
      <c r="C223" s="257" t="s">
        <v>30</v>
      </c>
      <c r="D223" s="42"/>
    </row>
    <row r="224" spans="1:7" x14ac:dyDescent="0.4">
      <c r="A224" s="644"/>
      <c r="B224" s="662"/>
      <c r="C224" s="271" t="s">
        <v>31</v>
      </c>
      <c r="D224" s="42"/>
    </row>
    <row r="225" spans="1:4" ht="18" x14ac:dyDescent="0.4">
      <c r="A225" s="644"/>
      <c r="B225" s="662" t="s">
        <v>221</v>
      </c>
      <c r="C225" s="257" t="s">
        <v>28</v>
      </c>
      <c r="D225" s="29"/>
    </row>
    <row r="226" spans="1:4" ht="18" x14ac:dyDescent="0.4">
      <c r="A226" s="644"/>
      <c r="B226" s="662"/>
      <c r="C226" s="273" t="s">
        <v>197</v>
      </c>
      <c r="D226" s="29">
        <f>+'Հավելված N 4'!G363</f>
        <v>-49983.7</v>
      </c>
    </row>
    <row r="227" spans="1:4" ht="18" x14ac:dyDescent="0.4">
      <c r="A227" s="644"/>
      <c r="B227" s="662"/>
      <c r="C227" s="257" t="s">
        <v>29</v>
      </c>
      <c r="D227" s="29"/>
    </row>
    <row r="228" spans="1:4" ht="69.599999999999994" x14ac:dyDescent="0.4">
      <c r="A228" s="644"/>
      <c r="B228" s="662"/>
      <c r="C228" s="271" t="s">
        <v>222</v>
      </c>
      <c r="D228" s="42"/>
    </row>
    <row r="229" spans="1:4" x14ac:dyDescent="0.4">
      <c r="A229" s="644"/>
      <c r="B229" s="662"/>
      <c r="C229" s="257" t="s">
        <v>30</v>
      </c>
      <c r="D229" s="42"/>
    </row>
    <row r="230" spans="1:4" x14ac:dyDescent="0.4">
      <c r="A230" s="645"/>
      <c r="B230" s="662"/>
      <c r="C230" s="271" t="s">
        <v>31</v>
      </c>
      <c r="D230" s="42"/>
    </row>
  </sheetData>
  <mergeCells count="50">
    <mergeCell ref="B225:B230"/>
    <mergeCell ref="A212:A230"/>
    <mergeCell ref="A117:A135"/>
    <mergeCell ref="B117:B122"/>
    <mergeCell ref="B124:B129"/>
    <mergeCell ref="B130:B135"/>
    <mergeCell ref="B149:B154"/>
    <mergeCell ref="B212:B217"/>
    <mergeCell ref="B219:B224"/>
    <mergeCell ref="B136:B141"/>
    <mergeCell ref="B143:B148"/>
    <mergeCell ref="A136:A148"/>
    <mergeCell ref="B198:B203"/>
    <mergeCell ref="B204:B209"/>
    <mergeCell ref="A155:A209"/>
    <mergeCell ref="B180:B185"/>
    <mergeCell ref="B192:B197"/>
    <mergeCell ref="B104:B109"/>
    <mergeCell ref="B111:B116"/>
    <mergeCell ref="B155:B160"/>
    <mergeCell ref="B162:B167"/>
    <mergeCell ref="B168:B173"/>
    <mergeCell ref="B174:B179"/>
    <mergeCell ref="B72:B77"/>
    <mergeCell ref="A59:A77"/>
    <mergeCell ref="A34:A58"/>
    <mergeCell ref="B41:B46"/>
    <mergeCell ref="B186:B191"/>
    <mergeCell ref="A91:A103"/>
    <mergeCell ref="B91:B96"/>
    <mergeCell ref="B98:B103"/>
    <mergeCell ref="A78:A90"/>
    <mergeCell ref="B78:B83"/>
    <mergeCell ref="B85:B90"/>
    <mergeCell ref="A104:A116"/>
    <mergeCell ref="C1:D1"/>
    <mergeCell ref="C2:D2"/>
    <mergeCell ref="C3:D3"/>
    <mergeCell ref="C10:C11"/>
    <mergeCell ref="A6:D6"/>
    <mergeCell ref="A10:B10"/>
    <mergeCell ref="B59:B64"/>
    <mergeCell ref="B66:B71"/>
    <mergeCell ref="B15:B20"/>
    <mergeCell ref="B22:B27"/>
    <mergeCell ref="B28:B33"/>
    <mergeCell ref="A15:A33"/>
    <mergeCell ref="B34:B39"/>
    <mergeCell ref="B47:B52"/>
    <mergeCell ref="B53:B58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0"/>
  <sheetViews>
    <sheetView tabSelected="1" zoomScale="70" zoomScaleNormal="70" zoomScaleSheetLayoutView="100" workbookViewId="0">
      <selection activeCell="G334" sqref="G334"/>
    </sheetView>
  </sheetViews>
  <sheetFormatPr defaultColWidth="9.109375" defaultRowHeight="17.399999999999999" x14ac:dyDescent="0.4"/>
  <cols>
    <col min="1" max="3" width="8.109375" style="8" customWidth="1"/>
    <col min="4" max="4" width="11.5546875" style="8" customWidth="1"/>
    <col min="5" max="5" width="13.88671875" style="8" customWidth="1"/>
    <col min="6" max="6" width="62.109375" style="8" customWidth="1"/>
    <col min="7" max="7" width="37.44140625" style="8" customWidth="1"/>
    <col min="8" max="8" width="21.77734375" style="8" customWidth="1"/>
    <col min="9" max="16384" width="9.109375" style="8"/>
  </cols>
  <sheetData>
    <row r="1" spans="1:8" s="461" customFormat="1" ht="37.5" customHeight="1" x14ac:dyDescent="0.3">
      <c r="F1" s="646" t="s">
        <v>84</v>
      </c>
      <c r="G1" s="646"/>
    </row>
    <row r="2" spans="1:8" s="462" customFormat="1" ht="17.55" customHeight="1" x14ac:dyDescent="0.4">
      <c r="F2" s="647" t="s">
        <v>125</v>
      </c>
      <c r="G2" s="647"/>
    </row>
    <row r="3" spans="1:8" s="462" customFormat="1" ht="17.55" customHeight="1" x14ac:dyDescent="0.4">
      <c r="F3" s="647" t="s">
        <v>7</v>
      </c>
      <c r="G3" s="647"/>
    </row>
    <row r="4" spans="1:8" ht="13.65" customHeight="1" x14ac:dyDescent="0.4"/>
    <row r="5" spans="1:8" ht="52.5" customHeight="1" x14ac:dyDescent="0.4">
      <c r="A5" s="650" t="s">
        <v>202</v>
      </c>
      <c r="B5" s="650"/>
      <c r="C5" s="650"/>
      <c r="D5" s="650"/>
      <c r="E5" s="650"/>
      <c r="F5" s="650"/>
      <c r="G5" s="650"/>
    </row>
    <row r="8" spans="1:8" x14ac:dyDescent="0.4">
      <c r="G8" s="462" t="s">
        <v>21</v>
      </c>
    </row>
    <row r="9" spans="1:8" s="27" customFormat="1" ht="93.45" customHeight="1" x14ac:dyDescent="0.3">
      <c r="A9" s="671" t="s">
        <v>22</v>
      </c>
      <c r="B9" s="671"/>
      <c r="C9" s="671"/>
      <c r="D9" s="671" t="s">
        <v>10</v>
      </c>
      <c r="E9" s="671"/>
      <c r="F9" s="671" t="s">
        <v>16</v>
      </c>
      <c r="G9" s="517" t="s">
        <v>103</v>
      </c>
    </row>
    <row r="10" spans="1:8" s="27" customFormat="1" ht="34.799999999999997" x14ac:dyDescent="0.3">
      <c r="A10" s="465" t="s">
        <v>104</v>
      </c>
      <c r="B10" s="465" t="s">
        <v>105</v>
      </c>
      <c r="C10" s="465" t="s">
        <v>23</v>
      </c>
      <c r="D10" s="465" t="s">
        <v>13</v>
      </c>
      <c r="E10" s="465" t="s">
        <v>52</v>
      </c>
      <c r="F10" s="671"/>
      <c r="G10" s="465" t="s">
        <v>12</v>
      </c>
    </row>
    <row r="11" spans="1:8" s="27" customFormat="1" ht="34.950000000000003" customHeight="1" x14ac:dyDescent="0.3">
      <c r="A11" s="104"/>
      <c r="B11" s="104"/>
      <c r="C11" s="104"/>
      <c r="D11" s="465"/>
      <c r="E11" s="465"/>
      <c r="F11" s="459" t="s">
        <v>20</v>
      </c>
      <c r="G11" s="25">
        <f>+G13+G344</f>
        <v>7503.5300000030547</v>
      </c>
      <c r="H11" s="534"/>
    </row>
    <row r="12" spans="1:8" s="27" customFormat="1" ht="18" x14ac:dyDescent="0.3">
      <c r="A12" s="104"/>
      <c r="B12" s="104"/>
      <c r="C12" s="104"/>
      <c r="D12" s="465"/>
      <c r="E12" s="465"/>
      <c r="F12" s="104" t="s">
        <v>58</v>
      </c>
      <c r="G12" s="7"/>
      <c r="H12" s="534"/>
    </row>
    <row r="13" spans="1:8" s="27" customFormat="1" ht="36" x14ac:dyDescent="0.3">
      <c r="A13" s="78"/>
      <c r="B13" s="67"/>
      <c r="C13" s="67"/>
      <c r="D13" s="79"/>
      <c r="E13" s="79"/>
      <c r="F13" s="459" t="s">
        <v>55</v>
      </c>
      <c r="G13" s="7">
        <f>+G14+G33+G104</f>
        <v>-14473714.669999998</v>
      </c>
      <c r="H13" s="534"/>
    </row>
    <row r="14" spans="1:8" s="27" customFormat="1" ht="36" x14ac:dyDescent="0.3">
      <c r="A14" s="666" t="s">
        <v>1127</v>
      </c>
      <c r="B14" s="668"/>
      <c r="C14" s="673"/>
      <c r="D14" s="529"/>
      <c r="E14" s="291"/>
      <c r="F14" s="456" t="s">
        <v>1129</v>
      </c>
      <c r="G14" s="148">
        <f>+G16</f>
        <v>-3200000</v>
      </c>
    </row>
    <row r="15" spans="1:8" s="27" customFormat="1" ht="16.95" customHeight="1" x14ac:dyDescent="0.3">
      <c r="A15" s="667"/>
      <c r="B15" s="668"/>
      <c r="C15" s="674"/>
      <c r="D15" s="295"/>
      <c r="E15" s="292"/>
      <c r="F15" s="149" t="s">
        <v>17</v>
      </c>
      <c r="G15" s="150"/>
    </row>
    <row r="16" spans="1:8" s="27" customFormat="1" ht="18" x14ac:dyDescent="0.3">
      <c r="A16" s="667"/>
      <c r="B16" s="666" t="s">
        <v>1130</v>
      </c>
      <c r="C16" s="674"/>
      <c r="D16" s="295"/>
      <c r="E16" s="292"/>
      <c r="F16" s="456" t="s">
        <v>1131</v>
      </c>
      <c r="G16" s="151">
        <f>+G18</f>
        <v>-3200000</v>
      </c>
    </row>
    <row r="17" spans="1:13" s="27" customFormat="1" ht="16.95" customHeight="1" x14ac:dyDescent="0.3">
      <c r="A17" s="667"/>
      <c r="B17" s="667"/>
      <c r="C17" s="664"/>
      <c r="D17" s="295"/>
      <c r="E17" s="292"/>
      <c r="F17" s="149" t="s">
        <v>17</v>
      </c>
      <c r="G17" s="150"/>
    </row>
    <row r="18" spans="1:13" s="27" customFormat="1" ht="18" x14ac:dyDescent="0.3">
      <c r="A18" s="667"/>
      <c r="B18" s="667"/>
      <c r="C18" s="666" t="s">
        <v>1127</v>
      </c>
      <c r="D18" s="295"/>
      <c r="E18" s="292"/>
      <c r="F18" s="456" t="s">
        <v>1131</v>
      </c>
      <c r="G18" s="151">
        <f>+G20</f>
        <v>-3200000</v>
      </c>
      <c r="H18" s="28"/>
      <c r="I18" s="28"/>
      <c r="J18" s="28"/>
      <c r="K18" s="28"/>
      <c r="L18" s="28"/>
      <c r="M18" s="28"/>
    </row>
    <row r="19" spans="1:13" s="27" customFormat="1" ht="16.95" customHeight="1" x14ac:dyDescent="0.3">
      <c r="A19" s="667"/>
      <c r="B19" s="667"/>
      <c r="C19" s="667"/>
      <c r="D19" s="295"/>
      <c r="E19" s="292"/>
      <c r="F19" s="149" t="s">
        <v>17</v>
      </c>
      <c r="G19" s="152"/>
      <c r="H19" s="28"/>
      <c r="I19" s="28"/>
      <c r="J19" s="28"/>
      <c r="K19" s="28"/>
      <c r="L19" s="28"/>
      <c r="M19" s="28"/>
    </row>
    <row r="20" spans="1:13" s="27" customFormat="1" ht="34.799999999999997" x14ac:dyDescent="0.3">
      <c r="A20" s="667"/>
      <c r="B20" s="667"/>
      <c r="C20" s="667"/>
      <c r="D20" s="295"/>
      <c r="E20" s="292"/>
      <c r="F20" s="153" t="s">
        <v>39</v>
      </c>
      <c r="G20" s="251">
        <f>+G22</f>
        <v>-3200000</v>
      </c>
      <c r="H20" s="28"/>
      <c r="I20" s="28"/>
      <c r="J20" s="28"/>
      <c r="K20" s="28"/>
      <c r="L20" s="28"/>
      <c r="M20" s="28"/>
    </row>
    <row r="21" spans="1:13" s="27" customFormat="1" ht="16.95" customHeight="1" x14ac:dyDescent="0.3">
      <c r="A21" s="667"/>
      <c r="B21" s="667"/>
      <c r="C21" s="667"/>
      <c r="D21" s="295"/>
      <c r="E21" s="292"/>
      <c r="F21" s="522" t="s">
        <v>17</v>
      </c>
      <c r="G21" s="152"/>
      <c r="H21" s="28"/>
      <c r="I21" s="28"/>
      <c r="J21" s="28"/>
      <c r="K21" s="28"/>
      <c r="L21" s="28"/>
      <c r="M21" s="28"/>
    </row>
    <row r="22" spans="1:13" s="27" customFormat="1" ht="18" x14ac:dyDescent="0.3">
      <c r="A22" s="667"/>
      <c r="B22" s="667"/>
      <c r="C22" s="667"/>
      <c r="D22" s="643">
        <v>1162</v>
      </c>
      <c r="E22" s="678" t="s">
        <v>1132</v>
      </c>
      <c r="F22" s="678"/>
      <c r="G22" s="148">
        <f>+G24</f>
        <v>-3200000</v>
      </c>
      <c r="H22" s="28"/>
      <c r="I22" s="28"/>
      <c r="J22" s="28"/>
      <c r="K22" s="28"/>
      <c r="L22" s="28"/>
      <c r="M22" s="28"/>
    </row>
    <row r="23" spans="1:13" s="27" customFormat="1" ht="16.95" customHeight="1" x14ac:dyDescent="0.3">
      <c r="A23" s="667"/>
      <c r="B23" s="667"/>
      <c r="C23" s="667"/>
      <c r="D23" s="644"/>
      <c r="E23" s="292"/>
      <c r="F23" s="523" t="s">
        <v>17</v>
      </c>
      <c r="G23" s="148"/>
      <c r="H23" s="28"/>
      <c r="I23" s="28"/>
      <c r="J23" s="28"/>
      <c r="K23" s="28"/>
      <c r="L23" s="28"/>
      <c r="M23" s="28"/>
    </row>
    <row r="24" spans="1:13" s="27" customFormat="1" ht="72" x14ac:dyDescent="0.3">
      <c r="A24" s="667"/>
      <c r="B24" s="667"/>
      <c r="C24" s="667"/>
      <c r="D24" s="644"/>
      <c r="E24" s="524">
        <v>32004</v>
      </c>
      <c r="F24" s="456" t="s">
        <v>1133</v>
      </c>
      <c r="G24" s="860">
        <f t="shared" ref="G24" si="0">+G26</f>
        <v>-3200000</v>
      </c>
      <c r="H24" s="28"/>
      <c r="I24" s="28"/>
      <c r="J24" s="28"/>
      <c r="K24" s="28"/>
      <c r="L24" s="28"/>
      <c r="M24" s="28"/>
    </row>
    <row r="25" spans="1:13" s="27" customFormat="1" x14ac:dyDescent="0.3">
      <c r="A25" s="667"/>
      <c r="B25" s="667"/>
      <c r="C25" s="667"/>
      <c r="D25" s="644"/>
      <c r="E25" s="677"/>
      <c r="F25" s="149" t="s">
        <v>54</v>
      </c>
      <c r="G25" s="150"/>
    </row>
    <row r="26" spans="1:13" s="30" customFormat="1" ht="52.2" x14ac:dyDescent="0.3">
      <c r="A26" s="667"/>
      <c r="B26" s="667"/>
      <c r="C26" s="667"/>
      <c r="D26" s="644"/>
      <c r="E26" s="677"/>
      <c r="F26" s="155" t="s">
        <v>1090</v>
      </c>
      <c r="G26" s="156">
        <f>+G28</f>
        <v>-3200000</v>
      </c>
    </row>
    <row r="27" spans="1:13" s="27" customFormat="1" ht="34.799999999999997" x14ac:dyDescent="0.3">
      <c r="A27" s="667"/>
      <c r="B27" s="667"/>
      <c r="C27" s="667"/>
      <c r="D27" s="644"/>
      <c r="E27" s="677"/>
      <c r="F27" s="149" t="s">
        <v>201</v>
      </c>
      <c r="G27" s="150"/>
    </row>
    <row r="28" spans="1:13" s="27" customFormat="1" ht="16.95" customHeight="1" x14ac:dyDescent="0.3">
      <c r="A28" s="667"/>
      <c r="B28" s="667"/>
      <c r="C28" s="667"/>
      <c r="D28" s="644"/>
      <c r="E28" s="677"/>
      <c r="F28" s="311" t="s">
        <v>18</v>
      </c>
      <c r="G28" s="214">
        <f>+G29</f>
        <v>-3200000</v>
      </c>
    </row>
    <row r="29" spans="1:13" s="27" customFormat="1" ht="16.8" customHeight="1" x14ac:dyDescent="0.3">
      <c r="A29" s="667"/>
      <c r="B29" s="667"/>
      <c r="C29" s="667"/>
      <c r="D29" s="644"/>
      <c r="E29" s="677"/>
      <c r="F29" s="518" t="s">
        <v>90</v>
      </c>
      <c r="G29" s="520">
        <f t="shared" ref="G29:G30" si="1">G30</f>
        <v>-3200000</v>
      </c>
    </row>
    <row r="30" spans="1:13" s="27" customFormat="1" ht="16.8" customHeight="1" x14ac:dyDescent="0.3">
      <c r="A30" s="667"/>
      <c r="B30" s="667"/>
      <c r="C30" s="667"/>
      <c r="D30" s="644"/>
      <c r="E30" s="677"/>
      <c r="F30" s="518" t="s">
        <v>91</v>
      </c>
      <c r="G30" s="520">
        <f t="shared" si="1"/>
        <v>-3200000</v>
      </c>
    </row>
    <row r="31" spans="1:13" s="27" customFormat="1" x14ac:dyDescent="0.3">
      <c r="A31" s="667"/>
      <c r="B31" s="667"/>
      <c r="C31" s="667"/>
      <c r="D31" s="644"/>
      <c r="E31" s="677"/>
      <c r="F31" s="518" t="s">
        <v>1134</v>
      </c>
      <c r="G31" s="520">
        <f t="shared" ref="G31" si="2">+G32</f>
        <v>-3200000</v>
      </c>
    </row>
    <row r="32" spans="1:13" s="27" customFormat="1" x14ac:dyDescent="0.3">
      <c r="A32" s="672"/>
      <c r="B32" s="672"/>
      <c r="C32" s="672"/>
      <c r="D32" s="645"/>
      <c r="E32" s="677"/>
      <c r="F32" s="518" t="s">
        <v>1135</v>
      </c>
      <c r="G32" s="520">
        <f>+'Հավելված N 6'!E109</f>
        <v>-3200000</v>
      </c>
    </row>
    <row r="33" spans="1:13" s="27" customFormat="1" ht="17.55" customHeight="1" x14ac:dyDescent="0.3">
      <c r="A33" s="666" t="s">
        <v>130</v>
      </c>
      <c r="B33" s="668"/>
      <c r="C33" s="673"/>
      <c r="D33" s="529"/>
      <c r="E33" s="291"/>
      <c r="F33" s="456" t="s">
        <v>131</v>
      </c>
      <c r="G33" s="148">
        <f>+G35</f>
        <v>-467972.7</v>
      </c>
    </row>
    <row r="34" spans="1:13" s="27" customFormat="1" ht="16.95" customHeight="1" x14ac:dyDescent="0.3">
      <c r="A34" s="667"/>
      <c r="B34" s="668"/>
      <c r="C34" s="674"/>
      <c r="D34" s="295"/>
      <c r="E34" s="292"/>
      <c r="F34" s="149" t="s">
        <v>17</v>
      </c>
      <c r="G34" s="150"/>
    </row>
    <row r="35" spans="1:13" s="27" customFormat="1" ht="18" x14ac:dyDescent="0.3">
      <c r="A35" s="667"/>
      <c r="B35" s="666" t="s">
        <v>121</v>
      </c>
      <c r="C35" s="674"/>
      <c r="D35" s="295"/>
      <c r="E35" s="292"/>
      <c r="F35" s="456" t="s">
        <v>190</v>
      </c>
      <c r="G35" s="151">
        <f>+G37+G65+G89</f>
        <v>-467972.7</v>
      </c>
    </row>
    <row r="36" spans="1:13" s="27" customFormat="1" ht="16.95" customHeight="1" x14ac:dyDescent="0.3">
      <c r="A36" s="667"/>
      <c r="B36" s="667"/>
      <c r="C36" s="664"/>
      <c r="D36" s="295"/>
      <c r="E36" s="292"/>
      <c r="F36" s="149" t="s">
        <v>17</v>
      </c>
      <c r="G36" s="150"/>
    </row>
    <row r="37" spans="1:13" s="27" customFormat="1" ht="18" x14ac:dyDescent="0.3">
      <c r="A37" s="667"/>
      <c r="B37" s="667"/>
      <c r="C37" s="666" t="s">
        <v>121</v>
      </c>
      <c r="D37" s="295"/>
      <c r="E37" s="292"/>
      <c r="F37" s="456" t="s">
        <v>165</v>
      </c>
      <c r="G37" s="151">
        <f>+G39</f>
        <v>-127568.40000000002</v>
      </c>
      <c r="H37" s="28"/>
      <c r="I37" s="28"/>
      <c r="J37" s="28"/>
      <c r="K37" s="28"/>
      <c r="L37" s="28"/>
      <c r="M37" s="28"/>
    </row>
    <row r="38" spans="1:13" s="27" customFormat="1" ht="16.95" customHeight="1" x14ac:dyDescent="0.3">
      <c r="A38" s="667"/>
      <c r="B38" s="667"/>
      <c r="C38" s="667"/>
      <c r="D38" s="295"/>
      <c r="E38" s="292"/>
      <c r="F38" s="149" t="s">
        <v>17</v>
      </c>
      <c r="G38" s="152"/>
      <c r="H38" s="28"/>
      <c r="I38" s="28"/>
      <c r="J38" s="28"/>
      <c r="K38" s="28"/>
      <c r="L38" s="28"/>
      <c r="M38" s="28"/>
    </row>
    <row r="39" spans="1:13" s="27" customFormat="1" ht="34.799999999999997" x14ac:dyDescent="0.3">
      <c r="A39" s="667"/>
      <c r="B39" s="667"/>
      <c r="C39" s="667"/>
      <c r="D39" s="295"/>
      <c r="E39" s="292"/>
      <c r="F39" s="153" t="s">
        <v>39</v>
      </c>
      <c r="G39" s="251">
        <f>+G41</f>
        <v>-127568.40000000002</v>
      </c>
      <c r="H39" s="28"/>
      <c r="I39" s="28"/>
      <c r="J39" s="28"/>
      <c r="K39" s="28"/>
      <c r="L39" s="28"/>
      <c r="M39" s="28"/>
    </row>
    <row r="40" spans="1:13" s="27" customFormat="1" ht="16.95" customHeight="1" x14ac:dyDescent="0.3">
      <c r="A40" s="667"/>
      <c r="B40" s="667"/>
      <c r="C40" s="667"/>
      <c r="D40" s="296"/>
      <c r="E40" s="293"/>
      <c r="F40" s="149" t="s">
        <v>17</v>
      </c>
      <c r="G40" s="152"/>
      <c r="H40" s="28"/>
      <c r="I40" s="28"/>
      <c r="J40" s="28"/>
      <c r="K40" s="28"/>
      <c r="L40" s="28"/>
      <c r="M40" s="28"/>
    </row>
    <row r="41" spans="1:13" s="27" customFormat="1" ht="18" x14ac:dyDescent="0.3">
      <c r="A41" s="667"/>
      <c r="B41" s="667"/>
      <c r="C41" s="667"/>
      <c r="D41" s="643">
        <v>1075</v>
      </c>
      <c r="E41" s="653" t="s">
        <v>191</v>
      </c>
      <c r="F41" s="653"/>
      <c r="G41" s="148">
        <f>+G43+G56</f>
        <v>-127568.40000000002</v>
      </c>
      <c r="H41" s="28"/>
      <c r="I41" s="28"/>
      <c r="J41" s="28"/>
      <c r="K41" s="28"/>
      <c r="L41" s="28"/>
      <c r="M41" s="28"/>
    </row>
    <row r="42" spans="1:13" s="27" customFormat="1" ht="16.95" customHeight="1" x14ac:dyDescent="0.4">
      <c r="A42" s="667"/>
      <c r="B42" s="667"/>
      <c r="C42" s="667"/>
      <c r="D42" s="644"/>
      <c r="E42" s="154"/>
      <c r="F42" s="149" t="s">
        <v>17</v>
      </c>
      <c r="G42" s="148"/>
      <c r="H42" s="28"/>
      <c r="I42" s="28"/>
      <c r="J42" s="28"/>
      <c r="K42" s="28"/>
      <c r="L42" s="28"/>
      <c r="M42" s="28"/>
    </row>
    <row r="43" spans="1:13" s="27" customFormat="1" ht="36" x14ac:dyDescent="0.3">
      <c r="A43" s="667"/>
      <c r="B43" s="667"/>
      <c r="C43" s="667"/>
      <c r="D43" s="644"/>
      <c r="E43" s="457">
        <v>32001</v>
      </c>
      <c r="F43" s="456" t="s">
        <v>166</v>
      </c>
      <c r="G43" s="860">
        <f t="shared" ref="G43" si="3">+G45</f>
        <v>-130536.40000000002</v>
      </c>
      <c r="H43" s="28"/>
      <c r="I43" s="28"/>
      <c r="J43" s="28"/>
      <c r="K43" s="28"/>
      <c r="L43" s="28"/>
      <c r="M43" s="28"/>
    </row>
    <row r="44" spans="1:13" s="27" customFormat="1" x14ac:dyDescent="0.3">
      <c r="A44" s="667"/>
      <c r="B44" s="667"/>
      <c r="C44" s="667"/>
      <c r="D44" s="644"/>
      <c r="E44" s="669"/>
      <c r="F44" s="149" t="s">
        <v>54</v>
      </c>
      <c r="G44" s="150"/>
    </row>
    <row r="45" spans="1:13" s="30" customFormat="1" ht="36.6" customHeight="1" x14ac:dyDescent="0.3">
      <c r="A45" s="667"/>
      <c r="B45" s="667"/>
      <c r="C45" s="667"/>
      <c r="D45" s="644"/>
      <c r="E45" s="670"/>
      <c r="F45" s="155" t="s">
        <v>39</v>
      </c>
      <c r="G45" s="156">
        <f>+G47</f>
        <v>-130536.40000000002</v>
      </c>
    </row>
    <row r="46" spans="1:13" s="27" customFormat="1" ht="52.2" x14ac:dyDescent="0.3">
      <c r="A46" s="667"/>
      <c r="B46" s="667"/>
      <c r="C46" s="667"/>
      <c r="D46" s="644"/>
      <c r="E46" s="670"/>
      <c r="F46" s="149" t="s">
        <v>44</v>
      </c>
      <c r="G46" s="150"/>
    </row>
    <row r="47" spans="1:13" s="27" customFormat="1" ht="16.95" customHeight="1" x14ac:dyDescent="0.3">
      <c r="A47" s="667"/>
      <c r="B47" s="667"/>
      <c r="C47" s="667"/>
      <c r="D47" s="644"/>
      <c r="E47" s="670"/>
      <c r="F47" s="311" t="s">
        <v>18</v>
      </c>
      <c r="G47" s="214">
        <f>+G48+G52</f>
        <v>-130536.40000000002</v>
      </c>
    </row>
    <row r="48" spans="1:13" s="27" customFormat="1" ht="16.8" customHeight="1" x14ac:dyDescent="0.3">
      <c r="A48" s="667"/>
      <c r="B48" s="667"/>
      <c r="C48" s="667"/>
      <c r="D48" s="644"/>
      <c r="E48" s="670"/>
      <c r="F48" s="518" t="s">
        <v>1120</v>
      </c>
      <c r="G48" s="520">
        <f t="shared" ref="G48:G49" si="4">G49</f>
        <v>50000</v>
      </c>
    </row>
    <row r="49" spans="1:13" s="27" customFormat="1" ht="16.8" customHeight="1" x14ac:dyDescent="0.3">
      <c r="A49" s="667"/>
      <c r="B49" s="667"/>
      <c r="C49" s="667"/>
      <c r="D49" s="644"/>
      <c r="E49" s="670"/>
      <c r="F49" s="518" t="s">
        <v>1121</v>
      </c>
      <c r="G49" s="520">
        <f t="shared" si="4"/>
        <v>50000</v>
      </c>
    </row>
    <row r="50" spans="1:13" s="27" customFormat="1" ht="34.799999999999997" x14ac:dyDescent="0.3">
      <c r="A50" s="667"/>
      <c r="B50" s="667"/>
      <c r="C50" s="667"/>
      <c r="D50" s="644"/>
      <c r="E50" s="670"/>
      <c r="F50" s="518" t="s">
        <v>1122</v>
      </c>
      <c r="G50" s="520">
        <f>+G51</f>
        <v>50000</v>
      </c>
    </row>
    <row r="51" spans="1:13" s="27" customFormat="1" x14ac:dyDescent="0.3">
      <c r="A51" s="667"/>
      <c r="B51" s="667"/>
      <c r="C51" s="667"/>
      <c r="D51" s="644"/>
      <c r="E51" s="670"/>
      <c r="F51" s="518" t="s">
        <v>1124</v>
      </c>
      <c r="G51" s="520">
        <f>+'Հավելված N 7'!G16</f>
        <v>50000</v>
      </c>
    </row>
    <row r="52" spans="1:13" s="27" customFormat="1" ht="16.95" customHeight="1" x14ac:dyDescent="0.3">
      <c r="A52" s="667"/>
      <c r="B52" s="667"/>
      <c r="C52" s="667"/>
      <c r="D52" s="644"/>
      <c r="E52" s="670"/>
      <c r="F52" s="127" t="s">
        <v>90</v>
      </c>
      <c r="G52" s="158">
        <f>+G53</f>
        <v>-180536.40000000002</v>
      </c>
    </row>
    <row r="53" spans="1:13" s="27" customFormat="1" x14ac:dyDescent="0.3">
      <c r="A53" s="667"/>
      <c r="B53" s="667"/>
      <c r="C53" s="667"/>
      <c r="D53" s="644"/>
      <c r="E53" s="670"/>
      <c r="F53" s="127" t="s">
        <v>91</v>
      </c>
      <c r="G53" s="158">
        <f>+G54</f>
        <v>-180536.40000000002</v>
      </c>
    </row>
    <row r="54" spans="1:13" s="27" customFormat="1" x14ac:dyDescent="0.3">
      <c r="A54" s="667"/>
      <c r="B54" s="667"/>
      <c r="C54" s="667"/>
      <c r="D54" s="644"/>
      <c r="E54" s="670"/>
      <c r="F54" s="127" t="s">
        <v>92</v>
      </c>
      <c r="G54" s="158">
        <f t="shared" ref="G54" si="5">+G55</f>
        <v>-180536.40000000002</v>
      </c>
    </row>
    <row r="55" spans="1:13" s="27" customFormat="1" x14ac:dyDescent="0.3">
      <c r="A55" s="667"/>
      <c r="B55" s="667"/>
      <c r="C55" s="667"/>
      <c r="D55" s="644"/>
      <c r="E55" s="670"/>
      <c r="F55" s="112" t="s">
        <v>93</v>
      </c>
      <c r="G55" s="158">
        <f>+'Հավելված N 6'!E62</f>
        <v>-180536.40000000002</v>
      </c>
    </row>
    <row r="56" spans="1:13" s="27" customFormat="1" ht="36" x14ac:dyDescent="0.3">
      <c r="A56" s="667"/>
      <c r="B56" s="667"/>
      <c r="C56" s="463"/>
      <c r="D56" s="458"/>
      <c r="E56" s="457">
        <v>32008</v>
      </c>
      <c r="F56" s="456" t="s">
        <v>1098</v>
      </c>
      <c r="G56" s="860">
        <f t="shared" ref="G56" si="6">+G58</f>
        <v>2968</v>
      </c>
      <c r="H56" s="28"/>
      <c r="I56" s="28"/>
      <c r="J56" s="28"/>
      <c r="K56" s="28"/>
      <c r="L56" s="28"/>
      <c r="M56" s="28"/>
    </row>
    <row r="57" spans="1:13" s="27" customFormat="1" ht="18" x14ac:dyDescent="0.4">
      <c r="A57" s="667"/>
      <c r="B57" s="667"/>
      <c r="C57" s="463"/>
      <c r="D57" s="458"/>
      <c r="E57" s="464"/>
      <c r="F57" s="149" t="s">
        <v>54</v>
      </c>
      <c r="G57" s="150"/>
    </row>
    <row r="58" spans="1:13" s="30" customFormat="1" ht="36.6" customHeight="1" x14ac:dyDescent="0.4">
      <c r="A58" s="667"/>
      <c r="B58" s="667"/>
      <c r="C58" s="463"/>
      <c r="D58" s="458"/>
      <c r="E58" s="464"/>
      <c r="F58" s="155" t="s">
        <v>39</v>
      </c>
      <c r="G58" s="156">
        <f>+G60</f>
        <v>2968</v>
      </c>
    </row>
    <row r="59" spans="1:13" s="27" customFormat="1" ht="52.2" x14ac:dyDescent="0.4">
      <c r="A59" s="667"/>
      <c r="B59" s="667"/>
      <c r="C59" s="463"/>
      <c r="D59" s="458"/>
      <c r="E59" s="464"/>
      <c r="F59" s="149" t="s">
        <v>44</v>
      </c>
      <c r="G59" s="150"/>
    </row>
    <row r="60" spans="1:13" s="27" customFormat="1" ht="16.95" customHeight="1" x14ac:dyDescent="0.4">
      <c r="A60" s="667"/>
      <c r="B60" s="667"/>
      <c r="C60" s="463"/>
      <c r="D60" s="458"/>
      <c r="E60" s="464"/>
      <c r="F60" s="311" t="s">
        <v>18</v>
      </c>
      <c r="G60" s="214">
        <f>+G61</f>
        <v>2968</v>
      </c>
    </row>
    <row r="61" spans="1:13" s="27" customFormat="1" ht="16.8" customHeight="1" x14ac:dyDescent="0.4">
      <c r="A61" s="667"/>
      <c r="B61" s="667"/>
      <c r="C61" s="463"/>
      <c r="D61" s="458"/>
      <c r="E61" s="464"/>
      <c r="F61" s="518" t="s">
        <v>1120</v>
      </c>
      <c r="G61" s="520">
        <f t="shared" ref="G61:G62" si="7">G62</f>
        <v>2968</v>
      </c>
    </row>
    <row r="62" spans="1:13" s="27" customFormat="1" ht="16.8" customHeight="1" x14ac:dyDescent="0.4">
      <c r="A62" s="667"/>
      <c r="B62" s="667"/>
      <c r="C62" s="463"/>
      <c r="D62" s="458"/>
      <c r="E62" s="464"/>
      <c r="F62" s="518" t="s">
        <v>1121</v>
      </c>
      <c r="G62" s="520">
        <f t="shared" si="7"/>
        <v>2968</v>
      </c>
    </row>
    <row r="63" spans="1:13" s="27" customFormat="1" ht="34.799999999999997" x14ac:dyDescent="0.4">
      <c r="A63" s="667"/>
      <c r="B63" s="667"/>
      <c r="C63" s="463"/>
      <c r="D63" s="458"/>
      <c r="E63" s="464"/>
      <c r="F63" s="518" t="s">
        <v>1122</v>
      </c>
      <c r="G63" s="520">
        <f t="shared" ref="G63" si="8">+G64</f>
        <v>2968</v>
      </c>
    </row>
    <row r="64" spans="1:13" s="27" customFormat="1" ht="34.799999999999997" x14ac:dyDescent="0.4">
      <c r="A64" s="667"/>
      <c r="B64" s="667"/>
      <c r="C64" s="463"/>
      <c r="D64" s="458"/>
      <c r="E64" s="464"/>
      <c r="F64" s="518" t="s">
        <v>1123</v>
      </c>
      <c r="G64" s="520">
        <f>+'Հավելված N 7'!G17</f>
        <v>2968</v>
      </c>
    </row>
    <row r="65" spans="1:13" s="27" customFormat="1" ht="18" x14ac:dyDescent="0.3">
      <c r="A65" s="667"/>
      <c r="B65" s="667"/>
      <c r="C65" s="666" t="s">
        <v>132</v>
      </c>
      <c r="D65" s="643"/>
      <c r="E65" s="669"/>
      <c r="F65" s="456" t="s">
        <v>154</v>
      </c>
      <c r="G65" s="151">
        <f t="shared" ref="G65" si="9">+G67</f>
        <v>-60026.3</v>
      </c>
      <c r="H65" s="28"/>
      <c r="I65" s="28"/>
      <c r="J65" s="28"/>
      <c r="K65" s="28"/>
      <c r="L65" s="28"/>
      <c r="M65" s="28"/>
    </row>
    <row r="66" spans="1:13" s="27" customFormat="1" ht="16.95" customHeight="1" x14ac:dyDescent="0.3">
      <c r="A66" s="667"/>
      <c r="B66" s="667"/>
      <c r="C66" s="667"/>
      <c r="D66" s="644"/>
      <c r="E66" s="670"/>
      <c r="F66" s="149" t="s">
        <v>17</v>
      </c>
      <c r="G66" s="152"/>
      <c r="H66" s="28"/>
      <c r="I66" s="28"/>
      <c r="J66" s="28"/>
      <c r="K66" s="28"/>
      <c r="L66" s="28"/>
      <c r="M66" s="28"/>
    </row>
    <row r="67" spans="1:13" s="27" customFormat="1" ht="34.799999999999997" x14ac:dyDescent="0.3">
      <c r="A67" s="667"/>
      <c r="B67" s="667"/>
      <c r="C67" s="667"/>
      <c r="D67" s="644"/>
      <c r="E67" s="670"/>
      <c r="F67" s="153" t="s">
        <v>39</v>
      </c>
      <c r="G67" s="251">
        <f>+G69</f>
        <v>-60026.3</v>
      </c>
      <c r="H67" s="28"/>
      <c r="I67" s="28"/>
      <c r="J67" s="28"/>
      <c r="K67" s="28"/>
      <c r="L67" s="28"/>
      <c r="M67" s="28"/>
    </row>
    <row r="68" spans="1:13" s="27" customFormat="1" ht="16.95" customHeight="1" x14ac:dyDescent="0.3">
      <c r="A68" s="667"/>
      <c r="B68" s="667"/>
      <c r="C68" s="667"/>
      <c r="D68" s="645"/>
      <c r="E68" s="676"/>
      <c r="F68" s="149" t="s">
        <v>17</v>
      </c>
      <c r="G68" s="152"/>
      <c r="H68" s="28"/>
      <c r="I68" s="28"/>
      <c r="J68" s="28"/>
      <c r="K68" s="28"/>
      <c r="L68" s="28"/>
      <c r="M68" s="28"/>
    </row>
    <row r="69" spans="1:13" s="27" customFormat="1" ht="18" x14ac:dyDescent="0.3">
      <c r="A69" s="667"/>
      <c r="B69" s="667"/>
      <c r="C69" s="667"/>
      <c r="D69" s="665">
        <v>1168</v>
      </c>
      <c r="E69" s="653" t="s">
        <v>192</v>
      </c>
      <c r="F69" s="653"/>
      <c r="G69" s="148">
        <f>+G71+G80</f>
        <v>-60026.3</v>
      </c>
      <c r="H69" s="28"/>
      <c r="I69" s="28"/>
      <c r="J69" s="28"/>
      <c r="K69" s="28"/>
      <c r="L69" s="28"/>
      <c r="M69" s="28"/>
    </row>
    <row r="70" spans="1:13" s="27" customFormat="1" ht="16.95" customHeight="1" x14ac:dyDescent="0.4">
      <c r="A70" s="667"/>
      <c r="B70" s="667"/>
      <c r="C70" s="667"/>
      <c r="D70" s="665"/>
      <c r="E70" s="154"/>
      <c r="F70" s="149" t="s">
        <v>17</v>
      </c>
      <c r="G70" s="148"/>
      <c r="H70" s="28"/>
      <c r="I70" s="28"/>
      <c r="J70" s="28"/>
      <c r="K70" s="28"/>
      <c r="L70" s="28"/>
      <c r="M70" s="28"/>
    </row>
    <row r="71" spans="1:13" s="27" customFormat="1" ht="54" x14ac:dyDescent="0.3">
      <c r="A71" s="667"/>
      <c r="B71" s="667"/>
      <c r="C71" s="667"/>
      <c r="D71" s="665"/>
      <c r="E71" s="457">
        <v>32001</v>
      </c>
      <c r="F71" s="456" t="s">
        <v>215</v>
      </c>
      <c r="G71" s="860">
        <f>G73</f>
        <v>-79831.3</v>
      </c>
      <c r="H71" s="28"/>
      <c r="I71" s="28"/>
      <c r="J71" s="28"/>
      <c r="K71" s="28"/>
      <c r="L71" s="28"/>
      <c r="M71" s="28"/>
    </row>
    <row r="72" spans="1:13" s="27" customFormat="1" x14ac:dyDescent="0.3">
      <c r="A72" s="667"/>
      <c r="B72" s="667"/>
      <c r="C72" s="667"/>
      <c r="D72" s="665"/>
      <c r="E72" s="669"/>
      <c r="F72" s="149" t="s">
        <v>54</v>
      </c>
      <c r="G72" s="151"/>
    </row>
    <row r="73" spans="1:13" s="30" customFormat="1" ht="36.6" customHeight="1" x14ac:dyDescent="0.3">
      <c r="A73" s="667"/>
      <c r="B73" s="667"/>
      <c r="C73" s="667"/>
      <c r="D73" s="665"/>
      <c r="E73" s="670"/>
      <c r="F73" s="155" t="s">
        <v>137</v>
      </c>
      <c r="G73" s="157">
        <f>+G75</f>
        <v>-79831.3</v>
      </c>
    </row>
    <row r="74" spans="1:13" s="27" customFormat="1" ht="52.2" x14ac:dyDescent="0.3">
      <c r="A74" s="667"/>
      <c r="B74" s="667"/>
      <c r="C74" s="667"/>
      <c r="D74" s="665"/>
      <c r="E74" s="670"/>
      <c r="F74" s="149" t="s">
        <v>44</v>
      </c>
      <c r="G74" s="150"/>
    </row>
    <row r="75" spans="1:13" s="27" customFormat="1" ht="16.95" customHeight="1" x14ac:dyDescent="0.3">
      <c r="A75" s="667"/>
      <c r="B75" s="667"/>
      <c r="C75" s="667"/>
      <c r="D75" s="665"/>
      <c r="E75" s="670"/>
      <c r="F75" s="311" t="s">
        <v>18</v>
      </c>
      <c r="G75" s="214">
        <f>+G76</f>
        <v>-79831.3</v>
      </c>
    </row>
    <row r="76" spans="1:13" s="27" customFormat="1" ht="16.95" customHeight="1" x14ac:dyDescent="0.3">
      <c r="A76" s="667"/>
      <c r="B76" s="667"/>
      <c r="C76" s="667"/>
      <c r="D76" s="665"/>
      <c r="E76" s="670"/>
      <c r="F76" s="127" t="s">
        <v>90</v>
      </c>
      <c r="G76" s="158">
        <f t="shared" ref="G76:G78" si="10">+G77</f>
        <v>-79831.3</v>
      </c>
    </row>
    <row r="77" spans="1:13" s="27" customFormat="1" x14ac:dyDescent="0.3">
      <c r="A77" s="667"/>
      <c r="B77" s="667"/>
      <c r="C77" s="667"/>
      <c r="D77" s="665"/>
      <c r="E77" s="670"/>
      <c r="F77" s="127" t="s">
        <v>91</v>
      </c>
      <c r="G77" s="158">
        <f>+G78</f>
        <v>-79831.3</v>
      </c>
    </row>
    <row r="78" spans="1:13" s="27" customFormat="1" x14ac:dyDescent="0.3">
      <c r="A78" s="667"/>
      <c r="B78" s="667"/>
      <c r="C78" s="667"/>
      <c r="D78" s="665"/>
      <c r="E78" s="670"/>
      <c r="F78" s="127" t="s">
        <v>92</v>
      </c>
      <c r="G78" s="158">
        <f t="shared" si="10"/>
        <v>-79831.3</v>
      </c>
    </row>
    <row r="79" spans="1:13" s="27" customFormat="1" x14ac:dyDescent="0.3">
      <c r="A79" s="667"/>
      <c r="B79" s="667"/>
      <c r="C79" s="667"/>
      <c r="D79" s="665"/>
      <c r="E79" s="670"/>
      <c r="F79" s="112" t="s">
        <v>93</v>
      </c>
      <c r="G79" s="158">
        <f>+'Հավելված N 6'!E132</f>
        <v>-79831.3</v>
      </c>
    </row>
    <row r="80" spans="1:13" s="27" customFormat="1" ht="36" x14ac:dyDescent="0.3">
      <c r="A80" s="463"/>
      <c r="B80" s="463"/>
      <c r="C80" s="463"/>
      <c r="D80" s="665"/>
      <c r="E80" s="457">
        <v>32007</v>
      </c>
      <c r="F80" s="456" t="s">
        <v>1104</v>
      </c>
      <c r="G80" s="860">
        <f>+G82</f>
        <v>19805</v>
      </c>
      <c r="H80" s="28"/>
      <c r="I80" s="28"/>
      <c r="J80" s="28"/>
      <c r="K80" s="28"/>
      <c r="L80" s="28"/>
      <c r="M80" s="28"/>
    </row>
    <row r="81" spans="1:13" s="27" customFormat="1" ht="18" x14ac:dyDescent="0.4">
      <c r="A81" s="463"/>
      <c r="B81" s="463"/>
      <c r="C81" s="463"/>
      <c r="D81" s="665"/>
      <c r="E81" s="464"/>
      <c r="F81" s="149" t="s">
        <v>54</v>
      </c>
      <c r="G81" s="151"/>
    </row>
    <row r="82" spans="1:13" s="30" customFormat="1" ht="36.6" customHeight="1" x14ac:dyDescent="0.4">
      <c r="A82" s="463"/>
      <c r="B82" s="463"/>
      <c r="C82" s="463"/>
      <c r="D82" s="665"/>
      <c r="E82" s="464"/>
      <c r="F82" s="155" t="s">
        <v>39</v>
      </c>
      <c r="G82" s="157">
        <f t="shared" ref="G82" si="11">+G84</f>
        <v>19805</v>
      </c>
    </row>
    <row r="83" spans="1:13" s="27" customFormat="1" ht="52.2" x14ac:dyDescent="0.4">
      <c r="A83" s="463"/>
      <c r="B83" s="463"/>
      <c r="C83" s="463"/>
      <c r="D83" s="665"/>
      <c r="E83" s="464"/>
      <c r="F83" s="149" t="s">
        <v>44</v>
      </c>
      <c r="G83" s="151"/>
    </row>
    <row r="84" spans="1:13" s="27" customFormat="1" ht="16.95" customHeight="1" x14ac:dyDescent="0.4">
      <c r="A84" s="463"/>
      <c r="B84" s="463"/>
      <c r="C84" s="463"/>
      <c r="D84" s="665"/>
      <c r="E84" s="464"/>
      <c r="F84" s="311" t="s">
        <v>18</v>
      </c>
      <c r="G84" s="214">
        <f>+G85</f>
        <v>19805</v>
      </c>
    </row>
    <row r="85" spans="1:13" s="27" customFormat="1" ht="16.8" customHeight="1" x14ac:dyDescent="0.4">
      <c r="A85" s="463"/>
      <c r="B85" s="463"/>
      <c r="C85" s="463"/>
      <c r="D85" s="665"/>
      <c r="E85" s="464"/>
      <c r="F85" s="518" t="s">
        <v>1120</v>
      </c>
      <c r="G85" s="520">
        <f t="shared" ref="G85:G86" si="12">G86</f>
        <v>19805</v>
      </c>
    </row>
    <row r="86" spans="1:13" s="27" customFormat="1" ht="16.8" customHeight="1" x14ac:dyDescent="0.4">
      <c r="A86" s="463"/>
      <c r="B86" s="463"/>
      <c r="C86" s="463"/>
      <c r="D86" s="665"/>
      <c r="E86" s="464"/>
      <c r="F86" s="518" t="s">
        <v>1121</v>
      </c>
      <c r="G86" s="520">
        <f t="shared" si="12"/>
        <v>19805</v>
      </c>
    </row>
    <row r="87" spans="1:13" s="27" customFormat="1" ht="34.799999999999997" x14ac:dyDescent="0.4">
      <c r="A87" s="463"/>
      <c r="B87" s="463"/>
      <c r="C87" s="463"/>
      <c r="D87" s="665"/>
      <c r="E87" s="464"/>
      <c r="F87" s="518" t="s">
        <v>1122</v>
      </c>
      <c r="G87" s="520">
        <f t="shared" ref="G87" si="13">+G88</f>
        <v>19805</v>
      </c>
    </row>
    <row r="88" spans="1:13" s="27" customFormat="1" ht="34.799999999999997" x14ac:dyDescent="0.4">
      <c r="A88" s="463"/>
      <c r="B88" s="463"/>
      <c r="C88" s="463"/>
      <c r="D88" s="665"/>
      <c r="E88" s="464"/>
      <c r="F88" s="518" t="s">
        <v>1123</v>
      </c>
      <c r="G88" s="520">
        <f>+'Հավելված N 7'!G28</f>
        <v>19805</v>
      </c>
    </row>
    <row r="89" spans="1:13" s="27" customFormat="1" ht="36" x14ac:dyDescent="0.3">
      <c r="A89" s="463"/>
      <c r="B89" s="463"/>
      <c r="C89" s="666" t="s">
        <v>1125</v>
      </c>
      <c r="D89" s="458"/>
      <c r="E89" s="675"/>
      <c r="F89" s="456" t="s">
        <v>1126</v>
      </c>
      <c r="G89" s="151">
        <f>+G91</f>
        <v>-280378</v>
      </c>
      <c r="H89" s="28"/>
      <c r="I89" s="28"/>
      <c r="J89" s="28"/>
      <c r="K89" s="28"/>
      <c r="L89" s="28"/>
      <c r="M89" s="28"/>
    </row>
    <row r="90" spans="1:13" s="27" customFormat="1" ht="16.95" customHeight="1" x14ac:dyDescent="0.3">
      <c r="A90" s="463"/>
      <c r="B90" s="463"/>
      <c r="C90" s="667"/>
      <c r="D90" s="458"/>
      <c r="E90" s="675"/>
      <c r="F90" s="149" t="s">
        <v>17</v>
      </c>
      <c r="G90" s="152"/>
      <c r="H90" s="28"/>
      <c r="I90" s="28"/>
      <c r="J90" s="28"/>
      <c r="K90" s="28"/>
      <c r="L90" s="28"/>
      <c r="M90" s="28"/>
    </row>
    <row r="91" spans="1:13" s="27" customFormat="1" ht="34.799999999999997" x14ac:dyDescent="0.3">
      <c r="A91" s="463"/>
      <c r="B91" s="463"/>
      <c r="C91" s="667"/>
      <c r="D91" s="458"/>
      <c r="E91" s="675"/>
      <c r="F91" s="153" t="s">
        <v>39</v>
      </c>
      <c r="G91" s="251">
        <f>+G93</f>
        <v>-280378</v>
      </c>
      <c r="H91" s="28"/>
      <c r="I91" s="28"/>
      <c r="J91" s="28"/>
      <c r="K91" s="28"/>
      <c r="L91" s="28"/>
      <c r="M91" s="28"/>
    </row>
    <row r="92" spans="1:13" s="27" customFormat="1" ht="16.95" customHeight="1" x14ac:dyDescent="0.3">
      <c r="A92" s="463"/>
      <c r="B92" s="463"/>
      <c r="C92" s="667"/>
      <c r="D92" s="458"/>
      <c r="E92" s="675"/>
      <c r="F92" s="149" t="s">
        <v>17</v>
      </c>
      <c r="G92" s="152"/>
      <c r="H92" s="28"/>
      <c r="I92" s="28"/>
      <c r="J92" s="28"/>
      <c r="K92" s="28"/>
      <c r="L92" s="28"/>
      <c r="M92" s="28"/>
    </row>
    <row r="93" spans="1:13" s="27" customFormat="1" ht="18" x14ac:dyDescent="0.3">
      <c r="A93" s="463"/>
      <c r="B93" s="463"/>
      <c r="C93" s="667"/>
      <c r="D93" s="643">
        <v>1075</v>
      </c>
      <c r="E93" s="653" t="s">
        <v>191</v>
      </c>
      <c r="F93" s="653"/>
      <c r="G93" s="148">
        <f>+G95</f>
        <v>-280378</v>
      </c>
      <c r="H93" s="28"/>
      <c r="I93" s="28"/>
      <c r="J93" s="28"/>
      <c r="K93" s="28"/>
      <c r="L93" s="28"/>
      <c r="M93" s="28"/>
    </row>
    <row r="94" spans="1:13" s="27" customFormat="1" ht="16.95" customHeight="1" x14ac:dyDescent="0.4">
      <c r="A94" s="463"/>
      <c r="B94" s="463"/>
      <c r="C94" s="667"/>
      <c r="D94" s="644"/>
      <c r="E94" s="154"/>
      <c r="F94" s="149" t="s">
        <v>17</v>
      </c>
      <c r="G94" s="148"/>
      <c r="H94" s="28"/>
      <c r="I94" s="28"/>
      <c r="J94" s="28"/>
      <c r="K94" s="28"/>
      <c r="L94" s="28"/>
      <c r="M94" s="28"/>
    </row>
    <row r="95" spans="1:13" s="27" customFormat="1" ht="37.049999999999997" customHeight="1" x14ac:dyDescent="0.3">
      <c r="A95" s="463"/>
      <c r="B95" s="463"/>
      <c r="C95" s="667"/>
      <c r="D95" s="644"/>
      <c r="E95" s="457">
        <v>21001</v>
      </c>
      <c r="F95" s="456" t="s">
        <v>406</v>
      </c>
      <c r="G95" s="860">
        <f t="shared" ref="G95" si="14">+G97</f>
        <v>-280378</v>
      </c>
      <c r="H95" s="28"/>
      <c r="I95" s="28"/>
      <c r="J95" s="28"/>
      <c r="K95" s="28"/>
      <c r="L95" s="28"/>
      <c r="M95" s="28"/>
    </row>
    <row r="96" spans="1:13" s="27" customFormat="1" ht="18" x14ac:dyDescent="0.3">
      <c r="A96" s="463"/>
      <c r="B96" s="463"/>
      <c r="C96" s="667"/>
      <c r="D96" s="644"/>
      <c r="E96" s="669"/>
      <c r="F96" s="149" t="s">
        <v>54</v>
      </c>
      <c r="G96" s="150"/>
    </row>
    <row r="97" spans="1:13" s="30" customFormat="1" ht="36.6" customHeight="1" x14ac:dyDescent="0.3">
      <c r="A97" s="463"/>
      <c r="B97" s="463"/>
      <c r="C97" s="667"/>
      <c r="D97" s="644"/>
      <c r="E97" s="670"/>
      <c r="F97" s="155" t="s">
        <v>39</v>
      </c>
      <c r="G97" s="156">
        <f>+G99</f>
        <v>-280378</v>
      </c>
    </row>
    <row r="98" spans="1:13" s="27" customFormat="1" ht="52.2" x14ac:dyDescent="0.3">
      <c r="A98" s="463"/>
      <c r="B98" s="463"/>
      <c r="C98" s="667"/>
      <c r="D98" s="644"/>
      <c r="E98" s="670"/>
      <c r="F98" s="149" t="s">
        <v>44</v>
      </c>
      <c r="G98" s="150"/>
    </row>
    <row r="99" spans="1:13" s="27" customFormat="1" ht="16.95" customHeight="1" x14ac:dyDescent="0.3">
      <c r="A99" s="463"/>
      <c r="B99" s="463"/>
      <c r="C99" s="667"/>
      <c r="D99" s="644"/>
      <c r="E99" s="670"/>
      <c r="F99" s="311" t="s">
        <v>18</v>
      </c>
      <c r="G99" s="214">
        <f>+G100</f>
        <v>-280378</v>
      </c>
    </row>
    <row r="100" spans="1:13" s="27" customFormat="1" ht="16.95" customHeight="1" x14ac:dyDescent="0.3">
      <c r="A100" s="463"/>
      <c r="B100" s="463"/>
      <c r="C100" s="667"/>
      <c r="D100" s="644"/>
      <c r="E100" s="670"/>
      <c r="F100" s="127" t="s">
        <v>90</v>
      </c>
      <c r="G100" s="158">
        <f>+G101</f>
        <v>-280378</v>
      </c>
    </row>
    <row r="101" spans="1:13" s="27" customFormat="1" ht="18" x14ac:dyDescent="0.3">
      <c r="A101" s="463"/>
      <c r="B101" s="463"/>
      <c r="C101" s="667"/>
      <c r="D101" s="644"/>
      <c r="E101" s="670"/>
      <c r="F101" s="127" t="s">
        <v>91</v>
      </c>
      <c r="G101" s="158">
        <f>+G102</f>
        <v>-280378</v>
      </c>
    </row>
    <row r="102" spans="1:13" s="27" customFormat="1" ht="18" x14ac:dyDescent="0.3">
      <c r="A102" s="463"/>
      <c r="B102" s="463"/>
      <c r="C102" s="667"/>
      <c r="D102" s="644"/>
      <c r="E102" s="670"/>
      <c r="F102" s="127" t="s">
        <v>92</v>
      </c>
      <c r="G102" s="158">
        <f t="shared" ref="G102" si="15">+G103</f>
        <v>-280378</v>
      </c>
    </row>
    <row r="103" spans="1:13" s="27" customFormat="1" ht="18" x14ac:dyDescent="0.3">
      <c r="A103" s="463"/>
      <c r="B103" s="463"/>
      <c r="C103" s="667"/>
      <c r="D103" s="644"/>
      <c r="E103" s="670"/>
      <c r="F103" s="112" t="s">
        <v>93</v>
      </c>
      <c r="G103" s="158">
        <f>+'Հավելված N 6'!E51</f>
        <v>-280378</v>
      </c>
    </row>
    <row r="104" spans="1:13" s="27" customFormat="1" ht="18" x14ac:dyDescent="0.3">
      <c r="A104" s="685" t="s">
        <v>42</v>
      </c>
      <c r="B104" s="686"/>
      <c r="C104" s="618"/>
      <c r="D104" s="294"/>
      <c r="E104" s="291"/>
      <c r="F104" s="114" t="s">
        <v>40</v>
      </c>
      <c r="G104" s="115">
        <f>+G106</f>
        <v>-10805741.969999999</v>
      </c>
    </row>
    <row r="105" spans="1:13" s="27" customFormat="1" ht="16.95" customHeight="1" x14ac:dyDescent="0.3">
      <c r="A105" s="667"/>
      <c r="B105" s="687"/>
      <c r="C105" s="292"/>
      <c r="D105" s="295"/>
      <c r="E105" s="292"/>
      <c r="F105" s="127" t="s">
        <v>17</v>
      </c>
      <c r="G105" s="111"/>
    </row>
    <row r="106" spans="1:13" s="27" customFormat="1" ht="36" x14ac:dyDescent="0.3">
      <c r="A106" s="667"/>
      <c r="B106" s="666" t="s">
        <v>43</v>
      </c>
      <c r="C106" s="292"/>
      <c r="D106" s="295"/>
      <c r="E106" s="292"/>
      <c r="F106" s="114" t="s">
        <v>41</v>
      </c>
      <c r="G106" s="111">
        <f t="shared" ref="G106" si="16">+G108</f>
        <v>-10805741.969999999</v>
      </c>
    </row>
    <row r="107" spans="1:13" s="27" customFormat="1" ht="16.95" customHeight="1" x14ac:dyDescent="0.3">
      <c r="A107" s="667"/>
      <c r="B107" s="667"/>
      <c r="C107" s="293"/>
      <c r="D107" s="295"/>
      <c r="E107" s="292"/>
      <c r="F107" s="127" t="s">
        <v>17</v>
      </c>
      <c r="G107" s="111"/>
    </row>
    <row r="108" spans="1:13" s="27" customFormat="1" ht="36" x14ac:dyDescent="0.3">
      <c r="A108" s="667"/>
      <c r="B108" s="667"/>
      <c r="C108" s="643" t="s">
        <v>24</v>
      </c>
      <c r="D108" s="295"/>
      <c r="E108" s="292"/>
      <c r="F108" s="114" t="s">
        <v>41</v>
      </c>
      <c r="G108" s="111">
        <f t="shared" ref="G108" si="17">+G110</f>
        <v>-10805741.969999999</v>
      </c>
      <c r="H108" s="28"/>
      <c r="I108" s="28"/>
      <c r="J108" s="28"/>
      <c r="K108" s="28"/>
      <c r="L108" s="28"/>
    </row>
    <row r="109" spans="1:13" s="27" customFormat="1" ht="16.95" customHeight="1" x14ac:dyDescent="0.3">
      <c r="A109" s="667"/>
      <c r="B109" s="667"/>
      <c r="C109" s="644"/>
      <c r="D109" s="295"/>
      <c r="E109" s="292"/>
      <c r="F109" s="127" t="s">
        <v>17</v>
      </c>
      <c r="G109" s="111"/>
      <c r="H109" s="28"/>
      <c r="I109" s="28"/>
      <c r="J109" s="28"/>
      <c r="K109" s="28"/>
      <c r="L109" s="28"/>
    </row>
    <row r="110" spans="1:13" s="27" customFormat="1" ht="34.799999999999997" x14ac:dyDescent="0.3">
      <c r="A110" s="667"/>
      <c r="B110" s="667"/>
      <c r="C110" s="644"/>
      <c r="D110" s="295"/>
      <c r="E110" s="292"/>
      <c r="F110" s="128" t="s">
        <v>39</v>
      </c>
      <c r="G110" s="116">
        <f>+G112+G147+G167+G180+G191+G229</f>
        <v>-10805741.969999999</v>
      </c>
      <c r="H110" s="28"/>
      <c r="I110" s="28"/>
      <c r="J110" s="28"/>
      <c r="K110" s="28"/>
      <c r="L110" s="28"/>
    </row>
    <row r="111" spans="1:13" s="27" customFormat="1" ht="16.95" customHeight="1" x14ac:dyDescent="0.3">
      <c r="A111" s="667"/>
      <c r="B111" s="667"/>
      <c r="C111" s="644"/>
      <c r="D111" s="296"/>
      <c r="E111" s="293"/>
      <c r="F111" s="128" t="s">
        <v>58</v>
      </c>
      <c r="G111" s="252"/>
      <c r="H111" s="28"/>
      <c r="I111" s="28"/>
      <c r="J111" s="28"/>
      <c r="K111" s="28"/>
      <c r="L111" s="28"/>
    </row>
    <row r="112" spans="1:13" s="27" customFormat="1" ht="37.35" customHeight="1" x14ac:dyDescent="0.3">
      <c r="A112" s="667"/>
      <c r="B112" s="667"/>
      <c r="C112" s="644"/>
      <c r="D112" s="688">
        <v>1045</v>
      </c>
      <c r="E112" s="653" t="s">
        <v>180</v>
      </c>
      <c r="F112" s="653"/>
      <c r="G112" s="148">
        <f>+G114+G138</f>
        <v>-1662413.3000000003</v>
      </c>
      <c r="H112" s="28"/>
      <c r="I112" s="28"/>
      <c r="J112" s="28"/>
      <c r="K112" s="28"/>
      <c r="L112" s="28"/>
      <c r="M112" s="28"/>
    </row>
    <row r="113" spans="1:13" s="27" customFormat="1" ht="16.95" customHeight="1" x14ac:dyDescent="0.4">
      <c r="A113" s="667"/>
      <c r="B113" s="667"/>
      <c r="C113" s="644"/>
      <c r="D113" s="688"/>
      <c r="E113" s="154"/>
      <c r="F113" s="149" t="s">
        <v>17</v>
      </c>
      <c r="G113" s="148"/>
      <c r="H113" s="28"/>
      <c r="I113" s="28"/>
      <c r="J113" s="28"/>
      <c r="K113" s="28"/>
      <c r="L113" s="28"/>
      <c r="M113" s="28"/>
    </row>
    <row r="114" spans="1:13" s="27" customFormat="1" ht="70.95" customHeight="1" x14ac:dyDescent="0.3">
      <c r="A114" s="667"/>
      <c r="B114" s="667"/>
      <c r="C114" s="644"/>
      <c r="D114" s="688"/>
      <c r="E114" s="457">
        <v>32001</v>
      </c>
      <c r="F114" s="456" t="s">
        <v>176</v>
      </c>
      <c r="G114" s="860">
        <f>+G116+G129</f>
        <v>-706947.60000000009</v>
      </c>
      <c r="H114" s="28"/>
      <c r="I114" s="28"/>
      <c r="J114" s="28"/>
      <c r="K114" s="28"/>
      <c r="L114" s="28"/>
      <c r="M114" s="28"/>
    </row>
    <row r="115" spans="1:13" s="27" customFormat="1" x14ac:dyDescent="0.3">
      <c r="A115" s="667"/>
      <c r="B115" s="667"/>
      <c r="C115" s="644"/>
      <c r="D115" s="688"/>
      <c r="E115" s="669"/>
      <c r="F115" s="149" t="s">
        <v>54</v>
      </c>
      <c r="G115" s="151"/>
    </row>
    <row r="116" spans="1:13" s="30" customFormat="1" ht="36.6" customHeight="1" x14ac:dyDescent="0.3">
      <c r="A116" s="667"/>
      <c r="B116" s="667"/>
      <c r="C116" s="644"/>
      <c r="D116" s="665"/>
      <c r="E116" s="670"/>
      <c r="F116" s="155" t="s">
        <v>39</v>
      </c>
      <c r="G116" s="157">
        <f t="shared" ref="G116" si="18">+G118</f>
        <v>-321821.60000000003</v>
      </c>
    </row>
    <row r="117" spans="1:13" s="27" customFormat="1" ht="52.2" x14ac:dyDescent="0.3">
      <c r="A117" s="667"/>
      <c r="B117" s="667"/>
      <c r="C117" s="644"/>
      <c r="D117" s="665"/>
      <c r="E117" s="670"/>
      <c r="F117" s="149" t="s">
        <v>44</v>
      </c>
      <c r="G117" s="151"/>
    </row>
    <row r="118" spans="1:13" s="27" customFormat="1" ht="16.95" customHeight="1" x14ac:dyDescent="0.3">
      <c r="A118" s="667"/>
      <c r="B118" s="667"/>
      <c r="C118" s="644"/>
      <c r="D118" s="665"/>
      <c r="E118" s="670"/>
      <c r="F118" s="311" t="s">
        <v>18</v>
      </c>
      <c r="G118" s="214">
        <f>+G119+G123</f>
        <v>-321821.60000000003</v>
      </c>
    </row>
    <row r="119" spans="1:13" s="27" customFormat="1" ht="16.8" customHeight="1" x14ac:dyDescent="0.3">
      <c r="A119" s="667"/>
      <c r="B119" s="667"/>
      <c r="C119" s="644"/>
      <c r="D119" s="665"/>
      <c r="E119" s="670"/>
      <c r="F119" s="518" t="s">
        <v>1120</v>
      </c>
      <c r="G119" s="520">
        <f t="shared" ref="G119:G120" si="19">G120</f>
        <v>3591.5</v>
      </c>
    </row>
    <row r="120" spans="1:13" s="27" customFormat="1" ht="16.8" customHeight="1" x14ac:dyDescent="0.3">
      <c r="A120" s="667"/>
      <c r="B120" s="667"/>
      <c r="C120" s="644"/>
      <c r="D120" s="665"/>
      <c r="E120" s="670"/>
      <c r="F120" s="518" t="s">
        <v>1121</v>
      </c>
      <c r="G120" s="520">
        <f t="shared" si="19"/>
        <v>3591.5</v>
      </c>
    </row>
    <row r="121" spans="1:13" s="27" customFormat="1" ht="34.799999999999997" x14ac:dyDescent="0.3">
      <c r="A121" s="667"/>
      <c r="B121" s="667"/>
      <c r="C121" s="644"/>
      <c r="D121" s="665"/>
      <c r="E121" s="670"/>
      <c r="F121" s="518" t="s">
        <v>1122</v>
      </c>
      <c r="G121" s="520">
        <f t="shared" ref="G121" si="20">+G122</f>
        <v>3591.5</v>
      </c>
    </row>
    <row r="122" spans="1:13" s="27" customFormat="1" ht="34.799999999999997" x14ac:dyDescent="0.3">
      <c r="A122" s="667"/>
      <c r="B122" s="667"/>
      <c r="C122" s="644"/>
      <c r="D122" s="665"/>
      <c r="E122" s="670"/>
      <c r="F122" s="518" t="s">
        <v>1123</v>
      </c>
      <c r="G122" s="520">
        <f>+'Հավելված N 7'!G12</f>
        <v>3591.5</v>
      </c>
    </row>
    <row r="123" spans="1:13" s="27" customFormat="1" ht="16.95" customHeight="1" x14ac:dyDescent="0.3">
      <c r="A123" s="667"/>
      <c r="B123" s="667"/>
      <c r="C123" s="644"/>
      <c r="D123" s="665"/>
      <c r="E123" s="670"/>
      <c r="F123" s="127" t="s">
        <v>90</v>
      </c>
      <c r="G123" s="253">
        <f t="shared" ref="G123:G125" si="21">+G124</f>
        <v>-325413.10000000003</v>
      </c>
    </row>
    <row r="124" spans="1:13" s="27" customFormat="1" x14ac:dyDescent="0.3">
      <c r="A124" s="667"/>
      <c r="B124" s="667"/>
      <c r="C124" s="644"/>
      <c r="D124" s="665"/>
      <c r="E124" s="670"/>
      <c r="F124" s="127" t="s">
        <v>91</v>
      </c>
      <c r="G124" s="158">
        <f>+G125+G127</f>
        <v>-325413.10000000003</v>
      </c>
    </row>
    <row r="125" spans="1:13" s="27" customFormat="1" x14ac:dyDescent="0.3">
      <c r="A125" s="667"/>
      <c r="B125" s="667"/>
      <c r="C125" s="644"/>
      <c r="D125" s="665"/>
      <c r="E125" s="670"/>
      <c r="F125" s="127" t="s">
        <v>92</v>
      </c>
      <c r="G125" s="253">
        <f t="shared" si="21"/>
        <v>-310318.90000000002</v>
      </c>
    </row>
    <row r="126" spans="1:13" s="27" customFormat="1" x14ac:dyDescent="0.3">
      <c r="A126" s="667"/>
      <c r="B126" s="667"/>
      <c r="C126" s="644"/>
      <c r="D126" s="665"/>
      <c r="E126" s="670"/>
      <c r="F126" s="112" t="s">
        <v>93</v>
      </c>
      <c r="G126" s="158">
        <f>+'Հավելված N 6'!E27+'Հավելված N 6'!E28</f>
        <v>-310318.90000000002</v>
      </c>
    </row>
    <row r="127" spans="1:13" s="27" customFormat="1" x14ac:dyDescent="0.3">
      <c r="A127" s="667"/>
      <c r="B127" s="667"/>
      <c r="C127" s="644"/>
      <c r="D127" s="665"/>
      <c r="E127" s="670"/>
      <c r="F127" s="127" t="s">
        <v>188</v>
      </c>
      <c r="G127" s="253">
        <f t="shared" ref="G127" si="22">+G128</f>
        <v>-15094.199999999999</v>
      </c>
    </row>
    <row r="128" spans="1:13" s="27" customFormat="1" x14ac:dyDescent="0.3">
      <c r="A128" s="667"/>
      <c r="B128" s="667"/>
      <c r="C128" s="644"/>
      <c r="D128" s="665"/>
      <c r="E128" s="670"/>
      <c r="F128" s="112" t="s">
        <v>189</v>
      </c>
      <c r="G128" s="158">
        <f>+'Հավելված N 6'!E30+'Հավելված N 6'!E32+'Հավելված N 6'!E34</f>
        <v>-15094.199999999999</v>
      </c>
    </row>
    <row r="129" spans="1:13" s="30" customFormat="1" ht="36.6" customHeight="1" x14ac:dyDescent="0.3">
      <c r="A129" s="667"/>
      <c r="B129" s="667"/>
      <c r="C129" s="644"/>
      <c r="D129" s="688"/>
      <c r="E129" s="670"/>
      <c r="F129" s="155" t="s">
        <v>137</v>
      </c>
      <c r="G129" s="157">
        <f t="shared" ref="G129" si="23">+G131</f>
        <v>-385126</v>
      </c>
    </row>
    <row r="130" spans="1:13" s="27" customFormat="1" ht="52.2" x14ac:dyDescent="0.3">
      <c r="A130" s="667"/>
      <c r="B130" s="667"/>
      <c r="C130" s="644"/>
      <c r="D130" s="688"/>
      <c r="E130" s="670"/>
      <c r="F130" s="149" t="s">
        <v>44</v>
      </c>
      <c r="G130" s="151"/>
    </row>
    <row r="131" spans="1:13" s="27" customFormat="1" ht="16.95" customHeight="1" x14ac:dyDescent="0.3">
      <c r="A131" s="667"/>
      <c r="B131" s="667"/>
      <c r="C131" s="644"/>
      <c r="D131" s="688"/>
      <c r="E131" s="670"/>
      <c r="F131" s="311" t="s">
        <v>18</v>
      </c>
      <c r="G131" s="214">
        <f>+G132</f>
        <v>-385126</v>
      </c>
    </row>
    <row r="132" spans="1:13" s="27" customFormat="1" ht="16.95" customHeight="1" x14ac:dyDescent="0.3">
      <c r="A132" s="667"/>
      <c r="B132" s="667"/>
      <c r="C132" s="644"/>
      <c r="D132" s="688"/>
      <c r="E132" s="670"/>
      <c r="F132" s="127" t="s">
        <v>90</v>
      </c>
      <c r="G132" s="253">
        <f t="shared" ref="G132:G136" si="24">+G133</f>
        <v>-385126</v>
      </c>
    </row>
    <row r="133" spans="1:13" s="27" customFormat="1" x14ac:dyDescent="0.3">
      <c r="A133" s="667"/>
      <c r="B133" s="667"/>
      <c r="C133" s="644"/>
      <c r="D133" s="688"/>
      <c r="E133" s="670"/>
      <c r="F133" s="127" t="s">
        <v>91</v>
      </c>
      <c r="G133" s="158">
        <f>+G134+G136</f>
        <v>-385126</v>
      </c>
    </row>
    <row r="134" spans="1:13" s="27" customFormat="1" x14ac:dyDescent="0.3">
      <c r="A134" s="667"/>
      <c r="B134" s="667"/>
      <c r="C134" s="644"/>
      <c r="D134" s="688"/>
      <c r="E134" s="670"/>
      <c r="F134" s="127" t="s">
        <v>92</v>
      </c>
      <c r="G134" s="253">
        <f t="shared" si="24"/>
        <v>-374762</v>
      </c>
    </row>
    <row r="135" spans="1:13" s="27" customFormat="1" x14ac:dyDescent="0.3">
      <c r="A135" s="667"/>
      <c r="B135" s="667"/>
      <c r="C135" s="644"/>
      <c r="D135" s="688"/>
      <c r="E135" s="670"/>
      <c r="F135" s="112" t="s">
        <v>93</v>
      </c>
      <c r="G135" s="158">
        <f>+'Հավելված N 6'!E21+'Հավելված N 6'!E23</f>
        <v>-374762</v>
      </c>
    </row>
    <row r="136" spans="1:13" s="27" customFormat="1" x14ac:dyDescent="0.3">
      <c r="A136" s="667"/>
      <c r="B136" s="667"/>
      <c r="C136" s="644"/>
      <c r="D136" s="688"/>
      <c r="E136" s="670"/>
      <c r="F136" s="127" t="s">
        <v>188</v>
      </c>
      <c r="G136" s="253">
        <f t="shared" si="24"/>
        <v>-10364</v>
      </c>
    </row>
    <row r="137" spans="1:13" s="27" customFormat="1" x14ac:dyDescent="0.3">
      <c r="A137" s="667"/>
      <c r="B137" s="667"/>
      <c r="C137" s="644"/>
      <c r="D137" s="688"/>
      <c r="E137" s="676"/>
      <c r="F137" s="112" t="s">
        <v>189</v>
      </c>
      <c r="G137" s="158">
        <f>+'Հավելված N 6'!E19</f>
        <v>-10364</v>
      </c>
    </row>
    <row r="138" spans="1:13" s="27" customFormat="1" ht="54.6" customHeight="1" x14ac:dyDescent="0.3">
      <c r="A138" s="667"/>
      <c r="B138" s="667"/>
      <c r="C138" s="644"/>
      <c r="D138" s="688"/>
      <c r="E138" s="457">
        <v>32005</v>
      </c>
      <c r="F138" s="456" t="s">
        <v>178</v>
      </c>
      <c r="G138" s="860">
        <f t="shared" ref="G138" si="25">+G140</f>
        <v>-955465.70000000007</v>
      </c>
      <c r="H138" s="28"/>
      <c r="I138" s="28"/>
      <c r="J138" s="28"/>
      <c r="K138" s="28"/>
      <c r="L138" s="28"/>
      <c r="M138" s="28"/>
    </row>
    <row r="139" spans="1:13" s="27" customFormat="1" x14ac:dyDescent="0.3">
      <c r="A139" s="667"/>
      <c r="B139" s="667"/>
      <c r="C139" s="644"/>
      <c r="D139" s="688"/>
      <c r="E139" s="679"/>
      <c r="F139" s="149" t="s">
        <v>54</v>
      </c>
      <c r="G139" s="151"/>
    </row>
    <row r="140" spans="1:13" s="30" customFormat="1" ht="36.6" customHeight="1" x14ac:dyDescent="0.3">
      <c r="A140" s="667"/>
      <c r="B140" s="667"/>
      <c r="C140" s="644"/>
      <c r="D140" s="688"/>
      <c r="E140" s="679"/>
      <c r="F140" s="155" t="s">
        <v>137</v>
      </c>
      <c r="G140" s="157">
        <f t="shared" ref="G140" si="26">+G142</f>
        <v>-955465.70000000007</v>
      </c>
    </row>
    <row r="141" spans="1:13" s="27" customFormat="1" ht="52.2" x14ac:dyDescent="0.3">
      <c r="A141" s="667"/>
      <c r="B141" s="667"/>
      <c r="C141" s="644"/>
      <c r="D141" s="688"/>
      <c r="E141" s="679"/>
      <c r="F141" s="149" t="s">
        <v>44</v>
      </c>
      <c r="G141" s="151"/>
    </row>
    <row r="142" spans="1:13" s="27" customFormat="1" ht="16.95" customHeight="1" x14ac:dyDescent="0.3">
      <c r="A142" s="667"/>
      <c r="B142" s="667"/>
      <c r="C142" s="644"/>
      <c r="D142" s="688"/>
      <c r="E142" s="679"/>
      <c r="F142" s="311" t="s">
        <v>18</v>
      </c>
      <c r="G142" s="214">
        <f>+G143</f>
        <v>-955465.70000000007</v>
      </c>
    </row>
    <row r="143" spans="1:13" s="27" customFormat="1" ht="16.95" customHeight="1" x14ac:dyDescent="0.3">
      <c r="A143" s="667"/>
      <c r="B143" s="667"/>
      <c r="C143" s="644"/>
      <c r="D143" s="688"/>
      <c r="E143" s="679"/>
      <c r="F143" s="127" t="s">
        <v>90</v>
      </c>
      <c r="G143" s="253">
        <f t="shared" ref="G143:G145" si="27">+G144</f>
        <v>-955465.70000000007</v>
      </c>
    </row>
    <row r="144" spans="1:13" s="27" customFormat="1" x14ac:dyDescent="0.3">
      <c r="A144" s="667"/>
      <c r="B144" s="667"/>
      <c r="C144" s="644"/>
      <c r="D144" s="688"/>
      <c r="E144" s="679"/>
      <c r="F144" s="127" t="s">
        <v>91</v>
      </c>
      <c r="G144" s="253">
        <f>+G145</f>
        <v>-955465.70000000007</v>
      </c>
    </row>
    <row r="145" spans="1:13" s="27" customFormat="1" x14ac:dyDescent="0.3">
      <c r="A145" s="667"/>
      <c r="B145" s="667"/>
      <c r="C145" s="644"/>
      <c r="D145" s="688"/>
      <c r="E145" s="679"/>
      <c r="F145" s="127" t="s">
        <v>92</v>
      </c>
      <c r="G145" s="253">
        <f t="shared" si="27"/>
        <v>-955465.70000000007</v>
      </c>
    </row>
    <row r="146" spans="1:13" s="27" customFormat="1" x14ac:dyDescent="0.3">
      <c r="A146" s="667"/>
      <c r="B146" s="667"/>
      <c r="C146" s="644"/>
      <c r="D146" s="688"/>
      <c r="E146" s="679"/>
      <c r="F146" s="112" t="s">
        <v>140</v>
      </c>
      <c r="G146" s="158">
        <f>+'Հավելված N 6'!E37</f>
        <v>-955465.70000000007</v>
      </c>
    </row>
    <row r="147" spans="1:13" s="27" customFormat="1" ht="18" x14ac:dyDescent="0.3">
      <c r="A147" s="667"/>
      <c r="B147" s="667"/>
      <c r="C147" s="644"/>
      <c r="D147" s="643">
        <v>1111</v>
      </c>
      <c r="E147" s="653" t="s">
        <v>368</v>
      </c>
      <c r="F147" s="653"/>
      <c r="G147" s="148">
        <f>+G149+G158</f>
        <v>-324838.17</v>
      </c>
      <c r="H147" s="28"/>
      <c r="I147" s="28"/>
      <c r="J147" s="28"/>
      <c r="K147" s="28"/>
      <c r="L147" s="28"/>
      <c r="M147" s="28"/>
    </row>
    <row r="148" spans="1:13" s="27" customFormat="1" ht="16.95" customHeight="1" x14ac:dyDescent="0.4">
      <c r="A148" s="667"/>
      <c r="B148" s="667"/>
      <c r="C148" s="644"/>
      <c r="D148" s="644"/>
      <c r="E148" s="154"/>
      <c r="F148" s="149" t="s">
        <v>17</v>
      </c>
      <c r="G148" s="148"/>
      <c r="H148" s="28"/>
      <c r="I148" s="28"/>
      <c r="J148" s="28"/>
      <c r="K148" s="28"/>
      <c r="L148" s="28"/>
      <c r="M148" s="28"/>
    </row>
    <row r="149" spans="1:13" s="27" customFormat="1" ht="54" x14ac:dyDescent="0.3">
      <c r="A149" s="667"/>
      <c r="B149" s="667"/>
      <c r="C149" s="644"/>
      <c r="D149" s="644"/>
      <c r="E149" s="457">
        <v>32001</v>
      </c>
      <c r="F149" s="456" t="s">
        <v>369</v>
      </c>
      <c r="G149" s="860">
        <f>+G151</f>
        <v>-374821.87</v>
      </c>
      <c r="H149" s="28"/>
      <c r="I149" s="28"/>
      <c r="J149" s="28"/>
      <c r="K149" s="28"/>
      <c r="L149" s="28"/>
      <c r="M149" s="28"/>
    </row>
    <row r="150" spans="1:13" s="27" customFormat="1" x14ac:dyDescent="0.3">
      <c r="A150" s="667"/>
      <c r="B150" s="667"/>
      <c r="C150" s="644"/>
      <c r="D150" s="644"/>
      <c r="E150" s="679"/>
      <c r="F150" s="149" t="s">
        <v>54</v>
      </c>
      <c r="G150" s="151"/>
    </row>
    <row r="151" spans="1:13" s="30" customFormat="1" ht="36.6" customHeight="1" x14ac:dyDescent="0.3">
      <c r="A151" s="667"/>
      <c r="B151" s="667"/>
      <c r="C151" s="644"/>
      <c r="D151" s="644"/>
      <c r="E151" s="679"/>
      <c r="F151" s="155" t="s">
        <v>137</v>
      </c>
      <c r="G151" s="157">
        <f t="shared" ref="G151" si="28">+G153</f>
        <v>-374821.87</v>
      </c>
    </row>
    <row r="152" spans="1:13" s="27" customFormat="1" ht="52.2" x14ac:dyDescent="0.3">
      <c r="A152" s="667"/>
      <c r="B152" s="667"/>
      <c r="C152" s="644"/>
      <c r="D152" s="644"/>
      <c r="E152" s="679"/>
      <c r="F152" s="149" t="s">
        <v>44</v>
      </c>
      <c r="G152" s="151"/>
    </row>
    <row r="153" spans="1:13" s="27" customFormat="1" ht="16.95" customHeight="1" x14ac:dyDescent="0.3">
      <c r="A153" s="667"/>
      <c r="B153" s="667"/>
      <c r="C153" s="644"/>
      <c r="D153" s="644"/>
      <c r="E153" s="679"/>
      <c r="F153" s="311" t="s">
        <v>18</v>
      </c>
      <c r="G153" s="214">
        <f>+G154</f>
        <v>-374821.87</v>
      </c>
    </row>
    <row r="154" spans="1:13" s="27" customFormat="1" ht="16.95" customHeight="1" x14ac:dyDescent="0.3">
      <c r="A154" s="667"/>
      <c r="B154" s="667"/>
      <c r="C154" s="644"/>
      <c r="D154" s="644"/>
      <c r="E154" s="679"/>
      <c r="F154" s="127" t="s">
        <v>90</v>
      </c>
      <c r="G154" s="253">
        <f t="shared" ref="G154:G156" si="29">+G155</f>
        <v>-374821.87</v>
      </c>
    </row>
    <row r="155" spans="1:13" s="27" customFormat="1" x14ac:dyDescent="0.3">
      <c r="A155" s="667"/>
      <c r="B155" s="667"/>
      <c r="C155" s="644"/>
      <c r="D155" s="644"/>
      <c r="E155" s="679"/>
      <c r="F155" s="127" t="s">
        <v>91</v>
      </c>
      <c r="G155" s="158">
        <f>+G156</f>
        <v>-374821.87</v>
      </c>
    </row>
    <row r="156" spans="1:13" s="27" customFormat="1" x14ac:dyDescent="0.3">
      <c r="A156" s="667"/>
      <c r="B156" s="667"/>
      <c r="C156" s="644"/>
      <c r="D156" s="644"/>
      <c r="E156" s="680"/>
      <c r="F156" s="127" t="s">
        <v>92</v>
      </c>
      <c r="G156" s="253">
        <f t="shared" si="29"/>
        <v>-374821.87</v>
      </c>
    </row>
    <row r="157" spans="1:13" s="27" customFormat="1" x14ac:dyDescent="0.3">
      <c r="A157" s="667"/>
      <c r="B157" s="667"/>
      <c r="C157" s="644"/>
      <c r="D157" s="644"/>
      <c r="E157" s="680"/>
      <c r="F157" s="112" t="s">
        <v>93</v>
      </c>
      <c r="G157" s="158">
        <f>+'Հավելված N 6'!E68</f>
        <v>-374821.87</v>
      </c>
    </row>
    <row r="158" spans="1:13" s="27" customFormat="1" ht="72" x14ac:dyDescent="0.3">
      <c r="A158" s="667"/>
      <c r="B158" s="667"/>
      <c r="C158" s="644"/>
      <c r="D158" s="458"/>
      <c r="E158" s="457">
        <v>32003</v>
      </c>
      <c r="F158" s="456" t="s">
        <v>1102</v>
      </c>
      <c r="G158" s="860">
        <f>+G160</f>
        <v>49983.7</v>
      </c>
      <c r="H158" s="28"/>
      <c r="I158" s="28"/>
      <c r="J158" s="28"/>
      <c r="K158" s="28"/>
      <c r="L158" s="28"/>
      <c r="M158" s="28"/>
    </row>
    <row r="159" spans="1:13" s="27" customFormat="1" ht="18" x14ac:dyDescent="0.3">
      <c r="A159" s="667"/>
      <c r="B159" s="667"/>
      <c r="C159" s="644"/>
      <c r="D159" s="458"/>
      <c r="E159" s="669"/>
      <c r="F159" s="149" t="s">
        <v>54</v>
      </c>
      <c r="G159" s="151"/>
    </row>
    <row r="160" spans="1:13" s="30" customFormat="1" ht="36.6" customHeight="1" x14ac:dyDescent="0.3">
      <c r="A160" s="667"/>
      <c r="B160" s="667"/>
      <c r="C160" s="644"/>
      <c r="D160" s="458"/>
      <c r="E160" s="670"/>
      <c r="F160" s="155" t="s">
        <v>39</v>
      </c>
      <c r="G160" s="157">
        <f t="shared" ref="G160" si="30">+G162</f>
        <v>49983.7</v>
      </c>
    </row>
    <row r="161" spans="1:13" s="27" customFormat="1" ht="52.2" x14ac:dyDescent="0.3">
      <c r="A161" s="667"/>
      <c r="B161" s="667"/>
      <c r="C161" s="644"/>
      <c r="D161" s="458"/>
      <c r="E161" s="670"/>
      <c r="F161" s="149" t="s">
        <v>44</v>
      </c>
      <c r="G161" s="151"/>
    </row>
    <row r="162" spans="1:13" s="27" customFormat="1" ht="16.95" customHeight="1" x14ac:dyDescent="0.3">
      <c r="A162" s="667"/>
      <c r="B162" s="667"/>
      <c r="C162" s="644"/>
      <c r="D162" s="458"/>
      <c r="E162" s="670"/>
      <c r="F162" s="311" t="s">
        <v>18</v>
      </c>
      <c r="G162" s="214">
        <f>+G163</f>
        <v>49983.7</v>
      </c>
    </row>
    <row r="163" spans="1:13" s="27" customFormat="1" ht="16.8" customHeight="1" x14ac:dyDescent="0.3">
      <c r="A163" s="667"/>
      <c r="B163" s="667"/>
      <c r="C163" s="644"/>
      <c r="D163" s="458"/>
      <c r="E163" s="670"/>
      <c r="F163" s="518" t="s">
        <v>1120</v>
      </c>
      <c r="G163" s="520">
        <f t="shared" ref="G163" si="31">G164</f>
        <v>49983.7</v>
      </c>
    </row>
    <row r="164" spans="1:13" s="27" customFormat="1" ht="16.8" customHeight="1" x14ac:dyDescent="0.3">
      <c r="A164" s="667"/>
      <c r="B164" s="667"/>
      <c r="C164" s="644"/>
      <c r="D164" s="458"/>
      <c r="E164" s="670"/>
      <c r="F164" s="518" t="s">
        <v>1121</v>
      </c>
      <c r="G164" s="520">
        <f>G165</f>
        <v>49983.7</v>
      </c>
    </row>
    <row r="165" spans="1:13" s="27" customFormat="1" ht="34.799999999999997" x14ac:dyDescent="0.3">
      <c r="A165" s="667"/>
      <c r="B165" s="667"/>
      <c r="C165" s="644"/>
      <c r="D165" s="458"/>
      <c r="E165" s="670"/>
      <c r="F165" s="518" t="s">
        <v>1122</v>
      </c>
      <c r="G165" s="520">
        <f>+G166</f>
        <v>49983.7</v>
      </c>
    </row>
    <row r="166" spans="1:13" s="27" customFormat="1" ht="34.799999999999997" x14ac:dyDescent="0.3">
      <c r="A166" s="667"/>
      <c r="B166" s="667"/>
      <c r="C166" s="644"/>
      <c r="D166" s="458"/>
      <c r="E166" s="676"/>
      <c r="F166" s="518" t="s">
        <v>1123</v>
      </c>
      <c r="G166" s="520">
        <f>+'Հավելված N 7'!G21</f>
        <v>49983.7</v>
      </c>
    </row>
    <row r="167" spans="1:13" s="27" customFormat="1" ht="18" x14ac:dyDescent="0.3">
      <c r="A167" s="667"/>
      <c r="B167" s="667"/>
      <c r="C167" s="644"/>
      <c r="D167" s="643">
        <v>1146</v>
      </c>
      <c r="E167" s="653" t="s">
        <v>116</v>
      </c>
      <c r="F167" s="653"/>
      <c r="G167" s="148">
        <f>+G169</f>
        <v>-2928071.5999999996</v>
      </c>
      <c r="H167" s="28"/>
      <c r="I167" s="28"/>
      <c r="J167" s="28"/>
      <c r="K167" s="28"/>
      <c r="L167" s="28"/>
      <c r="M167" s="28"/>
    </row>
    <row r="168" spans="1:13" s="27" customFormat="1" ht="16.95" customHeight="1" x14ac:dyDescent="0.4">
      <c r="A168" s="667"/>
      <c r="B168" s="667"/>
      <c r="C168" s="644"/>
      <c r="D168" s="644"/>
      <c r="E168" s="154"/>
      <c r="F168" s="149" t="s">
        <v>17</v>
      </c>
      <c r="G168" s="148"/>
      <c r="H168" s="28"/>
      <c r="I168" s="28"/>
      <c r="J168" s="28"/>
      <c r="K168" s="28"/>
      <c r="L168" s="28"/>
      <c r="M168" s="28"/>
    </row>
    <row r="169" spans="1:13" s="27" customFormat="1" ht="36" x14ac:dyDescent="0.3">
      <c r="A169" s="667"/>
      <c r="B169" s="667"/>
      <c r="C169" s="644"/>
      <c r="D169" s="644"/>
      <c r="E169" s="457">
        <v>12010</v>
      </c>
      <c r="F169" s="456" t="s">
        <v>184</v>
      </c>
      <c r="G169" s="860">
        <f t="shared" ref="G169" si="32">+G171</f>
        <v>-2928071.5999999996</v>
      </c>
      <c r="H169" s="28"/>
      <c r="I169" s="28"/>
      <c r="J169" s="28"/>
      <c r="K169" s="28"/>
      <c r="L169" s="28"/>
      <c r="M169" s="28"/>
    </row>
    <row r="170" spans="1:13" s="27" customFormat="1" x14ac:dyDescent="0.3">
      <c r="A170" s="667"/>
      <c r="B170" s="667"/>
      <c r="C170" s="644"/>
      <c r="D170" s="644"/>
      <c r="E170" s="679"/>
      <c r="F170" s="149" t="s">
        <v>54</v>
      </c>
      <c r="G170" s="151"/>
    </row>
    <row r="171" spans="1:13" s="30" customFormat="1" ht="36.6" customHeight="1" x14ac:dyDescent="0.3">
      <c r="A171" s="667"/>
      <c r="B171" s="667"/>
      <c r="C171" s="644"/>
      <c r="D171" s="644"/>
      <c r="E171" s="679"/>
      <c r="F171" s="155" t="s">
        <v>137</v>
      </c>
      <c r="G171" s="157">
        <f t="shared" ref="G171" si="33">+G173</f>
        <v>-2928071.5999999996</v>
      </c>
    </row>
    <row r="172" spans="1:13" s="27" customFormat="1" ht="52.2" x14ac:dyDescent="0.3">
      <c r="A172" s="667"/>
      <c r="B172" s="667"/>
      <c r="C172" s="644"/>
      <c r="D172" s="644"/>
      <c r="E172" s="679"/>
      <c r="F172" s="149" t="s">
        <v>44</v>
      </c>
      <c r="G172" s="151"/>
    </row>
    <row r="173" spans="1:13" s="27" customFormat="1" ht="16.95" customHeight="1" x14ac:dyDescent="0.3">
      <c r="A173" s="667"/>
      <c r="B173" s="667"/>
      <c r="C173" s="644"/>
      <c r="D173" s="644"/>
      <c r="E173" s="679"/>
      <c r="F173" s="311" t="s">
        <v>18</v>
      </c>
      <c r="G173" s="214">
        <f>+G174</f>
        <v>-2928071.5999999996</v>
      </c>
    </row>
    <row r="174" spans="1:13" s="27" customFormat="1" ht="16.95" customHeight="1" x14ac:dyDescent="0.3">
      <c r="A174" s="667"/>
      <c r="B174" s="667"/>
      <c r="C174" s="644"/>
      <c r="D174" s="644"/>
      <c r="E174" s="679"/>
      <c r="F174" s="127" t="s">
        <v>90</v>
      </c>
      <c r="G174" s="253">
        <f t="shared" ref="G174:G178" si="34">+G175</f>
        <v>-2928071.5999999996</v>
      </c>
    </row>
    <row r="175" spans="1:13" s="27" customFormat="1" x14ac:dyDescent="0.3">
      <c r="A175" s="667"/>
      <c r="B175" s="667"/>
      <c r="C175" s="644"/>
      <c r="D175" s="644"/>
      <c r="E175" s="679"/>
      <c r="F175" s="127" t="s">
        <v>91</v>
      </c>
      <c r="G175" s="158">
        <f>+G176+G178</f>
        <v>-2928071.5999999996</v>
      </c>
    </row>
    <row r="176" spans="1:13" s="27" customFormat="1" x14ac:dyDescent="0.3">
      <c r="A176" s="667"/>
      <c r="B176" s="667"/>
      <c r="C176" s="644"/>
      <c r="D176" s="644"/>
      <c r="E176" s="680"/>
      <c r="F176" s="127" t="s">
        <v>92</v>
      </c>
      <c r="G176" s="253">
        <f t="shared" si="34"/>
        <v>-2926011.5999999996</v>
      </c>
    </row>
    <row r="177" spans="1:13" s="27" customFormat="1" x14ac:dyDescent="0.3">
      <c r="A177" s="667"/>
      <c r="B177" s="667"/>
      <c r="C177" s="644"/>
      <c r="D177" s="644"/>
      <c r="E177" s="680"/>
      <c r="F177" s="112" t="s">
        <v>140</v>
      </c>
      <c r="G177" s="158">
        <f>+'Հավելված N 6'!E79+'Հավելված N 6'!E81+'Հավելված N 6'!E87+'Հավելված N 6'!E89+'Հավելված N 6'!E94+'Հավելված N 6'!E97+'Հավելված N 6'!E99</f>
        <v>-2926011.5999999996</v>
      </c>
    </row>
    <row r="178" spans="1:13" s="27" customFormat="1" x14ac:dyDescent="0.3">
      <c r="A178" s="667"/>
      <c r="B178" s="667"/>
      <c r="C178" s="644"/>
      <c r="D178" s="644"/>
      <c r="E178" s="679"/>
      <c r="F178" s="127" t="s">
        <v>188</v>
      </c>
      <c r="G178" s="253">
        <f t="shared" si="34"/>
        <v>-2060</v>
      </c>
    </row>
    <row r="179" spans="1:13" s="27" customFormat="1" x14ac:dyDescent="0.3">
      <c r="A179" s="667"/>
      <c r="B179" s="667"/>
      <c r="C179" s="644"/>
      <c r="D179" s="645"/>
      <c r="E179" s="679"/>
      <c r="F179" s="112" t="s">
        <v>189</v>
      </c>
      <c r="G179" s="158">
        <f>+'Հավելված N 6'!E76+'Հավելված N 6'!E77+'Հավելված N 6'!E78</f>
        <v>-2060</v>
      </c>
    </row>
    <row r="180" spans="1:13" s="27" customFormat="1" ht="18" x14ac:dyDescent="0.3">
      <c r="A180" s="667"/>
      <c r="B180" s="667"/>
      <c r="C180" s="644"/>
      <c r="D180" s="458">
        <v>1148</v>
      </c>
      <c r="E180" s="653" t="s">
        <v>1128</v>
      </c>
      <c r="F180" s="653"/>
      <c r="G180" s="148">
        <f>+G182</f>
        <v>-113596.4</v>
      </c>
      <c r="H180" s="28"/>
      <c r="I180" s="28"/>
      <c r="J180" s="28"/>
      <c r="K180" s="28"/>
      <c r="L180" s="28"/>
      <c r="M180" s="28"/>
    </row>
    <row r="181" spans="1:13" s="27" customFormat="1" ht="16.95" customHeight="1" x14ac:dyDescent="0.4">
      <c r="A181" s="667"/>
      <c r="B181" s="667"/>
      <c r="C181" s="644"/>
      <c r="D181" s="458"/>
      <c r="E181" s="154"/>
      <c r="F181" s="149" t="s">
        <v>17</v>
      </c>
      <c r="G181" s="148"/>
      <c r="H181" s="28"/>
      <c r="I181" s="28"/>
      <c r="J181" s="28"/>
      <c r="K181" s="28"/>
      <c r="L181" s="28"/>
      <c r="M181" s="28"/>
    </row>
    <row r="182" spans="1:13" s="27" customFormat="1" ht="54" x14ac:dyDescent="0.3">
      <c r="A182" s="667"/>
      <c r="B182" s="667"/>
      <c r="C182" s="644"/>
      <c r="D182" s="458"/>
      <c r="E182" s="457">
        <v>32003</v>
      </c>
      <c r="F182" s="456" t="s">
        <v>436</v>
      </c>
      <c r="G182" s="860">
        <f t="shared" ref="G182" si="35">+G184</f>
        <v>-113596.4</v>
      </c>
      <c r="H182" s="28"/>
      <c r="I182" s="28"/>
      <c r="J182" s="28"/>
      <c r="K182" s="28"/>
      <c r="L182" s="28"/>
      <c r="M182" s="28"/>
    </row>
    <row r="183" spans="1:13" s="27" customFormat="1" ht="18" x14ac:dyDescent="0.3">
      <c r="A183" s="667"/>
      <c r="B183" s="667"/>
      <c r="C183" s="644"/>
      <c r="D183" s="458"/>
      <c r="E183" s="669"/>
      <c r="F183" s="149" t="s">
        <v>54</v>
      </c>
      <c r="G183" s="151"/>
    </row>
    <row r="184" spans="1:13" s="30" customFormat="1" ht="36.6" customHeight="1" x14ac:dyDescent="0.3">
      <c r="A184" s="667"/>
      <c r="B184" s="667"/>
      <c r="C184" s="644"/>
      <c r="D184" s="458"/>
      <c r="E184" s="670"/>
      <c r="F184" s="155" t="s">
        <v>39</v>
      </c>
      <c r="G184" s="157">
        <f t="shared" ref="G184" si="36">+G186</f>
        <v>-113596.4</v>
      </c>
    </row>
    <row r="185" spans="1:13" s="27" customFormat="1" ht="52.2" x14ac:dyDescent="0.3">
      <c r="A185" s="667"/>
      <c r="B185" s="667"/>
      <c r="C185" s="644"/>
      <c r="D185" s="458"/>
      <c r="E185" s="670"/>
      <c r="F185" s="149" t="s">
        <v>44</v>
      </c>
      <c r="G185" s="151"/>
    </row>
    <row r="186" spans="1:13" s="27" customFormat="1" ht="16.95" customHeight="1" x14ac:dyDescent="0.3">
      <c r="A186" s="667"/>
      <c r="B186" s="667"/>
      <c r="C186" s="644"/>
      <c r="D186" s="458"/>
      <c r="E186" s="670"/>
      <c r="F186" s="311" t="s">
        <v>18</v>
      </c>
      <c r="G186" s="214">
        <f>+G187</f>
        <v>-113596.4</v>
      </c>
    </row>
    <row r="187" spans="1:13" s="27" customFormat="1" ht="16.95" customHeight="1" x14ac:dyDescent="0.3">
      <c r="A187" s="667"/>
      <c r="B187" s="667"/>
      <c r="C187" s="644"/>
      <c r="D187" s="458"/>
      <c r="E187" s="670"/>
      <c r="F187" s="127" t="s">
        <v>90</v>
      </c>
      <c r="G187" s="253">
        <f t="shared" ref="G187:G189" si="37">+G188</f>
        <v>-113596.4</v>
      </c>
    </row>
    <row r="188" spans="1:13" s="27" customFormat="1" ht="18" x14ac:dyDescent="0.3">
      <c r="A188" s="667"/>
      <c r="B188" s="667"/>
      <c r="C188" s="644"/>
      <c r="D188" s="458"/>
      <c r="E188" s="670"/>
      <c r="F188" s="127" t="s">
        <v>91</v>
      </c>
      <c r="G188" s="158">
        <f>+G189</f>
        <v>-113596.4</v>
      </c>
    </row>
    <row r="189" spans="1:13" s="27" customFormat="1" ht="18" x14ac:dyDescent="0.3">
      <c r="A189" s="667"/>
      <c r="B189" s="667"/>
      <c r="C189" s="644"/>
      <c r="D189" s="458"/>
      <c r="E189" s="670"/>
      <c r="F189" s="127" t="s">
        <v>92</v>
      </c>
      <c r="G189" s="253">
        <f t="shared" si="37"/>
        <v>-113596.4</v>
      </c>
    </row>
    <row r="190" spans="1:13" s="27" customFormat="1" ht="18" x14ac:dyDescent="0.3">
      <c r="A190" s="667"/>
      <c r="B190" s="667"/>
      <c r="C190" s="644"/>
      <c r="D190" s="458"/>
      <c r="E190" s="676"/>
      <c r="F190" s="112" t="s">
        <v>140</v>
      </c>
      <c r="G190" s="158">
        <f>+'Հավելված N 6'!E103</f>
        <v>-113596.4</v>
      </c>
    </row>
    <row r="191" spans="1:13" s="27" customFormat="1" ht="18" x14ac:dyDescent="0.3">
      <c r="A191" s="667"/>
      <c r="B191" s="667"/>
      <c r="C191" s="644"/>
      <c r="D191" s="643">
        <v>1163</v>
      </c>
      <c r="E191" s="653" t="s">
        <v>1115</v>
      </c>
      <c r="F191" s="653"/>
      <c r="G191" s="148">
        <f>+G193+G204</f>
        <v>-405494.1</v>
      </c>
      <c r="H191" s="28"/>
      <c r="I191" s="28"/>
      <c r="J191" s="28"/>
      <c r="K191" s="28"/>
      <c r="L191" s="28"/>
      <c r="M191" s="28"/>
    </row>
    <row r="192" spans="1:13" s="27" customFormat="1" ht="16.95" customHeight="1" x14ac:dyDescent="0.4">
      <c r="A192" s="667"/>
      <c r="B192" s="667"/>
      <c r="C192" s="644"/>
      <c r="D192" s="644"/>
      <c r="E192" s="154"/>
      <c r="F192" s="149" t="s">
        <v>17</v>
      </c>
      <c r="G192" s="148"/>
      <c r="H192" s="28"/>
      <c r="I192" s="28"/>
      <c r="J192" s="28"/>
      <c r="K192" s="28"/>
      <c r="L192" s="28"/>
      <c r="M192" s="28"/>
    </row>
    <row r="193" spans="1:13" s="27" customFormat="1" ht="18" x14ac:dyDescent="0.3">
      <c r="A193" s="667"/>
      <c r="B193" s="667"/>
      <c r="C193" s="644"/>
      <c r="D193" s="644"/>
      <c r="E193" s="457">
        <v>32001</v>
      </c>
      <c r="F193" s="456" t="s">
        <v>442</v>
      </c>
      <c r="G193" s="860">
        <f t="shared" ref="G193" si="38">+G195</f>
        <v>-160815.1</v>
      </c>
      <c r="H193" s="28"/>
      <c r="I193" s="28"/>
      <c r="J193" s="28"/>
      <c r="K193" s="28"/>
      <c r="L193" s="28"/>
      <c r="M193" s="28"/>
    </row>
    <row r="194" spans="1:13" s="27" customFormat="1" x14ac:dyDescent="0.3">
      <c r="A194" s="667"/>
      <c r="B194" s="667"/>
      <c r="C194" s="644"/>
      <c r="D194" s="644"/>
      <c r="E194" s="669"/>
      <c r="F194" s="149" t="s">
        <v>54</v>
      </c>
      <c r="G194" s="151"/>
    </row>
    <row r="195" spans="1:13" s="30" customFormat="1" ht="36.6" customHeight="1" x14ac:dyDescent="0.3">
      <c r="A195" s="667"/>
      <c r="B195" s="667"/>
      <c r="C195" s="644"/>
      <c r="D195" s="644"/>
      <c r="E195" s="670"/>
      <c r="F195" s="155" t="s">
        <v>137</v>
      </c>
      <c r="G195" s="157">
        <f t="shared" ref="G195" si="39">+G197</f>
        <v>-160815.1</v>
      </c>
    </row>
    <row r="196" spans="1:13" s="27" customFormat="1" ht="52.2" x14ac:dyDescent="0.3">
      <c r="A196" s="667"/>
      <c r="B196" s="667"/>
      <c r="C196" s="644"/>
      <c r="D196" s="644"/>
      <c r="E196" s="670"/>
      <c r="F196" s="149" t="s">
        <v>44</v>
      </c>
      <c r="G196" s="151"/>
    </row>
    <row r="197" spans="1:13" s="27" customFormat="1" ht="16.95" customHeight="1" x14ac:dyDescent="0.3">
      <c r="A197" s="667"/>
      <c r="B197" s="667"/>
      <c r="C197" s="644"/>
      <c r="D197" s="644"/>
      <c r="E197" s="670"/>
      <c r="F197" s="311" t="s">
        <v>18</v>
      </c>
      <c r="G197" s="214">
        <f>+G198</f>
        <v>-160815.1</v>
      </c>
    </row>
    <row r="198" spans="1:13" s="27" customFormat="1" ht="16.95" customHeight="1" x14ac:dyDescent="0.3">
      <c r="A198" s="667"/>
      <c r="B198" s="667"/>
      <c r="C198" s="644"/>
      <c r="D198" s="644"/>
      <c r="E198" s="670"/>
      <c r="F198" s="127" t="s">
        <v>90</v>
      </c>
      <c r="G198" s="253">
        <f t="shared" ref="G198:G202" si="40">+G199</f>
        <v>-160815.1</v>
      </c>
    </row>
    <row r="199" spans="1:13" s="27" customFormat="1" x14ac:dyDescent="0.3">
      <c r="A199" s="667"/>
      <c r="B199" s="667"/>
      <c r="C199" s="644"/>
      <c r="D199" s="644"/>
      <c r="E199" s="670"/>
      <c r="F199" s="127" t="s">
        <v>91</v>
      </c>
      <c r="G199" s="158">
        <f>+G200+G202</f>
        <v>-160815.1</v>
      </c>
    </row>
    <row r="200" spans="1:13" s="27" customFormat="1" x14ac:dyDescent="0.3">
      <c r="A200" s="667"/>
      <c r="B200" s="667"/>
      <c r="C200" s="644"/>
      <c r="D200" s="644"/>
      <c r="E200" s="670"/>
      <c r="F200" s="127" t="s">
        <v>92</v>
      </c>
      <c r="G200" s="253">
        <f t="shared" si="40"/>
        <v>-126795.1</v>
      </c>
    </row>
    <row r="201" spans="1:13" s="27" customFormat="1" x14ac:dyDescent="0.3">
      <c r="A201" s="667"/>
      <c r="B201" s="667"/>
      <c r="C201" s="644"/>
      <c r="D201" s="644"/>
      <c r="E201" s="670"/>
      <c r="F201" s="112" t="s">
        <v>140</v>
      </c>
      <c r="G201" s="158">
        <f>+'Հավելված N 6'!E115</f>
        <v>-126795.1</v>
      </c>
    </row>
    <row r="202" spans="1:13" s="27" customFormat="1" x14ac:dyDescent="0.3">
      <c r="A202" s="667"/>
      <c r="B202" s="667"/>
      <c r="C202" s="644"/>
      <c r="D202" s="644"/>
      <c r="E202" s="670"/>
      <c r="F202" s="127" t="s">
        <v>188</v>
      </c>
      <c r="G202" s="253">
        <f t="shared" si="40"/>
        <v>-34020</v>
      </c>
    </row>
    <row r="203" spans="1:13" s="27" customFormat="1" x14ac:dyDescent="0.3">
      <c r="A203" s="667"/>
      <c r="B203" s="667"/>
      <c r="C203" s="644"/>
      <c r="D203" s="644"/>
      <c r="E203" s="676"/>
      <c r="F203" s="112" t="s">
        <v>189</v>
      </c>
      <c r="G203" s="158">
        <f>+'Հավելված N 6'!E116</f>
        <v>-34020</v>
      </c>
    </row>
    <row r="204" spans="1:13" s="27" customFormat="1" ht="18" x14ac:dyDescent="0.3">
      <c r="A204" s="667"/>
      <c r="B204" s="667"/>
      <c r="C204" s="644"/>
      <c r="D204" s="644"/>
      <c r="E204" s="457">
        <v>32002</v>
      </c>
      <c r="F204" s="456" t="s">
        <v>449</v>
      </c>
      <c r="G204" s="860">
        <f>+G206+G213+G222</f>
        <v>-244679</v>
      </c>
      <c r="H204" s="28"/>
      <c r="I204" s="28"/>
      <c r="J204" s="28"/>
      <c r="K204" s="28"/>
      <c r="L204" s="28"/>
      <c r="M204" s="28"/>
    </row>
    <row r="205" spans="1:13" s="27" customFormat="1" x14ac:dyDescent="0.3">
      <c r="A205" s="667"/>
      <c r="B205" s="667"/>
      <c r="C205" s="644"/>
      <c r="D205" s="644"/>
      <c r="E205" s="669"/>
      <c r="F205" s="149" t="s">
        <v>54</v>
      </c>
      <c r="G205" s="151"/>
    </row>
    <row r="206" spans="1:13" s="30" customFormat="1" ht="36.6" customHeight="1" x14ac:dyDescent="0.3">
      <c r="A206" s="667"/>
      <c r="B206" s="667"/>
      <c r="C206" s="644"/>
      <c r="D206" s="644"/>
      <c r="E206" s="670"/>
      <c r="F206" s="155" t="s">
        <v>39</v>
      </c>
      <c r="G206" s="157">
        <f t="shared" ref="G206" si="41">+G208</f>
        <v>-119869.1</v>
      </c>
    </row>
    <row r="207" spans="1:13" s="27" customFormat="1" ht="52.2" x14ac:dyDescent="0.3">
      <c r="A207" s="667"/>
      <c r="B207" s="667"/>
      <c r="C207" s="644"/>
      <c r="D207" s="644"/>
      <c r="E207" s="670"/>
      <c r="F207" s="149" t="s">
        <v>44</v>
      </c>
      <c r="G207" s="151"/>
    </row>
    <row r="208" spans="1:13" s="27" customFormat="1" ht="16.95" customHeight="1" x14ac:dyDescent="0.3">
      <c r="A208" s="667"/>
      <c r="B208" s="667"/>
      <c r="C208" s="644"/>
      <c r="D208" s="644"/>
      <c r="E208" s="670"/>
      <c r="F208" s="311" t="s">
        <v>18</v>
      </c>
      <c r="G208" s="214">
        <f>+G209</f>
        <v>-119869.1</v>
      </c>
    </row>
    <row r="209" spans="1:7" s="27" customFormat="1" ht="16.95" customHeight="1" x14ac:dyDescent="0.3">
      <c r="A209" s="667"/>
      <c r="B209" s="667"/>
      <c r="C209" s="644"/>
      <c r="D209" s="644"/>
      <c r="E209" s="670"/>
      <c r="F209" s="127" t="s">
        <v>90</v>
      </c>
      <c r="G209" s="253">
        <f t="shared" ref="G209" si="42">+G210</f>
        <v>-119869.1</v>
      </c>
    </row>
    <row r="210" spans="1:7" s="27" customFormat="1" x14ac:dyDescent="0.3">
      <c r="A210" s="667"/>
      <c r="B210" s="667"/>
      <c r="C210" s="644"/>
      <c r="D210" s="644"/>
      <c r="E210" s="670"/>
      <c r="F210" s="127" t="s">
        <v>91</v>
      </c>
      <c r="G210" s="158">
        <f>+G211</f>
        <v>-119869.1</v>
      </c>
    </row>
    <row r="211" spans="1:7" s="27" customFormat="1" x14ac:dyDescent="0.3">
      <c r="A211" s="667"/>
      <c r="B211" s="667"/>
      <c r="C211" s="644"/>
      <c r="D211" s="644"/>
      <c r="E211" s="670"/>
      <c r="F211" s="127" t="s">
        <v>92</v>
      </c>
      <c r="G211" s="253">
        <f>+G212</f>
        <v>-119869.1</v>
      </c>
    </row>
    <row r="212" spans="1:7" s="27" customFormat="1" x14ac:dyDescent="0.3">
      <c r="A212" s="667"/>
      <c r="B212" s="667"/>
      <c r="C212" s="644"/>
      <c r="D212" s="644"/>
      <c r="E212" s="670"/>
      <c r="F212" s="112" t="s">
        <v>93</v>
      </c>
      <c r="G212" s="158">
        <f>+'Հավելված N 6'!E126</f>
        <v>-119869.1</v>
      </c>
    </row>
    <row r="213" spans="1:7" s="30" customFormat="1" ht="36.6" customHeight="1" x14ac:dyDescent="0.3">
      <c r="A213" s="667"/>
      <c r="B213" s="667"/>
      <c r="C213" s="644"/>
      <c r="D213" s="644"/>
      <c r="E213" s="670"/>
      <c r="F213" s="155" t="s">
        <v>137</v>
      </c>
      <c r="G213" s="157">
        <f t="shared" ref="G213" si="43">+G215</f>
        <v>-158105.9</v>
      </c>
    </row>
    <row r="214" spans="1:7" s="27" customFormat="1" ht="52.2" x14ac:dyDescent="0.3">
      <c r="A214" s="667"/>
      <c r="B214" s="667"/>
      <c r="C214" s="644"/>
      <c r="D214" s="644"/>
      <c r="E214" s="670"/>
      <c r="F214" s="149" t="s">
        <v>44</v>
      </c>
      <c r="G214" s="151"/>
    </row>
    <row r="215" spans="1:7" s="27" customFormat="1" ht="16.95" customHeight="1" x14ac:dyDescent="0.3">
      <c r="A215" s="667"/>
      <c r="B215" s="667"/>
      <c r="C215" s="644"/>
      <c r="D215" s="644"/>
      <c r="E215" s="670"/>
      <c r="F215" s="311" t="s">
        <v>18</v>
      </c>
      <c r="G215" s="214">
        <f>+G216</f>
        <v>-158105.9</v>
      </c>
    </row>
    <row r="216" spans="1:7" s="27" customFormat="1" ht="16.95" customHeight="1" x14ac:dyDescent="0.3">
      <c r="A216" s="667"/>
      <c r="B216" s="667"/>
      <c r="C216" s="644"/>
      <c r="D216" s="644"/>
      <c r="E216" s="670"/>
      <c r="F216" s="127" t="s">
        <v>90</v>
      </c>
      <c r="G216" s="253">
        <f t="shared" ref="G216:G220" si="44">+G217</f>
        <v>-158105.9</v>
      </c>
    </row>
    <row r="217" spans="1:7" s="27" customFormat="1" x14ac:dyDescent="0.3">
      <c r="A217" s="667"/>
      <c r="B217" s="667"/>
      <c r="C217" s="644"/>
      <c r="D217" s="644"/>
      <c r="E217" s="670"/>
      <c r="F217" s="127" t="s">
        <v>91</v>
      </c>
      <c r="G217" s="158">
        <f>+G218+G220</f>
        <v>-158105.9</v>
      </c>
    </row>
    <row r="218" spans="1:7" s="27" customFormat="1" x14ac:dyDescent="0.3">
      <c r="A218" s="667"/>
      <c r="B218" s="667"/>
      <c r="C218" s="644"/>
      <c r="D218" s="644"/>
      <c r="E218" s="670"/>
      <c r="F218" s="127" t="s">
        <v>92</v>
      </c>
      <c r="G218" s="253">
        <f t="shared" si="44"/>
        <v>-93311</v>
      </c>
    </row>
    <row r="219" spans="1:7" s="27" customFormat="1" x14ac:dyDescent="0.3">
      <c r="A219" s="667"/>
      <c r="B219" s="667"/>
      <c r="C219" s="644"/>
      <c r="D219" s="644"/>
      <c r="E219" s="670"/>
      <c r="F219" s="112" t="s">
        <v>93</v>
      </c>
      <c r="G219" s="158">
        <f>+'Հավելված N 6'!E122</f>
        <v>-93311</v>
      </c>
    </row>
    <row r="220" spans="1:7" s="27" customFormat="1" x14ac:dyDescent="0.3">
      <c r="A220" s="667"/>
      <c r="B220" s="667"/>
      <c r="C220" s="644"/>
      <c r="D220" s="644"/>
      <c r="E220" s="670"/>
      <c r="F220" s="127" t="s">
        <v>188</v>
      </c>
      <c r="G220" s="253">
        <f t="shared" si="44"/>
        <v>-64794.9</v>
      </c>
    </row>
    <row r="221" spans="1:7" s="27" customFormat="1" x14ac:dyDescent="0.3">
      <c r="A221" s="667"/>
      <c r="B221" s="667"/>
      <c r="C221" s="644"/>
      <c r="D221" s="644"/>
      <c r="E221" s="670"/>
      <c r="F221" s="112" t="s">
        <v>189</v>
      </c>
      <c r="G221" s="158">
        <f>+'Հավելված N 6'!E123+'Հավելված N 6'!E125</f>
        <v>-64794.9</v>
      </c>
    </row>
    <row r="222" spans="1:7" s="30" customFormat="1" ht="36.6" customHeight="1" x14ac:dyDescent="0.3">
      <c r="A222" s="667"/>
      <c r="B222" s="667"/>
      <c r="C222" s="644"/>
      <c r="D222" s="644"/>
      <c r="E222" s="670"/>
      <c r="F222" s="155" t="s">
        <v>1111</v>
      </c>
      <c r="G222" s="157">
        <f t="shared" ref="G222" si="45">+G224</f>
        <v>33296</v>
      </c>
    </row>
    <row r="223" spans="1:7" s="27" customFormat="1" ht="52.2" x14ac:dyDescent="0.3">
      <c r="A223" s="667"/>
      <c r="B223" s="667"/>
      <c r="C223" s="644"/>
      <c r="D223" s="644"/>
      <c r="E223" s="670"/>
      <c r="F223" s="149" t="s">
        <v>44</v>
      </c>
      <c r="G223" s="151"/>
    </row>
    <row r="224" spans="1:7" s="27" customFormat="1" ht="16.95" customHeight="1" x14ac:dyDescent="0.3">
      <c r="A224" s="667"/>
      <c r="B224" s="667"/>
      <c r="C224" s="644"/>
      <c r="D224" s="644"/>
      <c r="E224" s="670"/>
      <c r="F224" s="311" t="s">
        <v>18</v>
      </c>
      <c r="G224" s="214">
        <f>+G225</f>
        <v>33296</v>
      </c>
    </row>
    <row r="225" spans="1:12" s="27" customFormat="1" ht="16.8" customHeight="1" x14ac:dyDescent="0.3">
      <c r="A225" s="667"/>
      <c r="B225" s="667"/>
      <c r="C225" s="644"/>
      <c r="D225" s="644"/>
      <c r="E225" s="670"/>
      <c r="F225" s="518" t="s">
        <v>1120</v>
      </c>
      <c r="G225" s="520">
        <f t="shared" ref="G225:G226" si="46">G226</f>
        <v>33296</v>
      </c>
    </row>
    <row r="226" spans="1:12" s="27" customFormat="1" ht="16.8" customHeight="1" x14ac:dyDescent="0.3">
      <c r="A226" s="667"/>
      <c r="B226" s="667"/>
      <c r="C226" s="644"/>
      <c r="D226" s="644"/>
      <c r="E226" s="670"/>
      <c r="F226" s="518" t="s">
        <v>1121</v>
      </c>
      <c r="G226" s="520">
        <f t="shared" si="46"/>
        <v>33296</v>
      </c>
    </row>
    <row r="227" spans="1:12" s="27" customFormat="1" ht="34.799999999999997" x14ac:dyDescent="0.3">
      <c r="A227" s="667"/>
      <c r="B227" s="667"/>
      <c r="C227" s="644"/>
      <c r="D227" s="644"/>
      <c r="E227" s="670"/>
      <c r="F227" s="518" t="s">
        <v>1122</v>
      </c>
      <c r="G227" s="520">
        <f t="shared" ref="G227" si="47">+G228</f>
        <v>33296</v>
      </c>
    </row>
    <row r="228" spans="1:12" s="27" customFormat="1" ht="34.799999999999997" x14ac:dyDescent="0.3">
      <c r="A228" s="667"/>
      <c r="B228" s="667"/>
      <c r="C228" s="644"/>
      <c r="D228" s="645"/>
      <c r="E228" s="676"/>
      <c r="F228" s="518" t="s">
        <v>1123</v>
      </c>
      <c r="G228" s="520">
        <f>+'Հավելված N 7'!G25</f>
        <v>33296</v>
      </c>
    </row>
    <row r="229" spans="1:12" s="27" customFormat="1" ht="18" x14ac:dyDescent="0.4">
      <c r="A229" s="667"/>
      <c r="B229" s="667"/>
      <c r="C229" s="644"/>
      <c r="D229" s="643">
        <v>1183</v>
      </c>
      <c r="E229" s="681" t="s">
        <v>94</v>
      </c>
      <c r="F229" s="682"/>
      <c r="G229" s="115">
        <f>+G231+G254+G272+G283+G294+G305+G314+G334</f>
        <v>-5371328.3999999994</v>
      </c>
      <c r="H229" s="28"/>
      <c r="I229" s="28"/>
      <c r="J229" s="28"/>
      <c r="K229" s="28"/>
      <c r="L229" s="28"/>
    </row>
    <row r="230" spans="1:12" s="27" customFormat="1" ht="16.95" customHeight="1" x14ac:dyDescent="0.4">
      <c r="A230" s="667"/>
      <c r="B230" s="667"/>
      <c r="C230" s="644"/>
      <c r="D230" s="644"/>
      <c r="E230" s="117"/>
      <c r="F230" s="127" t="s">
        <v>17</v>
      </c>
      <c r="G230" s="111"/>
      <c r="H230" s="28"/>
      <c r="I230" s="28"/>
      <c r="J230" s="28"/>
      <c r="K230" s="28"/>
      <c r="L230" s="28"/>
    </row>
    <row r="231" spans="1:12" s="27" customFormat="1" ht="35.549999999999997" customHeight="1" x14ac:dyDescent="0.3">
      <c r="A231" s="667"/>
      <c r="B231" s="667"/>
      <c r="C231" s="644"/>
      <c r="D231" s="644"/>
      <c r="E231" s="126">
        <v>32001</v>
      </c>
      <c r="F231" s="114" t="s">
        <v>110</v>
      </c>
      <c r="G231" s="861">
        <f>+G233+G240+G247</f>
        <v>132471.1</v>
      </c>
      <c r="H231" s="28"/>
      <c r="I231" s="28"/>
      <c r="J231" s="28"/>
      <c r="K231" s="28"/>
      <c r="L231" s="28"/>
    </row>
    <row r="232" spans="1:12" s="27" customFormat="1" ht="17.55" customHeight="1" x14ac:dyDescent="0.3">
      <c r="A232" s="667"/>
      <c r="B232" s="667"/>
      <c r="C232" s="644"/>
      <c r="D232" s="644"/>
      <c r="E232" s="669"/>
      <c r="F232" s="127" t="s">
        <v>54</v>
      </c>
      <c r="G232" s="111"/>
    </row>
    <row r="233" spans="1:12" s="30" customFormat="1" ht="36.6" customHeight="1" x14ac:dyDescent="0.3">
      <c r="A233" s="667"/>
      <c r="B233" s="667"/>
      <c r="C233" s="644"/>
      <c r="D233" s="644"/>
      <c r="E233" s="670"/>
      <c r="F233" s="155" t="s">
        <v>1108</v>
      </c>
      <c r="G233" s="120">
        <f t="shared" ref="G233" si="48">G235</f>
        <v>42336.9</v>
      </c>
    </row>
    <row r="234" spans="1:12" s="27" customFormat="1" ht="52.2" x14ac:dyDescent="0.3">
      <c r="A234" s="667"/>
      <c r="B234" s="667"/>
      <c r="C234" s="644"/>
      <c r="D234" s="644"/>
      <c r="E234" s="670"/>
      <c r="F234" s="149" t="s">
        <v>44</v>
      </c>
      <c r="G234" s="111"/>
    </row>
    <row r="235" spans="1:12" s="27" customFormat="1" ht="17.55" customHeight="1" x14ac:dyDescent="0.3">
      <c r="A235" s="667"/>
      <c r="B235" s="667"/>
      <c r="C235" s="644"/>
      <c r="D235" s="644"/>
      <c r="E235" s="670"/>
      <c r="F235" s="311" t="s">
        <v>18</v>
      </c>
      <c r="G235" s="214">
        <f t="shared" ref="G235:G236" si="49">G236</f>
        <v>42336.9</v>
      </c>
    </row>
    <row r="236" spans="1:12" s="27" customFormat="1" ht="17.55" customHeight="1" x14ac:dyDescent="0.3">
      <c r="A236" s="667"/>
      <c r="B236" s="667"/>
      <c r="C236" s="644"/>
      <c r="D236" s="644"/>
      <c r="E236" s="670"/>
      <c r="F236" s="518" t="s">
        <v>1120</v>
      </c>
      <c r="G236" s="254">
        <f t="shared" si="49"/>
        <v>42336.9</v>
      </c>
    </row>
    <row r="237" spans="1:12" s="27" customFormat="1" ht="17.55" customHeight="1" x14ac:dyDescent="0.3">
      <c r="A237" s="667"/>
      <c r="B237" s="667"/>
      <c r="C237" s="644"/>
      <c r="D237" s="644"/>
      <c r="E237" s="670"/>
      <c r="F237" s="518" t="s">
        <v>1121</v>
      </c>
      <c r="G237" s="113">
        <f>+G238</f>
        <v>42336.9</v>
      </c>
    </row>
    <row r="238" spans="1:12" s="27" customFormat="1" ht="17.55" customHeight="1" x14ac:dyDescent="0.3">
      <c r="A238" s="667"/>
      <c r="B238" s="667"/>
      <c r="C238" s="644"/>
      <c r="D238" s="644"/>
      <c r="E238" s="670"/>
      <c r="F238" s="518" t="s">
        <v>1122</v>
      </c>
      <c r="G238" s="254">
        <f t="shared" ref="G238" si="50">+G239</f>
        <v>42336.9</v>
      </c>
    </row>
    <row r="239" spans="1:12" s="27" customFormat="1" ht="34.799999999999997" x14ac:dyDescent="0.3">
      <c r="A239" s="667"/>
      <c r="B239" s="667"/>
      <c r="C239" s="644"/>
      <c r="D239" s="644"/>
      <c r="E239" s="670"/>
      <c r="F239" s="518" t="s">
        <v>1123</v>
      </c>
      <c r="G239" s="113">
        <f>+'Հավելված N 7'!G33</f>
        <v>42336.9</v>
      </c>
    </row>
    <row r="240" spans="1:12" s="30" customFormat="1" ht="36.6" customHeight="1" x14ac:dyDescent="0.3">
      <c r="A240" s="667"/>
      <c r="B240" s="667"/>
      <c r="C240" s="644"/>
      <c r="D240" s="644"/>
      <c r="E240" s="670"/>
      <c r="F240" s="155" t="s">
        <v>1136</v>
      </c>
      <c r="G240" s="120">
        <f t="shared" ref="G240" si="51">G242</f>
        <v>7503.5</v>
      </c>
    </row>
    <row r="241" spans="1:13" s="27" customFormat="1" ht="52.2" x14ac:dyDescent="0.3">
      <c r="A241" s="667"/>
      <c r="B241" s="667"/>
      <c r="C241" s="644"/>
      <c r="D241" s="644"/>
      <c r="E241" s="670"/>
      <c r="F241" s="149" t="s">
        <v>44</v>
      </c>
      <c r="G241" s="111"/>
    </row>
    <row r="242" spans="1:13" s="27" customFormat="1" ht="17.55" customHeight="1" x14ac:dyDescent="0.3">
      <c r="A242" s="667"/>
      <c r="B242" s="667"/>
      <c r="C242" s="644"/>
      <c r="D242" s="644"/>
      <c r="E242" s="670"/>
      <c r="F242" s="311" t="s">
        <v>18</v>
      </c>
      <c r="G242" s="214">
        <f t="shared" ref="G242:G243" si="52">G243</f>
        <v>7503.5</v>
      </c>
    </row>
    <row r="243" spans="1:13" s="27" customFormat="1" ht="17.55" customHeight="1" x14ac:dyDescent="0.3">
      <c r="A243" s="667"/>
      <c r="B243" s="667"/>
      <c r="C243" s="644"/>
      <c r="D243" s="644"/>
      <c r="E243" s="670"/>
      <c r="F243" s="518" t="s">
        <v>1120</v>
      </c>
      <c r="G243" s="254">
        <f t="shared" si="52"/>
        <v>7503.5</v>
      </c>
    </row>
    <row r="244" spans="1:13" s="27" customFormat="1" ht="17.55" customHeight="1" x14ac:dyDescent="0.3">
      <c r="A244" s="667"/>
      <c r="B244" s="667"/>
      <c r="C244" s="644"/>
      <c r="D244" s="644"/>
      <c r="E244" s="670"/>
      <c r="F244" s="518" t="s">
        <v>1121</v>
      </c>
      <c r="G244" s="113">
        <f>+G245</f>
        <v>7503.5</v>
      </c>
    </row>
    <row r="245" spans="1:13" s="27" customFormat="1" ht="17.55" customHeight="1" x14ac:dyDescent="0.3">
      <c r="A245" s="667"/>
      <c r="B245" s="667"/>
      <c r="C245" s="644"/>
      <c r="D245" s="644"/>
      <c r="E245" s="670"/>
      <c r="F245" s="518" t="s">
        <v>1122</v>
      </c>
      <c r="G245" s="254">
        <f t="shared" ref="G245" si="53">+G246</f>
        <v>7503.5</v>
      </c>
    </row>
    <row r="246" spans="1:13" s="27" customFormat="1" ht="34.799999999999997" x14ac:dyDescent="0.3">
      <c r="A246" s="667"/>
      <c r="B246" s="667"/>
      <c r="C246" s="644"/>
      <c r="D246" s="644"/>
      <c r="E246" s="670"/>
      <c r="F246" s="518" t="s">
        <v>1123</v>
      </c>
      <c r="G246" s="113">
        <f>+'Հավելված N 7'!G36</f>
        <v>7503.5</v>
      </c>
    </row>
    <row r="247" spans="1:13" s="30" customFormat="1" ht="36.6" customHeight="1" x14ac:dyDescent="0.3">
      <c r="A247" s="667"/>
      <c r="B247" s="667"/>
      <c r="C247" s="644"/>
      <c r="D247" s="644"/>
      <c r="E247" s="670"/>
      <c r="F247" s="155" t="s">
        <v>1111</v>
      </c>
      <c r="G247" s="120">
        <f t="shared" ref="G247" si="54">G249</f>
        <v>82630.7</v>
      </c>
    </row>
    <row r="248" spans="1:13" s="27" customFormat="1" ht="52.2" x14ac:dyDescent="0.3">
      <c r="A248" s="667"/>
      <c r="B248" s="667"/>
      <c r="C248" s="644"/>
      <c r="D248" s="644"/>
      <c r="E248" s="670"/>
      <c r="F248" s="149" t="s">
        <v>44</v>
      </c>
      <c r="G248" s="111"/>
    </row>
    <row r="249" spans="1:13" s="27" customFormat="1" ht="17.55" customHeight="1" x14ac:dyDescent="0.3">
      <c r="A249" s="667"/>
      <c r="B249" s="667"/>
      <c r="C249" s="644"/>
      <c r="D249" s="644"/>
      <c r="E249" s="670"/>
      <c r="F249" s="311" t="s">
        <v>18</v>
      </c>
      <c r="G249" s="214">
        <f t="shared" ref="G249:G250" si="55">G250</f>
        <v>82630.7</v>
      </c>
    </row>
    <row r="250" spans="1:13" s="27" customFormat="1" ht="17.55" customHeight="1" x14ac:dyDescent="0.3">
      <c r="A250" s="667"/>
      <c r="B250" s="667"/>
      <c r="C250" s="644"/>
      <c r="D250" s="644"/>
      <c r="E250" s="670"/>
      <c r="F250" s="518" t="s">
        <v>1120</v>
      </c>
      <c r="G250" s="254">
        <f t="shared" si="55"/>
        <v>82630.7</v>
      </c>
    </row>
    <row r="251" spans="1:13" s="27" customFormat="1" ht="17.55" customHeight="1" x14ac:dyDescent="0.3">
      <c r="A251" s="667"/>
      <c r="B251" s="667"/>
      <c r="C251" s="644"/>
      <c r="D251" s="644"/>
      <c r="E251" s="670"/>
      <c r="F251" s="518" t="s">
        <v>1121</v>
      </c>
      <c r="G251" s="113">
        <f>+G252</f>
        <v>82630.7</v>
      </c>
    </row>
    <row r="252" spans="1:13" s="27" customFormat="1" ht="17.55" customHeight="1" x14ac:dyDescent="0.3">
      <c r="A252" s="667"/>
      <c r="B252" s="667"/>
      <c r="C252" s="644"/>
      <c r="D252" s="644"/>
      <c r="E252" s="670"/>
      <c r="F252" s="518" t="s">
        <v>1122</v>
      </c>
      <c r="G252" s="254">
        <f t="shared" ref="G252" si="56">+G253</f>
        <v>82630.7</v>
      </c>
    </row>
    <row r="253" spans="1:13" s="27" customFormat="1" ht="34.799999999999997" x14ac:dyDescent="0.3">
      <c r="A253" s="667"/>
      <c r="B253" s="667"/>
      <c r="C253" s="644"/>
      <c r="D253" s="644"/>
      <c r="E253" s="676"/>
      <c r="F253" s="518" t="s">
        <v>1123</v>
      </c>
      <c r="G253" s="113">
        <f>+'Հավելված N 7'!G38</f>
        <v>82630.7</v>
      </c>
    </row>
    <row r="254" spans="1:13" s="27" customFormat="1" ht="36" x14ac:dyDescent="0.3">
      <c r="A254" s="667"/>
      <c r="B254" s="667"/>
      <c r="C254" s="644"/>
      <c r="D254" s="644"/>
      <c r="E254" s="313">
        <v>32002</v>
      </c>
      <c r="F254" s="185" t="s">
        <v>311</v>
      </c>
      <c r="G254" s="862">
        <f>+G256+G265</f>
        <v>-2887155</v>
      </c>
      <c r="H254" s="28"/>
      <c r="I254" s="28"/>
      <c r="J254" s="28"/>
      <c r="K254" s="28"/>
      <c r="L254" s="28"/>
      <c r="M254" s="28"/>
    </row>
    <row r="255" spans="1:13" s="27" customFormat="1" x14ac:dyDescent="0.3">
      <c r="A255" s="667"/>
      <c r="B255" s="667"/>
      <c r="C255" s="644"/>
      <c r="D255" s="644"/>
      <c r="E255" s="669"/>
      <c r="F255" s="193" t="s">
        <v>54</v>
      </c>
      <c r="G255" s="195"/>
    </row>
    <row r="256" spans="1:13" s="30" customFormat="1" ht="36.6" customHeight="1" x14ac:dyDescent="0.3">
      <c r="A256" s="667"/>
      <c r="B256" s="667"/>
      <c r="C256" s="644"/>
      <c r="D256" s="644"/>
      <c r="E256" s="670"/>
      <c r="F256" s="155" t="s">
        <v>137</v>
      </c>
      <c r="G256" s="196">
        <f t="shared" ref="G256" si="57">+G258</f>
        <v>-2800355</v>
      </c>
    </row>
    <row r="257" spans="1:13" s="27" customFormat="1" ht="52.2" x14ac:dyDescent="0.3">
      <c r="A257" s="667"/>
      <c r="B257" s="667"/>
      <c r="C257" s="644"/>
      <c r="D257" s="644"/>
      <c r="E257" s="670"/>
      <c r="F257" s="193" t="s">
        <v>44</v>
      </c>
      <c r="G257" s="195"/>
    </row>
    <row r="258" spans="1:13" s="27" customFormat="1" ht="16.95" customHeight="1" x14ac:dyDescent="0.3">
      <c r="A258" s="667"/>
      <c r="B258" s="667"/>
      <c r="C258" s="644"/>
      <c r="D258" s="644"/>
      <c r="E258" s="670"/>
      <c r="F258" s="455" t="s">
        <v>18</v>
      </c>
      <c r="G258" s="214">
        <f t="shared" ref="G258:G263" si="58">+G259</f>
        <v>-2800355</v>
      </c>
    </row>
    <row r="259" spans="1:13" s="27" customFormat="1" ht="16.95" customHeight="1" x14ac:dyDescent="0.3">
      <c r="A259" s="667"/>
      <c r="B259" s="667"/>
      <c r="C259" s="644"/>
      <c r="D259" s="644"/>
      <c r="E259" s="670"/>
      <c r="F259" s="193" t="s">
        <v>90</v>
      </c>
      <c r="G259" s="255">
        <f t="shared" si="58"/>
        <v>-2800355</v>
      </c>
    </row>
    <row r="260" spans="1:13" s="27" customFormat="1" x14ac:dyDescent="0.3">
      <c r="A260" s="667"/>
      <c r="B260" s="667"/>
      <c r="C260" s="644"/>
      <c r="D260" s="644"/>
      <c r="E260" s="670"/>
      <c r="F260" s="193" t="s">
        <v>91</v>
      </c>
      <c r="G260" s="197">
        <f>+G261+G263</f>
        <v>-2800355</v>
      </c>
    </row>
    <row r="261" spans="1:13" s="27" customFormat="1" x14ac:dyDescent="0.3">
      <c r="A261" s="667"/>
      <c r="B261" s="667"/>
      <c r="C261" s="644"/>
      <c r="D261" s="644"/>
      <c r="E261" s="670"/>
      <c r="F261" s="193" t="s">
        <v>92</v>
      </c>
      <c r="G261" s="255">
        <f t="shared" si="58"/>
        <v>-2071355</v>
      </c>
    </row>
    <row r="262" spans="1:13" s="27" customFormat="1" x14ac:dyDescent="0.3">
      <c r="A262" s="667"/>
      <c r="B262" s="667"/>
      <c r="C262" s="644"/>
      <c r="D262" s="644"/>
      <c r="E262" s="670"/>
      <c r="F262" s="199" t="s">
        <v>140</v>
      </c>
      <c r="G262" s="197">
        <f>+'Հավելված N 6'!E141+'Հավելված N 6'!E152+'Հավելված N 6'!E156+'Հավելված N 6'!E166+'Հավելված N 6'!E167+'Հավելված N 6'!E175+'Հավելված N 6'!E188</f>
        <v>-2071355</v>
      </c>
    </row>
    <row r="263" spans="1:13" s="27" customFormat="1" x14ac:dyDescent="0.3">
      <c r="A263" s="667"/>
      <c r="B263" s="667"/>
      <c r="C263" s="644"/>
      <c r="D263" s="644"/>
      <c r="E263" s="670"/>
      <c r="F263" s="127" t="s">
        <v>188</v>
      </c>
      <c r="G263" s="255">
        <f t="shared" si="58"/>
        <v>-729000</v>
      </c>
    </row>
    <row r="264" spans="1:13" s="27" customFormat="1" x14ac:dyDescent="0.3">
      <c r="A264" s="667"/>
      <c r="B264" s="667"/>
      <c r="C264" s="644"/>
      <c r="D264" s="644"/>
      <c r="E264" s="670"/>
      <c r="F264" s="112" t="s">
        <v>189</v>
      </c>
      <c r="G264" s="197">
        <f>+'Հավելված N 6'!E140+'Հավելված N 6'!E143+SUM('Հավելված N 6'!E157:E164)+SUM('Հավելված N 6'!E168:E173)+SUM('Հավելված N 6'!E176:E186)+SUM('Հավելված N 6'!E189:E200)+'Հավելված N 6'!E201+'Հավելված N 6'!E206</f>
        <v>-729000</v>
      </c>
    </row>
    <row r="265" spans="1:13" s="30" customFormat="1" ht="36.6" customHeight="1" x14ac:dyDescent="0.3">
      <c r="A265" s="667"/>
      <c r="B265" s="667"/>
      <c r="C265" s="644"/>
      <c r="D265" s="644"/>
      <c r="E265" s="670"/>
      <c r="F265" s="155" t="s">
        <v>472</v>
      </c>
      <c r="G265" s="196">
        <f t="shared" ref="G265" si="59">+G267</f>
        <v>-86800</v>
      </c>
    </row>
    <row r="266" spans="1:13" s="27" customFormat="1" ht="52.2" x14ac:dyDescent="0.3">
      <c r="A266" s="667"/>
      <c r="B266" s="667"/>
      <c r="C266" s="644"/>
      <c r="D266" s="644"/>
      <c r="E266" s="670"/>
      <c r="F266" s="193" t="s">
        <v>44</v>
      </c>
      <c r="G266" s="195"/>
    </row>
    <row r="267" spans="1:13" s="27" customFormat="1" ht="16.95" customHeight="1" x14ac:dyDescent="0.3">
      <c r="A267" s="667"/>
      <c r="B267" s="667"/>
      <c r="C267" s="644"/>
      <c r="D267" s="644"/>
      <c r="E267" s="670"/>
      <c r="F267" s="455" t="s">
        <v>18</v>
      </c>
      <c r="G267" s="214">
        <f t="shared" ref="G267:G270" si="60">+G268</f>
        <v>-86800</v>
      </c>
    </row>
    <row r="268" spans="1:13" s="27" customFormat="1" ht="16.95" customHeight="1" x14ac:dyDescent="0.3">
      <c r="A268" s="667"/>
      <c r="B268" s="667"/>
      <c r="C268" s="644"/>
      <c r="D268" s="644"/>
      <c r="E268" s="670"/>
      <c r="F268" s="193" t="s">
        <v>90</v>
      </c>
      <c r="G268" s="255">
        <f t="shared" si="60"/>
        <v>-86800</v>
      </c>
    </row>
    <row r="269" spans="1:13" s="27" customFormat="1" x14ac:dyDescent="0.3">
      <c r="A269" s="667"/>
      <c r="B269" s="667"/>
      <c r="C269" s="644"/>
      <c r="D269" s="644"/>
      <c r="E269" s="670"/>
      <c r="F269" s="193" t="s">
        <v>91</v>
      </c>
      <c r="G269" s="197">
        <f>+G270</f>
        <v>-86800</v>
      </c>
    </row>
    <row r="270" spans="1:13" s="27" customFormat="1" x14ac:dyDescent="0.3">
      <c r="A270" s="667"/>
      <c r="B270" s="667"/>
      <c r="C270" s="644"/>
      <c r="D270" s="644"/>
      <c r="E270" s="670"/>
      <c r="F270" s="127" t="s">
        <v>188</v>
      </c>
      <c r="G270" s="255">
        <f t="shared" si="60"/>
        <v>-86800</v>
      </c>
    </row>
    <row r="271" spans="1:13" s="27" customFormat="1" x14ac:dyDescent="0.3">
      <c r="A271" s="667"/>
      <c r="B271" s="667"/>
      <c r="C271" s="644"/>
      <c r="D271" s="644"/>
      <c r="E271" s="676"/>
      <c r="F271" s="112" t="s">
        <v>189</v>
      </c>
      <c r="G271" s="197">
        <f>+'Հավելված N 6'!E215</f>
        <v>-86800</v>
      </c>
    </row>
    <row r="272" spans="1:13" s="27" customFormat="1" ht="53.7" customHeight="1" x14ac:dyDescent="0.3">
      <c r="A272" s="667"/>
      <c r="B272" s="667"/>
      <c r="C272" s="644"/>
      <c r="D272" s="644"/>
      <c r="E272" s="313">
        <v>32003</v>
      </c>
      <c r="F272" s="185" t="s">
        <v>138</v>
      </c>
      <c r="G272" s="862">
        <f t="shared" ref="G272" si="61">+G274</f>
        <v>-1368042.7</v>
      </c>
      <c r="H272" s="28"/>
      <c r="I272" s="28"/>
      <c r="J272" s="28"/>
      <c r="K272" s="28"/>
      <c r="L272" s="28"/>
      <c r="M272" s="28"/>
    </row>
    <row r="273" spans="1:12" s="27" customFormat="1" x14ac:dyDescent="0.3">
      <c r="A273" s="667"/>
      <c r="B273" s="667"/>
      <c r="C273" s="644"/>
      <c r="D273" s="644"/>
      <c r="E273" s="669"/>
      <c r="F273" s="193" t="s">
        <v>54</v>
      </c>
      <c r="G273" s="195"/>
    </row>
    <row r="274" spans="1:12" s="30" customFormat="1" ht="36.6" customHeight="1" x14ac:dyDescent="0.3">
      <c r="A274" s="667"/>
      <c r="B274" s="667"/>
      <c r="C274" s="644"/>
      <c r="D274" s="644"/>
      <c r="E274" s="670"/>
      <c r="F274" s="155" t="s">
        <v>137</v>
      </c>
      <c r="G274" s="196">
        <f t="shared" ref="G274" si="62">+G276</f>
        <v>-1368042.7</v>
      </c>
    </row>
    <row r="275" spans="1:12" s="27" customFormat="1" ht="52.2" x14ac:dyDescent="0.3">
      <c r="A275" s="667"/>
      <c r="B275" s="667"/>
      <c r="C275" s="644"/>
      <c r="D275" s="644"/>
      <c r="E275" s="670"/>
      <c r="F275" s="193" t="s">
        <v>44</v>
      </c>
      <c r="G275" s="195"/>
    </row>
    <row r="276" spans="1:12" s="27" customFormat="1" ht="16.95" customHeight="1" x14ac:dyDescent="0.3">
      <c r="A276" s="667"/>
      <c r="B276" s="667"/>
      <c r="C276" s="644"/>
      <c r="D276" s="644"/>
      <c r="E276" s="670"/>
      <c r="F276" s="455" t="s">
        <v>18</v>
      </c>
      <c r="G276" s="214">
        <f t="shared" ref="G276:G279" si="63">+G277</f>
        <v>-1368042.7</v>
      </c>
    </row>
    <row r="277" spans="1:12" s="27" customFormat="1" ht="16.95" customHeight="1" x14ac:dyDescent="0.3">
      <c r="A277" s="667"/>
      <c r="B277" s="667"/>
      <c r="C277" s="644"/>
      <c r="D277" s="644"/>
      <c r="E277" s="670"/>
      <c r="F277" s="193" t="s">
        <v>90</v>
      </c>
      <c r="G277" s="255">
        <f t="shared" si="63"/>
        <v>-1368042.7</v>
      </c>
    </row>
    <row r="278" spans="1:12" s="27" customFormat="1" x14ac:dyDescent="0.3">
      <c r="A278" s="667"/>
      <c r="B278" s="667"/>
      <c r="C278" s="644"/>
      <c r="D278" s="644"/>
      <c r="E278" s="670"/>
      <c r="F278" s="193" t="s">
        <v>91</v>
      </c>
      <c r="G278" s="197">
        <f>+G279+G281</f>
        <v>-1368042.7</v>
      </c>
    </row>
    <row r="279" spans="1:12" s="27" customFormat="1" x14ac:dyDescent="0.3">
      <c r="A279" s="667"/>
      <c r="B279" s="667"/>
      <c r="C279" s="644"/>
      <c r="D279" s="644"/>
      <c r="E279" s="670"/>
      <c r="F279" s="193" t="s">
        <v>92</v>
      </c>
      <c r="G279" s="255">
        <f t="shared" si="63"/>
        <v>-1363042.7</v>
      </c>
    </row>
    <row r="280" spans="1:12" s="27" customFormat="1" x14ac:dyDescent="0.3">
      <c r="A280" s="667"/>
      <c r="B280" s="667"/>
      <c r="C280" s="644"/>
      <c r="D280" s="644"/>
      <c r="E280" s="670"/>
      <c r="F280" s="199" t="s">
        <v>140</v>
      </c>
      <c r="G280" s="197">
        <f>+'Հավելված N 6'!E223-'Հավելված N 6'!E245</f>
        <v>-1363042.7</v>
      </c>
    </row>
    <row r="281" spans="1:12" s="27" customFormat="1" x14ac:dyDescent="0.3">
      <c r="A281" s="667"/>
      <c r="B281" s="667"/>
      <c r="C281" s="644"/>
      <c r="D281" s="644"/>
      <c r="E281" s="670"/>
      <c r="F281" s="127" t="s">
        <v>188</v>
      </c>
      <c r="G281" s="255">
        <f t="shared" ref="G281" si="64">+G282</f>
        <v>-5000</v>
      </c>
    </row>
    <row r="282" spans="1:12" s="27" customFormat="1" x14ac:dyDescent="0.3">
      <c r="A282" s="667"/>
      <c r="B282" s="667"/>
      <c r="C282" s="644"/>
      <c r="D282" s="644"/>
      <c r="E282" s="676"/>
      <c r="F282" s="112" t="s">
        <v>189</v>
      </c>
      <c r="G282" s="197">
        <f>+'Հավելված N 6'!E245</f>
        <v>-5000</v>
      </c>
    </row>
    <row r="283" spans="1:12" s="27" customFormat="1" ht="54" x14ac:dyDescent="0.3">
      <c r="A283" s="667"/>
      <c r="B283" s="667"/>
      <c r="C283" s="644"/>
      <c r="D283" s="644"/>
      <c r="E283" s="126">
        <v>32004</v>
      </c>
      <c r="F283" s="114" t="s">
        <v>170</v>
      </c>
      <c r="G283" s="861">
        <f>+G285</f>
        <v>-94431.5</v>
      </c>
      <c r="H283" s="28"/>
      <c r="I283" s="28"/>
      <c r="J283" s="28"/>
      <c r="K283" s="28"/>
      <c r="L283" s="28"/>
    </row>
    <row r="284" spans="1:12" s="27" customFormat="1" ht="17.55" customHeight="1" x14ac:dyDescent="0.3">
      <c r="A284" s="667"/>
      <c r="B284" s="667"/>
      <c r="C284" s="644"/>
      <c r="D284" s="644"/>
      <c r="E284" s="683"/>
      <c r="F284" s="127" t="s">
        <v>54</v>
      </c>
      <c r="G284" s="111"/>
    </row>
    <row r="285" spans="1:12" s="30" customFormat="1" ht="36.6" customHeight="1" x14ac:dyDescent="0.3">
      <c r="A285" s="667"/>
      <c r="B285" s="667"/>
      <c r="C285" s="644"/>
      <c r="D285" s="644"/>
      <c r="E285" s="683"/>
      <c r="F285" s="155" t="s">
        <v>39</v>
      </c>
      <c r="G285" s="120">
        <f t="shared" ref="G285" si="65">G287</f>
        <v>-94431.5</v>
      </c>
    </row>
    <row r="286" spans="1:12" s="27" customFormat="1" ht="52.2" x14ac:dyDescent="0.3">
      <c r="A286" s="667"/>
      <c r="B286" s="667"/>
      <c r="C286" s="644"/>
      <c r="D286" s="644"/>
      <c r="E286" s="683"/>
      <c r="F286" s="127" t="s">
        <v>44</v>
      </c>
      <c r="G286" s="118"/>
    </row>
    <row r="287" spans="1:12" s="27" customFormat="1" ht="17.55" customHeight="1" x14ac:dyDescent="0.3">
      <c r="A287" s="667"/>
      <c r="B287" s="667"/>
      <c r="C287" s="644"/>
      <c r="D287" s="644"/>
      <c r="E287" s="683"/>
      <c r="F287" s="108" t="s">
        <v>45</v>
      </c>
      <c r="G287" s="214">
        <f t="shared" ref="G287:G288" si="66">G288</f>
        <v>-94431.5</v>
      </c>
    </row>
    <row r="288" spans="1:12" s="27" customFormat="1" ht="17.55" customHeight="1" x14ac:dyDescent="0.3">
      <c r="A288" s="667"/>
      <c r="B288" s="667"/>
      <c r="C288" s="644"/>
      <c r="D288" s="644"/>
      <c r="E288" s="683"/>
      <c r="F288" s="127" t="s">
        <v>90</v>
      </c>
      <c r="G288" s="254">
        <f t="shared" si="66"/>
        <v>-94431.5</v>
      </c>
    </row>
    <row r="289" spans="1:12" s="27" customFormat="1" ht="17.55" customHeight="1" x14ac:dyDescent="0.3">
      <c r="A289" s="667"/>
      <c r="B289" s="667"/>
      <c r="C289" s="644"/>
      <c r="D289" s="644"/>
      <c r="E289" s="683"/>
      <c r="F289" s="127" t="s">
        <v>91</v>
      </c>
      <c r="G289" s="113">
        <f>+G290+G292</f>
        <v>-94431.5</v>
      </c>
    </row>
    <row r="290" spans="1:12" s="27" customFormat="1" ht="17.55" customHeight="1" x14ac:dyDescent="0.3">
      <c r="A290" s="667"/>
      <c r="B290" s="667"/>
      <c r="C290" s="644"/>
      <c r="D290" s="644"/>
      <c r="E290" s="675"/>
      <c r="F290" s="193" t="s">
        <v>92</v>
      </c>
      <c r="G290" s="254">
        <f t="shared" ref="G290" si="67">+G291</f>
        <v>-92838.7</v>
      </c>
    </row>
    <row r="291" spans="1:12" s="27" customFormat="1" ht="17.55" customHeight="1" x14ac:dyDescent="0.3">
      <c r="A291" s="667"/>
      <c r="B291" s="667"/>
      <c r="C291" s="644"/>
      <c r="D291" s="644"/>
      <c r="E291" s="675"/>
      <c r="F291" s="199" t="s">
        <v>93</v>
      </c>
      <c r="G291" s="113">
        <f>+'Հավելված N 6'!E251+'Հավելված N 6'!E253</f>
        <v>-92838.7</v>
      </c>
    </row>
    <row r="292" spans="1:12" s="27" customFormat="1" ht="17.55" customHeight="1" x14ac:dyDescent="0.3">
      <c r="A292" s="667"/>
      <c r="B292" s="667"/>
      <c r="C292" s="644"/>
      <c r="D292" s="644"/>
      <c r="E292" s="684"/>
      <c r="F292" s="127" t="s">
        <v>188</v>
      </c>
      <c r="G292" s="254">
        <f t="shared" ref="G292" si="68">+G293</f>
        <v>-1592.8</v>
      </c>
    </row>
    <row r="293" spans="1:12" s="27" customFormat="1" ht="17.55" customHeight="1" x14ac:dyDescent="0.3">
      <c r="A293" s="667"/>
      <c r="B293" s="667"/>
      <c r="C293" s="644"/>
      <c r="D293" s="644"/>
      <c r="E293" s="684"/>
      <c r="F293" s="112" t="s">
        <v>189</v>
      </c>
      <c r="G293" s="113">
        <f>+'Հավելված N 6'!E255</f>
        <v>-1592.8</v>
      </c>
    </row>
    <row r="294" spans="1:12" s="27" customFormat="1" ht="54" x14ac:dyDescent="0.3">
      <c r="A294" s="667"/>
      <c r="B294" s="667"/>
      <c r="C294" s="644"/>
      <c r="D294" s="644"/>
      <c r="E294" s="126">
        <v>32007</v>
      </c>
      <c r="F294" s="114" t="s">
        <v>181</v>
      </c>
      <c r="G294" s="861">
        <f>+G296</f>
        <v>-67555</v>
      </c>
      <c r="H294" s="28"/>
      <c r="I294" s="28"/>
      <c r="J294" s="28"/>
      <c r="K294" s="28"/>
      <c r="L294" s="28"/>
    </row>
    <row r="295" spans="1:12" s="27" customFormat="1" ht="17.55" customHeight="1" x14ac:dyDescent="0.3">
      <c r="A295" s="667"/>
      <c r="B295" s="667"/>
      <c r="C295" s="644"/>
      <c r="D295" s="644"/>
      <c r="E295" s="669"/>
      <c r="F295" s="127" t="s">
        <v>54</v>
      </c>
      <c r="G295" s="111"/>
    </row>
    <row r="296" spans="1:12" s="30" customFormat="1" ht="36.6" customHeight="1" x14ac:dyDescent="0.3">
      <c r="A296" s="667"/>
      <c r="B296" s="667"/>
      <c r="C296" s="644"/>
      <c r="D296" s="644"/>
      <c r="E296" s="670"/>
      <c r="F296" s="119" t="s">
        <v>137</v>
      </c>
      <c r="G296" s="120">
        <f t="shared" ref="G296" si="69">G298</f>
        <v>-67555</v>
      </c>
    </row>
    <row r="297" spans="1:12" s="27" customFormat="1" ht="52.2" x14ac:dyDescent="0.3">
      <c r="A297" s="667"/>
      <c r="B297" s="667"/>
      <c r="C297" s="644"/>
      <c r="D297" s="644"/>
      <c r="E297" s="670"/>
      <c r="F297" s="127" t="s">
        <v>44</v>
      </c>
      <c r="G297" s="118"/>
    </row>
    <row r="298" spans="1:12" s="27" customFormat="1" ht="17.55" customHeight="1" x14ac:dyDescent="0.3">
      <c r="A298" s="667"/>
      <c r="B298" s="667"/>
      <c r="C298" s="644"/>
      <c r="D298" s="644"/>
      <c r="E298" s="670"/>
      <c r="F298" s="108" t="s">
        <v>45</v>
      </c>
      <c r="G298" s="214">
        <f t="shared" ref="G298:G299" si="70">G299</f>
        <v>-67555</v>
      </c>
    </row>
    <row r="299" spans="1:12" s="27" customFormat="1" ht="17.55" customHeight="1" x14ac:dyDescent="0.3">
      <c r="A299" s="667"/>
      <c r="B299" s="667"/>
      <c r="C299" s="644"/>
      <c r="D299" s="644"/>
      <c r="E299" s="670"/>
      <c r="F299" s="127" t="s">
        <v>90</v>
      </c>
      <c r="G299" s="254">
        <f t="shared" si="70"/>
        <v>-67555</v>
      </c>
    </row>
    <row r="300" spans="1:12" s="27" customFormat="1" ht="17.55" customHeight="1" x14ac:dyDescent="0.3">
      <c r="A300" s="667"/>
      <c r="B300" s="667"/>
      <c r="C300" s="644"/>
      <c r="D300" s="644"/>
      <c r="E300" s="670"/>
      <c r="F300" s="127" t="s">
        <v>91</v>
      </c>
      <c r="G300" s="254">
        <f>+G301+G303</f>
        <v>-67555</v>
      </c>
    </row>
    <row r="301" spans="1:12" s="27" customFormat="1" ht="17.55" customHeight="1" x14ac:dyDescent="0.3">
      <c r="A301" s="667"/>
      <c r="B301" s="667"/>
      <c r="C301" s="644"/>
      <c r="D301" s="644"/>
      <c r="E301" s="670"/>
      <c r="F301" s="193" t="s">
        <v>92</v>
      </c>
      <c r="G301" s="254">
        <f t="shared" ref="G301" si="71">+G302</f>
        <v>-52300</v>
      </c>
    </row>
    <row r="302" spans="1:12" s="27" customFormat="1" ht="17.55" customHeight="1" x14ac:dyDescent="0.3">
      <c r="A302" s="667"/>
      <c r="B302" s="667"/>
      <c r="C302" s="644"/>
      <c r="D302" s="644"/>
      <c r="E302" s="670"/>
      <c r="F302" s="199" t="s">
        <v>140</v>
      </c>
      <c r="G302" s="113">
        <f>+'Հավելված N 6'!E266</f>
        <v>-52300</v>
      </c>
    </row>
    <row r="303" spans="1:12" s="27" customFormat="1" ht="17.55" customHeight="1" x14ac:dyDescent="0.3">
      <c r="A303" s="667"/>
      <c r="B303" s="667"/>
      <c r="C303" s="644"/>
      <c r="D303" s="644"/>
      <c r="E303" s="670"/>
      <c r="F303" s="127" t="s">
        <v>188</v>
      </c>
      <c r="G303" s="254">
        <f t="shared" ref="G303" si="72">+G304</f>
        <v>-15255</v>
      </c>
    </row>
    <row r="304" spans="1:12" s="27" customFormat="1" ht="17.55" customHeight="1" x14ac:dyDescent="0.3">
      <c r="A304" s="667"/>
      <c r="B304" s="667"/>
      <c r="C304" s="644"/>
      <c r="D304" s="644"/>
      <c r="E304" s="676"/>
      <c r="F304" s="112" t="s">
        <v>189</v>
      </c>
      <c r="G304" s="113">
        <f>+'Հավելված N 6'!E261+'Հավելված N 6'!E263+'Հավելված N 6'!E264</f>
        <v>-15255</v>
      </c>
    </row>
    <row r="305" spans="1:12" s="27" customFormat="1" ht="54" x14ac:dyDescent="0.3">
      <c r="A305" s="667"/>
      <c r="B305" s="667"/>
      <c r="C305" s="644"/>
      <c r="D305" s="644"/>
      <c r="E305" s="126">
        <v>32009</v>
      </c>
      <c r="F305" s="114" t="s">
        <v>358</v>
      </c>
      <c r="G305" s="861">
        <f>+G307</f>
        <v>-224588.6</v>
      </c>
      <c r="H305" s="28"/>
      <c r="I305" s="28"/>
      <c r="J305" s="28"/>
      <c r="K305" s="28"/>
      <c r="L305" s="28"/>
    </row>
    <row r="306" spans="1:12" s="27" customFormat="1" ht="17.55" customHeight="1" x14ac:dyDescent="0.3">
      <c r="A306" s="667"/>
      <c r="B306" s="667"/>
      <c r="C306" s="644"/>
      <c r="D306" s="644"/>
      <c r="E306" s="683"/>
      <c r="F306" s="127" t="s">
        <v>54</v>
      </c>
      <c r="G306" s="111"/>
    </row>
    <row r="307" spans="1:12" s="30" customFormat="1" ht="36.6" customHeight="1" x14ac:dyDescent="0.3">
      <c r="A307" s="667"/>
      <c r="B307" s="667"/>
      <c r="C307" s="644"/>
      <c r="D307" s="644"/>
      <c r="E307" s="683"/>
      <c r="F307" s="119" t="s">
        <v>137</v>
      </c>
      <c r="G307" s="120">
        <f t="shared" ref="G307" si="73">G309</f>
        <v>-224588.6</v>
      </c>
    </row>
    <row r="308" spans="1:12" s="27" customFormat="1" ht="52.2" x14ac:dyDescent="0.3">
      <c r="A308" s="667"/>
      <c r="B308" s="667"/>
      <c r="C308" s="644"/>
      <c r="D308" s="644"/>
      <c r="E308" s="683"/>
      <c r="F308" s="127" t="s">
        <v>44</v>
      </c>
      <c r="G308" s="118"/>
    </row>
    <row r="309" spans="1:12" s="27" customFormat="1" ht="17.55" customHeight="1" x14ac:dyDescent="0.3">
      <c r="A309" s="667"/>
      <c r="B309" s="667"/>
      <c r="C309" s="644"/>
      <c r="D309" s="644"/>
      <c r="E309" s="683"/>
      <c r="F309" s="108" t="s">
        <v>45</v>
      </c>
      <c r="G309" s="214">
        <f t="shared" ref="G309:G310" si="74">G310</f>
        <v>-224588.6</v>
      </c>
    </row>
    <row r="310" spans="1:12" s="27" customFormat="1" ht="17.55" customHeight="1" x14ac:dyDescent="0.3">
      <c r="A310" s="667"/>
      <c r="B310" s="667"/>
      <c r="C310" s="644"/>
      <c r="D310" s="644"/>
      <c r="E310" s="683"/>
      <c r="F310" s="127" t="s">
        <v>90</v>
      </c>
      <c r="G310" s="254">
        <f t="shared" si="74"/>
        <v>-224588.6</v>
      </c>
    </row>
    <row r="311" spans="1:12" s="27" customFormat="1" ht="17.55" customHeight="1" x14ac:dyDescent="0.3">
      <c r="A311" s="667"/>
      <c r="B311" s="667"/>
      <c r="C311" s="644"/>
      <c r="D311" s="644"/>
      <c r="E311" s="683"/>
      <c r="F311" s="127" t="s">
        <v>91</v>
      </c>
      <c r="G311" s="254">
        <f>+G312</f>
        <v>-224588.6</v>
      </c>
    </row>
    <row r="312" spans="1:12" s="27" customFormat="1" ht="17.55" customHeight="1" x14ac:dyDescent="0.3">
      <c r="A312" s="667"/>
      <c r="B312" s="667"/>
      <c r="C312" s="644"/>
      <c r="D312" s="644"/>
      <c r="E312" s="684"/>
      <c r="F312" s="193" t="s">
        <v>92</v>
      </c>
      <c r="G312" s="254">
        <f t="shared" ref="G312" si="75">+G313</f>
        <v>-224588.6</v>
      </c>
    </row>
    <row r="313" spans="1:12" s="27" customFormat="1" ht="17.55" customHeight="1" x14ac:dyDescent="0.3">
      <c r="A313" s="667"/>
      <c r="B313" s="667"/>
      <c r="C313" s="644"/>
      <c r="D313" s="644"/>
      <c r="E313" s="684"/>
      <c r="F313" s="199" t="s">
        <v>93</v>
      </c>
      <c r="G313" s="113">
        <f>+'Հավելված N 6'!E269</f>
        <v>-224588.6</v>
      </c>
    </row>
    <row r="314" spans="1:12" s="27" customFormat="1" ht="36" x14ac:dyDescent="0.3">
      <c r="A314" s="667"/>
      <c r="B314" s="667"/>
      <c r="C314" s="644"/>
      <c r="D314" s="644"/>
      <c r="E314" s="126">
        <v>32012</v>
      </c>
      <c r="F314" s="114" t="s">
        <v>571</v>
      </c>
      <c r="G314" s="861">
        <f>+G316+G327</f>
        <v>-594726.70000000007</v>
      </c>
      <c r="H314" s="28"/>
      <c r="I314" s="28"/>
      <c r="J314" s="28"/>
      <c r="K314" s="28"/>
      <c r="L314" s="28"/>
    </row>
    <row r="315" spans="1:12" s="27" customFormat="1" ht="17.55" customHeight="1" x14ac:dyDescent="0.3">
      <c r="A315" s="667"/>
      <c r="B315" s="667"/>
      <c r="C315" s="644"/>
      <c r="D315" s="644"/>
      <c r="E315" s="669"/>
      <c r="F315" s="127" t="s">
        <v>54</v>
      </c>
      <c r="G315" s="111"/>
    </row>
    <row r="316" spans="1:12" s="30" customFormat="1" ht="36.6" customHeight="1" x14ac:dyDescent="0.3">
      <c r="A316" s="667"/>
      <c r="B316" s="667"/>
      <c r="C316" s="644"/>
      <c r="D316" s="644"/>
      <c r="E316" s="670"/>
      <c r="F316" s="119" t="s">
        <v>39</v>
      </c>
      <c r="G316" s="120">
        <f t="shared" ref="G316" si="76">G318</f>
        <v>-597272.70000000007</v>
      </c>
    </row>
    <row r="317" spans="1:12" s="27" customFormat="1" ht="52.2" x14ac:dyDescent="0.3">
      <c r="A317" s="667"/>
      <c r="B317" s="667"/>
      <c r="C317" s="644"/>
      <c r="D317" s="644"/>
      <c r="E317" s="670"/>
      <c r="F317" s="127" t="s">
        <v>44</v>
      </c>
      <c r="G317" s="118"/>
    </row>
    <row r="318" spans="1:12" s="27" customFormat="1" ht="17.55" customHeight="1" x14ac:dyDescent="0.3">
      <c r="A318" s="667"/>
      <c r="B318" s="667"/>
      <c r="C318" s="644"/>
      <c r="D318" s="644"/>
      <c r="E318" s="670"/>
      <c r="F318" s="108" t="s">
        <v>18</v>
      </c>
      <c r="G318" s="214">
        <f>+G319+G323</f>
        <v>-597272.70000000007</v>
      </c>
    </row>
    <row r="319" spans="1:12" s="27" customFormat="1" ht="16.8" customHeight="1" x14ac:dyDescent="0.3">
      <c r="A319" s="667"/>
      <c r="B319" s="667"/>
      <c r="C319" s="644"/>
      <c r="D319" s="644"/>
      <c r="E319" s="670"/>
      <c r="F319" s="518" t="s">
        <v>1120</v>
      </c>
      <c r="G319" s="520">
        <f t="shared" ref="G319:G320" si="77">G320</f>
        <v>848</v>
      </c>
    </row>
    <row r="320" spans="1:12" s="27" customFormat="1" ht="16.8" customHeight="1" x14ac:dyDescent="0.3">
      <c r="A320" s="667"/>
      <c r="B320" s="667"/>
      <c r="C320" s="644"/>
      <c r="D320" s="644"/>
      <c r="E320" s="670"/>
      <c r="F320" s="518" t="s">
        <v>1121</v>
      </c>
      <c r="G320" s="520">
        <f t="shared" si="77"/>
        <v>848</v>
      </c>
    </row>
    <row r="321" spans="1:12" s="27" customFormat="1" ht="34.799999999999997" x14ac:dyDescent="0.3">
      <c r="A321" s="667"/>
      <c r="B321" s="667"/>
      <c r="C321" s="644"/>
      <c r="D321" s="644"/>
      <c r="E321" s="670"/>
      <c r="F321" s="518" t="s">
        <v>1122</v>
      </c>
      <c r="G321" s="520">
        <f>+G322</f>
        <v>848</v>
      </c>
    </row>
    <row r="322" spans="1:12" s="27" customFormat="1" x14ac:dyDescent="0.3">
      <c r="A322" s="667"/>
      <c r="B322" s="667"/>
      <c r="C322" s="644"/>
      <c r="D322" s="644"/>
      <c r="E322" s="670"/>
      <c r="F322" s="518" t="s">
        <v>1124</v>
      </c>
      <c r="G322" s="520">
        <f>+'Հավելված N 7'!G43</f>
        <v>848</v>
      </c>
    </row>
    <row r="323" spans="1:12" s="27" customFormat="1" ht="17.55" customHeight="1" x14ac:dyDescent="0.3">
      <c r="A323" s="667"/>
      <c r="B323" s="667"/>
      <c r="C323" s="644"/>
      <c r="D323" s="644"/>
      <c r="E323" s="670"/>
      <c r="F323" s="127" t="s">
        <v>90</v>
      </c>
      <c r="G323" s="254">
        <f t="shared" ref="G323" si="78">G324</f>
        <v>-598120.70000000007</v>
      </c>
    </row>
    <row r="324" spans="1:12" s="27" customFormat="1" ht="17.55" customHeight="1" x14ac:dyDescent="0.3">
      <c r="A324" s="667"/>
      <c r="B324" s="667"/>
      <c r="C324" s="644"/>
      <c r="D324" s="644"/>
      <c r="E324" s="670"/>
      <c r="F324" s="127" t="s">
        <v>91</v>
      </c>
      <c r="G324" s="254">
        <f>+G325</f>
        <v>-598120.70000000007</v>
      </c>
    </row>
    <row r="325" spans="1:12" s="27" customFormat="1" ht="17.55" customHeight="1" x14ac:dyDescent="0.3">
      <c r="A325" s="667"/>
      <c r="B325" s="667"/>
      <c r="C325" s="644"/>
      <c r="D325" s="644"/>
      <c r="E325" s="670"/>
      <c r="F325" s="193" t="s">
        <v>1134</v>
      </c>
      <c r="G325" s="254">
        <f t="shared" ref="G325" si="79">+G326</f>
        <v>-598120.70000000007</v>
      </c>
    </row>
    <row r="326" spans="1:12" s="27" customFormat="1" ht="17.55" customHeight="1" x14ac:dyDescent="0.3">
      <c r="A326" s="667"/>
      <c r="B326" s="667"/>
      <c r="C326" s="644"/>
      <c r="D326" s="644"/>
      <c r="E326" s="670"/>
      <c r="F326" s="199" t="s">
        <v>1135</v>
      </c>
      <c r="G326" s="113">
        <f>+'Հավելված N 6'!E278</f>
        <v>-598120.70000000007</v>
      </c>
    </row>
    <row r="327" spans="1:12" s="30" customFormat="1" ht="36.6" customHeight="1" x14ac:dyDescent="0.3">
      <c r="A327" s="667"/>
      <c r="B327" s="667"/>
      <c r="C327" s="644"/>
      <c r="D327" s="644"/>
      <c r="E327" s="670"/>
      <c r="F327" s="119" t="s">
        <v>1118</v>
      </c>
      <c r="G327" s="120">
        <f t="shared" ref="G327" si="80">G329</f>
        <v>2546</v>
      </c>
    </row>
    <row r="328" spans="1:12" s="27" customFormat="1" ht="52.2" x14ac:dyDescent="0.3">
      <c r="A328" s="667"/>
      <c r="B328" s="667"/>
      <c r="C328" s="644"/>
      <c r="D328" s="644"/>
      <c r="E328" s="670"/>
      <c r="F328" s="127" t="s">
        <v>44</v>
      </c>
      <c r="G328" s="118"/>
    </row>
    <row r="329" spans="1:12" s="27" customFormat="1" ht="17.55" customHeight="1" x14ac:dyDescent="0.3">
      <c r="A329" s="667"/>
      <c r="B329" s="667"/>
      <c r="C329" s="644"/>
      <c r="D329" s="644"/>
      <c r="E329" s="670"/>
      <c r="F329" s="108" t="s">
        <v>18</v>
      </c>
      <c r="G329" s="214">
        <f>+G330</f>
        <v>2546</v>
      </c>
    </row>
    <row r="330" spans="1:12" s="27" customFormat="1" ht="16.8" customHeight="1" x14ac:dyDescent="0.3">
      <c r="A330" s="667"/>
      <c r="B330" s="667"/>
      <c r="C330" s="644"/>
      <c r="D330" s="644"/>
      <c r="E330" s="670"/>
      <c r="F330" s="518" t="s">
        <v>1120</v>
      </c>
      <c r="G330" s="520">
        <f t="shared" ref="G330:G331" si="81">G331</f>
        <v>2546</v>
      </c>
    </row>
    <row r="331" spans="1:12" s="27" customFormat="1" ht="16.8" customHeight="1" x14ac:dyDescent="0.3">
      <c r="A331" s="667"/>
      <c r="B331" s="667"/>
      <c r="C331" s="644"/>
      <c r="D331" s="644"/>
      <c r="E331" s="670"/>
      <c r="F331" s="518" t="s">
        <v>1121</v>
      </c>
      <c r="G331" s="520">
        <f t="shared" si="81"/>
        <v>2546</v>
      </c>
    </row>
    <row r="332" spans="1:12" s="27" customFormat="1" ht="34.799999999999997" x14ac:dyDescent="0.3">
      <c r="A332" s="667"/>
      <c r="B332" s="667"/>
      <c r="C332" s="644"/>
      <c r="D332" s="644"/>
      <c r="E332" s="670"/>
      <c r="F332" s="518" t="s">
        <v>1122</v>
      </c>
      <c r="G332" s="520">
        <f>+G333</f>
        <v>2546</v>
      </c>
    </row>
    <row r="333" spans="1:12" s="27" customFormat="1" ht="34.799999999999997" x14ac:dyDescent="0.3">
      <c r="A333" s="667"/>
      <c r="B333" s="667"/>
      <c r="C333" s="644"/>
      <c r="D333" s="644"/>
      <c r="E333" s="676"/>
      <c r="F333" s="518" t="s">
        <v>1123</v>
      </c>
      <c r="G333" s="520">
        <f>+'Հավելված N 7'!G45</f>
        <v>2546</v>
      </c>
    </row>
    <row r="334" spans="1:12" s="27" customFormat="1" ht="54" x14ac:dyDescent="0.3">
      <c r="A334" s="667"/>
      <c r="B334" s="667"/>
      <c r="C334" s="644"/>
      <c r="D334" s="644"/>
      <c r="E334" s="126">
        <v>32013</v>
      </c>
      <c r="F334" s="114" t="s">
        <v>573</v>
      </c>
      <c r="G334" s="861">
        <f>+G336</f>
        <v>-267300</v>
      </c>
      <c r="H334" s="28"/>
      <c r="I334" s="28"/>
      <c r="J334" s="28"/>
      <c r="K334" s="28"/>
      <c r="L334" s="28"/>
    </row>
    <row r="335" spans="1:12" s="27" customFormat="1" ht="17.55" customHeight="1" x14ac:dyDescent="0.3">
      <c r="A335" s="667"/>
      <c r="B335" s="667"/>
      <c r="C335" s="644"/>
      <c r="D335" s="644"/>
      <c r="E335" s="669"/>
      <c r="F335" s="127" t="s">
        <v>54</v>
      </c>
      <c r="G335" s="111"/>
    </row>
    <row r="336" spans="1:12" s="30" customFormat="1" ht="36.6" customHeight="1" x14ac:dyDescent="0.3">
      <c r="A336" s="667"/>
      <c r="B336" s="667"/>
      <c r="C336" s="644"/>
      <c r="D336" s="644"/>
      <c r="E336" s="670"/>
      <c r="F336" s="119" t="s">
        <v>137</v>
      </c>
      <c r="G336" s="120">
        <f t="shared" ref="G336" si="82">G338</f>
        <v>-267300</v>
      </c>
    </row>
    <row r="337" spans="1:7" s="27" customFormat="1" ht="52.2" x14ac:dyDescent="0.3">
      <c r="A337" s="667"/>
      <c r="B337" s="667"/>
      <c r="C337" s="644"/>
      <c r="D337" s="644"/>
      <c r="E337" s="670"/>
      <c r="F337" s="127" t="s">
        <v>44</v>
      </c>
      <c r="G337" s="118"/>
    </row>
    <row r="338" spans="1:7" s="27" customFormat="1" ht="17.55" customHeight="1" x14ac:dyDescent="0.3">
      <c r="A338" s="667"/>
      <c r="B338" s="667"/>
      <c r="C338" s="644"/>
      <c r="D338" s="644"/>
      <c r="E338" s="670"/>
      <c r="F338" s="108" t="s">
        <v>45</v>
      </c>
      <c r="G338" s="214">
        <f t="shared" ref="G338:G339" si="83">G339</f>
        <v>-267300</v>
      </c>
    </row>
    <row r="339" spans="1:7" s="27" customFormat="1" ht="17.55" customHeight="1" x14ac:dyDescent="0.3">
      <c r="A339" s="667"/>
      <c r="B339" s="667"/>
      <c r="C339" s="644"/>
      <c r="D339" s="644"/>
      <c r="E339" s="670"/>
      <c r="F339" s="127" t="s">
        <v>90</v>
      </c>
      <c r="G339" s="254">
        <f t="shared" si="83"/>
        <v>-267300</v>
      </c>
    </row>
    <row r="340" spans="1:7" s="27" customFormat="1" ht="17.55" customHeight="1" x14ac:dyDescent="0.3">
      <c r="A340" s="667"/>
      <c r="B340" s="667"/>
      <c r="C340" s="644"/>
      <c r="D340" s="644"/>
      <c r="E340" s="670"/>
      <c r="F340" s="127" t="s">
        <v>91</v>
      </c>
      <c r="G340" s="254">
        <f>+G341</f>
        <v>-267300</v>
      </c>
    </row>
    <row r="341" spans="1:7" s="27" customFormat="1" ht="17.55" customHeight="1" x14ac:dyDescent="0.3">
      <c r="A341" s="667"/>
      <c r="B341" s="667"/>
      <c r="C341" s="644"/>
      <c r="D341" s="644"/>
      <c r="E341" s="670"/>
      <c r="F341" s="127" t="s">
        <v>188</v>
      </c>
      <c r="G341" s="254">
        <f t="shared" ref="G341" si="84">+G342</f>
        <v>-267300</v>
      </c>
    </row>
    <row r="342" spans="1:7" s="27" customFormat="1" ht="17.55" customHeight="1" x14ac:dyDescent="0.3">
      <c r="A342" s="672"/>
      <c r="B342" s="672"/>
      <c r="C342" s="645"/>
      <c r="D342" s="645"/>
      <c r="E342" s="676"/>
      <c r="F342" s="112" t="s">
        <v>189</v>
      </c>
      <c r="G342" s="113">
        <f>+'Հավելված N 6'!E312</f>
        <v>-267300</v>
      </c>
    </row>
    <row r="343" spans="1:7" ht="18" x14ac:dyDescent="0.4">
      <c r="A343" s="270"/>
      <c r="B343" s="316"/>
      <c r="C343" s="317"/>
    </row>
    <row r="344" spans="1:7" s="27" customFormat="1" ht="34.950000000000003" customHeight="1" x14ac:dyDescent="0.3">
      <c r="A344" s="193"/>
      <c r="B344" s="193"/>
      <c r="C344" s="193"/>
      <c r="D344" s="455"/>
      <c r="E344" s="455"/>
      <c r="F344" s="310" t="s">
        <v>193</v>
      </c>
      <c r="G344" s="258">
        <f>+G345</f>
        <v>14481218.200000001</v>
      </c>
    </row>
    <row r="345" spans="1:7" ht="36" x14ac:dyDescent="0.4">
      <c r="A345" s="690" t="s">
        <v>194</v>
      </c>
      <c r="B345" s="690"/>
      <c r="C345" s="690"/>
      <c r="D345" s="690"/>
      <c r="E345" s="691"/>
      <c r="F345" s="256" t="s">
        <v>195</v>
      </c>
      <c r="G345" s="192">
        <f t="shared" ref="G345" si="85">+G347</f>
        <v>14481218.200000001</v>
      </c>
    </row>
    <row r="346" spans="1:7" ht="18" x14ac:dyDescent="0.4">
      <c r="A346" s="690"/>
      <c r="B346" s="690"/>
      <c r="C346" s="690"/>
      <c r="D346" s="690"/>
      <c r="E346" s="691"/>
      <c r="F346" s="193" t="s">
        <v>17</v>
      </c>
      <c r="G346" s="192"/>
    </row>
    <row r="347" spans="1:7" ht="36" x14ac:dyDescent="0.4">
      <c r="A347" s="690"/>
      <c r="B347" s="690" t="s">
        <v>24</v>
      </c>
      <c r="C347" s="690"/>
      <c r="D347" s="690"/>
      <c r="E347" s="691"/>
      <c r="F347" s="256" t="s">
        <v>196</v>
      </c>
      <c r="G347" s="195">
        <f t="shared" ref="G347" si="86">+G349</f>
        <v>14481218.200000001</v>
      </c>
    </row>
    <row r="348" spans="1:7" x14ac:dyDescent="0.4">
      <c r="A348" s="690"/>
      <c r="B348" s="690"/>
      <c r="C348" s="690"/>
      <c r="D348" s="690"/>
      <c r="E348" s="691"/>
      <c r="F348" s="193" t="s">
        <v>17</v>
      </c>
      <c r="G348" s="263"/>
    </row>
    <row r="349" spans="1:7" ht="18" x14ac:dyDescent="0.4">
      <c r="A349" s="690"/>
      <c r="B349" s="690"/>
      <c r="C349" s="690" t="s">
        <v>24</v>
      </c>
      <c r="D349" s="690"/>
      <c r="E349" s="691"/>
      <c r="F349" s="310" t="s">
        <v>197</v>
      </c>
      <c r="G349" s="195">
        <f>+G351</f>
        <v>14481218.200000001</v>
      </c>
    </row>
    <row r="350" spans="1:7" x14ac:dyDescent="0.4">
      <c r="A350" s="690"/>
      <c r="B350" s="690"/>
      <c r="C350" s="690"/>
      <c r="D350" s="690"/>
      <c r="E350" s="691"/>
      <c r="F350" s="193" t="s">
        <v>17</v>
      </c>
      <c r="G350" s="263"/>
    </row>
    <row r="351" spans="1:7" x14ac:dyDescent="0.4">
      <c r="A351" s="690"/>
      <c r="B351" s="690"/>
      <c r="C351" s="690"/>
      <c r="D351" s="690"/>
      <c r="E351" s="691"/>
      <c r="F351" s="193" t="s">
        <v>198</v>
      </c>
      <c r="G351" s="255">
        <f t="shared" ref="G351" si="87">+G353</f>
        <v>14481218.200000001</v>
      </c>
    </row>
    <row r="352" spans="1:7" ht="18" x14ac:dyDescent="0.4">
      <c r="A352" s="690"/>
      <c r="B352" s="690"/>
      <c r="C352" s="690"/>
      <c r="D352" s="690"/>
      <c r="E352" s="691"/>
      <c r="F352" s="193" t="s">
        <v>17</v>
      </c>
      <c r="G352" s="264"/>
    </row>
    <row r="353" spans="1:7" ht="18" customHeight="1" x14ac:dyDescent="0.4">
      <c r="A353" s="690"/>
      <c r="B353" s="690"/>
      <c r="C353" s="690"/>
      <c r="D353" s="690" t="s">
        <v>199</v>
      </c>
      <c r="E353" s="692" t="s">
        <v>200</v>
      </c>
      <c r="F353" s="693" t="s">
        <v>197</v>
      </c>
      <c r="G353" s="602">
        <f>+G355+G363</f>
        <v>14481218.200000001</v>
      </c>
    </row>
    <row r="354" spans="1:7" ht="18" x14ac:dyDescent="0.4">
      <c r="A354" s="690"/>
      <c r="B354" s="690"/>
      <c r="C354" s="690"/>
      <c r="D354" s="690"/>
      <c r="E354" s="259"/>
      <c r="F354" s="193" t="s">
        <v>17</v>
      </c>
      <c r="G354" s="214"/>
    </row>
    <row r="355" spans="1:7" ht="18" x14ac:dyDescent="0.4">
      <c r="A355" s="690"/>
      <c r="B355" s="690"/>
      <c r="C355" s="690"/>
      <c r="D355" s="690"/>
      <c r="E355" s="260">
        <v>11001</v>
      </c>
      <c r="F355" s="310" t="s">
        <v>197</v>
      </c>
      <c r="G355" s="265">
        <f t="shared" ref="G355" si="88">+G357</f>
        <v>14531201.9</v>
      </c>
    </row>
    <row r="356" spans="1:7" x14ac:dyDescent="0.4">
      <c r="A356" s="690"/>
      <c r="B356" s="690"/>
      <c r="C356" s="690"/>
      <c r="D356" s="690"/>
      <c r="E356" s="689"/>
      <c r="F356" s="261" t="s">
        <v>54</v>
      </c>
      <c r="G356" s="266"/>
    </row>
    <row r="357" spans="1:7" ht="36.6" customHeight="1" x14ac:dyDescent="0.4">
      <c r="A357" s="690"/>
      <c r="B357" s="690"/>
      <c r="C357" s="690"/>
      <c r="D357" s="690"/>
      <c r="E357" s="689"/>
      <c r="F357" s="469" t="s">
        <v>198</v>
      </c>
      <c r="G357" s="267">
        <f t="shared" ref="G357" si="89">+G359</f>
        <v>14531201.9</v>
      </c>
    </row>
    <row r="358" spans="1:7" ht="34.799999999999997" x14ac:dyDescent="0.4">
      <c r="A358" s="690"/>
      <c r="B358" s="690"/>
      <c r="C358" s="690"/>
      <c r="D358" s="690"/>
      <c r="E358" s="689"/>
      <c r="F358" s="261" t="s">
        <v>201</v>
      </c>
      <c r="G358" s="266"/>
    </row>
    <row r="359" spans="1:7" x14ac:dyDescent="0.4">
      <c r="A359" s="690"/>
      <c r="B359" s="690"/>
      <c r="C359" s="690"/>
      <c r="D359" s="690"/>
      <c r="E359" s="689"/>
      <c r="F359" s="262" t="s">
        <v>18</v>
      </c>
      <c r="G359" s="214">
        <f t="shared" ref="G359:G361" si="90">+G360</f>
        <v>14531201.9</v>
      </c>
    </row>
    <row r="360" spans="1:7" x14ac:dyDescent="0.4">
      <c r="A360" s="690"/>
      <c r="B360" s="690"/>
      <c r="C360" s="690"/>
      <c r="D360" s="690"/>
      <c r="E360" s="689"/>
      <c r="F360" s="127" t="s">
        <v>19</v>
      </c>
      <c r="G360" s="268">
        <f t="shared" si="90"/>
        <v>14531201.9</v>
      </c>
    </row>
    <row r="361" spans="1:7" x14ac:dyDescent="0.4">
      <c r="A361" s="690"/>
      <c r="B361" s="690"/>
      <c r="C361" s="690"/>
      <c r="D361" s="690"/>
      <c r="E361" s="689"/>
      <c r="F361" s="193" t="s">
        <v>371</v>
      </c>
      <c r="G361" s="268">
        <f t="shared" si="90"/>
        <v>14531201.9</v>
      </c>
    </row>
    <row r="362" spans="1:7" x14ac:dyDescent="0.4">
      <c r="A362" s="690"/>
      <c r="B362" s="690"/>
      <c r="C362" s="690"/>
      <c r="D362" s="690"/>
      <c r="E362" s="689"/>
      <c r="F362" s="199" t="s">
        <v>372</v>
      </c>
      <c r="G362" s="268">
        <f>ROUND((-('Հավելված N 6'!E12+'Հավելված N 7'!G10-'Հավելված N 7'!G37)+G158),1)</f>
        <v>14531201.9</v>
      </c>
    </row>
    <row r="363" spans="1:7" ht="18" x14ac:dyDescent="0.4">
      <c r="A363" s="690"/>
      <c r="B363" s="690"/>
      <c r="C363" s="690"/>
      <c r="D363" s="690"/>
      <c r="E363" s="528">
        <v>11001</v>
      </c>
      <c r="F363" s="310" t="s">
        <v>197</v>
      </c>
      <c r="G363" s="265">
        <f t="shared" ref="G363" si="91">+G365</f>
        <v>-49983.7</v>
      </c>
    </row>
    <row r="364" spans="1:7" x14ac:dyDescent="0.4">
      <c r="A364" s="690"/>
      <c r="B364" s="690"/>
      <c r="C364" s="690"/>
      <c r="D364" s="690"/>
      <c r="E364" s="689"/>
      <c r="F364" s="261" t="s">
        <v>54</v>
      </c>
      <c r="G364" s="266"/>
    </row>
    <row r="365" spans="1:7" ht="36.6" customHeight="1" x14ac:dyDescent="0.4">
      <c r="A365" s="690"/>
      <c r="B365" s="690"/>
      <c r="C365" s="690"/>
      <c r="D365" s="690"/>
      <c r="E365" s="689"/>
      <c r="F365" s="469" t="s">
        <v>198</v>
      </c>
      <c r="G365" s="267">
        <f t="shared" ref="G365" si="92">+G367</f>
        <v>-49983.7</v>
      </c>
    </row>
    <row r="366" spans="1:7" ht="34.799999999999997" x14ac:dyDescent="0.4">
      <c r="A366" s="690"/>
      <c r="B366" s="690"/>
      <c r="C366" s="690"/>
      <c r="D366" s="690"/>
      <c r="E366" s="689"/>
      <c r="F366" s="261" t="s">
        <v>201</v>
      </c>
      <c r="G366" s="266"/>
    </row>
    <row r="367" spans="1:7" x14ac:dyDescent="0.4">
      <c r="A367" s="690"/>
      <c r="B367" s="690"/>
      <c r="C367" s="690"/>
      <c r="D367" s="690"/>
      <c r="E367" s="689"/>
      <c r="F367" s="262" t="s">
        <v>18</v>
      </c>
      <c r="G367" s="214">
        <f t="shared" ref="G367:G369" si="93">+G368</f>
        <v>-49983.7</v>
      </c>
    </row>
    <row r="368" spans="1:7" x14ac:dyDescent="0.4">
      <c r="A368" s="690"/>
      <c r="B368" s="690"/>
      <c r="C368" s="690"/>
      <c r="D368" s="690"/>
      <c r="E368" s="689"/>
      <c r="F368" s="127" t="s">
        <v>19</v>
      </c>
      <c r="G368" s="268">
        <f t="shared" si="93"/>
        <v>-49983.7</v>
      </c>
    </row>
    <row r="369" spans="1:7" x14ac:dyDescent="0.4">
      <c r="A369" s="690"/>
      <c r="B369" s="690"/>
      <c r="C369" s="690"/>
      <c r="D369" s="690"/>
      <c r="E369" s="689"/>
      <c r="F369" s="193" t="s">
        <v>371</v>
      </c>
      <c r="G369" s="268">
        <f t="shared" si="93"/>
        <v>-49983.7</v>
      </c>
    </row>
    <row r="370" spans="1:7" x14ac:dyDescent="0.4">
      <c r="A370" s="690"/>
      <c r="B370" s="690"/>
      <c r="C370" s="690"/>
      <c r="D370" s="690"/>
      <c r="E370" s="689"/>
      <c r="F370" s="199" t="s">
        <v>372</v>
      </c>
      <c r="G370" s="268">
        <f>-G158</f>
        <v>-49983.7</v>
      </c>
    </row>
  </sheetData>
  <mergeCells count="76">
    <mergeCell ref="E364:E370"/>
    <mergeCell ref="A345:A370"/>
    <mergeCell ref="B347:B370"/>
    <mergeCell ref="C349:C370"/>
    <mergeCell ref="D353:D370"/>
    <mergeCell ref="B345:B346"/>
    <mergeCell ref="C345:C348"/>
    <mergeCell ref="D345:D352"/>
    <mergeCell ref="E356:E362"/>
    <mergeCell ref="E345:E352"/>
    <mergeCell ref="E353:F353"/>
    <mergeCell ref="A104:A342"/>
    <mergeCell ref="E159:E166"/>
    <mergeCell ref="E205:E228"/>
    <mergeCell ref="E194:E203"/>
    <mergeCell ref="B104:B105"/>
    <mergeCell ref="D167:D179"/>
    <mergeCell ref="D112:D146"/>
    <mergeCell ref="E273:E282"/>
    <mergeCell ref="E255:E271"/>
    <mergeCell ref="E229:F229"/>
    <mergeCell ref="E284:E293"/>
    <mergeCell ref="E306:E313"/>
    <mergeCell ref="E295:E304"/>
    <mergeCell ref="E315:E333"/>
    <mergeCell ref="E115:E137"/>
    <mergeCell ref="E180:F180"/>
    <mergeCell ref="E183:E190"/>
    <mergeCell ref="E191:F191"/>
    <mergeCell ref="D147:D157"/>
    <mergeCell ref="E147:F147"/>
    <mergeCell ref="E150:E157"/>
    <mergeCell ref="E139:E146"/>
    <mergeCell ref="E170:E179"/>
    <mergeCell ref="E25:E32"/>
    <mergeCell ref="D22:D32"/>
    <mergeCell ref="C18:C32"/>
    <mergeCell ref="B16:B32"/>
    <mergeCell ref="A14:A32"/>
    <mergeCell ref="B14:B15"/>
    <mergeCell ref="C14:C17"/>
    <mergeCell ref="E22:F22"/>
    <mergeCell ref="C108:C342"/>
    <mergeCell ref="B106:B342"/>
    <mergeCell ref="C33:C36"/>
    <mergeCell ref="D191:D228"/>
    <mergeCell ref="E93:F93"/>
    <mergeCell ref="E96:E103"/>
    <mergeCell ref="E89:E92"/>
    <mergeCell ref="E232:E253"/>
    <mergeCell ref="D229:D342"/>
    <mergeCell ref="E167:F167"/>
    <mergeCell ref="E112:F112"/>
    <mergeCell ref="E335:E342"/>
    <mergeCell ref="C37:C55"/>
    <mergeCell ref="C89:C103"/>
    <mergeCell ref="D93:D103"/>
    <mergeCell ref="E65:E68"/>
    <mergeCell ref="F1:G1"/>
    <mergeCell ref="D9:E9"/>
    <mergeCell ref="F9:F10"/>
    <mergeCell ref="A5:G5"/>
    <mergeCell ref="A9:C9"/>
    <mergeCell ref="F3:G3"/>
    <mergeCell ref="F2:G2"/>
    <mergeCell ref="A33:A79"/>
    <mergeCell ref="B35:B79"/>
    <mergeCell ref="E41:F41"/>
    <mergeCell ref="B33:B34"/>
    <mergeCell ref="E72:E79"/>
    <mergeCell ref="C65:C79"/>
    <mergeCell ref="E69:F69"/>
    <mergeCell ref="D69:D88"/>
    <mergeCell ref="D65:D68"/>
    <mergeCell ref="E44:E55"/>
    <mergeCell ref="D41:D55"/>
  </mergeCells>
  <pageMargins left="0.25" right="0.25" top="0.75" bottom="0.75" header="0.3" footer="0.3"/>
  <pageSetup paperSize="9" scale="4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7"/>
  <sheetViews>
    <sheetView topLeftCell="A7" zoomScale="85" zoomScaleNormal="85" workbookViewId="0">
      <selection activeCell="E14" sqref="E14:H14"/>
    </sheetView>
  </sheetViews>
  <sheetFormatPr defaultColWidth="9.21875" defaultRowHeight="17.399999999999999" x14ac:dyDescent="0.4"/>
  <cols>
    <col min="1" max="1" width="12.88671875" style="8" bestFit="1" customWidth="1"/>
    <col min="2" max="2" width="9.21875" style="8"/>
    <col min="3" max="3" width="54.21875" style="8" customWidth="1"/>
    <col min="4" max="4" width="19.77734375" style="8" customWidth="1"/>
    <col min="5" max="8" width="18.88671875" style="8" customWidth="1"/>
    <col min="9" max="9" width="29.44140625" style="8" customWidth="1"/>
    <col min="10" max="10" width="17.21875" style="8" customWidth="1"/>
    <col min="11" max="16384" width="9.21875" style="8"/>
  </cols>
  <sheetData>
    <row r="1" spans="1:10" ht="37.5" customHeight="1" x14ac:dyDescent="0.4">
      <c r="B1" s="55"/>
      <c r="C1" s="55"/>
      <c r="D1" s="55"/>
      <c r="E1" s="55"/>
      <c r="F1" s="701" t="s">
        <v>378</v>
      </c>
      <c r="G1" s="701"/>
      <c r="H1" s="701"/>
    </row>
    <row r="2" spans="1:10" ht="17.55" customHeight="1" x14ac:dyDescent="0.4">
      <c r="A2" s="55"/>
      <c r="B2" s="55"/>
      <c r="C2" s="55"/>
      <c r="D2" s="55"/>
      <c r="E2" s="55"/>
      <c r="F2" s="702" t="s">
        <v>123</v>
      </c>
      <c r="G2" s="702"/>
      <c r="H2" s="702"/>
    </row>
    <row r="3" spans="1:10" ht="17.55" customHeight="1" x14ac:dyDescent="0.4">
      <c r="A3" s="55"/>
      <c r="B3" s="55"/>
      <c r="C3" s="55"/>
      <c r="D3" s="55"/>
      <c r="E3" s="55"/>
      <c r="F3" s="702" t="s">
        <v>81</v>
      </c>
      <c r="G3" s="702"/>
      <c r="H3" s="702"/>
    </row>
    <row r="4" spans="1:10" ht="14.7" customHeight="1" x14ac:dyDescent="0.4">
      <c r="A4" s="56"/>
      <c r="B4" s="56"/>
      <c r="C4" s="76"/>
      <c r="E4" s="57"/>
      <c r="F4" s="57"/>
      <c r="G4" s="57"/>
      <c r="H4" s="57"/>
    </row>
    <row r="5" spans="1:10" ht="14.7" customHeight="1" x14ac:dyDescent="0.4">
      <c r="A5" s="56"/>
      <c r="B5" s="56"/>
      <c r="C5" s="76"/>
      <c r="E5" s="57"/>
      <c r="F5" s="57"/>
      <c r="G5" s="57"/>
      <c r="H5" s="57"/>
    </row>
    <row r="6" spans="1:10" x14ac:dyDescent="0.4">
      <c r="A6" s="703" t="s">
        <v>122</v>
      </c>
      <c r="B6" s="704"/>
      <c r="C6" s="704"/>
      <c r="D6" s="704"/>
      <c r="E6" s="704"/>
      <c r="F6" s="704"/>
      <c r="G6" s="704"/>
      <c r="H6" s="704"/>
    </row>
    <row r="7" spans="1:10" ht="34.049999999999997" customHeight="1" x14ac:dyDescent="0.4">
      <c r="A7" s="704"/>
      <c r="B7" s="704"/>
      <c r="C7" s="704"/>
      <c r="D7" s="704"/>
      <c r="E7" s="704"/>
      <c r="F7" s="704"/>
      <c r="G7" s="704"/>
      <c r="H7" s="704"/>
    </row>
    <row r="8" spans="1:10" x14ac:dyDescent="0.4">
      <c r="D8" s="533"/>
      <c r="E8" s="26"/>
      <c r="F8" s="58"/>
    </row>
    <row r="9" spans="1:10" x14ac:dyDescent="0.4">
      <c r="D9" s="26"/>
      <c r="E9" s="26"/>
      <c r="F9" s="26"/>
      <c r="G9" s="26"/>
      <c r="H9" s="59" t="s">
        <v>21</v>
      </c>
    </row>
    <row r="10" spans="1:10" ht="40.65" customHeight="1" x14ac:dyDescent="0.4">
      <c r="A10" s="705" t="s">
        <v>48</v>
      </c>
      <c r="B10" s="706"/>
      <c r="C10" s="707" t="s">
        <v>57</v>
      </c>
      <c r="D10" s="709" t="s">
        <v>89</v>
      </c>
      <c r="E10" s="711" t="s">
        <v>113</v>
      </c>
      <c r="F10" s="712"/>
      <c r="G10" s="712"/>
      <c r="H10" s="713"/>
    </row>
    <row r="11" spans="1:10" ht="107.55" customHeight="1" x14ac:dyDescent="0.4">
      <c r="A11" s="60" t="s">
        <v>51</v>
      </c>
      <c r="B11" s="60" t="s">
        <v>52</v>
      </c>
      <c r="C11" s="708"/>
      <c r="D11" s="710"/>
      <c r="E11" s="61" t="s">
        <v>59</v>
      </c>
      <c r="F11" s="61" t="s">
        <v>60</v>
      </c>
      <c r="G11" s="61" t="s">
        <v>61</v>
      </c>
      <c r="H11" s="61" t="s">
        <v>62</v>
      </c>
      <c r="I11" s="62"/>
    </row>
    <row r="12" spans="1:10" ht="18" x14ac:dyDescent="0.4">
      <c r="A12" s="60"/>
      <c r="B12" s="60"/>
      <c r="C12" s="63" t="s">
        <v>63</v>
      </c>
      <c r="D12" s="5">
        <f>SUM(E12:H12)</f>
        <v>-14769223.970000003</v>
      </c>
      <c r="E12" s="5">
        <f t="shared" ref="E12:H12" si="0">+E14</f>
        <v>-7608566.5</v>
      </c>
      <c r="F12" s="64">
        <f t="shared" si="0"/>
        <v>-2131255.87</v>
      </c>
      <c r="G12" s="64">
        <f t="shared" si="0"/>
        <v>-1231280.8999999999</v>
      </c>
      <c r="H12" s="64">
        <f t="shared" si="0"/>
        <v>-3798120.7</v>
      </c>
      <c r="I12" s="65"/>
      <c r="J12" s="38"/>
    </row>
    <row r="13" spans="1:10" ht="18" x14ac:dyDescent="0.4">
      <c r="A13" s="60"/>
      <c r="B13" s="60"/>
      <c r="C13" s="63" t="s">
        <v>64</v>
      </c>
      <c r="D13" s="347"/>
      <c r="E13" s="347"/>
      <c r="F13" s="64"/>
      <c r="G13" s="64"/>
      <c r="H13" s="64"/>
    </row>
    <row r="14" spans="1:10" ht="54" x14ac:dyDescent="0.4">
      <c r="A14" s="2"/>
      <c r="B14" s="3"/>
      <c r="C14" s="3" t="s">
        <v>55</v>
      </c>
      <c r="D14" s="5">
        <f>SUM(E14:H14)</f>
        <v>-14769223.970000003</v>
      </c>
      <c r="E14" s="5">
        <f>+E16+E32+E42+E53+E57+E61+E88+E92+E93+E98+E106+E110+E189+E212+E220+E229+E236+E268</f>
        <v>-7608566.5</v>
      </c>
      <c r="F14" s="436">
        <f t="shared" ref="F14:H14" si="1">+F16+F32+F42+F53+F57+F61+F88+F92+F93+F98+F106+F110+F189+F212+F220+F229+F236+F268</f>
        <v>-2131255.87</v>
      </c>
      <c r="G14" s="436">
        <f t="shared" si="1"/>
        <v>-1231280.8999999999</v>
      </c>
      <c r="H14" s="436">
        <f t="shared" si="1"/>
        <v>-3798120.7</v>
      </c>
      <c r="I14" s="49"/>
    </row>
    <row r="15" spans="1:10" x14ac:dyDescent="0.4">
      <c r="A15" s="2"/>
      <c r="B15" s="2"/>
      <c r="C15" s="2" t="s">
        <v>65</v>
      </c>
      <c r="D15" s="4"/>
      <c r="E15" s="4"/>
      <c r="F15" s="4"/>
      <c r="G15" s="4"/>
      <c r="H15" s="4"/>
    </row>
    <row r="16" spans="1:10" ht="67.2" customHeight="1" x14ac:dyDescent="0.4">
      <c r="A16" s="349">
        <v>1045</v>
      </c>
      <c r="B16" s="349">
        <v>32001</v>
      </c>
      <c r="C16" s="216" t="s">
        <v>176</v>
      </c>
      <c r="D16" s="66">
        <f>+E16+F16+G16+H16</f>
        <v>-710539.1</v>
      </c>
      <c r="E16" s="71">
        <f>+E18+E22+E24+E26+E28+E30</f>
        <v>0</v>
      </c>
      <c r="F16" s="71">
        <f t="shared" ref="F16:H16" si="2">+F18+F22+F24+F26+F28+F30</f>
        <v>-685080.9</v>
      </c>
      <c r="G16" s="71">
        <f t="shared" si="2"/>
        <v>-25458.2</v>
      </c>
      <c r="H16" s="71">
        <f t="shared" si="2"/>
        <v>0</v>
      </c>
      <c r="I16" s="26"/>
    </row>
    <row r="17" spans="1:9" ht="18" x14ac:dyDescent="0.4">
      <c r="A17" s="183"/>
      <c r="B17" s="183"/>
      <c r="C17" s="72" t="s">
        <v>17</v>
      </c>
      <c r="D17" s="69"/>
      <c r="E17" s="69"/>
      <c r="F17" s="69"/>
      <c r="G17" s="69"/>
      <c r="H17" s="69"/>
      <c r="I17" s="58"/>
    </row>
    <row r="18" spans="1:9" s="353" customFormat="1" ht="18" x14ac:dyDescent="0.4">
      <c r="A18" s="694"/>
      <c r="B18" s="694"/>
      <c r="C18" s="350" t="s">
        <v>149</v>
      </c>
      <c r="D18" s="352">
        <f>SUM(E18:H18)</f>
        <v>-320682.90000000002</v>
      </c>
      <c r="E18" s="352">
        <f>+E19+E20+E21</f>
        <v>0</v>
      </c>
      <c r="F18" s="352">
        <f>+F19+F20+F21</f>
        <v>-310318.90000000002</v>
      </c>
      <c r="G18" s="352">
        <f t="shared" ref="G18:H18" si="3">+G19+G20+G21</f>
        <v>-10364</v>
      </c>
      <c r="H18" s="352">
        <f t="shared" si="3"/>
        <v>0</v>
      </c>
    </row>
    <row r="19" spans="1:9" s="353" customFormat="1" ht="45.75" customHeight="1" x14ac:dyDescent="0.3">
      <c r="A19" s="694"/>
      <c r="B19" s="694"/>
      <c r="C19" s="351" t="s">
        <v>363</v>
      </c>
      <c r="D19" s="354">
        <f>+E19+F19+G19+H19</f>
        <v>-10364</v>
      </c>
      <c r="E19" s="354"/>
      <c r="F19" s="354"/>
      <c r="G19" s="354">
        <f>+'Հավելված N 11'!I258+'Հավելված N 11'!I259</f>
        <v>-10364</v>
      </c>
      <c r="H19" s="355"/>
    </row>
    <row r="20" spans="1:9" s="353" customFormat="1" ht="43.5" customHeight="1" x14ac:dyDescent="0.3">
      <c r="A20" s="694"/>
      <c r="B20" s="694"/>
      <c r="C20" s="351" t="s">
        <v>388</v>
      </c>
      <c r="D20" s="354">
        <f t="shared" ref="D20:D21" si="4">+E20+F20+G20+H20</f>
        <v>-292850.7</v>
      </c>
      <c r="E20" s="354"/>
      <c r="F20" s="354">
        <f>+'Հավելված N 11'!I38+'Հավելված N 11'!I47+'Հավելված N 11'!I49</f>
        <v>-292850.7</v>
      </c>
      <c r="G20" s="354"/>
      <c r="H20" s="355"/>
    </row>
    <row r="21" spans="1:9" s="353" customFormat="1" ht="53.25" customHeight="1" x14ac:dyDescent="0.3">
      <c r="A21" s="694"/>
      <c r="B21" s="694"/>
      <c r="C21" s="351" t="s">
        <v>389</v>
      </c>
      <c r="D21" s="354">
        <f t="shared" si="4"/>
        <v>-17468.2</v>
      </c>
      <c r="E21" s="354"/>
      <c r="F21" s="354">
        <f>+'Հավելված N 11'!I39+'Հավելված N 11'!I48</f>
        <v>-17468.2</v>
      </c>
      <c r="G21" s="354"/>
      <c r="H21" s="355"/>
    </row>
    <row r="22" spans="1:9" s="353" customFormat="1" ht="18" x14ac:dyDescent="0.4">
      <c r="A22" s="694"/>
      <c r="B22" s="694"/>
      <c r="C22" s="350" t="s">
        <v>169</v>
      </c>
      <c r="D22" s="352">
        <f>SUM(E22:H22)</f>
        <v>-155400</v>
      </c>
      <c r="E22" s="352">
        <f>+E23</f>
        <v>0</v>
      </c>
      <c r="F22" s="352">
        <f t="shared" ref="F22:H22" si="5">+F23</f>
        <v>-155400</v>
      </c>
      <c r="G22" s="352">
        <f t="shared" si="5"/>
        <v>0</v>
      </c>
      <c r="H22" s="352">
        <f t="shared" si="5"/>
        <v>0</v>
      </c>
    </row>
    <row r="23" spans="1:9" s="353" customFormat="1" ht="42.75" customHeight="1" x14ac:dyDescent="0.3">
      <c r="A23" s="694"/>
      <c r="B23" s="694"/>
      <c r="C23" s="351" t="s">
        <v>259</v>
      </c>
      <c r="D23" s="354">
        <f>+E23+F23+G23+H23</f>
        <v>-155400</v>
      </c>
      <c r="E23" s="354"/>
      <c r="F23" s="354">
        <f>+'Հավելված N 11'!I255+'Հավելված N 11'!I260+'Հավելված N 11'!I262</f>
        <v>-155400</v>
      </c>
      <c r="G23" s="354"/>
      <c r="H23" s="355"/>
    </row>
    <row r="24" spans="1:9" s="353" customFormat="1" ht="18" x14ac:dyDescent="0.4">
      <c r="A24" s="694"/>
      <c r="B24" s="694"/>
      <c r="C24" s="350" t="s">
        <v>265</v>
      </c>
      <c r="D24" s="352">
        <f>SUM(E24:H24)</f>
        <v>-6636.5</v>
      </c>
      <c r="E24" s="352">
        <f>+E25</f>
        <v>0</v>
      </c>
      <c r="F24" s="352">
        <f t="shared" ref="F24:H24" si="6">+F25</f>
        <v>0</v>
      </c>
      <c r="G24" s="352">
        <f t="shared" si="6"/>
        <v>-6636.5</v>
      </c>
      <c r="H24" s="352">
        <f t="shared" si="6"/>
        <v>0</v>
      </c>
    </row>
    <row r="25" spans="1:9" s="353" customFormat="1" ht="37.5" customHeight="1" x14ac:dyDescent="0.3">
      <c r="A25" s="694"/>
      <c r="B25" s="694"/>
      <c r="C25" s="356" t="s">
        <v>390</v>
      </c>
      <c r="D25" s="354">
        <f>+E25+F25+G25+H25</f>
        <v>-6636.5</v>
      </c>
      <c r="E25" s="354"/>
      <c r="F25" s="354"/>
      <c r="G25" s="354">
        <f>+'Հավելված N 11'!I41+'Հավելված N 11'!I44</f>
        <v>-6636.5</v>
      </c>
      <c r="H25" s="355"/>
    </row>
    <row r="26" spans="1:9" s="353" customFormat="1" ht="18" x14ac:dyDescent="0.4">
      <c r="A26" s="694"/>
      <c r="B26" s="694"/>
      <c r="C26" s="350" t="s">
        <v>175</v>
      </c>
      <c r="D26" s="352">
        <f>SUM(E26:H26)</f>
        <v>-7083.3</v>
      </c>
      <c r="E26" s="352">
        <f>+E27</f>
        <v>0</v>
      </c>
      <c r="F26" s="352">
        <f t="shared" ref="F26:H26" si="7">+F27</f>
        <v>0</v>
      </c>
      <c r="G26" s="352">
        <f t="shared" si="7"/>
        <v>-7083.3</v>
      </c>
      <c r="H26" s="352">
        <f t="shared" si="7"/>
        <v>0</v>
      </c>
    </row>
    <row r="27" spans="1:9" s="353" customFormat="1" ht="53.25" customHeight="1" x14ac:dyDescent="0.3">
      <c r="A27" s="694"/>
      <c r="B27" s="694"/>
      <c r="C27" s="356" t="s">
        <v>391</v>
      </c>
      <c r="D27" s="354">
        <f>+E27+F27+G27+H27</f>
        <v>-7083.3</v>
      </c>
      <c r="E27" s="354"/>
      <c r="F27" s="354"/>
      <c r="G27" s="354">
        <f>+'Հավելված N 11'!I42+'Հավելված N 11'!I45</f>
        <v>-7083.3</v>
      </c>
      <c r="H27" s="355"/>
    </row>
    <row r="28" spans="1:9" s="353" customFormat="1" ht="18" x14ac:dyDescent="0.4">
      <c r="A28" s="694"/>
      <c r="B28" s="694"/>
      <c r="C28" s="350" t="s">
        <v>167</v>
      </c>
      <c r="D28" s="352">
        <f>SUM(E28:H28)</f>
        <v>-219362</v>
      </c>
      <c r="E28" s="352">
        <f>+E29</f>
        <v>0</v>
      </c>
      <c r="F28" s="352">
        <f t="shared" ref="F28:H28" si="8">+F29</f>
        <v>-219362</v>
      </c>
      <c r="G28" s="352">
        <f t="shared" si="8"/>
        <v>0</v>
      </c>
      <c r="H28" s="352">
        <f t="shared" si="8"/>
        <v>0</v>
      </c>
    </row>
    <row r="29" spans="1:9" s="353" customFormat="1" ht="53.25" customHeight="1" x14ac:dyDescent="0.3">
      <c r="A29" s="694"/>
      <c r="B29" s="694"/>
      <c r="C29" s="356" t="s">
        <v>392</v>
      </c>
      <c r="D29" s="354">
        <f>+E29+F29+G29+H29</f>
        <v>-219362</v>
      </c>
      <c r="E29" s="354"/>
      <c r="F29" s="354">
        <f>+'Հավելված N 11'!I256+'Հավելված N 11'!I261+'Հավելված N 11'!I263</f>
        <v>-219362</v>
      </c>
      <c r="G29" s="354"/>
      <c r="H29" s="355"/>
    </row>
    <row r="30" spans="1:9" s="353" customFormat="1" ht="18" x14ac:dyDescent="0.4">
      <c r="A30" s="694"/>
      <c r="B30" s="694"/>
      <c r="C30" s="350" t="s">
        <v>136</v>
      </c>
      <c r="D30" s="352">
        <f>SUM(E30:H30)</f>
        <v>-1374.3999999999999</v>
      </c>
      <c r="E30" s="352">
        <f>+E31</f>
        <v>0</v>
      </c>
      <c r="F30" s="352">
        <f t="shared" ref="F30:H30" si="9">+F31</f>
        <v>0</v>
      </c>
      <c r="G30" s="352">
        <f t="shared" si="9"/>
        <v>-1374.3999999999999</v>
      </c>
      <c r="H30" s="352">
        <f t="shared" si="9"/>
        <v>0</v>
      </c>
    </row>
    <row r="31" spans="1:9" s="353" customFormat="1" x14ac:dyDescent="0.3">
      <c r="A31" s="694"/>
      <c r="B31" s="694"/>
      <c r="C31" s="356" t="s">
        <v>393</v>
      </c>
      <c r="D31" s="354">
        <f>+E31+F31+G31+H31</f>
        <v>-1374.3999999999999</v>
      </c>
      <c r="E31" s="354"/>
      <c r="F31" s="354"/>
      <c r="G31" s="354">
        <f>+'Հավելված N 11'!I43+'Հավելված N 11'!I46</f>
        <v>-1374.3999999999999</v>
      </c>
      <c r="H31" s="355"/>
    </row>
    <row r="32" spans="1:9" ht="72" x14ac:dyDescent="0.4">
      <c r="A32" s="349">
        <v>1045</v>
      </c>
      <c r="B32" s="349">
        <v>32005</v>
      </c>
      <c r="C32" s="216" t="s">
        <v>178</v>
      </c>
      <c r="D32" s="66">
        <f>+E32+F32+G32+H32</f>
        <v>-955465.70000000007</v>
      </c>
      <c r="E32" s="71">
        <f>+E34+E36+E38+E40</f>
        <v>-955465.70000000007</v>
      </c>
      <c r="F32" s="71">
        <f t="shared" ref="F32:H32" si="10">+F34+F36+F38+F40</f>
        <v>0</v>
      </c>
      <c r="G32" s="71">
        <f t="shared" si="10"/>
        <v>0</v>
      </c>
      <c r="H32" s="71">
        <f t="shared" si="10"/>
        <v>0</v>
      </c>
      <c r="I32" s="26"/>
    </row>
    <row r="33" spans="1:9" ht="18" x14ac:dyDescent="0.4">
      <c r="A33" s="183"/>
      <c r="B33" s="183"/>
      <c r="C33" s="72" t="s">
        <v>17</v>
      </c>
      <c r="D33" s="69"/>
      <c r="E33" s="69"/>
      <c r="F33" s="69"/>
      <c r="G33" s="69"/>
      <c r="H33" s="69"/>
      <c r="I33" s="58"/>
    </row>
    <row r="34" spans="1:9" s="360" customFormat="1" ht="18" x14ac:dyDescent="0.4">
      <c r="A34" s="358"/>
      <c r="B34" s="358"/>
      <c r="C34" s="350" t="s">
        <v>111</v>
      </c>
      <c r="D34" s="352">
        <f>SUM(E34:H34)</f>
        <v>-453627.9</v>
      </c>
      <c r="E34" s="352">
        <f>+E35</f>
        <v>-453627.9</v>
      </c>
      <c r="F34" s="352">
        <f t="shared" ref="F34:H34" si="11">+F35</f>
        <v>0</v>
      </c>
      <c r="G34" s="352">
        <f t="shared" si="11"/>
        <v>0</v>
      </c>
      <c r="H34" s="352">
        <f t="shared" si="11"/>
        <v>0</v>
      </c>
    </row>
    <row r="35" spans="1:9" s="353" customFormat="1" ht="52.2" x14ac:dyDescent="0.3">
      <c r="A35" s="358"/>
      <c r="B35" s="358"/>
      <c r="C35" s="356" t="s">
        <v>404</v>
      </c>
      <c r="D35" s="354">
        <f>+E35+F35+G35+H35</f>
        <v>-453627.9</v>
      </c>
      <c r="E35" s="354">
        <f>+'Հավելված N 11'!I266+'Հավելված N 11'!I271+'Հավելված N 11'!I275</f>
        <v>-453627.9</v>
      </c>
      <c r="F35" s="354"/>
      <c r="G35" s="354"/>
      <c r="H35" s="355"/>
    </row>
    <row r="36" spans="1:9" s="360" customFormat="1" ht="18" x14ac:dyDescent="0.4">
      <c r="A36" s="358"/>
      <c r="B36" s="358"/>
      <c r="C36" s="350" t="s">
        <v>265</v>
      </c>
      <c r="D36" s="352">
        <f>SUM(E36:H36)</f>
        <v>-155280</v>
      </c>
      <c r="E36" s="352">
        <f>+E37</f>
        <v>-155280</v>
      </c>
      <c r="F36" s="352">
        <f t="shared" ref="F36:H36" si="12">+F37</f>
        <v>0</v>
      </c>
      <c r="G36" s="352">
        <f t="shared" si="12"/>
        <v>0</v>
      </c>
      <c r="H36" s="352">
        <f t="shared" si="12"/>
        <v>0</v>
      </c>
    </row>
    <row r="37" spans="1:9" s="385" customFormat="1" ht="34.799999999999997" x14ac:dyDescent="0.3">
      <c r="A37" s="358"/>
      <c r="B37" s="358"/>
      <c r="C37" s="351" t="s">
        <v>266</v>
      </c>
      <c r="D37" s="361">
        <f>+E37+F37+G37+H37</f>
        <v>-155280</v>
      </c>
      <c r="E37" s="361">
        <f>+'Հավելված N 11'!I267+'Հավելված N 11'!I272+'Հավելված N 11'!I276</f>
        <v>-155280</v>
      </c>
      <c r="F37" s="361"/>
      <c r="G37" s="361"/>
      <c r="H37" s="452"/>
    </row>
    <row r="38" spans="1:9" s="360" customFormat="1" ht="18" x14ac:dyDescent="0.4">
      <c r="A38" s="358"/>
      <c r="B38" s="358"/>
      <c r="C38" s="350" t="s">
        <v>175</v>
      </c>
      <c r="D38" s="352">
        <f>SUM(E38:H38)</f>
        <v>-103600</v>
      </c>
      <c r="E38" s="352">
        <f>+E39</f>
        <v>-103600</v>
      </c>
      <c r="F38" s="352">
        <f t="shared" ref="F38:H38" si="13">+F39</f>
        <v>0</v>
      </c>
      <c r="G38" s="352">
        <f t="shared" si="13"/>
        <v>0</v>
      </c>
      <c r="H38" s="352">
        <f t="shared" si="13"/>
        <v>0</v>
      </c>
    </row>
    <row r="39" spans="1:9" s="353" customFormat="1" ht="34.799999999999997" x14ac:dyDescent="0.3">
      <c r="A39" s="358"/>
      <c r="B39" s="358"/>
      <c r="C39" s="356" t="s">
        <v>269</v>
      </c>
      <c r="D39" s="354">
        <f>+E39+F39+G39+H39</f>
        <v>-103600</v>
      </c>
      <c r="E39" s="354">
        <f>+'Հավելված N 11'!I268+'Հավելված N 11'!I273+'Հավելված N 11'!I277</f>
        <v>-103600</v>
      </c>
      <c r="F39" s="354"/>
      <c r="G39" s="354"/>
      <c r="H39" s="355"/>
    </row>
    <row r="40" spans="1:9" s="360" customFormat="1" ht="18" x14ac:dyDescent="0.4">
      <c r="A40" s="358"/>
      <c r="B40" s="358"/>
      <c r="C40" s="350" t="s">
        <v>296</v>
      </c>
      <c r="D40" s="352">
        <f>SUM(E40:H40)</f>
        <v>-242957.80000000002</v>
      </c>
      <c r="E40" s="352">
        <f>+E41</f>
        <v>-242957.80000000002</v>
      </c>
      <c r="F40" s="352">
        <f t="shared" ref="F40:H40" si="14">+F41</f>
        <v>0</v>
      </c>
      <c r="G40" s="352">
        <f t="shared" si="14"/>
        <v>0</v>
      </c>
      <c r="H40" s="352">
        <f t="shared" si="14"/>
        <v>0</v>
      </c>
    </row>
    <row r="41" spans="1:9" s="353" customFormat="1" ht="34.799999999999997" x14ac:dyDescent="0.3">
      <c r="A41" s="358"/>
      <c r="B41" s="358"/>
      <c r="C41" s="356" t="s">
        <v>405</v>
      </c>
      <c r="D41" s="354">
        <f>+E41+F41+G41+H41</f>
        <v>-242957.80000000002</v>
      </c>
      <c r="E41" s="354">
        <f>+'Հավելված N 11'!I269+'Հավելված N 11'!I274+'Հավելված N 11'!I278</f>
        <v>-242957.80000000002</v>
      </c>
      <c r="F41" s="354"/>
      <c r="G41" s="354"/>
      <c r="H41" s="355"/>
    </row>
    <row r="42" spans="1:9" s="372" customFormat="1" ht="42.75" customHeight="1" x14ac:dyDescent="0.3">
      <c r="A42" s="358">
        <v>1075</v>
      </c>
      <c r="B42" s="358">
        <v>21001</v>
      </c>
      <c r="C42" s="371" t="s">
        <v>406</v>
      </c>
      <c r="D42" s="362">
        <f>SUM(E42:H42)</f>
        <v>-280378</v>
      </c>
      <c r="E42" s="362">
        <f>+E44</f>
        <v>0</v>
      </c>
      <c r="F42" s="362">
        <f t="shared" ref="F42:H42" si="15">+F44</f>
        <v>-280378</v>
      </c>
      <c r="G42" s="362">
        <f t="shared" si="15"/>
        <v>0</v>
      </c>
      <c r="H42" s="362">
        <f t="shared" si="15"/>
        <v>0</v>
      </c>
    </row>
    <row r="43" spans="1:9" s="372" customFormat="1" ht="18" x14ac:dyDescent="0.3">
      <c r="A43" s="358"/>
      <c r="B43" s="358"/>
      <c r="C43" s="373" t="s">
        <v>17</v>
      </c>
      <c r="D43" s="362"/>
      <c r="E43" s="362"/>
      <c r="F43" s="362"/>
      <c r="G43" s="362"/>
      <c r="H43" s="362"/>
    </row>
    <row r="44" spans="1:9" s="369" customFormat="1" ht="21" customHeight="1" x14ac:dyDescent="0.3">
      <c r="A44" s="363"/>
      <c r="B44" s="363"/>
      <c r="C44" s="363" t="s">
        <v>407</v>
      </c>
      <c r="D44" s="364">
        <f>SUM(E44:H44)</f>
        <v>-280378</v>
      </c>
      <c r="E44" s="364">
        <f>+E46+E48+E50</f>
        <v>0</v>
      </c>
      <c r="F44" s="364">
        <f t="shared" ref="F44:H44" si="16">+F46+F48+F50</f>
        <v>-280378</v>
      </c>
      <c r="G44" s="364">
        <f t="shared" si="16"/>
        <v>0</v>
      </c>
      <c r="H44" s="364">
        <f t="shared" si="16"/>
        <v>0</v>
      </c>
    </row>
    <row r="45" spans="1:9" s="372" customFormat="1" ht="18" x14ac:dyDescent="0.3">
      <c r="A45" s="358"/>
      <c r="B45" s="358"/>
      <c r="C45" s="374" t="s">
        <v>408</v>
      </c>
      <c r="D45" s="362"/>
      <c r="E45" s="362"/>
      <c r="F45" s="362"/>
      <c r="G45" s="362"/>
      <c r="H45" s="362"/>
    </row>
    <row r="46" spans="1:9" s="369" customFormat="1" ht="18" x14ac:dyDescent="0.4">
      <c r="A46" s="695"/>
      <c r="B46" s="695"/>
      <c r="C46" s="350" t="s">
        <v>149</v>
      </c>
      <c r="D46" s="368">
        <f t="shared" ref="D46:D52" si="17">SUM(E46:H46)</f>
        <v>-198686</v>
      </c>
      <c r="E46" s="368">
        <f>+E47</f>
        <v>0</v>
      </c>
      <c r="F46" s="368">
        <f>+F47</f>
        <v>-198686</v>
      </c>
      <c r="G46" s="368">
        <f>+G47</f>
        <v>0</v>
      </c>
      <c r="H46" s="368">
        <f>+H47</f>
        <v>0</v>
      </c>
    </row>
    <row r="47" spans="1:9" s="370" customFormat="1" ht="34.799999999999997" x14ac:dyDescent="0.3">
      <c r="A47" s="695"/>
      <c r="B47" s="695"/>
      <c r="C47" s="351" t="s">
        <v>409</v>
      </c>
      <c r="D47" s="361">
        <f t="shared" si="17"/>
        <v>-198686</v>
      </c>
      <c r="E47" s="361"/>
      <c r="F47" s="361">
        <f>+'Հավելված N 11'!I21+'Հավելված N 11'!I29+'Հավելված N 11'!I31</f>
        <v>-198686</v>
      </c>
      <c r="G47" s="361"/>
      <c r="H47" s="361"/>
    </row>
    <row r="48" spans="1:9" s="369" customFormat="1" ht="18" x14ac:dyDescent="0.4">
      <c r="A48" s="695"/>
      <c r="B48" s="695"/>
      <c r="C48" s="350" t="s">
        <v>129</v>
      </c>
      <c r="D48" s="368">
        <f t="shared" si="17"/>
        <v>-68731.500000000015</v>
      </c>
      <c r="E48" s="368">
        <f>+E49</f>
        <v>0</v>
      </c>
      <c r="F48" s="368">
        <f>+F49</f>
        <v>-68731.500000000015</v>
      </c>
      <c r="G48" s="368">
        <f>+G49</f>
        <v>0</v>
      </c>
      <c r="H48" s="368">
        <f>+H49</f>
        <v>0</v>
      </c>
    </row>
    <row r="49" spans="1:9" s="370" customFormat="1" ht="34.799999999999997" x14ac:dyDescent="0.3">
      <c r="A49" s="695"/>
      <c r="B49" s="695"/>
      <c r="C49" s="351" t="s">
        <v>421</v>
      </c>
      <c r="D49" s="361">
        <f t="shared" si="17"/>
        <v>-68731.500000000015</v>
      </c>
      <c r="E49" s="361"/>
      <c r="F49" s="361">
        <f>+'Հավելված N 11'!I24+'Հավելված N 11'!I25+'Հավելված N 11'!I30+'Հավելված N 11'!I32</f>
        <v>-68731.500000000015</v>
      </c>
      <c r="G49" s="361"/>
      <c r="H49" s="361"/>
    </row>
    <row r="50" spans="1:9" s="365" customFormat="1" ht="18" x14ac:dyDescent="0.35">
      <c r="A50" s="695"/>
      <c r="B50" s="695"/>
      <c r="C50" s="350" t="s">
        <v>175</v>
      </c>
      <c r="D50" s="366">
        <f t="shared" si="17"/>
        <v>-12960.5</v>
      </c>
      <c r="E50" s="366">
        <f>+E51+E52</f>
        <v>0</v>
      </c>
      <c r="F50" s="366">
        <f t="shared" ref="F50:H50" si="18">+F51+F52</f>
        <v>-12960.5</v>
      </c>
      <c r="G50" s="366">
        <f t="shared" si="18"/>
        <v>0</v>
      </c>
      <c r="H50" s="366">
        <f t="shared" si="18"/>
        <v>0</v>
      </c>
    </row>
    <row r="51" spans="1:9" s="370" customFormat="1" ht="52.2" x14ac:dyDescent="0.3">
      <c r="A51" s="695"/>
      <c r="B51" s="695"/>
      <c r="C51" s="351" t="s">
        <v>410</v>
      </c>
      <c r="D51" s="361">
        <f t="shared" si="17"/>
        <v>-5019</v>
      </c>
      <c r="E51" s="361"/>
      <c r="F51" s="361">
        <f>+'Հավելված N 11'!I23+'Հավելված N 11'!I28+'Հավելված N 11'!I34</f>
        <v>-5019</v>
      </c>
      <c r="G51" s="361"/>
      <c r="H51" s="361"/>
    </row>
    <row r="52" spans="1:9" s="370" customFormat="1" ht="34.799999999999997" x14ac:dyDescent="0.3">
      <c r="A52" s="695"/>
      <c r="B52" s="695"/>
      <c r="C52" s="351" t="s">
        <v>411</v>
      </c>
      <c r="D52" s="361">
        <f t="shared" si="17"/>
        <v>-7941.5</v>
      </c>
      <c r="E52" s="361"/>
      <c r="F52" s="361">
        <f>+'Հավելված N 11'!I22+'Հավելված N 11'!I27+'Հավելված N 11'!I33</f>
        <v>-7941.5</v>
      </c>
      <c r="G52" s="361"/>
      <c r="H52" s="361"/>
    </row>
    <row r="53" spans="1:9" ht="36" x14ac:dyDescent="0.4">
      <c r="A53" s="349">
        <v>1075</v>
      </c>
      <c r="B53" s="349">
        <v>32001</v>
      </c>
      <c r="C53" s="216" t="s">
        <v>166</v>
      </c>
      <c r="D53" s="66">
        <f>+E53+F53+G53+H53</f>
        <v>-180536.40000000002</v>
      </c>
      <c r="E53" s="71">
        <f>+E55</f>
        <v>0</v>
      </c>
      <c r="F53" s="71">
        <f t="shared" ref="F53:H53" si="19">+F55</f>
        <v>-180536.40000000002</v>
      </c>
      <c r="G53" s="71">
        <f t="shared" si="19"/>
        <v>0</v>
      </c>
      <c r="H53" s="71">
        <f t="shared" si="19"/>
        <v>0</v>
      </c>
      <c r="I53" s="26"/>
    </row>
    <row r="54" spans="1:9" ht="18" x14ac:dyDescent="0.4">
      <c r="A54" s="183"/>
      <c r="B54" s="183"/>
      <c r="C54" s="72" t="s">
        <v>17</v>
      </c>
      <c r="D54" s="69"/>
      <c r="E54" s="69"/>
      <c r="F54" s="69"/>
      <c r="G54" s="69"/>
      <c r="H54" s="69"/>
      <c r="I54" s="58"/>
    </row>
    <row r="55" spans="1:9" ht="18" x14ac:dyDescent="0.4">
      <c r="A55" s="215"/>
      <c r="B55" s="215"/>
      <c r="C55" s="24" t="s">
        <v>149</v>
      </c>
      <c r="D55" s="73">
        <f>SUM(E55:H55)</f>
        <v>-180536.40000000002</v>
      </c>
      <c r="E55" s="73">
        <f>+E56</f>
        <v>0</v>
      </c>
      <c r="F55" s="73">
        <f t="shared" ref="F55:H55" si="20">+F56</f>
        <v>-180536.40000000002</v>
      </c>
      <c r="G55" s="73">
        <f t="shared" si="20"/>
        <v>0</v>
      </c>
      <c r="H55" s="73">
        <f t="shared" si="20"/>
        <v>0</v>
      </c>
      <c r="I55" s="26"/>
    </row>
    <row r="56" spans="1:9" x14ac:dyDescent="0.4">
      <c r="A56" s="215"/>
      <c r="B56" s="215"/>
      <c r="C56" s="83" t="s">
        <v>423</v>
      </c>
      <c r="D56" s="70">
        <f t="shared" ref="D56" si="21">+E56+F56+G56+H56</f>
        <v>-180536.40000000002</v>
      </c>
      <c r="E56" s="87"/>
      <c r="F56" s="70">
        <f>+'Հավելված N 11'!I14+'Հավելված N 11'!I16+'Հավելված N 11'!I17</f>
        <v>-180536.40000000002</v>
      </c>
      <c r="G56" s="87"/>
      <c r="H56" s="88"/>
    </row>
    <row r="57" spans="1:9" ht="72" x14ac:dyDescent="0.4">
      <c r="A57" s="349">
        <v>1111</v>
      </c>
      <c r="B57" s="349">
        <v>32001</v>
      </c>
      <c r="C57" s="216" t="s">
        <v>276</v>
      </c>
      <c r="D57" s="66">
        <f>+E57+F57+G57+H57</f>
        <v>-374821.87</v>
      </c>
      <c r="E57" s="71">
        <f>+E59</f>
        <v>0</v>
      </c>
      <c r="F57" s="71">
        <f t="shared" ref="F57:H57" si="22">+F59</f>
        <v>-374821.87</v>
      </c>
      <c r="G57" s="71">
        <f t="shared" si="22"/>
        <v>0</v>
      </c>
      <c r="H57" s="71">
        <f t="shared" si="22"/>
        <v>0</v>
      </c>
      <c r="I57" s="26"/>
    </row>
    <row r="58" spans="1:9" ht="18" x14ac:dyDescent="0.4">
      <c r="A58" s="183"/>
      <c r="B58" s="183"/>
      <c r="C58" s="72" t="s">
        <v>17</v>
      </c>
      <c r="D58" s="69"/>
      <c r="E58" s="69"/>
      <c r="F58" s="69"/>
      <c r="G58" s="69"/>
      <c r="H58" s="69"/>
      <c r="I58" s="58"/>
    </row>
    <row r="59" spans="1:9" ht="18" x14ac:dyDescent="0.4">
      <c r="A59" s="215"/>
      <c r="B59" s="215"/>
      <c r="C59" s="24" t="s">
        <v>149</v>
      </c>
      <c r="D59" s="73">
        <f>SUM(E59:H59)</f>
        <v>-374821.87</v>
      </c>
      <c r="E59" s="73">
        <f>+E60</f>
        <v>0</v>
      </c>
      <c r="F59" s="73">
        <f t="shared" ref="F59:H59" si="23">+F60</f>
        <v>-374821.87</v>
      </c>
      <c r="G59" s="73">
        <f t="shared" si="23"/>
        <v>0</v>
      </c>
      <c r="H59" s="73">
        <f t="shared" si="23"/>
        <v>0</v>
      </c>
      <c r="I59" s="26"/>
    </row>
    <row r="60" spans="1:9" ht="34.799999999999997" x14ac:dyDescent="0.4">
      <c r="A60" s="215"/>
      <c r="B60" s="215"/>
      <c r="C60" s="83" t="s">
        <v>277</v>
      </c>
      <c r="D60" s="70">
        <f t="shared" ref="D60" si="24">+E60+F60+G60+H60</f>
        <v>-374821.87</v>
      </c>
      <c r="E60" s="87"/>
      <c r="F60" s="70">
        <f>+'Հավելված N 11'!I281+'Հավելված N 11'!I283+'Հավելված N 11'!I284</f>
        <v>-374821.87</v>
      </c>
      <c r="G60" s="87"/>
      <c r="H60" s="88"/>
    </row>
    <row r="61" spans="1:9" s="225" customFormat="1" ht="36" x14ac:dyDescent="0.4">
      <c r="A61" s="348">
        <v>1146</v>
      </c>
      <c r="B61" s="348">
        <v>12010</v>
      </c>
      <c r="C61" s="200" t="s">
        <v>184</v>
      </c>
      <c r="D61" s="186">
        <f>+E61+F61+G61+H61</f>
        <v>-2928071.5999999996</v>
      </c>
      <c r="E61" s="233">
        <f>+E63+E64+E65+E66+E68+E74+E76+E81+E84+E86</f>
        <v>-2926011.5999999996</v>
      </c>
      <c r="F61" s="233">
        <f t="shared" ref="F61:H61" si="25">+F63+F64+F65+F66+F68+F74+F76+F81+F84+F86</f>
        <v>0</v>
      </c>
      <c r="G61" s="233">
        <f t="shared" si="25"/>
        <v>-2060</v>
      </c>
      <c r="H61" s="233">
        <f t="shared" si="25"/>
        <v>0</v>
      </c>
      <c r="I61" s="234"/>
    </row>
    <row r="62" spans="1:9" s="239" customFormat="1" ht="18" x14ac:dyDescent="0.4">
      <c r="A62" s="235"/>
      <c r="B62" s="235"/>
      <c r="C62" s="224" t="s">
        <v>17</v>
      </c>
      <c r="D62" s="236"/>
      <c r="E62" s="237"/>
      <c r="F62" s="237"/>
      <c r="G62" s="237"/>
      <c r="H62" s="236"/>
      <c r="I62" s="238"/>
    </row>
    <row r="63" spans="1:9" s="359" customFormat="1" ht="72" x14ac:dyDescent="0.35">
      <c r="A63" s="375"/>
      <c r="B63" s="375"/>
      <c r="C63" s="376" t="s">
        <v>364</v>
      </c>
      <c r="D63" s="377">
        <f>SUM(E63:H63)</f>
        <v>-460</v>
      </c>
      <c r="E63" s="377"/>
      <c r="F63" s="377"/>
      <c r="G63" s="377">
        <f>+'Հավելված N 11'!I333</f>
        <v>-460</v>
      </c>
      <c r="H63" s="377"/>
    </row>
    <row r="64" spans="1:9" s="359" customFormat="1" ht="72" x14ac:dyDescent="0.35">
      <c r="A64" s="375"/>
      <c r="B64" s="375"/>
      <c r="C64" s="376" t="s">
        <v>365</v>
      </c>
      <c r="D64" s="377">
        <f>SUM(E64:H64)</f>
        <v>-900</v>
      </c>
      <c r="E64" s="377"/>
      <c r="F64" s="377"/>
      <c r="G64" s="377">
        <f>+'Հավելված N 11'!I334</f>
        <v>-900</v>
      </c>
      <c r="H64" s="377"/>
    </row>
    <row r="65" spans="1:8" s="359" customFormat="1" ht="72" x14ac:dyDescent="0.35">
      <c r="A65" s="375"/>
      <c r="B65" s="375"/>
      <c r="C65" s="376" t="s">
        <v>366</v>
      </c>
      <c r="D65" s="377">
        <f>SUM(E65:H65)</f>
        <v>-700</v>
      </c>
      <c r="E65" s="377"/>
      <c r="F65" s="377"/>
      <c r="G65" s="377">
        <f>+'Հավելված N 11'!I335</f>
        <v>-700</v>
      </c>
      <c r="H65" s="377"/>
    </row>
    <row r="66" spans="1:8" s="225" customFormat="1" ht="18" x14ac:dyDescent="0.4">
      <c r="A66" s="235"/>
      <c r="B66" s="235"/>
      <c r="C66" s="240" t="s">
        <v>169</v>
      </c>
      <c r="D66" s="241">
        <f>SUM(E66:H66)</f>
        <v>-103948.29999999999</v>
      </c>
      <c r="E66" s="241">
        <f>+E67</f>
        <v>-103948.29999999999</v>
      </c>
      <c r="F66" s="241">
        <f t="shared" ref="F66:H66" si="26">+F67</f>
        <v>0</v>
      </c>
      <c r="G66" s="241">
        <f t="shared" si="26"/>
        <v>0</v>
      </c>
      <c r="H66" s="241">
        <f t="shared" si="26"/>
        <v>0</v>
      </c>
    </row>
    <row r="67" spans="1:8" s="225" customFormat="1" ht="52.2" x14ac:dyDescent="0.4">
      <c r="A67" s="235"/>
      <c r="B67" s="235"/>
      <c r="C67" s="218" t="s">
        <v>280</v>
      </c>
      <c r="D67" s="242">
        <f t="shared" ref="D67" si="27">+E67+F67+G67+H67</f>
        <v>-103948.29999999999</v>
      </c>
      <c r="E67" s="242">
        <f>+'Հավելված N 11'!I301+'Հավելված N 11'!I303+'Հավելված N 11'!I318</f>
        <v>-103948.29999999999</v>
      </c>
      <c r="F67" s="242"/>
      <c r="G67" s="242"/>
      <c r="H67" s="223"/>
    </row>
    <row r="68" spans="1:8" s="225" customFormat="1" ht="18" x14ac:dyDescent="0.4">
      <c r="A68" s="235"/>
      <c r="B68" s="235"/>
      <c r="C68" s="240" t="s">
        <v>129</v>
      </c>
      <c r="D68" s="241">
        <f>SUM(E68:H68)</f>
        <v>-1308357.3999999999</v>
      </c>
      <c r="E68" s="241">
        <f>+E69+E70+E71+E72+E73</f>
        <v>-1308357.3999999999</v>
      </c>
      <c r="F68" s="241">
        <f t="shared" ref="F68:H68" si="28">+F69+F70+F71+F72+F73</f>
        <v>0</v>
      </c>
      <c r="G68" s="241">
        <f t="shared" si="28"/>
        <v>0</v>
      </c>
      <c r="H68" s="241">
        <f t="shared" si="28"/>
        <v>0</v>
      </c>
    </row>
    <row r="69" spans="1:8" s="225" customFormat="1" ht="52.2" x14ac:dyDescent="0.4">
      <c r="A69" s="699"/>
      <c r="B69" s="699"/>
      <c r="C69" s="218" t="s">
        <v>282</v>
      </c>
      <c r="D69" s="242">
        <f t="shared" ref="D69:D70" si="29">+E69+F69+G69+H69</f>
        <v>-258691.6</v>
      </c>
      <c r="E69" s="242">
        <f>+'Հավելված N 11'!I287+'Հավելված N 11'!I304+'Հավելված N 11'!I319</f>
        <v>-258691.6</v>
      </c>
      <c r="F69" s="242"/>
      <c r="G69" s="242"/>
      <c r="H69" s="223"/>
    </row>
    <row r="70" spans="1:8" s="225" customFormat="1" ht="52.2" x14ac:dyDescent="0.4">
      <c r="A70" s="699"/>
      <c r="B70" s="699"/>
      <c r="C70" s="218" t="s">
        <v>427</v>
      </c>
      <c r="D70" s="242">
        <f t="shared" si="29"/>
        <v>-490149.30000000005</v>
      </c>
      <c r="E70" s="242">
        <f>+'Հավելված N 11'!I300+'Հավելված N 11'!I305+'Հավելված N 11'!I320</f>
        <v>-490149.30000000005</v>
      </c>
      <c r="F70" s="242"/>
      <c r="G70" s="242"/>
      <c r="H70" s="223"/>
    </row>
    <row r="71" spans="1:8" s="225" customFormat="1" ht="52.2" x14ac:dyDescent="0.4">
      <c r="A71" s="699"/>
      <c r="B71" s="699"/>
      <c r="C71" s="218" t="s">
        <v>429</v>
      </c>
      <c r="D71" s="242">
        <f t="shared" ref="D71" si="30">+E71+F71+G71+H71</f>
        <v>-119779.49999999999</v>
      </c>
      <c r="E71" s="242">
        <f>+'Հավելված N 11'!I288+'Հավելված N 11'!I306+'Հավելված N 11'!I321</f>
        <v>-119779.49999999999</v>
      </c>
      <c r="F71" s="242"/>
      <c r="G71" s="242"/>
      <c r="H71" s="223"/>
    </row>
    <row r="72" spans="1:8" s="225" customFormat="1" ht="52.2" x14ac:dyDescent="0.4">
      <c r="A72" s="699"/>
      <c r="B72" s="699"/>
      <c r="C72" s="218" t="s">
        <v>430</v>
      </c>
      <c r="D72" s="242">
        <f t="shared" ref="D72" si="31">+E72+F72+G72+H72</f>
        <v>-283328.60000000003</v>
      </c>
      <c r="E72" s="242">
        <f>+'Հավելված N 11'!I289+'Հավելված N 11'!I307+'Հավելված N 11'!I322</f>
        <v>-283328.60000000003</v>
      </c>
      <c r="F72" s="242"/>
      <c r="G72" s="242"/>
      <c r="H72" s="223"/>
    </row>
    <row r="73" spans="1:8" s="225" customFormat="1" ht="52.2" x14ac:dyDescent="0.4">
      <c r="A73" s="700"/>
      <c r="B73" s="700"/>
      <c r="C73" s="218" t="s">
        <v>286</v>
      </c>
      <c r="D73" s="242">
        <f t="shared" ref="D73" si="32">+E73+F73+G73+H73</f>
        <v>-156408.40000000002</v>
      </c>
      <c r="E73" s="242">
        <f>+'Հավելված N 11'!I298+'Հավելված N 11'!I317+'Հավելված N 11'!I323</f>
        <v>-156408.40000000002</v>
      </c>
      <c r="F73" s="242"/>
      <c r="G73" s="242"/>
      <c r="H73" s="223"/>
    </row>
    <row r="74" spans="1:8" s="225" customFormat="1" ht="18" x14ac:dyDescent="0.4">
      <c r="A74" s="235"/>
      <c r="B74" s="235"/>
      <c r="C74" s="240" t="s">
        <v>265</v>
      </c>
      <c r="D74" s="241">
        <f>SUM(E74:H74)</f>
        <v>-153332.5</v>
      </c>
      <c r="E74" s="241">
        <f>+E75</f>
        <v>-153332.5</v>
      </c>
      <c r="F74" s="241">
        <f t="shared" ref="F74" si="33">+F75</f>
        <v>0</v>
      </c>
      <c r="G74" s="241">
        <f t="shared" ref="G74" si="34">+G75</f>
        <v>0</v>
      </c>
      <c r="H74" s="241">
        <f t="shared" ref="H74" si="35">+H75</f>
        <v>0</v>
      </c>
    </row>
    <row r="75" spans="1:8" s="225" customFormat="1" ht="52.2" x14ac:dyDescent="0.4">
      <c r="A75" s="235"/>
      <c r="B75" s="235"/>
      <c r="C75" s="218" t="s">
        <v>287</v>
      </c>
      <c r="D75" s="242">
        <f t="shared" ref="D75" si="36">+E75+F75+G75+H75</f>
        <v>-153332.5</v>
      </c>
      <c r="E75" s="242">
        <f>+'Հավելված N 11'!I290+'Հավելված N 11'!I308+'Հավելված N 11'!I324</f>
        <v>-153332.5</v>
      </c>
      <c r="F75" s="242"/>
      <c r="G75" s="242"/>
      <c r="H75" s="223"/>
    </row>
    <row r="76" spans="1:8" s="225" customFormat="1" ht="18" x14ac:dyDescent="0.4">
      <c r="A76" s="235"/>
      <c r="B76" s="235"/>
      <c r="C76" s="240" t="s">
        <v>175</v>
      </c>
      <c r="D76" s="241">
        <f>SUM(E76:H76)</f>
        <v>-558327.1</v>
      </c>
      <c r="E76" s="241">
        <f>+E77+E78+E79+E80</f>
        <v>-558327.1</v>
      </c>
      <c r="F76" s="241">
        <f t="shared" ref="F76" si="37">+F77</f>
        <v>0</v>
      </c>
      <c r="G76" s="241">
        <f t="shared" ref="G76" si="38">+G77</f>
        <v>0</v>
      </c>
      <c r="H76" s="241">
        <f t="shared" ref="H76" si="39">+H77</f>
        <v>0</v>
      </c>
    </row>
    <row r="77" spans="1:8" s="225" customFormat="1" ht="52.2" x14ac:dyDescent="0.4">
      <c r="A77" s="696"/>
      <c r="B77" s="696"/>
      <c r="C77" s="218" t="s">
        <v>291</v>
      </c>
      <c r="D77" s="242">
        <f t="shared" ref="D77" si="40">+E77+F77+G77+H77</f>
        <v>-106198.90000000001</v>
      </c>
      <c r="E77" s="242">
        <f>+'Հավելված N 11'!I291+'Հավելված N 11'!I309+'Հավելված N 11'!I325</f>
        <v>-106198.90000000001</v>
      </c>
      <c r="F77" s="242"/>
      <c r="G77" s="242"/>
      <c r="H77" s="223"/>
    </row>
    <row r="78" spans="1:8" s="225" customFormat="1" ht="52.2" x14ac:dyDescent="0.4">
      <c r="A78" s="697"/>
      <c r="B78" s="697"/>
      <c r="C78" s="218" t="s">
        <v>431</v>
      </c>
      <c r="D78" s="242">
        <f t="shared" ref="D78:D80" si="41">+E78+F78+G78+H78</f>
        <v>-241592.4</v>
      </c>
      <c r="E78" s="242">
        <f>+'Հավելված N 11'!I292+'Հավելված N 11'!I310+'Հավելված N 11'!I326</f>
        <v>-241592.4</v>
      </c>
      <c r="F78" s="242"/>
      <c r="G78" s="242"/>
      <c r="H78" s="223"/>
    </row>
    <row r="79" spans="1:8" s="225" customFormat="1" ht="52.2" x14ac:dyDescent="0.4">
      <c r="A79" s="697"/>
      <c r="B79" s="697"/>
      <c r="C79" s="218" t="s">
        <v>367</v>
      </c>
      <c r="D79" s="242">
        <f t="shared" si="41"/>
        <v>-121303.40000000001</v>
      </c>
      <c r="E79" s="242">
        <f>+'Հավելված N 11'!I293+'Հավելված N 11'!I311+'Հավելված N 11'!I327</f>
        <v>-121303.40000000001</v>
      </c>
      <c r="F79" s="242"/>
      <c r="G79" s="242"/>
      <c r="H79" s="223"/>
    </row>
    <row r="80" spans="1:8" s="225" customFormat="1" ht="52.2" x14ac:dyDescent="0.4">
      <c r="A80" s="698"/>
      <c r="B80" s="698"/>
      <c r="C80" s="218" t="s">
        <v>432</v>
      </c>
      <c r="D80" s="242">
        <f t="shared" si="41"/>
        <v>-89232.4</v>
      </c>
      <c r="E80" s="242">
        <f>+'Հավելված N 11'!I294+'Հավելված N 11'!I312+'Հավելված N 11'!I328</f>
        <v>-89232.4</v>
      </c>
      <c r="F80" s="242"/>
      <c r="G80" s="242"/>
      <c r="H80" s="223"/>
    </row>
    <row r="81" spans="1:8" s="225" customFormat="1" ht="18" x14ac:dyDescent="0.4">
      <c r="A81" s="235"/>
      <c r="B81" s="235"/>
      <c r="C81" s="240" t="s">
        <v>136</v>
      </c>
      <c r="D81" s="241">
        <f>SUM(E81:H81)</f>
        <v>-575753</v>
      </c>
      <c r="E81" s="241">
        <f>+E82+E83</f>
        <v>-575753</v>
      </c>
      <c r="F81" s="241">
        <f t="shared" ref="F81:H81" si="42">+F82+F83</f>
        <v>0</v>
      </c>
      <c r="G81" s="241">
        <f t="shared" si="42"/>
        <v>0</v>
      </c>
      <c r="H81" s="241">
        <f t="shared" si="42"/>
        <v>0</v>
      </c>
    </row>
    <row r="82" spans="1:8" s="225" customFormat="1" ht="52.2" x14ac:dyDescent="0.4">
      <c r="A82" s="723"/>
      <c r="B82" s="723"/>
      <c r="C82" s="218" t="s">
        <v>434</v>
      </c>
      <c r="D82" s="242">
        <f t="shared" ref="D82:D83" si="43">+E82+F82+G82+H82</f>
        <v>-292319.89999999997</v>
      </c>
      <c r="E82" s="242">
        <f>+'Հավելված N 11'!I295+'Հավելված N 11'!I313+'Հավելված N 11'!I329</f>
        <v>-292319.89999999997</v>
      </c>
      <c r="F82" s="242"/>
      <c r="G82" s="242"/>
      <c r="H82" s="223"/>
    </row>
    <row r="83" spans="1:8" s="225" customFormat="1" ht="52.2" x14ac:dyDescent="0.4">
      <c r="A83" s="698"/>
      <c r="B83" s="698"/>
      <c r="C83" s="218" t="s">
        <v>435</v>
      </c>
      <c r="D83" s="242">
        <f t="shared" si="43"/>
        <v>-283433.10000000003</v>
      </c>
      <c r="E83" s="242">
        <f>+'Հավելված N 11'!I296+'Հավելված N 11'!I314+'Հավելված N 11'!I330</f>
        <v>-283433.10000000003</v>
      </c>
      <c r="F83" s="242"/>
      <c r="G83" s="242"/>
      <c r="H83" s="223"/>
    </row>
    <row r="84" spans="1:8" s="225" customFormat="1" ht="18" x14ac:dyDescent="0.4">
      <c r="A84" s="235"/>
      <c r="B84" s="235"/>
      <c r="C84" s="240" t="s">
        <v>297</v>
      </c>
      <c r="D84" s="241">
        <f>SUM(E84:H84)</f>
        <v>-51800</v>
      </c>
      <c r="E84" s="241">
        <f>SUM(E85:E85)</f>
        <v>-51800</v>
      </c>
      <c r="F84" s="241">
        <f>SUM(F85:F85)</f>
        <v>0</v>
      </c>
      <c r="G84" s="241">
        <f>SUM(G85:G85)</f>
        <v>0</v>
      </c>
      <c r="H84" s="241">
        <f>SUM(H85:H85)</f>
        <v>0</v>
      </c>
    </row>
    <row r="85" spans="1:8" s="225" customFormat="1" ht="52.2" x14ac:dyDescent="0.4">
      <c r="A85" s="348"/>
      <c r="B85" s="348"/>
      <c r="C85" s="218" t="s">
        <v>258</v>
      </c>
      <c r="D85" s="242">
        <f t="shared" ref="D85" si="44">+E85+F85+G85+H85</f>
        <v>-51800</v>
      </c>
      <c r="E85" s="242">
        <f>+'Հավելված N 11'!I297+'Հավելված N 11'!I315+'Հավելված N 11'!I331</f>
        <v>-51800</v>
      </c>
      <c r="F85" s="242"/>
      <c r="G85" s="242"/>
      <c r="H85" s="223"/>
    </row>
    <row r="86" spans="1:8" s="225" customFormat="1" ht="18" x14ac:dyDescent="0.4">
      <c r="A86" s="235"/>
      <c r="B86" s="235"/>
      <c r="C86" s="240" t="s">
        <v>301</v>
      </c>
      <c r="D86" s="241">
        <f>SUM(E86:H86)</f>
        <v>-174493.30000000002</v>
      </c>
      <c r="E86" s="241">
        <f>SUM(E87:E87)</f>
        <v>-174493.30000000002</v>
      </c>
      <c r="F86" s="241">
        <f>SUM(F87:F87)</f>
        <v>0</v>
      </c>
      <c r="G86" s="241">
        <f>SUM(G87:G87)</f>
        <v>0</v>
      </c>
      <c r="H86" s="241">
        <f>SUM(H87:H87)</f>
        <v>0</v>
      </c>
    </row>
    <row r="87" spans="1:8" s="225" customFormat="1" ht="69.599999999999994" x14ac:dyDescent="0.4">
      <c r="A87" s="348"/>
      <c r="B87" s="348"/>
      <c r="C87" s="218" t="s">
        <v>302</v>
      </c>
      <c r="D87" s="242">
        <f t="shared" ref="D87" si="45">+E87+F87+G87+H87</f>
        <v>-174493.30000000002</v>
      </c>
      <c r="E87" s="242">
        <f>+'Հավելված N 11'!I299+'Հավելված N 11'!I316+'Հավելված N 11'!I332</f>
        <v>-174493.30000000002</v>
      </c>
      <c r="F87" s="242"/>
      <c r="G87" s="242"/>
      <c r="H87" s="223"/>
    </row>
    <row r="88" spans="1:8" s="353" customFormat="1" ht="59.25" customHeight="1" x14ac:dyDescent="0.3">
      <c r="A88" s="358">
        <v>1148</v>
      </c>
      <c r="B88" s="358">
        <v>32003</v>
      </c>
      <c r="C88" s="371" t="s">
        <v>436</v>
      </c>
      <c r="D88" s="362">
        <f>SUM(E88:H88)</f>
        <v>-113596.4</v>
      </c>
      <c r="E88" s="362">
        <f>+E90</f>
        <v>-113596.4</v>
      </c>
      <c r="F88" s="362">
        <f>+F90</f>
        <v>0</v>
      </c>
      <c r="G88" s="362">
        <f>+G90</f>
        <v>0</v>
      </c>
      <c r="H88" s="362">
        <f>+H90</f>
        <v>0</v>
      </c>
    </row>
    <row r="89" spans="1:8" s="353" customFormat="1" x14ac:dyDescent="0.4">
      <c r="A89" s="357"/>
      <c r="B89" s="357"/>
      <c r="C89" s="380" t="s">
        <v>17</v>
      </c>
      <c r="D89" s="381"/>
      <c r="E89" s="381"/>
      <c r="F89" s="381"/>
      <c r="G89" s="381"/>
      <c r="H89" s="381"/>
    </row>
    <row r="90" spans="1:8" s="382" customFormat="1" ht="18" x14ac:dyDescent="0.3">
      <c r="A90" s="383"/>
      <c r="B90" s="383"/>
      <c r="C90" s="350" t="s">
        <v>167</v>
      </c>
      <c r="D90" s="384">
        <f>SUM(E90:H90)</f>
        <v>-113596.4</v>
      </c>
      <c r="E90" s="384">
        <f>+E91</f>
        <v>-113596.4</v>
      </c>
      <c r="F90" s="384">
        <f>+F91</f>
        <v>0</v>
      </c>
      <c r="G90" s="384">
        <f>+G91</f>
        <v>0</v>
      </c>
      <c r="H90" s="384">
        <f>+H91</f>
        <v>0</v>
      </c>
    </row>
    <row r="91" spans="1:8" s="382" customFormat="1" ht="34.799999999999997" x14ac:dyDescent="0.4">
      <c r="A91" s="357"/>
      <c r="B91" s="357"/>
      <c r="C91" s="356" t="s">
        <v>437</v>
      </c>
      <c r="D91" s="354">
        <f>+E91+F91+G91+H91</f>
        <v>-113596.4</v>
      </c>
      <c r="E91" s="354">
        <f>+'Հավելված N 11'!I52+'Հավելված N 11'!I54+'Հավելված N 11'!I55</f>
        <v>-113596.4</v>
      </c>
      <c r="F91" s="354"/>
      <c r="G91" s="354"/>
      <c r="H91" s="354"/>
    </row>
    <row r="92" spans="1:8" s="483" customFormat="1" ht="81.75" customHeight="1" x14ac:dyDescent="0.3">
      <c r="A92" s="478">
        <v>1162</v>
      </c>
      <c r="B92" s="478">
        <v>32004</v>
      </c>
      <c r="C92" s="480" t="s">
        <v>1089</v>
      </c>
      <c r="D92" s="479">
        <f>SUM(E92:H92)</f>
        <v>-3200000</v>
      </c>
      <c r="E92" s="479">
        <v>0</v>
      </c>
      <c r="F92" s="479">
        <v>0</v>
      </c>
      <c r="G92" s="479">
        <v>0</v>
      </c>
      <c r="H92" s="479">
        <v>-3200000</v>
      </c>
    </row>
    <row r="93" spans="1:8" s="353" customFormat="1" ht="31.65" customHeight="1" x14ac:dyDescent="0.3">
      <c r="A93" s="358">
        <v>1163</v>
      </c>
      <c r="B93" s="358">
        <v>32001</v>
      </c>
      <c r="C93" s="371" t="s">
        <v>442</v>
      </c>
      <c r="D93" s="362">
        <f>+E93+F93+G93+H93</f>
        <v>-160815.1</v>
      </c>
      <c r="E93" s="362">
        <f>+E95</f>
        <v>-126795.1</v>
      </c>
      <c r="F93" s="362">
        <f t="shared" ref="F93:H93" si="46">+F95</f>
        <v>0</v>
      </c>
      <c r="G93" s="362">
        <f t="shared" si="46"/>
        <v>-34020</v>
      </c>
      <c r="H93" s="362">
        <f t="shared" si="46"/>
        <v>0</v>
      </c>
    </row>
    <row r="94" spans="1:8" s="353" customFormat="1" x14ac:dyDescent="0.4">
      <c r="A94" s="357"/>
      <c r="B94" s="357"/>
      <c r="C94" s="380" t="s">
        <v>17</v>
      </c>
      <c r="D94" s="381"/>
      <c r="E94" s="381"/>
      <c r="F94" s="381"/>
      <c r="G94" s="381"/>
      <c r="H94" s="381"/>
    </row>
    <row r="95" spans="1:8" s="382" customFormat="1" ht="18" x14ac:dyDescent="0.3">
      <c r="A95" s="383"/>
      <c r="B95" s="383"/>
      <c r="C95" s="350" t="s">
        <v>149</v>
      </c>
      <c r="D95" s="384">
        <f>SUM(E95:H95)</f>
        <v>-160815.1</v>
      </c>
      <c r="E95" s="384">
        <f>+E96+E97</f>
        <v>-126795.1</v>
      </c>
      <c r="F95" s="384">
        <f t="shared" ref="F95:H95" si="47">+F96+F97</f>
        <v>0</v>
      </c>
      <c r="G95" s="384">
        <f t="shared" si="47"/>
        <v>-34020</v>
      </c>
      <c r="H95" s="384">
        <f t="shared" si="47"/>
        <v>0</v>
      </c>
    </row>
    <row r="96" spans="1:8" s="382" customFormat="1" ht="34.799999999999997" x14ac:dyDescent="0.3">
      <c r="A96" s="724"/>
      <c r="B96" s="724"/>
      <c r="C96" s="356" t="s">
        <v>443</v>
      </c>
      <c r="D96" s="354">
        <f>SUM(E96:H96)</f>
        <v>-126795.1</v>
      </c>
      <c r="E96" s="354">
        <f>+'Հավելված N 11'!I338+'Հավելված N 11'!I340+'Հավելված N 11'!I341</f>
        <v>-126795.1</v>
      </c>
      <c r="F96" s="354"/>
      <c r="G96" s="354"/>
      <c r="H96" s="354"/>
    </row>
    <row r="97" spans="1:9" s="382" customFormat="1" x14ac:dyDescent="0.3">
      <c r="A97" s="725"/>
      <c r="B97" s="725"/>
      <c r="C97" s="356" t="s">
        <v>444</v>
      </c>
      <c r="D97" s="354">
        <f>SUM(E97:H97)</f>
        <v>-34020</v>
      </c>
      <c r="E97" s="354"/>
      <c r="F97" s="354"/>
      <c r="G97" s="354">
        <f>+'Հավելված N 11'!I342+'Հավելված N 11'!I343</f>
        <v>-34020</v>
      </c>
      <c r="H97" s="354"/>
    </row>
    <row r="98" spans="1:9" s="385" customFormat="1" ht="36" customHeight="1" x14ac:dyDescent="0.3">
      <c r="A98" s="358">
        <v>1163</v>
      </c>
      <c r="B98" s="358">
        <v>32002</v>
      </c>
      <c r="C98" s="371" t="s">
        <v>449</v>
      </c>
      <c r="D98" s="362">
        <f>+E98+F98+G98+H98</f>
        <v>-277975</v>
      </c>
      <c r="E98" s="362">
        <f>+E100+E104</f>
        <v>0</v>
      </c>
      <c r="F98" s="362">
        <f t="shared" ref="F98:H98" si="48">+F100+F104</f>
        <v>-213180.1</v>
      </c>
      <c r="G98" s="362">
        <f t="shared" si="48"/>
        <v>-64794.9</v>
      </c>
      <c r="H98" s="362">
        <f t="shared" si="48"/>
        <v>0</v>
      </c>
    </row>
    <row r="99" spans="1:9" s="385" customFormat="1" x14ac:dyDescent="0.4">
      <c r="A99" s="386"/>
      <c r="B99" s="386"/>
      <c r="C99" s="387" t="s">
        <v>17</v>
      </c>
      <c r="D99" s="388"/>
      <c r="E99" s="388"/>
      <c r="F99" s="388"/>
      <c r="G99" s="388"/>
      <c r="H99" s="388"/>
    </row>
    <row r="100" spans="1:9" s="370" customFormat="1" ht="28.5" customHeight="1" x14ac:dyDescent="0.4">
      <c r="A100" s="390"/>
      <c r="B100" s="390"/>
      <c r="C100" s="350" t="s">
        <v>149</v>
      </c>
      <c r="D100" s="389">
        <f t="shared" ref="D100:D105" si="49">SUM(E100:H100)</f>
        <v>-254089.5</v>
      </c>
      <c r="E100" s="389">
        <f>E101+E102+E103</f>
        <v>0</v>
      </c>
      <c r="F100" s="389">
        <f t="shared" ref="F100:H100" si="50">F101+F102+F103</f>
        <v>-213180.1</v>
      </c>
      <c r="G100" s="389">
        <f t="shared" si="50"/>
        <v>-40909.4</v>
      </c>
      <c r="H100" s="389">
        <f t="shared" si="50"/>
        <v>0</v>
      </c>
    </row>
    <row r="101" spans="1:9" s="370" customFormat="1" ht="46.5" customHeight="1" x14ac:dyDescent="0.3">
      <c r="A101" s="716"/>
      <c r="B101" s="716"/>
      <c r="C101" s="351" t="s">
        <v>450</v>
      </c>
      <c r="D101" s="361">
        <f t="shared" si="49"/>
        <v>-93311</v>
      </c>
      <c r="E101" s="361"/>
      <c r="F101" s="361">
        <f>+'Հավելված N 11'!I346+'Հավելված N 11'!I348+'Հավելված N 11'!I349</f>
        <v>-93311</v>
      </c>
      <c r="G101" s="361"/>
      <c r="H101" s="361"/>
    </row>
    <row r="102" spans="1:9" s="370" customFormat="1" ht="46.5" customHeight="1" x14ac:dyDescent="0.3">
      <c r="A102" s="717"/>
      <c r="B102" s="717"/>
      <c r="C102" s="351" t="s">
        <v>451</v>
      </c>
      <c r="D102" s="361">
        <f t="shared" si="49"/>
        <v>-40909.4</v>
      </c>
      <c r="E102" s="361"/>
      <c r="G102" s="361">
        <f>+'Հավելված N 11'!I350+'Հավելված N 11'!I352</f>
        <v>-40909.4</v>
      </c>
      <c r="H102" s="361"/>
    </row>
    <row r="103" spans="1:9" s="370" customFormat="1" ht="46.5" customHeight="1" x14ac:dyDescent="0.3">
      <c r="A103" s="718"/>
      <c r="B103" s="718"/>
      <c r="C103" s="351" t="s">
        <v>452</v>
      </c>
      <c r="D103" s="361">
        <f t="shared" si="49"/>
        <v>-119869.1</v>
      </c>
      <c r="E103" s="361"/>
      <c r="F103" s="361">
        <f>+'Հավելված N 11'!I58+'Հավելված N 11'!I60+'Հավելված N 11'!I61</f>
        <v>-119869.1</v>
      </c>
      <c r="G103" s="361"/>
      <c r="H103" s="361"/>
    </row>
    <row r="104" spans="1:9" s="370" customFormat="1" ht="25.5" customHeight="1" x14ac:dyDescent="0.4">
      <c r="A104" s="391"/>
      <c r="B104" s="391"/>
      <c r="C104" s="350" t="s">
        <v>136</v>
      </c>
      <c r="D104" s="389">
        <f t="shared" si="49"/>
        <v>-23885.5</v>
      </c>
      <c r="E104" s="389">
        <f>+E105</f>
        <v>0</v>
      </c>
      <c r="F104" s="389">
        <f t="shared" ref="F104:H104" si="51">+F105</f>
        <v>0</v>
      </c>
      <c r="G104" s="389">
        <f t="shared" si="51"/>
        <v>-23885.5</v>
      </c>
      <c r="H104" s="389">
        <f t="shared" si="51"/>
        <v>0</v>
      </c>
    </row>
    <row r="105" spans="1:9" s="370" customFormat="1" ht="46.5" customHeight="1" x14ac:dyDescent="0.4">
      <c r="A105" s="390"/>
      <c r="B105" s="390"/>
      <c r="C105" s="351" t="s">
        <v>453</v>
      </c>
      <c r="D105" s="361">
        <f t="shared" si="49"/>
        <v>-23885.5</v>
      </c>
      <c r="E105" s="361"/>
      <c r="F105" s="361"/>
      <c r="G105" s="361">
        <f>+'Հավելված N 11'!I351+'Հավելված N 11'!I353</f>
        <v>-23885.5</v>
      </c>
      <c r="H105" s="361"/>
    </row>
    <row r="106" spans="1:9" ht="54" x14ac:dyDescent="0.4">
      <c r="A106" s="349">
        <v>1168</v>
      </c>
      <c r="B106" s="349">
        <v>32001</v>
      </c>
      <c r="C106" s="216" t="s">
        <v>215</v>
      </c>
      <c r="D106" s="66">
        <f>+E106+F106+G106+H106</f>
        <v>-79831.3</v>
      </c>
      <c r="E106" s="71">
        <f>+E108</f>
        <v>0</v>
      </c>
      <c r="F106" s="71">
        <f t="shared" ref="F106:H106" si="52">+F108</f>
        <v>-79831.3</v>
      </c>
      <c r="G106" s="71">
        <f t="shared" si="52"/>
        <v>0</v>
      </c>
      <c r="H106" s="71">
        <f t="shared" si="52"/>
        <v>0</v>
      </c>
      <c r="I106" s="26"/>
    </row>
    <row r="107" spans="1:9" ht="18" x14ac:dyDescent="0.4">
      <c r="A107" s="183"/>
      <c r="B107" s="183"/>
      <c r="C107" s="72" t="s">
        <v>17</v>
      </c>
      <c r="D107" s="69"/>
      <c r="E107" s="69"/>
      <c r="F107" s="69"/>
      <c r="G107" s="69"/>
      <c r="H107" s="69"/>
      <c r="I107" s="58"/>
    </row>
    <row r="108" spans="1:9" ht="18" x14ac:dyDescent="0.4">
      <c r="A108" s="215"/>
      <c r="B108" s="215"/>
      <c r="C108" s="24" t="s">
        <v>149</v>
      </c>
      <c r="D108" s="73">
        <f>SUM(E108:H108)</f>
        <v>-79831.3</v>
      </c>
      <c r="E108" s="73">
        <f>+E109</f>
        <v>0</v>
      </c>
      <c r="F108" s="73">
        <f t="shared" ref="F108:H108" si="53">+F109</f>
        <v>-79831.3</v>
      </c>
      <c r="G108" s="73">
        <f t="shared" si="53"/>
        <v>0</v>
      </c>
      <c r="H108" s="73">
        <f t="shared" si="53"/>
        <v>0</v>
      </c>
      <c r="I108" s="26"/>
    </row>
    <row r="109" spans="1:9" ht="34.799999999999997" x14ac:dyDescent="0.4">
      <c r="A109" s="215"/>
      <c r="B109" s="215"/>
      <c r="C109" s="83" t="s">
        <v>306</v>
      </c>
      <c r="D109" s="70">
        <f t="shared" ref="D109" si="54">+E109+F109+G109+H109</f>
        <v>-79831.3</v>
      </c>
      <c r="E109" s="87"/>
      <c r="F109" s="70">
        <f>+'Հավելված N 11'!I248+'Հավելված N 11'!I250+'Հավելված N 11'!I251</f>
        <v>-79831.3</v>
      </c>
      <c r="G109" s="87"/>
      <c r="H109" s="88"/>
    </row>
    <row r="110" spans="1:9" ht="36" x14ac:dyDescent="0.4">
      <c r="A110" s="349">
        <v>1183</v>
      </c>
      <c r="B110" s="349">
        <v>32002</v>
      </c>
      <c r="C110" s="68" t="s">
        <v>309</v>
      </c>
      <c r="D110" s="66">
        <f>+E110+F110+G110+H110</f>
        <v>-2887155</v>
      </c>
      <c r="E110" s="71">
        <f>+E112+E113+E115+E124+E128+E138+E147+E160++E174+E180</f>
        <v>-2071355</v>
      </c>
      <c r="F110" s="71">
        <f t="shared" ref="F110:H110" si="55">+F112+F113+F115+F124+F128+F138+F147+F160++F174+F180</f>
        <v>0</v>
      </c>
      <c r="G110" s="71">
        <f t="shared" si="55"/>
        <v>-815800</v>
      </c>
      <c r="H110" s="71">
        <f t="shared" si="55"/>
        <v>0</v>
      </c>
      <c r="I110" s="26"/>
    </row>
    <row r="111" spans="1:9" ht="18" x14ac:dyDescent="0.4">
      <c r="A111" s="217"/>
      <c r="B111" s="217"/>
      <c r="C111" s="72" t="s">
        <v>17</v>
      </c>
      <c r="D111" s="69"/>
      <c r="E111" s="69"/>
      <c r="F111" s="69"/>
      <c r="G111" s="69"/>
      <c r="H111" s="69"/>
      <c r="I111" s="58"/>
    </row>
    <row r="112" spans="1:9" s="395" customFormat="1" ht="54" x14ac:dyDescent="0.4">
      <c r="A112" s="392"/>
      <c r="B112" s="392"/>
      <c r="C112" s="350" t="s">
        <v>460</v>
      </c>
      <c r="D112" s="393">
        <f>SUM(E112:H112)</f>
        <v>-21000</v>
      </c>
      <c r="E112" s="393"/>
      <c r="F112" s="393"/>
      <c r="G112" s="393">
        <f>+'Հավելված N 11'!I380+'Հավելված N 11'!I438</f>
        <v>-21000</v>
      </c>
      <c r="H112" s="393">
        <f>SUM(H113:H126)</f>
        <v>0</v>
      </c>
      <c r="I112" s="394"/>
    </row>
    <row r="113" spans="1:9" ht="18" x14ac:dyDescent="0.4">
      <c r="A113" s="219"/>
      <c r="B113" s="219"/>
      <c r="C113" s="24" t="s">
        <v>149</v>
      </c>
      <c r="D113" s="73">
        <f>SUM(E113:H113)</f>
        <v>-444575.39999999997</v>
      </c>
      <c r="E113" s="73">
        <f>+E114</f>
        <v>-444575.39999999997</v>
      </c>
      <c r="F113" s="73">
        <f t="shared" ref="F113:H113" si="56">+F114</f>
        <v>0</v>
      </c>
      <c r="G113" s="73">
        <f t="shared" si="56"/>
        <v>0</v>
      </c>
      <c r="H113" s="73">
        <f t="shared" si="56"/>
        <v>0</v>
      </c>
      <c r="I113" s="26"/>
    </row>
    <row r="114" spans="1:9" ht="18" x14ac:dyDescent="0.4">
      <c r="A114" s="346"/>
      <c r="B114" s="346"/>
      <c r="C114" s="83" t="s">
        <v>461</v>
      </c>
      <c r="D114" s="70">
        <f>+E114+F114+G114+H114</f>
        <v>-444575.39999999997</v>
      </c>
      <c r="E114" s="87">
        <f>+'Հավելված N 11'!I356+'Հավելված N 11'!I364+'Հավելված N 11'!I372</f>
        <v>-444575.39999999997</v>
      </c>
      <c r="F114" s="70"/>
      <c r="G114" s="87"/>
      <c r="H114" s="88"/>
    </row>
    <row r="115" spans="1:9" s="395" customFormat="1" ht="16.95" customHeight="1" x14ac:dyDescent="0.4">
      <c r="A115" s="398"/>
      <c r="B115" s="398"/>
      <c r="C115" s="350" t="s">
        <v>111</v>
      </c>
      <c r="D115" s="396">
        <f>SUM(E115:H115)</f>
        <v>-98000</v>
      </c>
      <c r="E115" s="396">
        <f>+E116+E117+E118+E119+E120+E121+E122+E123</f>
        <v>0</v>
      </c>
      <c r="F115" s="396">
        <f t="shared" ref="F115:H115" si="57">+F116+F117+F118+F119+F120+F121+F122+F123</f>
        <v>0</v>
      </c>
      <c r="G115" s="396">
        <f t="shared" si="57"/>
        <v>-98000</v>
      </c>
      <c r="H115" s="396">
        <f t="shared" si="57"/>
        <v>0</v>
      </c>
      <c r="I115" s="394"/>
    </row>
    <row r="116" spans="1:9" s="318" customFormat="1" ht="52.2" x14ac:dyDescent="0.3">
      <c r="A116" s="719"/>
      <c r="B116" s="719"/>
      <c r="C116" s="307" t="s">
        <v>462</v>
      </c>
      <c r="D116" s="397">
        <f t="shared" ref="D116:D123" si="58">+E116+F116+G116+H116</f>
        <v>-11600</v>
      </c>
      <c r="E116" s="397"/>
      <c r="F116" s="397"/>
      <c r="G116" s="397">
        <f>+'Հավելված N 11'!I381+'Հավելված N 11'!I439</f>
        <v>-11600</v>
      </c>
      <c r="H116" s="397"/>
    </row>
    <row r="117" spans="1:9" s="318" customFormat="1" ht="34.799999999999997" x14ac:dyDescent="0.3">
      <c r="A117" s="720"/>
      <c r="B117" s="720"/>
      <c r="C117" s="307" t="s">
        <v>463</v>
      </c>
      <c r="D117" s="397">
        <f t="shared" si="58"/>
        <v>-11600</v>
      </c>
      <c r="E117" s="397"/>
      <c r="F117" s="397"/>
      <c r="G117" s="397">
        <f>+'Հավելված N 11'!I382+'Հավելված N 11'!I440</f>
        <v>-11600</v>
      </c>
      <c r="H117" s="397"/>
    </row>
    <row r="118" spans="1:9" s="318" customFormat="1" x14ac:dyDescent="0.3">
      <c r="A118" s="720"/>
      <c r="B118" s="720"/>
      <c r="C118" s="379" t="s">
        <v>464</v>
      </c>
      <c r="D118" s="397">
        <f t="shared" si="58"/>
        <v>-9500</v>
      </c>
      <c r="E118" s="397"/>
      <c r="F118" s="397"/>
      <c r="G118" s="397">
        <f>+'Հավելված N 11'!I383+'Հավելված N 11'!I441</f>
        <v>-9500</v>
      </c>
      <c r="H118" s="397"/>
    </row>
    <row r="119" spans="1:9" s="318" customFormat="1" ht="34.799999999999997" x14ac:dyDescent="0.3">
      <c r="A119" s="720"/>
      <c r="B119" s="720"/>
      <c r="C119" s="379" t="s">
        <v>465</v>
      </c>
      <c r="D119" s="397">
        <f t="shared" si="58"/>
        <v>-21000</v>
      </c>
      <c r="E119" s="397"/>
      <c r="F119" s="397"/>
      <c r="G119" s="397">
        <f>+'Հավելված N 11'!I384+'Հավելված N 11'!I442</f>
        <v>-21000</v>
      </c>
      <c r="H119" s="397"/>
    </row>
    <row r="120" spans="1:9" s="318" customFormat="1" x14ac:dyDescent="0.3">
      <c r="A120" s="720"/>
      <c r="B120" s="720"/>
      <c r="C120" s="379" t="s">
        <v>466</v>
      </c>
      <c r="D120" s="397">
        <f t="shared" si="58"/>
        <v>-9500</v>
      </c>
      <c r="E120" s="397"/>
      <c r="F120" s="397"/>
      <c r="G120" s="397">
        <f>+'Հավելված N 11'!I385+'Հավելված N 11'!I443</f>
        <v>-9500</v>
      </c>
      <c r="H120" s="397"/>
    </row>
    <row r="121" spans="1:9" s="318" customFormat="1" ht="35.549999999999997" customHeight="1" x14ac:dyDescent="0.3">
      <c r="A121" s="720"/>
      <c r="B121" s="720"/>
      <c r="C121" s="379" t="s">
        <v>467</v>
      </c>
      <c r="D121" s="397">
        <f t="shared" si="58"/>
        <v>-13700</v>
      </c>
      <c r="E121" s="397"/>
      <c r="F121" s="397"/>
      <c r="G121" s="397">
        <f>+'Հավելված N 11'!I386+'Հավելված N 11'!I444</f>
        <v>-13700</v>
      </c>
      <c r="H121" s="397"/>
    </row>
    <row r="122" spans="1:9" s="318" customFormat="1" x14ac:dyDescent="0.3">
      <c r="A122" s="720"/>
      <c r="B122" s="720"/>
      <c r="C122" s="379" t="s">
        <v>468</v>
      </c>
      <c r="D122" s="397">
        <f t="shared" si="58"/>
        <v>-11600</v>
      </c>
      <c r="E122" s="397"/>
      <c r="F122" s="397"/>
      <c r="G122" s="397">
        <f>+'Հավելված N 11'!I387+'Հավելված N 11'!I445</f>
        <v>-11600</v>
      </c>
      <c r="H122" s="397"/>
    </row>
    <row r="123" spans="1:9" s="318" customFormat="1" ht="34.799999999999997" x14ac:dyDescent="0.3">
      <c r="A123" s="721"/>
      <c r="B123" s="721"/>
      <c r="C123" s="379" t="s">
        <v>469</v>
      </c>
      <c r="D123" s="397">
        <f t="shared" si="58"/>
        <v>-9500</v>
      </c>
      <c r="E123" s="397"/>
      <c r="F123" s="397"/>
      <c r="G123" s="397">
        <f>+'Հավելված N 11'!I388+'Հավելված N 11'!I446</f>
        <v>-9500</v>
      </c>
      <c r="H123" s="397"/>
    </row>
    <row r="124" spans="1:9" ht="18" x14ac:dyDescent="0.4">
      <c r="A124" s="219"/>
      <c r="B124" s="219"/>
      <c r="C124" s="24" t="s">
        <v>169</v>
      </c>
      <c r="D124" s="73">
        <f>SUM(E124:H124)</f>
        <v>-472178.5</v>
      </c>
      <c r="E124" s="73">
        <f>+E125+E126+E127</f>
        <v>-451178.5</v>
      </c>
      <c r="F124" s="73">
        <f t="shared" ref="F124:H124" si="59">+F125+F126+F127</f>
        <v>0</v>
      </c>
      <c r="G124" s="73">
        <f t="shared" si="59"/>
        <v>-21000</v>
      </c>
      <c r="H124" s="73">
        <f t="shared" si="59"/>
        <v>0</v>
      </c>
      <c r="I124" s="26"/>
    </row>
    <row r="125" spans="1:9" x14ac:dyDescent="0.4">
      <c r="A125" s="714"/>
      <c r="B125" s="714"/>
      <c r="C125" s="83" t="s">
        <v>470</v>
      </c>
      <c r="D125" s="70">
        <f>+E125+F125+G125+H125</f>
        <v>-444048.5</v>
      </c>
      <c r="E125" s="87">
        <f>+'Հավելված N 11'!I357+'Հավելված N 11'!I365+'Հավելված N 11'!I373</f>
        <v>-444048.5</v>
      </c>
      <c r="F125" s="70"/>
      <c r="G125" s="87"/>
      <c r="H125" s="88"/>
    </row>
    <row r="126" spans="1:9" x14ac:dyDescent="0.4">
      <c r="A126" s="722"/>
      <c r="B126" s="722"/>
      <c r="C126" s="83" t="s">
        <v>312</v>
      </c>
      <c r="D126" s="70">
        <f t="shared" ref="D126" si="60">+E126+F126+G126+H126</f>
        <v>-7130</v>
      </c>
      <c r="E126" s="87">
        <f>'Հավելված N 11'!I366+'Հավելված N 11'!I374</f>
        <v>-7130</v>
      </c>
      <c r="F126" s="70"/>
      <c r="G126" s="87"/>
      <c r="H126" s="88"/>
    </row>
    <row r="127" spans="1:9" x14ac:dyDescent="0.4">
      <c r="A127" s="715"/>
      <c r="B127" s="715"/>
      <c r="C127" s="83" t="s">
        <v>471</v>
      </c>
      <c r="D127" s="70">
        <f t="shared" ref="D127" si="61">+E127+F127+G127+H127</f>
        <v>-21000</v>
      </c>
      <c r="E127" s="87"/>
      <c r="F127" s="70"/>
      <c r="G127" s="87">
        <v>-21000</v>
      </c>
      <c r="H127" s="88"/>
    </row>
    <row r="128" spans="1:9" ht="18" x14ac:dyDescent="0.4">
      <c r="A128" s="219"/>
      <c r="B128" s="219"/>
      <c r="C128" s="24" t="s">
        <v>129</v>
      </c>
      <c r="D128" s="73">
        <f>SUM(E128:H128)</f>
        <v>-251500</v>
      </c>
      <c r="E128" s="73">
        <f>+E129+E130+E131+E132+E133+E134+E135+E136+E137</f>
        <v>-155400</v>
      </c>
      <c r="F128" s="73">
        <f t="shared" ref="F128:H128" si="62">+F129+F130+F131+F132+F133+F134+F135+F136+F137</f>
        <v>0</v>
      </c>
      <c r="G128" s="73">
        <f t="shared" si="62"/>
        <v>-96100</v>
      </c>
      <c r="H128" s="73">
        <f t="shared" si="62"/>
        <v>0</v>
      </c>
      <c r="I128" s="26"/>
    </row>
    <row r="129" spans="1:9" ht="34.799999999999997" x14ac:dyDescent="0.4">
      <c r="A129" s="714"/>
      <c r="B129" s="714"/>
      <c r="C129" s="83" t="s">
        <v>316</v>
      </c>
      <c r="D129" s="70">
        <f t="shared" ref="D129:D137" si="63">+E129+F129+G129+H129</f>
        <v>-155400</v>
      </c>
      <c r="E129" s="87">
        <f>+'Հավելված N 11'!I358+'Հավելված N 11'!I367+'Հավելված N 11'!I375</f>
        <v>-155400</v>
      </c>
      <c r="F129" s="70"/>
      <c r="G129" s="87"/>
      <c r="H129" s="88"/>
    </row>
    <row r="130" spans="1:9" s="318" customFormat="1" ht="34.799999999999997" x14ac:dyDescent="0.3">
      <c r="A130" s="722"/>
      <c r="B130" s="722"/>
      <c r="C130" s="379" t="s">
        <v>473</v>
      </c>
      <c r="D130" s="397">
        <f t="shared" si="63"/>
        <v>-11600</v>
      </c>
      <c r="E130" s="397"/>
      <c r="F130" s="397"/>
      <c r="G130" s="397">
        <f>+'Հավելված N 11'!I389+'Հավելված N 11'!I447</f>
        <v>-11600</v>
      </c>
      <c r="H130" s="397"/>
    </row>
    <row r="131" spans="1:9" s="318" customFormat="1" ht="34.799999999999997" x14ac:dyDescent="0.3">
      <c r="A131" s="722"/>
      <c r="B131" s="722"/>
      <c r="C131" s="379" t="s">
        <v>474</v>
      </c>
      <c r="D131" s="397">
        <f t="shared" si="63"/>
        <v>-9500</v>
      </c>
      <c r="E131" s="397"/>
      <c r="F131" s="397"/>
      <c r="G131" s="397">
        <f>+'Հավելված N 11'!I390+'Հավելված N 11'!I448</f>
        <v>-9500</v>
      </c>
      <c r="H131" s="397"/>
    </row>
    <row r="132" spans="1:9" s="318" customFormat="1" x14ac:dyDescent="0.3">
      <c r="A132" s="722"/>
      <c r="B132" s="722"/>
      <c r="C132" s="379" t="s">
        <v>475</v>
      </c>
      <c r="D132" s="397">
        <f t="shared" si="63"/>
        <v>-9500</v>
      </c>
      <c r="E132" s="397"/>
      <c r="F132" s="397"/>
      <c r="G132" s="397">
        <f>+'Հավելված N 11'!I391+'Հավելված N 11'!I449</f>
        <v>-9500</v>
      </c>
      <c r="H132" s="397"/>
    </row>
    <row r="133" spans="1:9" s="318" customFormat="1" ht="34.799999999999997" x14ac:dyDescent="0.3">
      <c r="A133" s="722"/>
      <c r="B133" s="722"/>
      <c r="C133" s="379" t="s">
        <v>476</v>
      </c>
      <c r="D133" s="397">
        <f t="shared" si="63"/>
        <v>-11600</v>
      </c>
      <c r="E133" s="397"/>
      <c r="F133" s="397"/>
      <c r="G133" s="397">
        <f>+'Հավելված N 11'!I392+'Հավելված N 11'!I450</f>
        <v>-11600</v>
      </c>
      <c r="H133" s="397"/>
    </row>
    <row r="134" spans="1:9" s="318" customFormat="1" ht="34.799999999999997" x14ac:dyDescent="0.3">
      <c r="A134" s="722"/>
      <c r="B134" s="722"/>
      <c r="C134" s="379" t="s">
        <v>477</v>
      </c>
      <c r="D134" s="397">
        <f t="shared" si="63"/>
        <v>-21200</v>
      </c>
      <c r="E134" s="397"/>
      <c r="F134" s="397"/>
      <c r="G134" s="397">
        <f>+'Հավելված N 11'!I393+'Հավելված N 11'!I451</f>
        <v>-21200</v>
      </c>
      <c r="H134" s="397"/>
    </row>
    <row r="135" spans="1:9" s="318" customFormat="1" x14ac:dyDescent="0.3">
      <c r="A135" s="722"/>
      <c r="B135" s="722"/>
      <c r="C135" s="379" t="s">
        <v>478</v>
      </c>
      <c r="D135" s="397">
        <f t="shared" si="63"/>
        <v>-11600</v>
      </c>
      <c r="E135" s="397"/>
      <c r="F135" s="397"/>
      <c r="G135" s="397">
        <f>+'Հավելված N 11'!I394+'Հավելված N 11'!I452</f>
        <v>-11600</v>
      </c>
      <c r="H135" s="397"/>
    </row>
    <row r="136" spans="1:9" s="318" customFormat="1" x14ac:dyDescent="0.3">
      <c r="A136" s="722"/>
      <c r="B136" s="722"/>
      <c r="C136" s="379" t="s">
        <v>479</v>
      </c>
      <c r="D136" s="397">
        <f t="shared" si="63"/>
        <v>-11600</v>
      </c>
      <c r="E136" s="397"/>
      <c r="F136" s="397"/>
      <c r="G136" s="397">
        <f>+'Հավելված N 11'!I395+'Հավելված N 11'!I453</f>
        <v>-11600</v>
      </c>
      <c r="H136" s="397"/>
    </row>
    <row r="137" spans="1:9" s="318" customFormat="1" ht="34.799999999999997" x14ac:dyDescent="0.3">
      <c r="A137" s="715"/>
      <c r="B137" s="715"/>
      <c r="C137" s="379" t="s">
        <v>480</v>
      </c>
      <c r="D137" s="397">
        <f t="shared" si="63"/>
        <v>-9500</v>
      </c>
      <c r="E137" s="397"/>
      <c r="F137" s="397"/>
      <c r="G137" s="397">
        <f>+'Հավելված N 11'!I396+'Հավելված N 11'!I454</f>
        <v>-9500</v>
      </c>
      <c r="H137" s="397"/>
    </row>
    <row r="138" spans="1:9" ht="18" x14ac:dyDescent="0.4">
      <c r="A138" s="219"/>
      <c r="B138" s="219"/>
      <c r="C138" s="24" t="s">
        <v>265</v>
      </c>
      <c r="D138" s="73">
        <f>SUM(E138:H138)</f>
        <v>-656146</v>
      </c>
      <c r="E138" s="73">
        <f>+E139+E140+E141+E142+E143+E144+E145+E146</f>
        <v>-579246</v>
      </c>
      <c r="F138" s="73">
        <f t="shared" ref="F138:H138" si="64">+F139+F140+F141+F142+F143+F144+F145+F146</f>
        <v>0</v>
      </c>
      <c r="G138" s="73">
        <f t="shared" si="64"/>
        <v>-76900</v>
      </c>
      <c r="H138" s="73">
        <f t="shared" si="64"/>
        <v>0</v>
      </c>
      <c r="I138" s="26"/>
    </row>
    <row r="139" spans="1:9" x14ac:dyDescent="0.4">
      <c r="A139" s="714"/>
      <c r="B139" s="714"/>
      <c r="C139" s="83" t="s">
        <v>481</v>
      </c>
      <c r="D139" s="70">
        <f>+E139+F139+G139+H139</f>
        <v>-423846</v>
      </c>
      <c r="E139" s="87">
        <f>+'Հավելված N 11'!I359+'Հավելված N 11'!I368+'Հավելված N 11'!I376</f>
        <v>-423846</v>
      </c>
      <c r="F139" s="70"/>
      <c r="G139" s="87"/>
      <c r="H139" s="88"/>
    </row>
    <row r="140" spans="1:9" ht="34.799999999999997" x14ac:dyDescent="0.4">
      <c r="A140" s="722"/>
      <c r="B140" s="722"/>
      <c r="C140" s="83" t="s">
        <v>320</v>
      </c>
      <c r="D140" s="70">
        <f t="shared" ref="D140:D146" si="65">+E140+F140+G140+H140</f>
        <v>-155400</v>
      </c>
      <c r="E140" s="87">
        <f>+'Հավելված N 11'!I360+'Հավելված N 11'!I369+'Հավելված N 11'!I377</f>
        <v>-155400</v>
      </c>
      <c r="F140" s="70"/>
      <c r="G140" s="87"/>
      <c r="H140" s="88"/>
    </row>
    <row r="141" spans="1:9" s="318" customFormat="1" x14ac:dyDescent="0.3">
      <c r="A141" s="722"/>
      <c r="B141" s="722"/>
      <c r="C141" s="379" t="s">
        <v>482</v>
      </c>
      <c r="D141" s="397">
        <f t="shared" si="65"/>
        <v>-11600</v>
      </c>
      <c r="E141" s="397"/>
      <c r="F141" s="397"/>
      <c r="G141" s="397">
        <f>+'Հավելված N 11'!I397+'Հավելված N 11'!I455</f>
        <v>-11600</v>
      </c>
      <c r="H141" s="397"/>
    </row>
    <row r="142" spans="1:9" s="318" customFormat="1" ht="34.799999999999997" x14ac:dyDescent="0.3">
      <c r="A142" s="722"/>
      <c r="B142" s="722"/>
      <c r="C142" s="379" t="s">
        <v>483</v>
      </c>
      <c r="D142" s="397">
        <f t="shared" si="65"/>
        <v>-11600</v>
      </c>
      <c r="E142" s="397"/>
      <c r="F142" s="397"/>
      <c r="G142" s="397">
        <f>+'Հավելված N 11'!I398+'Հավելված N 11'!I456</f>
        <v>-11600</v>
      </c>
      <c r="H142" s="397"/>
    </row>
    <row r="143" spans="1:9" s="318" customFormat="1" ht="34.799999999999997" x14ac:dyDescent="0.3">
      <c r="A143" s="722"/>
      <c r="B143" s="722"/>
      <c r="C143" s="379" t="s">
        <v>484</v>
      </c>
      <c r="D143" s="397">
        <f t="shared" si="65"/>
        <v>-21000</v>
      </c>
      <c r="E143" s="397"/>
      <c r="F143" s="397"/>
      <c r="G143" s="397">
        <f>+'Հավելված N 11'!I399+'Հավելված N 11'!I457</f>
        <v>-21000</v>
      </c>
      <c r="H143" s="397"/>
    </row>
    <row r="144" spans="1:9" s="318" customFormat="1" ht="34.799999999999997" x14ac:dyDescent="0.3">
      <c r="A144" s="722"/>
      <c r="B144" s="722"/>
      <c r="C144" s="379" t="s">
        <v>485</v>
      </c>
      <c r="D144" s="397">
        <f t="shared" si="65"/>
        <v>-9500</v>
      </c>
      <c r="E144" s="397"/>
      <c r="F144" s="397"/>
      <c r="G144" s="397">
        <f>+'Հավելված N 11'!I400+'Հավելված N 11'!I458</f>
        <v>-9500</v>
      </c>
      <c r="H144" s="397"/>
    </row>
    <row r="145" spans="1:9" s="318" customFormat="1" x14ac:dyDescent="0.3">
      <c r="A145" s="722"/>
      <c r="B145" s="722"/>
      <c r="C145" s="379" t="s">
        <v>486</v>
      </c>
      <c r="D145" s="397">
        <f t="shared" si="65"/>
        <v>-13700</v>
      </c>
      <c r="E145" s="397"/>
      <c r="F145" s="397"/>
      <c r="G145" s="397">
        <f>+'Հավելված N 11'!I401+'Հավելված N 11'!I459</f>
        <v>-13700</v>
      </c>
      <c r="H145" s="397"/>
    </row>
    <row r="146" spans="1:9" s="318" customFormat="1" ht="34.799999999999997" x14ac:dyDescent="0.3">
      <c r="A146" s="715"/>
      <c r="B146" s="715"/>
      <c r="C146" s="379" t="s">
        <v>487</v>
      </c>
      <c r="D146" s="397">
        <f t="shared" si="65"/>
        <v>-9500</v>
      </c>
      <c r="E146" s="397"/>
      <c r="F146" s="397"/>
      <c r="G146" s="397">
        <f>+'Հավելված N 11'!I402+'Հավելված N 11'!I460</f>
        <v>-9500</v>
      </c>
      <c r="H146" s="397"/>
    </row>
    <row r="147" spans="1:9" ht="18" x14ac:dyDescent="0.4">
      <c r="A147" s="219"/>
      <c r="B147" s="219"/>
      <c r="C147" s="24" t="s">
        <v>175</v>
      </c>
      <c r="D147" s="73">
        <f>SUM(E147:H147)</f>
        <v>-396355.1</v>
      </c>
      <c r="E147" s="73">
        <f>+E148+E149+E150+E151+E152+E153+E154+E155+E156+E157+E158+E159</f>
        <v>-285555.09999999998</v>
      </c>
      <c r="F147" s="73">
        <f t="shared" ref="F147:H147" si="66">+F148+F149+F150+F151+F152+F153+F154+F155+F156+F157+F158+F159</f>
        <v>0</v>
      </c>
      <c r="G147" s="73">
        <f t="shared" si="66"/>
        <v>-110800</v>
      </c>
      <c r="H147" s="73">
        <f t="shared" si="66"/>
        <v>0</v>
      </c>
      <c r="I147" s="26"/>
    </row>
    <row r="148" spans="1:9" ht="34.799999999999997" x14ac:dyDescent="0.4">
      <c r="A148" s="714"/>
      <c r="B148" s="714"/>
      <c r="C148" s="83" t="s">
        <v>488</v>
      </c>
      <c r="D148" s="70">
        <f t="shared" ref="D148:D159" si="67">+E148+F148+G148+H148</f>
        <v>-285555.09999999998</v>
      </c>
      <c r="E148" s="87">
        <f>+'Հավելված N 11'!I361+'Հավելված N 11'!I370+'Հավելված N 11'!I378</f>
        <v>-285555.09999999998</v>
      </c>
      <c r="F148" s="70"/>
      <c r="G148" s="87"/>
      <c r="H148" s="88"/>
    </row>
    <row r="149" spans="1:9" s="318" customFormat="1" x14ac:dyDescent="0.3">
      <c r="A149" s="722"/>
      <c r="B149" s="722"/>
      <c r="C149" s="307" t="s">
        <v>489</v>
      </c>
      <c r="D149" s="397">
        <f t="shared" si="67"/>
        <v>-9500</v>
      </c>
      <c r="E149" s="397"/>
      <c r="F149" s="397"/>
      <c r="G149" s="397">
        <f>+'Հավելված N 11'!I403+'Հավելված N 11'!I461</f>
        <v>-9500</v>
      </c>
      <c r="H149" s="397"/>
    </row>
    <row r="150" spans="1:9" s="318" customFormat="1" ht="34.799999999999997" x14ac:dyDescent="0.3">
      <c r="A150" s="722"/>
      <c r="B150" s="722"/>
      <c r="C150" s="379" t="s">
        <v>490</v>
      </c>
      <c r="D150" s="397">
        <f t="shared" si="67"/>
        <v>-9500</v>
      </c>
      <c r="E150" s="397"/>
      <c r="F150" s="397"/>
      <c r="G150" s="397">
        <f>+'Հավելված N 11'!I404+'Հավելված N 11'!I462</f>
        <v>-9500</v>
      </c>
      <c r="H150" s="397"/>
    </row>
    <row r="151" spans="1:9" s="318" customFormat="1" x14ac:dyDescent="0.3">
      <c r="A151" s="722"/>
      <c r="B151" s="722"/>
      <c r="C151" s="379" t="s">
        <v>491</v>
      </c>
      <c r="D151" s="397">
        <f t="shared" si="67"/>
        <v>-9500</v>
      </c>
      <c r="E151" s="397"/>
      <c r="F151" s="397"/>
      <c r="G151" s="397">
        <f>+'Հավելված N 11'!I405+'Հավելված N 11'!I463</f>
        <v>-9500</v>
      </c>
      <c r="H151" s="397"/>
    </row>
    <row r="152" spans="1:9" s="318" customFormat="1" ht="34.799999999999997" x14ac:dyDescent="0.3">
      <c r="A152" s="722"/>
      <c r="B152" s="722"/>
      <c r="C152" s="379" t="s">
        <v>492</v>
      </c>
      <c r="D152" s="397">
        <f t="shared" si="67"/>
        <v>-11600</v>
      </c>
      <c r="E152" s="397"/>
      <c r="F152" s="397"/>
      <c r="G152" s="397">
        <f>+'Հավելված N 11'!I406+'Հավելված N 11'!I464</f>
        <v>-11600</v>
      </c>
      <c r="H152" s="397"/>
    </row>
    <row r="153" spans="1:9" s="318" customFormat="1" x14ac:dyDescent="0.3">
      <c r="A153" s="722"/>
      <c r="B153" s="722"/>
      <c r="C153" s="379" t="s">
        <v>493</v>
      </c>
      <c r="D153" s="397">
        <f t="shared" si="67"/>
        <v>-11600</v>
      </c>
      <c r="E153" s="397"/>
      <c r="F153" s="397"/>
      <c r="G153" s="397">
        <f>+'Հավելված N 11'!I407+'Հավելված N 11'!I465</f>
        <v>-11600</v>
      </c>
      <c r="H153" s="397"/>
    </row>
    <row r="154" spans="1:9" s="318" customFormat="1" x14ac:dyDescent="0.3">
      <c r="A154" s="722"/>
      <c r="B154" s="722"/>
      <c r="C154" s="379" t="s">
        <v>494</v>
      </c>
      <c r="D154" s="397">
        <f t="shared" si="67"/>
        <v>-9500</v>
      </c>
      <c r="E154" s="397"/>
      <c r="F154" s="397"/>
      <c r="G154" s="397">
        <f>+'Հավելված N 11'!I408+'Հավելված N 11'!I466</f>
        <v>-9500</v>
      </c>
      <c r="H154" s="397"/>
    </row>
    <row r="155" spans="1:9" s="318" customFormat="1" ht="34.799999999999997" x14ac:dyDescent="0.3">
      <c r="A155" s="722"/>
      <c r="B155" s="722"/>
      <c r="C155" s="379" t="s">
        <v>495</v>
      </c>
      <c r="D155" s="397">
        <f t="shared" si="67"/>
        <v>-9500</v>
      </c>
      <c r="E155" s="397"/>
      <c r="F155" s="397"/>
      <c r="G155" s="397">
        <f>+'Հավելված N 11'!I409+'Հավելված N 11'!I467</f>
        <v>-9500</v>
      </c>
      <c r="H155" s="397"/>
    </row>
    <row r="156" spans="1:9" s="318" customFormat="1" ht="34.799999999999997" x14ac:dyDescent="0.3">
      <c r="A156" s="722"/>
      <c r="B156" s="722"/>
      <c r="C156" s="379" t="s">
        <v>496</v>
      </c>
      <c r="D156" s="397">
        <f t="shared" si="67"/>
        <v>-11600</v>
      </c>
      <c r="E156" s="397"/>
      <c r="F156" s="397"/>
      <c r="G156" s="397">
        <f>+'Հավելված N 11'!I410+'Հավելված N 11'!I468</f>
        <v>-11600</v>
      </c>
      <c r="H156" s="397"/>
    </row>
    <row r="157" spans="1:9" s="318" customFormat="1" x14ac:dyDescent="0.3">
      <c r="A157" s="722"/>
      <c r="B157" s="722"/>
      <c r="C157" s="379" t="s">
        <v>497</v>
      </c>
      <c r="D157" s="397">
        <f t="shared" si="67"/>
        <v>-9500</v>
      </c>
      <c r="E157" s="397"/>
      <c r="F157" s="397"/>
      <c r="G157" s="397">
        <f>+'Հավելված N 11'!I411+'Հավելված N 11'!I469</f>
        <v>-9500</v>
      </c>
      <c r="H157" s="397"/>
    </row>
    <row r="158" spans="1:9" s="318" customFormat="1" ht="34.799999999999997" x14ac:dyDescent="0.3">
      <c r="A158" s="722"/>
      <c r="B158" s="722"/>
      <c r="C158" s="379" t="s">
        <v>498</v>
      </c>
      <c r="D158" s="397">
        <f t="shared" si="67"/>
        <v>-9500</v>
      </c>
      <c r="E158" s="397"/>
      <c r="F158" s="397"/>
      <c r="G158" s="397">
        <f>+'Հավելված N 11'!I412+'Հավելված N 11'!I470</f>
        <v>-9500</v>
      </c>
      <c r="H158" s="397"/>
    </row>
    <row r="159" spans="1:9" s="318" customFormat="1" x14ac:dyDescent="0.3">
      <c r="A159" s="715"/>
      <c r="B159" s="715"/>
      <c r="C159" s="379" t="s">
        <v>499</v>
      </c>
      <c r="D159" s="397">
        <f t="shared" si="67"/>
        <v>-9500</v>
      </c>
      <c r="E159" s="397"/>
      <c r="F159" s="397"/>
      <c r="G159" s="397">
        <f>+'Հավելված N 11'!I413+'Հավելված N 11'!I471</f>
        <v>-9500</v>
      </c>
      <c r="H159" s="397"/>
    </row>
    <row r="160" spans="1:9" ht="18" x14ac:dyDescent="0.4">
      <c r="A160" s="219"/>
      <c r="B160" s="219"/>
      <c r="C160" s="24" t="s">
        <v>167</v>
      </c>
      <c r="D160" s="73">
        <f>SUM(E160:H160)</f>
        <v>-284100</v>
      </c>
      <c r="E160" s="73">
        <f>+E161+E162+E163+E164+E165+E166+E167+E168+E169+E170+E171+E172+E173</f>
        <v>-155400</v>
      </c>
      <c r="F160" s="73">
        <f t="shared" ref="F160:H160" si="68">+F161+F162+F163+F164+F165+F166+F167+F168+F169+F170+F171+F172+F173</f>
        <v>0</v>
      </c>
      <c r="G160" s="73">
        <f t="shared" si="68"/>
        <v>-128700</v>
      </c>
      <c r="H160" s="73">
        <f t="shared" si="68"/>
        <v>0</v>
      </c>
      <c r="I160" s="26"/>
    </row>
    <row r="161" spans="1:9" ht="34.799999999999997" x14ac:dyDescent="0.4">
      <c r="A161" s="714"/>
      <c r="B161" s="714"/>
      <c r="C161" s="83" t="s">
        <v>323</v>
      </c>
      <c r="D161" s="70">
        <f t="shared" ref="D161:D173" si="69">+E161+F161+G161+H161</f>
        <v>-155400</v>
      </c>
      <c r="E161" s="87">
        <f>+'Հավելված N 11'!I362+'Հավելված N 11'!I371+'Հավելված N 11'!I379</f>
        <v>-155400</v>
      </c>
      <c r="F161" s="70"/>
      <c r="G161" s="87"/>
      <c r="H161" s="88"/>
    </row>
    <row r="162" spans="1:9" s="318" customFormat="1" x14ac:dyDescent="0.3">
      <c r="A162" s="722"/>
      <c r="B162" s="722"/>
      <c r="C162" s="379" t="s">
        <v>500</v>
      </c>
      <c r="D162" s="397">
        <f t="shared" si="69"/>
        <v>-9500</v>
      </c>
      <c r="E162" s="397"/>
      <c r="F162" s="397"/>
      <c r="G162" s="397">
        <f>+'Հավելված N 11'!I414+'Հավելված N 11'!I472</f>
        <v>-9500</v>
      </c>
      <c r="H162" s="397"/>
    </row>
    <row r="163" spans="1:9" s="318" customFormat="1" ht="34.799999999999997" x14ac:dyDescent="0.3">
      <c r="A163" s="722"/>
      <c r="B163" s="722"/>
      <c r="C163" s="379" t="s">
        <v>501</v>
      </c>
      <c r="D163" s="397">
        <f t="shared" si="69"/>
        <v>-11600</v>
      </c>
      <c r="E163" s="397"/>
      <c r="F163" s="397"/>
      <c r="G163" s="397">
        <f>+'Հավելված N 11'!I415+'Հավելված N 11'!I473</f>
        <v>-11600</v>
      </c>
      <c r="H163" s="397"/>
    </row>
    <row r="164" spans="1:9" s="318" customFormat="1" x14ac:dyDescent="0.3">
      <c r="A164" s="722"/>
      <c r="B164" s="722"/>
      <c r="C164" s="379" t="s">
        <v>502</v>
      </c>
      <c r="D164" s="397">
        <f t="shared" si="69"/>
        <v>-9500</v>
      </c>
      <c r="E164" s="397"/>
      <c r="F164" s="397"/>
      <c r="G164" s="397">
        <f>+'Հավելված N 11'!I416+'Հավելված N 11'!I474</f>
        <v>-9500</v>
      </c>
      <c r="H164" s="397"/>
    </row>
    <row r="165" spans="1:9" s="318" customFormat="1" x14ac:dyDescent="0.3">
      <c r="A165" s="722"/>
      <c r="B165" s="722"/>
      <c r="C165" s="379" t="s">
        <v>503</v>
      </c>
      <c r="D165" s="397">
        <f t="shared" si="69"/>
        <v>-9500</v>
      </c>
      <c r="E165" s="397"/>
      <c r="F165" s="397"/>
      <c r="G165" s="397">
        <f>+'Հավելված N 11'!I417+'Հավելված N 11'!I475</f>
        <v>-9500</v>
      </c>
      <c r="H165" s="397"/>
    </row>
    <row r="166" spans="1:9" s="318" customFormat="1" x14ac:dyDescent="0.3">
      <c r="A166" s="722"/>
      <c r="B166" s="722"/>
      <c r="C166" s="379" t="s">
        <v>504</v>
      </c>
      <c r="D166" s="397">
        <f t="shared" si="69"/>
        <v>-11600</v>
      </c>
      <c r="E166" s="397"/>
      <c r="F166" s="397"/>
      <c r="G166" s="397">
        <f>+'Հավելված N 11'!I418+'Հավելված N 11'!I476</f>
        <v>-11600</v>
      </c>
      <c r="H166" s="397"/>
    </row>
    <row r="167" spans="1:9" s="318" customFormat="1" x14ac:dyDescent="0.3">
      <c r="A167" s="722"/>
      <c r="B167" s="722"/>
      <c r="C167" s="379" t="s">
        <v>505</v>
      </c>
      <c r="D167" s="397">
        <f t="shared" si="69"/>
        <v>-9500</v>
      </c>
      <c r="E167" s="397"/>
      <c r="F167" s="397"/>
      <c r="G167" s="397">
        <f>+'Հավելված N 11'!I419+'Հավելված N 11'!I477</f>
        <v>-9500</v>
      </c>
      <c r="H167" s="397"/>
    </row>
    <row r="168" spans="1:9" s="318" customFormat="1" x14ac:dyDescent="0.3">
      <c r="A168" s="722"/>
      <c r="B168" s="722"/>
      <c r="C168" s="379" t="s">
        <v>506</v>
      </c>
      <c r="D168" s="397">
        <f t="shared" si="69"/>
        <v>-11600</v>
      </c>
      <c r="E168" s="397"/>
      <c r="F168" s="397"/>
      <c r="G168" s="397">
        <f>+'Հավելված N 11'!I420+'Հավելված N 11'!I478</f>
        <v>-11600</v>
      </c>
      <c r="H168" s="397"/>
    </row>
    <row r="169" spans="1:9" s="318" customFormat="1" x14ac:dyDescent="0.3">
      <c r="A169" s="722"/>
      <c r="B169" s="722"/>
      <c r="C169" s="379" t="s">
        <v>507</v>
      </c>
      <c r="D169" s="397">
        <f t="shared" si="69"/>
        <v>-11600</v>
      </c>
      <c r="E169" s="397"/>
      <c r="F169" s="397"/>
      <c r="G169" s="397">
        <f>+'Հավելված N 11'!I421+'Հավելված N 11'!I479</f>
        <v>-11600</v>
      </c>
      <c r="H169" s="397"/>
    </row>
    <row r="170" spans="1:9" s="318" customFormat="1" x14ac:dyDescent="0.3">
      <c r="A170" s="722"/>
      <c r="B170" s="722"/>
      <c r="C170" s="379" t="s">
        <v>508</v>
      </c>
      <c r="D170" s="397">
        <f t="shared" si="69"/>
        <v>-11600</v>
      </c>
      <c r="E170" s="397"/>
      <c r="F170" s="397"/>
      <c r="G170" s="397">
        <f>+'Հավելված N 11'!I422+'Հավելված N 11'!I480</f>
        <v>-11600</v>
      </c>
      <c r="H170" s="397"/>
    </row>
    <row r="171" spans="1:9" s="318" customFormat="1" x14ac:dyDescent="0.3">
      <c r="A171" s="722"/>
      <c r="B171" s="722"/>
      <c r="C171" s="379" t="s">
        <v>509</v>
      </c>
      <c r="D171" s="397">
        <f t="shared" si="69"/>
        <v>-11600</v>
      </c>
      <c r="E171" s="397"/>
      <c r="F171" s="397"/>
      <c r="G171" s="397">
        <f>+'Հավելված N 11'!I423+'Հավելված N 11'!I481</f>
        <v>-11600</v>
      </c>
      <c r="H171" s="397"/>
    </row>
    <row r="172" spans="1:9" s="318" customFormat="1" x14ac:dyDescent="0.3">
      <c r="A172" s="722"/>
      <c r="B172" s="722"/>
      <c r="C172" s="379" t="s">
        <v>510</v>
      </c>
      <c r="D172" s="397">
        <f t="shared" si="69"/>
        <v>-9500</v>
      </c>
      <c r="E172" s="397"/>
      <c r="F172" s="397"/>
      <c r="G172" s="397">
        <f>+'Հավելված N 11'!I424+'Հավելված N 11'!I482</f>
        <v>-9500</v>
      </c>
      <c r="H172" s="397"/>
    </row>
    <row r="173" spans="1:9" s="318" customFormat="1" x14ac:dyDescent="0.3">
      <c r="A173" s="715"/>
      <c r="B173" s="715"/>
      <c r="C173" s="379" t="s">
        <v>511</v>
      </c>
      <c r="D173" s="397">
        <f t="shared" si="69"/>
        <v>-11600</v>
      </c>
      <c r="E173" s="397"/>
      <c r="F173" s="397"/>
      <c r="G173" s="397">
        <f>+'Հավելված N 11'!I425+'Հավելված N 11'!I483</f>
        <v>-11600</v>
      </c>
      <c r="H173" s="397"/>
    </row>
    <row r="174" spans="1:9" ht="18" x14ac:dyDescent="0.4">
      <c r="A174" s="219"/>
      <c r="B174" s="219"/>
      <c r="C174" s="24" t="s">
        <v>296</v>
      </c>
      <c r="D174" s="73">
        <f>SUM(E174:H174)</f>
        <v>-169300</v>
      </c>
      <c r="E174" s="73">
        <f>+E175+E176+E177+E178+E179</f>
        <v>0</v>
      </c>
      <c r="F174" s="73">
        <f t="shared" ref="F174:H174" si="70">+F175+F176+F177+F178+F179</f>
        <v>0</v>
      </c>
      <c r="G174" s="73">
        <f t="shared" si="70"/>
        <v>-169300</v>
      </c>
      <c r="H174" s="73">
        <f t="shared" si="70"/>
        <v>0</v>
      </c>
      <c r="I174" s="26"/>
    </row>
    <row r="175" spans="1:9" x14ac:dyDescent="0.4">
      <c r="A175" s="714"/>
      <c r="B175" s="714"/>
      <c r="C175" s="83" t="s">
        <v>512</v>
      </c>
      <c r="D175" s="70">
        <f t="shared" ref="D175:D179" si="71">+E175+F175+G175+H175</f>
        <v>-29800</v>
      </c>
      <c r="E175" s="87"/>
      <c r="F175" s="70"/>
      <c r="G175" s="87">
        <f>+'Հավելված N 11'!I426+'Հավելված N 11'!I484</f>
        <v>-29800</v>
      </c>
      <c r="H175" s="88"/>
    </row>
    <row r="176" spans="1:9" s="318" customFormat="1" x14ac:dyDescent="0.3">
      <c r="A176" s="722"/>
      <c r="B176" s="722"/>
      <c r="C176" s="379" t="s">
        <v>513</v>
      </c>
      <c r="D176" s="397">
        <f t="shared" si="71"/>
        <v>-46300</v>
      </c>
      <c r="E176" s="397"/>
      <c r="F176" s="397"/>
      <c r="G176" s="87">
        <f>+'Հավելված N 11'!I427+'Հավելված N 11'!I485</f>
        <v>-46300</v>
      </c>
      <c r="H176" s="397"/>
    </row>
    <row r="177" spans="1:9" s="318" customFormat="1" ht="34.799999999999997" x14ac:dyDescent="0.3">
      <c r="A177" s="722"/>
      <c r="B177" s="722"/>
      <c r="C177" s="379" t="s">
        <v>515</v>
      </c>
      <c r="D177" s="397">
        <f t="shared" si="71"/>
        <v>-13700</v>
      </c>
      <c r="E177" s="397"/>
      <c r="F177" s="397"/>
      <c r="G177" s="87">
        <f>+'Հավելված N 11'!I428+'Հավելված N 11'!I486</f>
        <v>-13700</v>
      </c>
      <c r="H177" s="397"/>
    </row>
    <row r="178" spans="1:9" s="318" customFormat="1" x14ac:dyDescent="0.3">
      <c r="A178" s="722"/>
      <c r="B178" s="722"/>
      <c r="C178" s="379" t="s">
        <v>516</v>
      </c>
      <c r="D178" s="397">
        <f t="shared" si="71"/>
        <v>-13700</v>
      </c>
      <c r="E178" s="397"/>
      <c r="F178" s="397"/>
      <c r="G178" s="87">
        <f>+'Հավելված N 11'!I429+'Հավելված N 11'!I487</f>
        <v>-13700</v>
      </c>
      <c r="H178" s="397"/>
    </row>
    <row r="179" spans="1:9" s="318" customFormat="1" x14ac:dyDescent="0.3">
      <c r="A179" s="715"/>
      <c r="B179" s="715"/>
      <c r="C179" s="379" t="s">
        <v>514</v>
      </c>
      <c r="D179" s="397">
        <f t="shared" si="71"/>
        <v>-65800</v>
      </c>
      <c r="E179" s="397"/>
      <c r="F179" s="397"/>
      <c r="G179" s="397">
        <v>-65800</v>
      </c>
      <c r="H179" s="397"/>
    </row>
    <row r="180" spans="1:9" s="395" customFormat="1" ht="16.95" customHeight="1" x14ac:dyDescent="0.4">
      <c r="A180" s="398"/>
      <c r="B180" s="398"/>
      <c r="C180" s="350" t="s">
        <v>301</v>
      </c>
      <c r="D180" s="396">
        <f>SUM(E180:H180)</f>
        <v>-94000</v>
      </c>
      <c r="E180" s="396">
        <f>+E181+E182+E183+E184+E185+E186+E187+E188</f>
        <v>0</v>
      </c>
      <c r="F180" s="396">
        <f t="shared" ref="F180:H180" si="72">+F181+F182+F183+F184+F185+F186+F187+F188</f>
        <v>0</v>
      </c>
      <c r="G180" s="396">
        <f t="shared" si="72"/>
        <v>-94000</v>
      </c>
      <c r="H180" s="396">
        <f t="shared" si="72"/>
        <v>0</v>
      </c>
      <c r="I180" s="394"/>
    </row>
    <row r="181" spans="1:9" s="318" customFormat="1" ht="34.799999999999997" x14ac:dyDescent="0.3">
      <c r="A181" s="728"/>
      <c r="B181" s="728"/>
      <c r="C181" s="379" t="s">
        <v>521</v>
      </c>
      <c r="D181" s="397">
        <f t="shared" ref="D181:D188" si="73">+E181+F181+G181+H181</f>
        <v>-11600</v>
      </c>
      <c r="E181" s="397"/>
      <c r="F181" s="397"/>
      <c r="G181" s="397">
        <f>+'Հավելված N 11'!I430+'Հավելված N 11'!I488</f>
        <v>-11600</v>
      </c>
      <c r="H181" s="397"/>
    </row>
    <row r="182" spans="1:9" s="318" customFormat="1" x14ac:dyDescent="0.3">
      <c r="A182" s="729"/>
      <c r="B182" s="729"/>
      <c r="C182" s="379" t="s">
        <v>522</v>
      </c>
      <c r="D182" s="397">
        <f t="shared" si="73"/>
        <v>-9500</v>
      </c>
      <c r="E182" s="397"/>
      <c r="F182" s="397"/>
      <c r="G182" s="397">
        <f>+'Հավելված N 11'!I431+'Հավելված N 11'!I489</f>
        <v>-9500</v>
      </c>
      <c r="H182" s="397"/>
    </row>
    <row r="183" spans="1:9" s="318" customFormat="1" ht="34.799999999999997" x14ac:dyDescent="0.3">
      <c r="A183" s="729"/>
      <c r="B183" s="729"/>
      <c r="C183" s="379" t="s">
        <v>523</v>
      </c>
      <c r="D183" s="397">
        <f t="shared" si="73"/>
        <v>-11600</v>
      </c>
      <c r="E183" s="397"/>
      <c r="F183" s="397"/>
      <c r="G183" s="397">
        <f>+'Հավելված N 11'!I432+'Հավելված N 11'!I490</f>
        <v>-11600</v>
      </c>
      <c r="H183" s="397"/>
    </row>
    <row r="184" spans="1:9" s="318" customFormat="1" x14ac:dyDescent="0.3">
      <c r="A184" s="729"/>
      <c r="B184" s="729"/>
      <c r="C184" s="379" t="s">
        <v>524</v>
      </c>
      <c r="D184" s="397">
        <f t="shared" si="73"/>
        <v>-11600</v>
      </c>
      <c r="E184" s="397"/>
      <c r="F184" s="397"/>
      <c r="G184" s="397">
        <f>+'Հավելված N 11'!I433+'Հավելված N 11'!I491</f>
        <v>-11600</v>
      </c>
      <c r="H184" s="397"/>
    </row>
    <row r="185" spans="1:9" s="318" customFormat="1" x14ac:dyDescent="0.3">
      <c r="A185" s="729"/>
      <c r="B185" s="729"/>
      <c r="C185" s="379" t="s">
        <v>525</v>
      </c>
      <c r="D185" s="397">
        <f t="shared" si="73"/>
        <v>-9500</v>
      </c>
      <c r="E185" s="397"/>
      <c r="F185" s="397"/>
      <c r="G185" s="397">
        <f>+'Հավելված N 11'!I434+'Հավելված N 11'!I492</f>
        <v>-9500</v>
      </c>
      <c r="H185" s="397"/>
    </row>
    <row r="186" spans="1:9" s="318" customFormat="1" ht="52.2" x14ac:dyDescent="0.3">
      <c r="A186" s="729"/>
      <c r="B186" s="729"/>
      <c r="C186" s="379" t="s">
        <v>526</v>
      </c>
      <c r="D186" s="397">
        <f t="shared" si="73"/>
        <v>-21200</v>
      </c>
      <c r="E186" s="397"/>
      <c r="F186" s="397"/>
      <c r="G186" s="397">
        <f>+'Հավելված N 11'!I435+'Հավելված N 11'!I493</f>
        <v>-21200</v>
      </c>
      <c r="H186" s="397"/>
    </row>
    <row r="187" spans="1:9" s="318" customFormat="1" ht="34.799999999999997" x14ac:dyDescent="0.3">
      <c r="A187" s="729"/>
      <c r="B187" s="729"/>
      <c r="C187" s="379" t="s">
        <v>527</v>
      </c>
      <c r="D187" s="397">
        <f t="shared" si="73"/>
        <v>-9500</v>
      </c>
      <c r="E187" s="397"/>
      <c r="F187" s="397"/>
      <c r="G187" s="397">
        <f>+'Հավելված N 11'!I436+'Հավելված N 11'!I494</f>
        <v>-9500</v>
      </c>
      <c r="H187" s="397"/>
    </row>
    <row r="188" spans="1:9" s="318" customFormat="1" x14ac:dyDescent="0.3">
      <c r="A188" s="730"/>
      <c r="B188" s="730"/>
      <c r="C188" s="379" t="s">
        <v>528</v>
      </c>
      <c r="D188" s="397">
        <f t="shared" si="73"/>
        <v>-9500</v>
      </c>
      <c r="E188" s="397"/>
      <c r="F188" s="397"/>
      <c r="G188" s="397">
        <f>+'Հավելված N 11'!I437+'Հավելված N 11'!I495</f>
        <v>-9500</v>
      </c>
      <c r="H188" s="397"/>
    </row>
    <row r="189" spans="1:9" s="243" customFormat="1" ht="72" x14ac:dyDescent="0.4">
      <c r="A189" s="183">
        <v>1183</v>
      </c>
      <c r="B189" s="184">
        <v>32003</v>
      </c>
      <c r="C189" s="200" t="s">
        <v>138</v>
      </c>
      <c r="D189" s="186">
        <f>SUM(E189:H189)</f>
        <v>-1368042.7</v>
      </c>
      <c r="E189" s="186">
        <f>+E191+E193+E196+E199+E201+E205+E208</f>
        <v>-1363042.7</v>
      </c>
      <c r="F189" s="186">
        <f t="shared" ref="F189:H189" si="74">+F191+F193+F196+F199+F201+F205+F208</f>
        <v>0</v>
      </c>
      <c r="G189" s="186">
        <f t="shared" si="74"/>
        <v>-5000</v>
      </c>
      <c r="H189" s="186">
        <f t="shared" si="74"/>
        <v>0</v>
      </c>
    </row>
    <row r="190" spans="1:9" ht="18" x14ac:dyDescent="0.4">
      <c r="A190" s="244"/>
      <c r="B190" s="244"/>
      <c r="C190" s="245" t="s">
        <v>17</v>
      </c>
      <c r="D190" s="231"/>
      <c r="E190" s="246"/>
      <c r="F190" s="247"/>
      <c r="G190" s="231"/>
      <c r="H190" s="231"/>
    </row>
    <row r="191" spans="1:9" ht="18" x14ac:dyDescent="0.4">
      <c r="A191" s="219"/>
      <c r="B191" s="219"/>
      <c r="C191" s="24" t="s">
        <v>111</v>
      </c>
      <c r="D191" s="73">
        <f>SUM(E191:H191)</f>
        <v>-52627.7</v>
      </c>
      <c r="E191" s="73">
        <f>+E192</f>
        <v>-52627.7</v>
      </c>
      <c r="F191" s="73">
        <f t="shared" ref="F191:H191" si="75">+F192</f>
        <v>0</v>
      </c>
      <c r="G191" s="73">
        <f t="shared" si="75"/>
        <v>0</v>
      </c>
      <c r="H191" s="73">
        <f t="shared" si="75"/>
        <v>0</v>
      </c>
      <c r="I191" s="26"/>
    </row>
    <row r="192" spans="1:9" ht="18" x14ac:dyDescent="0.4">
      <c r="A192" s="401"/>
      <c r="B192" s="401"/>
      <c r="C192" s="83" t="s">
        <v>529</v>
      </c>
      <c r="D192" s="70">
        <f>+E192+F192+G192+H192</f>
        <v>-52627.7</v>
      </c>
      <c r="E192" s="87">
        <f>+'Հավելված N 11'!I498+'Հավելված N 11'!I512-322.2</f>
        <v>-52627.7</v>
      </c>
      <c r="F192" s="70"/>
      <c r="G192" s="87"/>
      <c r="H192" s="88"/>
    </row>
    <row r="193" spans="1:9" ht="18" x14ac:dyDescent="0.4">
      <c r="A193" s="219"/>
      <c r="B193" s="219"/>
      <c r="C193" s="24" t="s">
        <v>265</v>
      </c>
      <c r="D193" s="73">
        <f>SUM(E193:H193)</f>
        <v>-242313.9</v>
      </c>
      <c r="E193" s="73">
        <f>+E194+E195</f>
        <v>-242313.9</v>
      </c>
      <c r="F193" s="73">
        <f t="shared" ref="F193:H193" si="76">+F194+F195</f>
        <v>0</v>
      </c>
      <c r="G193" s="73">
        <f t="shared" si="76"/>
        <v>0</v>
      </c>
      <c r="H193" s="73">
        <f t="shared" si="76"/>
        <v>0</v>
      </c>
      <c r="I193" s="26"/>
    </row>
    <row r="194" spans="1:9" x14ac:dyDescent="0.4">
      <c r="A194" s="726"/>
      <c r="B194" s="726"/>
      <c r="C194" s="83" t="s">
        <v>531</v>
      </c>
      <c r="D194" s="70">
        <f>+E194+F194+G194+H194</f>
        <v>-105652.9</v>
      </c>
      <c r="E194" s="87">
        <f>+'Հավելված N 11'!I499-5055-597.9</f>
        <v>-105652.9</v>
      </c>
      <c r="F194" s="70"/>
      <c r="G194" s="87"/>
      <c r="H194" s="88"/>
    </row>
    <row r="195" spans="1:9" x14ac:dyDescent="0.4">
      <c r="A195" s="727"/>
      <c r="B195" s="727"/>
      <c r="C195" s="83" t="s">
        <v>532</v>
      </c>
      <c r="D195" s="70">
        <f>+E195+F195+G195+H195</f>
        <v>-136661</v>
      </c>
      <c r="E195" s="87">
        <f>+'Հավելված N 11'!I510-3353-1308</f>
        <v>-136661</v>
      </c>
      <c r="F195" s="70"/>
      <c r="G195" s="87"/>
      <c r="H195" s="88"/>
    </row>
    <row r="196" spans="1:9" ht="18" x14ac:dyDescent="0.4">
      <c r="A196" s="219"/>
      <c r="B196" s="219"/>
      <c r="C196" s="24" t="s">
        <v>167</v>
      </c>
      <c r="D196" s="73">
        <f>SUM(E196:H196)</f>
        <v>3743.1</v>
      </c>
      <c r="E196" s="73">
        <f>SUM(E197:E198)</f>
        <v>3743.1</v>
      </c>
      <c r="F196" s="73">
        <f t="shared" ref="F196" si="77">SUM(F197:F198)</f>
        <v>0</v>
      </c>
      <c r="G196" s="73">
        <f t="shared" ref="G196" si="78">SUM(G197:G198)</f>
        <v>0</v>
      </c>
      <c r="H196" s="73">
        <f t="shared" ref="H196" si="79">SUM(H197:H198)</f>
        <v>0</v>
      </c>
      <c r="I196" s="26"/>
    </row>
    <row r="197" spans="1:9" x14ac:dyDescent="0.4">
      <c r="A197" s="714"/>
      <c r="B197" s="714"/>
      <c r="C197" s="83" t="s">
        <v>328</v>
      </c>
      <c r="D197" s="70">
        <f t="shared" ref="D197:D198" si="80">+E197+F197+G197+H197</f>
        <v>1062.9000000000001</v>
      </c>
      <c r="E197" s="87">
        <f>+'Հավելված N 11'!I500</f>
        <v>1062.9000000000001</v>
      </c>
      <c r="F197" s="70"/>
      <c r="G197" s="87"/>
      <c r="H197" s="88"/>
    </row>
    <row r="198" spans="1:9" x14ac:dyDescent="0.4">
      <c r="A198" s="715"/>
      <c r="B198" s="715"/>
      <c r="C198" s="83" t="s">
        <v>329</v>
      </c>
      <c r="D198" s="70">
        <f t="shared" si="80"/>
        <v>2680.2</v>
      </c>
      <c r="E198" s="87">
        <f>+'Հավելված N 11'!I501</f>
        <v>2680.2</v>
      </c>
      <c r="F198" s="70"/>
      <c r="G198" s="87"/>
      <c r="H198" s="88"/>
    </row>
    <row r="199" spans="1:9" ht="18" x14ac:dyDescent="0.4">
      <c r="A199" s="219"/>
      <c r="B199" s="219"/>
      <c r="C199" s="24" t="s">
        <v>136</v>
      </c>
      <c r="D199" s="73">
        <f>SUM(E199:H199)</f>
        <v>-73422.599999999991</v>
      </c>
      <c r="E199" s="73">
        <f>SUM(E200:E200)</f>
        <v>-73422.599999999991</v>
      </c>
      <c r="F199" s="73">
        <f>SUM(F200:F200)</f>
        <v>0</v>
      </c>
      <c r="G199" s="73">
        <f>SUM(G200:G200)</f>
        <v>0</v>
      </c>
      <c r="H199" s="73">
        <f>SUM(H200:H200)</f>
        <v>0</v>
      </c>
      <c r="I199" s="26"/>
    </row>
    <row r="200" spans="1:9" ht="18" x14ac:dyDescent="0.4">
      <c r="A200" s="378"/>
      <c r="B200" s="378"/>
      <c r="C200" s="83" t="s">
        <v>332</v>
      </c>
      <c r="D200" s="70">
        <f t="shared" ref="D200" si="81">+E200+F200+G200+H200</f>
        <v>-73422.599999999991</v>
      </c>
      <c r="E200" s="87">
        <f>+'Հավելված N 11'!I502+'Հավելված N 11'!I514-383.7</f>
        <v>-73422.599999999991</v>
      </c>
      <c r="F200" s="70"/>
      <c r="G200" s="87"/>
      <c r="H200" s="88"/>
    </row>
    <row r="201" spans="1:9" ht="18" x14ac:dyDescent="0.4">
      <c r="A201" s="219"/>
      <c r="B201" s="219"/>
      <c r="C201" s="24" t="s">
        <v>296</v>
      </c>
      <c r="D201" s="73">
        <f>SUM(E201:H201)</f>
        <v>-541080.6</v>
      </c>
      <c r="E201" s="73">
        <f>+E202+E203+E204</f>
        <v>-541080.6</v>
      </c>
      <c r="F201" s="73">
        <f t="shared" ref="F201:H201" si="82">+F202+F203+F204</f>
        <v>0</v>
      </c>
      <c r="G201" s="73">
        <f t="shared" si="82"/>
        <v>0</v>
      </c>
      <c r="H201" s="73">
        <f t="shared" si="82"/>
        <v>0</v>
      </c>
      <c r="I201" s="26"/>
    </row>
    <row r="202" spans="1:9" ht="34.799999999999997" x14ac:dyDescent="0.4">
      <c r="A202" s="731"/>
      <c r="B202" s="731"/>
      <c r="C202" s="83" t="s">
        <v>536</v>
      </c>
      <c r="D202" s="70">
        <f t="shared" ref="D202:D211" si="83">+E202+F202+G202+H202</f>
        <v>-208349.5</v>
      </c>
      <c r="E202" s="87">
        <f>+'Հավելված N 11'!I503-7058.8-1290.7</f>
        <v>-208349.5</v>
      </c>
      <c r="F202" s="70"/>
      <c r="G202" s="87"/>
      <c r="H202" s="88"/>
    </row>
    <row r="203" spans="1:9" x14ac:dyDescent="0.4">
      <c r="A203" s="732"/>
      <c r="B203" s="732"/>
      <c r="C203" s="83" t="s">
        <v>334</v>
      </c>
      <c r="D203" s="70">
        <f t="shared" si="83"/>
        <v>-166032.70000000001</v>
      </c>
      <c r="E203" s="87">
        <f>+'Հավելված N 11'!I504-5678.8-1047.7</f>
        <v>-166032.70000000001</v>
      </c>
      <c r="F203" s="70"/>
      <c r="G203" s="87"/>
      <c r="H203" s="88"/>
    </row>
    <row r="204" spans="1:9" x14ac:dyDescent="0.4">
      <c r="A204" s="733"/>
      <c r="B204" s="733"/>
      <c r="C204" s="83" t="s">
        <v>335</v>
      </c>
      <c r="D204" s="70">
        <f t="shared" si="83"/>
        <v>-166698.4</v>
      </c>
      <c r="E204" s="87">
        <f>+'Հավելված N 11'!I505-6423.6-690.3</f>
        <v>-166698.4</v>
      </c>
      <c r="F204" s="70"/>
      <c r="G204" s="87"/>
      <c r="H204" s="88"/>
    </row>
    <row r="205" spans="1:9" ht="18" x14ac:dyDescent="0.4">
      <c r="A205" s="219"/>
      <c r="B205" s="219"/>
      <c r="C205" s="24" t="s">
        <v>185</v>
      </c>
      <c r="D205" s="73">
        <f>SUM(E205:H205)</f>
        <v>-210289.69999999998</v>
      </c>
      <c r="E205" s="73">
        <f>+E206+E207</f>
        <v>-210289.69999999998</v>
      </c>
      <c r="F205" s="73">
        <f t="shared" ref="F205:H205" si="84">+F206+F207</f>
        <v>0</v>
      </c>
      <c r="G205" s="73">
        <f t="shared" si="84"/>
        <v>0</v>
      </c>
      <c r="H205" s="73">
        <f t="shared" si="84"/>
        <v>0</v>
      </c>
      <c r="I205" s="26"/>
    </row>
    <row r="206" spans="1:9" x14ac:dyDescent="0.4">
      <c r="A206" s="731"/>
      <c r="B206" s="731"/>
      <c r="C206" s="83" t="s">
        <v>538</v>
      </c>
      <c r="D206" s="70">
        <f t="shared" si="83"/>
        <v>-104873.79999999999</v>
      </c>
      <c r="E206" s="87">
        <f>+'Հավելված N 11'!I506-4245.9-627.9</f>
        <v>-104873.79999999999</v>
      </c>
      <c r="F206" s="70"/>
      <c r="G206" s="87"/>
      <c r="H206" s="88"/>
    </row>
    <row r="207" spans="1:9" x14ac:dyDescent="0.4">
      <c r="A207" s="733"/>
      <c r="B207" s="733"/>
      <c r="C207" s="83" t="s">
        <v>539</v>
      </c>
      <c r="D207" s="70">
        <f t="shared" si="83"/>
        <v>-105415.9</v>
      </c>
      <c r="E207" s="87">
        <f>+'Հավելված N 11'!I507-4765.2-650.7</f>
        <v>-105415.9</v>
      </c>
      <c r="F207" s="70"/>
      <c r="G207" s="87"/>
      <c r="H207" s="88"/>
    </row>
    <row r="208" spans="1:9" ht="18" x14ac:dyDescent="0.4">
      <c r="A208" s="219"/>
      <c r="B208" s="219"/>
      <c r="C208" s="24" t="s">
        <v>301</v>
      </c>
      <c r="D208" s="73">
        <v>442256.69999999995</v>
      </c>
      <c r="E208" s="73">
        <f>+E209+E210+E211</f>
        <v>-247051.30000000002</v>
      </c>
      <c r="F208" s="73">
        <f t="shared" ref="F208:H208" si="85">+F209+F210+F211</f>
        <v>0</v>
      </c>
      <c r="G208" s="73">
        <f t="shared" si="85"/>
        <v>-5000</v>
      </c>
      <c r="H208" s="73">
        <f t="shared" si="85"/>
        <v>0</v>
      </c>
      <c r="I208" s="26"/>
    </row>
    <row r="209" spans="1:9" ht="34.799999999999997" x14ac:dyDescent="0.4">
      <c r="A209" s="731"/>
      <c r="B209" s="731"/>
      <c r="C209" s="83" t="s">
        <v>338</v>
      </c>
      <c r="D209" s="70">
        <f t="shared" si="83"/>
        <v>-152649.70000000001</v>
      </c>
      <c r="E209" s="87">
        <f>+'Հավելված N 11'!I508-2000-649.7</f>
        <v>-152649.70000000001</v>
      </c>
      <c r="F209" s="70"/>
      <c r="G209" s="87"/>
      <c r="H209" s="88"/>
    </row>
    <row r="210" spans="1:9" x14ac:dyDescent="0.4">
      <c r="A210" s="732"/>
      <c r="B210" s="732"/>
      <c r="C210" s="83" t="s">
        <v>542</v>
      </c>
      <c r="D210" s="70">
        <f t="shared" si="83"/>
        <v>-94401.600000000006</v>
      </c>
      <c r="E210" s="87">
        <f>+'Հավելված N 11'!I509-1026.1-371.2</f>
        <v>-94401.600000000006</v>
      </c>
      <c r="F210" s="70"/>
      <c r="G210" s="87"/>
      <c r="H210" s="88"/>
    </row>
    <row r="211" spans="1:9" x14ac:dyDescent="0.4">
      <c r="A211" s="733"/>
      <c r="B211" s="733"/>
      <c r="C211" s="83" t="s">
        <v>370</v>
      </c>
      <c r="D211" s="70">
        <f t="shared" si="83"/>
        <v>-5000</v>
      </c>
      <c r="E211" s="87"/>
      <c r="F211" s="70"/>
      <c r="G211" s="87">
        <f>+'Հավելված N 11'!I519+'Հավելված N 11'!I520</f>
        <v>-5000</v>
      </c>
      <c r="H211" s="88"/>
    </row>
    <row r="212" spans="1:9" ht="54" x14ac:dyDescent="0.4">
      <c r="A212" s="428">
        <v>1183</v>
      </c>
      <c r="B212" s="428">
        <v>32004</v>
      </c>
      <c r="C212" s="430" t="s">
        <v>170</v>
      </c>
      <c r="D212" s="222">
        <f>SUM(E212:H212)</f>
        <v>-94431.5</v>
      </c>
      <c r="E212" s="427">
        <f>+E214+E216+E218</f>
        <v>0</v>
      </c>
      <c r="F212" s="427">
        <f t="shared" ref="F212:H212" si="86">+F214+F216+F218</f>
        <v>-92838.7</v>
      </c>
      <c r="G212" s="427">
        <f t="shared" si="86"/>
        <v>-1592.8</v>
      </c>
      <c r="H212" s="427">
        <f t="shared" si="86"/>
        <v>0</v>
      </c>
    </row>
    <row r="213" spans="1:9" x14ac:dyDescent="0.4">
      <c r="A213" s="410"/>
      <c r="B213" s="410"/>
      <c r="C213" s="413" t="s">
        <v>17</v>
      </c>
      <c r="D213" s="407"/>
      <c r="E213" s="407"/>
      <c r="F213" s="407"/>
      <c r="G213" s="407"/>
      <c r="H213" s="408"/>
    </row>
    <row r="214" spans="1:9" ht="18" x14ac:dyDescent="0.4">
      <c r="A214" s="422"/>
      <c r="B214" s="422"/>
      <c r="C214" s="429" t="s">
        <v>175</v>
      </c>
      <c r="D214" s="417">
        <v>20003</v>
      </c>
      <c r="E214" s="417">
        <f>+E215</f>
        <v>0</v>
      </c>
      <c r="F214" s="417">
        <f t="shared" ref="F214:H214" si="87">+F215</f>
        <v>-49111.6</v>
      </c>
      <c r="G214" s="417">
        <f t="shared" si="87"/>
        <v>0</v>
      </c>
      <c r="H214" s="417">
        <f t="shared" si="87"/>
        <v>0</v>
      </c>
    </row>
    <row r="215" spans="1:9" x14ac:dyDescent="0.4">
      <c r="A215" s="422"/>
      <c r="B215" s="422"/>
      <c r="C215" s="424" t="s">
        <v>546</v>
      </c>
      <c r="D215" s="70">
        <f t="shared" ref="D215" si="88">+E215+F215+G215+H215</f>
        <v>-49111.6</v>
      </c>
      <c r="E215" s="405"/>
      <c r="F215" s="405">
        <f>+'Հավելված N 11'!I65+'Հավելված N 11'!I68+'Հավելված N 11'!I70</f>
        <v>-49111.6</v>
      </c>
      <c r="G215" s="405"/>
      <c r="H215" s="406"/>
    </row>
    <row r="216" spans="1:9" ht="18" x14ac:dyDescent="0.4">
      <c r="A216" s="422"/>
      <c r="B216" s="422"/>
      <c r="C216" s="429" t="s">
        <v>136</v>
      </c>
      <c r="D216" s="417">
        <v>43727.1</v>
      </c>
      <c r="E216" s="417">
        <f>+E217</f>
        <v>0</v>
      </c>
      <c r="F216" s="417">
        <f t="shared" ref="F216:H216" si="89">+F217</f>
        <v>-43727.1</v>
      </c>
      <c r="G216" s="417">
        <f t="shared" si="89"/>
        <v>0</v>
      </c>
      <c r="H216" s="417">
        <f t="shared" si="89"/>
        <v>0</v>
      </c>
    </row>
    <row r="217" spans="1:9" x14ac:dyDescent="0.4">
      <c r="A217" s="422"/>
      <c r="B217" s="422"/>
      <c r="C217" s="424" t="s">
        <v>544</v>
      </c>
      <c r="D217" s="70">
        <f t="shared" ref="D217" si="90">+E217+F217+G217+H217</f>
        <v>-43727.1</v>
      </c>
      <c r="E217" s="405"/>
      <c r="F217" s="405">
        <f>+'Հավելված N 11'!I64+'Հավելված N 11'!I67+'Հավելված N 11'!I69</f>
        <v>-43727.1</v>
      </c>
      <c r="G217" s="405"/>
      <c r="H217" s="406"/>
    </row>
    <row r="218" spans="1:9" ht="18" x14ac:dyDescent="0.4">
      <c r="A218" s="422"/>
      <c r="B218" s="422"/>
      <c r="C218" s="429" t="s">
        <v>185</v>
      </c>
      <c r="D218" s="417">
        <v>6052.8</v>
      </c>
      <c r="E218" s="417">
        <f>+E219</f>
        <v>0</v>
      </c>
      <c r="F218" s="417">
        <f t="shared" ref="F218:H218" si="91">+F219</f>
        <v>0</v>
      </c>
      <c r="G218" s="417">
        <f t="shared" si="91"/>
        <v>-1592.8</v>
      </c>
      <c r="H218" s="417">
        <f t="shared" si="91"/>
        <v>0</v>
      </c>
    </row>
    <row r="219" spans="1:9" x14ac:dyDescent="0.4">
      <c r="A219" s="422"/>
      <c r="B219" s="422"/>
      <c r="C219" s="424" t="s">
        <v>545</v>
      </c>
      <c r="D219" s="70">
        <f t="shared" ref="D219" si="92">+E219+F219+G219+H219</f>
        <v>-1592.8</v>
      </c>
      <c r="E219" s="405"/>
      <c r="F219" s="405"/>
      <c r="G219" s="405">
        <f>+'Հավելված N 11'!I71+'Հավելված N 11'!I72</f>
        <v>-1592.8</v>
      </c>
      <c r="H219" s="406"/>
    </row>
    <row r="220" spans="1:9" s="6" customFormat="1" ht="54" x14ac:dyDescent="0.4">
      <c r="A220" s="183">
        <v>1183</v>
      </c>
      <c r="B220" s="183">
        <v>32007</v>
      </c>
      <c r="C220" s="185" t="s">
        <v>181</v>
      </c>
      <c r="D220" s="222">
        <f>SUM(E220:H220)</f>
        <v>-67555</v>
      </c>
      <c r="E220" s="222">
        <f>+E222+E224+E227</f>
        <v>-52300</v>
      </c>
      <c r="F220" s="222">
        <f t="shared" ref="F220:H220" si="93">+F222+F224+F227</f>
        <v>0</v>
      </c>
      <c r="G220" s="222">
        <f t="shared" si="93"/>
        <v>-15255</v>
      </c>
      <c r="H220" s="222">
        <f t="shared" si="93"/>
        <v>0</v>
      </c>
    </row>
    <row r="221" spans="1:9" s="225" customFormat="1" x14ac:dyDescent="0.4">
      <c r="A221" s="223"/>
      <c r="B221" s="223"/>
      <c r="C221" s="224" t="s">
        <v>17</v>
      </c>
      <c r="D221" s="223"/>
      <c r="E221" s="223"/>
      <c r="F221" s="223"/>
      <c r="G221" s="223"/>
      <c r="H221" s="223"/>
    </row>
    <row r="222" spans="1:9" ht="18" x14ac:dyDescent="0.4">
      <c r="A222" s="219"/>
      <c r="B222" s="219"/>
      <c r="C222" s="24" t="s">
        <v>129</v>
      </c>
      <c r="D222" s="73">
        <f>SUM(E222:H222)</f>
        <v>-5085</v>
      </c>
      <c r="E222" s="73">
        <f>+E223</f>
        <v>0</v>
      </c>
      <c r="F222" s="73">
        <f t="shared" ref="F222:H222" si="94">+F223</f>
        <v>0</v>
      </c>
      <c r="G222" s="73">
        <f t="shared" si="94"/>
        <v>-5085</v>
      </c>
      <c r="H222" s="73">
        <f t="shared" si="94"/>
        <v>0</v>
      </c>
      <c r="I222" s="26"/>
    </row>
    <row r="223" spans="1:9" x14ac:dyDescent="0.4">
      <c r="A223" s="432"/>
      <c r="B223" s="432"/>
      <c r="C223" s="83" t="s">
        <v>553</v>
      </c>
      <c r="D223" s="70">
        <f t="shared" ref="D223" si="95">+E223+F223+G223+H223</f>
        <v>-5085</v>
      </c>
      <c r="E223" s="87"/>
      <c r="F223" s="70"/>
      <c r="G223" s="87">
        <f>+'Հավելված N 11'!I527+'Հավելված N 11'!I530</f>
        <v>-5085</v>
      </c>
      <c r="H223" s="88"/>
    </row>
    <row r="224" spans="1:9" s="395" customFormat="1" ht="16.95" customHeight="1" x14ac:dyDescent="0.4">
      <c r="A224" s="414"/>
      <c r="B224" s="414"/>
      <c r="C224" s="429" t="s">
        <v>175</v>
      </c>
      <c r="D224" s="415">
        <f>SUM(E224:H224)</f>
        <v>-10170</v>
      </c>
      <c r="E224" s="415">
        <f>+E225+E226</f>
        <v>0</v>
      </c>
      <c r="F224" s="415">
        <f t="shared" ref="F224:H224" si="96">+F225+F226</f>
        <v>0</v>
      </c>
      <c r="G224" s="415">
        <f t="shared" si="96"/>
        <v>-10170</v>
      </c>
      <c r="H224" s="415">
        <f t="shared" si="96"/>
        <v>0</v>
      </c>
      <c r="I224" s="394"/>
    </row>
    <row r="225" spans="1:9" s="318" customFormat="1" x14ac:dyDescent="0.3">
      <c r="A225" s="719"/>
      <c r="B225" s="719"/>
      <c r="C225" s="416" t="s">
        <v>555</v>
      </c>
      <c r="D225" s="420">
        <f t="shared" ref="D225:D226" si="97">+E225+F225+G225+H225</f>
        <v>-5085</v>
      </c>
      <c r="E225" s="420"/>
      <c r="F225" s="420"/>
      <c r="G225" s="420">
        <f>+'Հավելված N 11'!I528+'Հավելված N 11'!I531</f>
        <v>-5085</v>
      </c>
      <c r="H225" s="420"/>
    </row>
    <row r="226" spans="1:9" s="318" customFormat="1" x14ac:dyDescent="0.3">
      <c r="A226" s="721"/>
      <c r="B226" s="721"/>
      <c r="C226" s="416" t="s">
        <v>556</v>
      </c>
      <c r="D226" s="420">
        <f t="shared" si="97"/>
        <v>-5085</v>
      </c>
      <c r="E226" s="420"/>
      <c r="F226" s="420"/>
      <c r="G226" s="420">
        <f>+'Հավելված N 11'!I529+'Հավելված N 11'!I532</f>
        <v>-5085</v>
      </c>
      <c r="H226" s="420"/>
    </row>
    <row r="227" spans="1:9" s="228" customFormat="1" ht="18" x14ac:dyDescent="0.4">
      <c r="A227" s="305"/>
      <c r="B227" s="305"/>
      <c r="C227" s="226" t="s">
        <v>136</v>
      </c>
      <c r="D227" s="415">
        <f>SUM(E227:H227)</f>
        <v>-52300</v>
      </c>
      <c r="E227" s="227">
        <f>+E228</f>
        <v>-52300</v>
      </c>
      <c r="F227" s="227">
        <f t="shared" ref="F227:H227" si="98">+F228</f>
        <v>0</v>
      </c>
      <c r="G227" s="227">
        <f t="shared" si="98"/>
        <v>0</v>
      </c>
      <c r="H227" s="227">
        <f t="shared" si="98"/>
        <v>0</v>
      </c>
    </row>
    <row r="228" spans="1:9" s="6" customFormat="1" ht="34.799999999999997" x14ac:dyDescent="0.4">
      <c r="A228" s="305"/>
      <c r="B228" s="305"/>
      <c r="C228" s="229" t="s">
        <v>182</v>
      </c>
      <c r="D228" s="230">
        <f t="shared" ref="D228" si="99">SUM(E228:H228)</f>
        <v>-52300</v>
      </c>
      <c r="E228" s="230">
        <f>+'Հավելված N 11'!I523+'Հավելված N 11'!I525+'Հավելված N 11'!I526</f>
        <v>-52300</v>
      </c>
      <c r="F228" s="230"/>
      <c r="G228" s="230"/>
      <c r="H228" s="230"/>
    </row>
    <row r="229" spans="1:9" s="6" customFormat="1" ht="54" x14ac:dyDescent="0.4">
      <c r="A229" s="183">
        <v>1183</v>
      </c>
      <c r="B229" s="183">
        <v>32009</v>
      </c>
      <c r="C229" s="185" t="s">
        <v>358</v>
      </c>
      <c r="D229" s="222">
        <f>SUM(E229:H229)</f>
        <v>-224588.6</v>
      </c>
      <c r="E229" s="222">
        <f>+E231+E234</f>
        <v>0</v>
      </c>
      <c r="F229" s="222">
        <f t="shared" ref="F229:H229" si="100">+F231+F234</f>
        <v>-224588.6</v>
      </c>
      <c r="G229" s="222">
        <f t="shared" si="100"/>
        <v>0</v>
      </c>
      <c r="H229" s="222">
        <f t="shared" si="100"/>
        <v>0</v>
      </c>
    </row>
    <row r="230" spans="1:9" s="225" customFormat="1" x14ac:dyDescent="0.4">
      <c r="A230" s="223"/>
      <c r="B230" s="223"/>
      <c r="C230" s="224" t="s">
        <v>17</v>
      </c>
      <c r="D230" s="223"/>
      <c r="E230" s="223"/>
      <c r="F230" s="223"/>
      <c r="G230" s="223"/>
      <c r="H230" s="223"/>
    </row>
    <row r="231" spans="1:9" ht="18" x14ac:dyDescent="0.4">
      <c r="A231" s="219"/>
      <c r="B231" s="219"/>
      <c r="C231" s="24" t="s">
        <v>149</v>
      </c>
      <c r="D231" s="73">
        <f>SUM(E231:H231)</f>
        <v>-135736.6</v>
      </c>
      <c r="E231" s="73">
        <f>+E232+E233</f>
        <v>0</v>
      </c>
      <c r="F231" s="73">
        <f t="shared" ref="F231:H231" si="101">+F232+F233</f>
        <v>-135736.6</v>
      </c>
      <c r="G231" s="73">
        <f t="shared" si="101"/>
        <v>0</v>
      </c>
      <c r="H231" s="73">
        <f t="shared" si="101"/>
        <v>0</v>
      </c>
      <c r="I231" s="26"/>
    </row>
    <row r="232" spans="1:9" ht="34.799999999999997" x14ac:dyDescent="0.4">
      <c r="A232" s="714"/>
      <c r="B232" s="714"/>
      <c r="C232" s="229" t="s">
        <v>561</v>
      </c>
      <c r="D232" s="230">
        <f t="shared" ref="D232:D233" si="102">SUM(E232:H232)</f>
        <v>-62623.8</v>
      </c>
      <c r="E232" s="87"/>
      <c r="F232" s="70">
        <f>+'Հավելված N 11'!I535+'Հավելված N 11'!I539+'Հավելված N 11'!I542</f>
        <v>-62623.8</v>
      </c>
      <c r="G232" s="87"/>
      <c r="H232" s="88"/>
    </row>
    <row r="233" spans="1:9" x14ac:dyDescent="0.4">
      <c r="A233" s="715"/>
      <c r="B233" s="715"/>
      <c r="C233" s="229" t="s">
        <v>562</v>
      </c>
      <c r="D233" s="230">
        <f t="shared" si="102"/>
        <v>-73112.800000000003</v>
      </c>
      <c r="E233" s="87"/>
      <c r="F233" s="70">
        <f>+'Հավելված N 11'!I536+'Հավելված N 11'!I540+'Հավելված N 11'!I543</f>
        <v>-73112.800000000003</v>
      </c>
      <c r="G233" s="87"/>
      <c r="H233" s="88"/>
    </row>
    <row r="234" spans="1:9" ht="18" x14ac:dyDescent="0.4">
      <c r="A234" s="219"/>
      <c r="B234" s="219"/>
      <c r="C234" s="24" t="s">
        <v>175</v>
      </c>
      <c r="D234" s="73">
        <f>SUM(E234:H234)</f>
        <v>-88852</v>
      </c>
      <c r="E234" s="73">
        <f>SUM(E235)</f>
        <v>0</v>
      </c>
      <c r="F234" s="73">
        <f>SUM(F235)</f>
        <v>-88852</v>
      </c>
      <c r="G234" s="73">
        <f t="shared" ref="G234" si="103">SUM(G235)</f>
        <v>0</v>
      </c>
      <c r="H234" s="73">
        <f t="shared" ref="H234" si="104">SUM(H235)</f>
        <v>0</v>
      </c>
      <c r="I234" s="26"/>
    </row>
    <row r="235" spans="1:9" ht="34.799999999999997" x14ac:dyDescent="0.4">
      <c r="A235" s="306"/>
      <c r="B235" s="306"/>
      <c r="C235" s="83" t="s">
        <v>565</v>
      </c>
      <c r="D235" s="230">
        <f t="shared" ref="D235" si="105">SUM(E235:H235)</f>
        <v>-88852</v>
      </c>
      <c r="E235" s="87"/>
      <c r="F235" s="70">
        <f>+'Հավելված N 11'!I537+'Հավելված N 11'!I541+'Հավելված N 11'!I544</f>
        <v>-88852</v>
      </c>
      <c r="G235" s="87"/>
      <c r="H235" s="88"/>
    </row>
    <row r="236" spans="1:9" ht="36" x14ac:dyDescent="0.4">
      <c r="A236" s="434">
        <v>1183</v>
      </c>
      <c r="B236" s="434">
        <v>32012</v>
      </c>
      <c r="C236" s="437" t="s">
        <v>566</v>
      </c>
      <c r="D236" s="433">
        <f>SUM(E236:H236)</f>
        <v>-598120.70000000007</v>
      </c>
      <c r="E236" s="433">
        <f>+E238+E241+E245+E248+E251+E257+E262+E266</f>
        <v>0</v>
      </c>
      <c r="F236" s="433">
        <f t="shared" ref="F236:H236" si="106">+F238+F241+F245+F248+F251+F257+F262+F266</f>
        <v>0</v>
      </c>
      <c r="G236" s="433">
        <f t="shared" si="106"/>
        <v>0</v>
      </c>
      <c r="H236" s="433">
        <f t="shared" si="106"/>
        <v>-598120.70000000007</v>
      </c>
    </row>
    <row r="237" spans="1:9" x14ac:dyDescent="0.4">
      <c r="A237" s="410"/>
      <c r="B237" s="410"/>
      <c r="C237" s="413" t="s">
        <v>17</v>
      </c>
      <c r="D237" s="407"/>
      <c r="E237" s="407"/>
      <c r="F237" s="407"/>
      <c r="G237" s="407"/>
      <c r="H237" s="408"/>
    </row>
    <row r="238" spans="1:9" s="225" customFormat="1" ht="18" x14ac:dyDescent="0.4">
      <c r="A238" s="444"/>
      <c r="B238" s="444"/>
      <c r="C238" s="445" t="s">
        <v>149</v>
      </c>
      <c r="D238" s="446">
        <f t="shared" ref="D238" si="107">SUM(E238:H238)</f>
        <v>-32791</v>
      </c>
      <c r="E238" s="447">
        <f>+E239+E240</f>
        <v>0</v>
      </c>
      <c r="F238" s="447">
        <f t="shared" ref="F238:G238" si="108">+F239+F240</f>
        <v>0</v>
      </c>
      <c r="G238" s="447">
        <f t="shared" si="108"/>
        <v>0</v>
      </c>
      <c r="H238" s="447">
        <f>+H239+H240</f>
        <v>-32791</v>
      </c>
      <c r="I238" s="448"/>
    </row>
    <row r="239" spans="1:9" s="225" customFormat="1" ht="34.799999999999997" x14ac:dyDescent="0.4">
      <c r="A239" s="726"/>
      <c r="B239" s="726"/>
      <c r="C239" s="416" t="s">
        <v>1077</v>
      </c>
      <c r="D239" s="449">
        <f t="shared" ref="D239:D240" si="109">+E239+F239+G239+H239</f>
        <v>-26703</v>
      </c>
      <c r="E239" s="447"/>
      <c r="F239" s="447"/>
      <c r="G239" s="447"/>
      <c r="H239" s="449">
        <v>-26703</v>
      </c>
      <c r="I239" s="448"/>
    </row>
    <row r="240" spans="1:9" s="225" customFormat="1" ht="34.799999999999997" x14ac:dyDescent="0.4">
      <c r="A240" s="727"/>
      <c r="B240" s="727"/>
      <c r="C240" s="416" t="s">
        <v>1078</v>
      </c>
      <c r="D240" s="449">
        <f t="shared" si="109"/>
        <v>-6088</v>
      </c>
      <c r="E240" s="447"/>
      <c r="F240" s="447"/>
      <c r="G240" s="447"/>
      <c r="H240" s="449">
        <v>-6088</v>
      </c>
      <c r="I240" s="448"/>
    </row>
    <row r="241" spans="1:9" ht="18" x14ac:dyDescent="0.4">
      <c r="A241" s="450"/>
      <c r="B241" s="450"/>
      <c r="C241" s="435" t="s">
        <v>111</v>
      </c>
      <c r="D241" s="426">
        <f>SUM(E241:H241)</f>
        <v>-71544.600000000006</v>
      </c>
      <c r="E241" s="426">
        <f>+E242+E243+E244</f>
        <v>0</v>
      </c>
      <c r="F241" s="426">
        <f t="shared" ref="F241:G241" si="110">+F242+F243+F244</f>
        <v>0</v>
      </c>
      <c r="G241" s="426">
        <f t="shared" si="110"/>
        <v>0</v>
      </c>
      <c r="H241" s="426">
        <f>+H242+H243+H244</f>
        <v>-71544.600000000006</v>
      </c>
    </row>
    <row r="242" spans="1:9" x14ac:dyDescent="0.4">
      <c r="A242" s="737"/>
      <c r="B242" s="737"/>
      <c r="C242" s="438" t="s">
        <v>567</v>
      </c>
      <c r="D242" s="451">
        <f t="shared" ref="D242:D243" si="111">SUM(E242:H242)</f>
        <v>-29831</v>
      </c>
      <c r="E242" s="431"/>
      <c r="F242" s="431"/>
      <c r="G242" s="431"/>
      <c r="H242" s="431">
        <v>-29831</v>
      </c>
    </row>
    <row r="243" spans="1:9" x14ac:dyDescent="0.4">
      <c r="A243" s="735"/>
      <c r="B243" s="735"/>
      <c r="C243" s="438" t="s">
        <v>529</v>
      </c>
      <c r="D243" s="451">
        <f t="shared" si="111"/>
        <v>-30063.599999999999</v>
      </c>
      <c r="E243" s="431"/>
      <c r="F243" s="431"/>
      <c r="G243" s="431"/>
      <c r="H243" s="431">
        <v>-30063.599999999999</v>
      </c>
    </row>
    <row r="244" spans="1:9" x14ac:dyDescent="0.4">
      <c r="A244" s="736"/>
      <c r="B244" s="736"/>
      <c r="C244" s="438" t="s">
        <v>1244</v>
      </c>
      <c r="D244" s="451">
        <f t="shared" ref="D244" si="112">SUM(E244:H244)</f>
        <v>-11650</v>
      </c>
      <c r="E244" s="431"/>
      <c r="F244" s="431"/>
      <c r="G244" s="431"/>
      <c r="H244" s="431">
        <v>-11650</v>
      </c>
    </row>
    <row r="245" spans="1:9" s="225" customFormat="1" ht="18" x14ac:dyDescent="0.4">
      <c r="A245" s="444"/>
      <c r="B245" s="444"/>
      <c r="C245" s="445" t="s">
        <v>265</v>
      </c>
      <c r="D245" s="446">
        <f t="shared" ref="D245" si="113">SUM(E245:H245)</f>
        <v>-38942</v>
      </c>
      <c r="E245" s="447">
        <f>+E246+E247</f>
        <v>0</v>
      </c>
      <c r="F245" s="447">
        <f t="shared" ref="F245:G245" si="114">+F246+F247</f>
        <v>0</v>
      </c>
      <c r="G245" s="447">
        <f t="shared" si="114"/>
        <v>0</v>
      </c>
      <c r="H245" s="447">
        <f>+H246+H247</f>
        <v>-38942</v>
      </c>
      <c r="I245" s="448"/>
    </row>
    <row r="246" spans="1:9" s="225" customFormat="1" ht="34.799999999999997" x14ac:dyDescent="0.4">
      <c r="A246" s="720"/>
      <c r="B246" s="720"/>
      <c r="C246" s="416" t="s">
        <v>1079</v>
      </c>
      <c r="D246" s="449">
        <f t="shared" ref="D246:D247" si="115">+E246+F246+G246+H246</f>
        <v>-13172</v>
      </c>
      <c r="E246" s="447"/>
      <c r="F246" s="447"/>
      <c r="G246" s="447"/>
      <c r="H246" s="449">
        <v>-13172</v>
      </c>
      <c r="I246" s="448"/>
    </row>
    <row r="247" spans="1:9" s="225" customFormat="1" ht="34.799999999999997" x14ac:dyDescent="0.4">
      <c r="A247" s="721"/>
      <c r="B247" s="721"/>
      <c r="C247" s="416" t="s">
        <v>1080</v>
      </c>
      <c r="D247" s="449">
        <f t="shared" si="115"/>
        <v>-25770</v>
      </c>
      <c r="E247" s="447"/>
      <c r="F247" s="447"/>
      <c r="G247" s="447"/>
      <c r="H247" s="449">
        <v>-25770</v>
      </c>
      <c r="I247" s="448"/>
    </row>
    <row r="248" spans="1:9" ht="18" x14ac:dyDescent="0.4">
      <c r="A248" s="450"/>
      <c r="B248" s="450"/>
      <c r="C248" s="435" t="s">
        <v>175</v>
      </c>
      <c r="D248" s="426">
        <f>SUM(E248:H248)</f>
        <v>-65381.3</v>
      </c>
      <c r="E248" s="426">
        <f>+E249+E250</f>
        <v>0</v>
      </c>
      <c r="F248" s="426">
        <f t="shared" ref="F248:H248" si="116">+F249+F250</f>
        <v>0</v>
      </c>
      <c r="G248" s="426">
        <f t="shared" si="116"/>
        <v>0</v>
      </c>
      <c r="H248" s="426">
        <f t="shared" si="116"/>
        <v>-65381.3</v>
      </c>
    </row>
    <row r="249" spans="1:9" x14ac:dyDescent="0.4">
      <c r="A249" s="734"/>
      <c r="B249" s="734"/>
      <c r="C249" s="438" t="s">
        <v>568</v>
      </c>
      <c r="D249" s="451">
        <f t="shared" ref="D249:D250" si="117">SUM(E249:H249)</f>
        <v>-27505.3</v>
      </c>
      <c r="E249" s="431"/>
      <c r="F249" s="431"/>
      <c r="G249" s="431"/>
      <c r="H249" s="431">
        <v>-27505.3</v>
      </c>
    </row>
    <row r="250" spans="1:9" s="318" customFormat="1" ht="34.799999999999997" x14ac:dyDescent="0.3">
      <c r="A250" s="736"/>
      <c r="B250" s="736"/>
      <c r="C250" s="416" t="s">
        <v>1081</v>
      </c>
      <c r="D250" s="451">
        <f t="shared" si="117"/>
        <v>-37876</v>
      </c>
      <c r="E250" s="449"/>
      <c r="F250" s="449"/>
      <c r="G250" s="449"/>
      <c r="H250" s="449">
        <v>-37876</v>
      </c>
    </row>
    <row r="251" spans="1:9" ht="18" x14ac:dyDescent="0.4">
      <c r="A251" s="450"/>
      <c r="B251" s="450"/>
      <c r="C251" s="435" t="s">
        <v>136</v>
      </c>
      <c r="D251" s="426">
        <f>SUM(E251:H251)</f>
        <v>-106366.3</v>
      </c>
      <c r="E251" s="426">
        <f>+E252+E253+E254+E255+E256</f>
        <v>0</v>
      </c>
      <c r="F251" s="426">
        <f t="shared" ref="F251:G251" si="118">+F252+F253+F254+F255+F256</f>
        <v>0</v>
      </c>
      <c r="G251" s="426">
        <f t="shared" si="118"/>
        <v>0</v>
      </c>
      <c r="H251" s="426">
        <f>+H252+H253+H254+H255+H256</f>
        <v>-106366.3</v>
      </c>
    </row>
    <row r="252" spans="1:9" x14ac:dyDescent="0.4">
      <c r="A252" s="734"/>
      <c r="B252" s="734"/>
      <c r="C252" s="438" t="s">
        <v>332</v>
      </c>
      <c r="D252" s="451">
        <f t="shared" ref="D252:D253" si="119">SUM(E252:H252)</f>
        <v>-40281.1</v>
      </c>
      <c r="E252" s="431"/>
      <c r="F252" s="431"/>
      <c r="G252" s="431"/>
      <c r="H252" s="431">
        <v>-40281.1</v>
      </c>
    </row>
    <row r="253" spans="1:9" x14ac:dyDescent="0.4">
      <c r="A253" s="735"/>
      <c r="B253" s="735"/>
      <c r="C253" s="438" t="s">
        <v>569</v>
      </c>
      <c r="D253" s="451">
        <f t="shared" si="119"/>
        <v>-29263.1</v>
      </c>
      <c r="E253" s="431"/>
      <c r="F253" s="431"/>
      <c r="G253" s="431"/>
      <c r="H253" s="431">
        <v>-29263.1</v>
      </c>
    </row>
    <row r="254" spans="1:9" s="318" customFormat="1" x14ac:dyDescent="0.3">
      <c r="A254" s="735"/>
      <c r="B254" s="735"/>
      <c r="C254" s="416" t="s">
        <v>1082</v>
      </c>
      <c r="D254" s="449">
        <f>+E254+F254+G254+H254</f>
        <v>-13868.8</v>
      </c>
      <c r="E254" s="449"/>
      <c r="F254" s="449"/>
      <c r="G254" s="449"/>
      <c r="H254" s="449">
        <v>-13868.8</v>
      </c>
    </row>
    <row r="255" spans="1:9" s="318" customFormat="1" x14ac:dyDescent="0.3">
      <c r="A255" s="735"/>
      <c r="B255" s="735"/>
      <c r="C255" s="416" t="s">
        <v>1083</v>
      </c>
      <c r="D255" s="449">
        <f t="shared" ref="D255:D256" si="120">+E255+F255+G255+H255</f>
        <v>-7951</v>
      </c>
      <c r="E255" s="449"/>
      <c r="F255" s="449"/>
      <c r="G255" s="449"/>
      <c r="H255" s="449">
        <v>-7951</v>
      </c>
    </row>
    <row r="256" spans="1:9" s="318" customFormat="1" x14ac:dyDescent="0.3">
      <c r="A256" s="736"/>
      <c r="B256" s="736"/>
      <c r="C256" s="416" t="s">
        <v>1084</v>
      </c>
      <c r="D256" s="449">
        <f t="shared" si="120"/>
        <v>-15002.3</v>
      </c>
      <c r="E256" s="449"/>
      <c r="F256" s="449"/>
      <c r="G256" s="449"/>
      <c r="H256" s="449">
        <v>-15002.3</v>
      </c>
    </row>
    <row r="257" spans="1:9" ht="18" x14ac:dyDescent="0.4">
      <c r="A257" s="450"/>
      <c r="B257" s="450"/>
      <c r="C257" s="435" t="s">
        <v>296</v>
      </c>
      <c r="D257" s="426">
        <f>SUM(E257:H257)</f>
        <v>-161285.6</v>
      </c>
      <c r="E257" s="426">
        <f>+E258+E259+E260+E261</f>
        <v>0</v>
      </c>
      <c r="F257" s="426">
        <f t="shared" ref="F257:H257" si="121">+F258+F259+F260+F261</f>
        <v>0</v>
      </c>
      <c r="G257" s="426">
        <f t="shared" si="121"/>
        <v>0</v>
      </c>
      <c r="H257" s="426">
        <f t="shared" si="121"/>
        <v>-161285.6</v>
      </c>
    </row>
    <row r="258" spans="1:9" ht="34.799999999999997" x14ac:dyDescent="0.4">
      <c r="A258" s="734"/>
      <c r="B258" s="734"/>
      <c r="C258" s="438" t="s">
        <v>536</v>
      </c>
      <c r="D258" s="451">
        <f t="shared" ref="D258:D260" si="122">SUM(E258:H258)</f>
        <v>-50000</v>
      </c>
      <c r="E258" s="431"/>
      <c r="F258" s="431"/>
      <c r="G258" s="431"/>
      <c r="H258" s="431">
        <v>-50000</v>
      </c>
    </row>
    <row r="259" spans="1:9" x14ac:dyDescent="0.4">
      <c r="A259" s="735"/>
      <c r="B259" s="735"/>
      <c r="C259" s="438" t="s">
        <v>334</v>
      </c>
      <c r="D259" s="451">
        <f t="shared" si="122"/>
        <v>-29335.8</v>
      </c>
      <c r="E259" s="431"/>
      <c r="F259" s="431"/>
      <c r="G259" s="431"/>
      <c r="H259" s="431">
        <v>-29335.8</v>
      </c>
    </row>
    <row r="260" spans="1:9" x14ac:dyDescent="0.4">
      <c r="A260" s="735"/>
      <c r="B260" s="735"/>
      <c r="C260" s="438" t="s">
        <v>335</v>
      </c>
      <c r="D260" s="451">
        <f t="shared" si="122"/>
        <v>-27667.8</v>
      </c>
      <c r="E260" s="431"/>
      <c r="F260" s="431"/>
      <c r="G260" s="431"/>
      <c r="H260" s="431">
        <v>-27667.8</v>
      </c>
    </row>
    <row r="261" spans="1:9" s="318" customFormat="1" ht="34.799999999999997" x14ac:dyDescent="0.3">
      <c r="A261" s="736"/>
      <c r="B261" s="736"/>
      <c r="C261" s="416" t="s">
        <v>1085</v>
      </c>
      <c r="D261" s="449">
        <f t="shared" ref="D261" si="123">+E261+F261+G261+H261</f>
        <v>-54282</v>
      </c>
      <c r="E261" s="449"/>
      <c r="F261" s="449"/>
      <c r="G261" s="449"/>
      <c r="H261" s="449">
        <v>-54282</v>
      </c>
    </row>
    <row r="262" spans="1:9" ht="18" x14ac:dyDescent="0.4">
      <c r="A262" s="450"/>
      <c r="B262" s="450"/>
      <c r="C262" s="435" t="s">
        <v>185</v>
      </c>
      <c r="D262" s="426">
        <f>SUM(E262:H262)</f>
        <v>-91141.4</v>
      </c>
      <c r="E262" s="426">
        <f>+E263+E264+E265</f>
        <v>0</v>
      </c>
      <c r="F262" s="426">
        <f t="shared" ref="F262:G262" si="124">+F263+F264+F265</f>
        <v>0</v>
      </c>
      <c r="G262" s="426">
        <f t="shared" si="124"/>
        <v>0</v>
      </c>
      <c r="H262" s="426">
        <f>+H263+H264+H265</f>
        <v>-91141.4</v>
      </c>
    </row>
    <row r="263" spans="1:9" x14ac:dyDescent="0.4">
      <c r="A263" s="734"/>
      <c r="B263" s="734"/>
      <c r="C263" s="438" t="s">
        <v>539</v>
      </c>
      <c r="D263" s="451">
        <f t="shared" ref="D263:D264" si="125">SUM(E263:H263)</f>
        <v>-30479.200000000001</v>
      </c>
      <c r="E263" s="431"/>
      <c r="F263" s="431"/>
      <c r="G263" s="431"/>
      <c r="H263" s="431">
        <v>-30479.200000000001</v>
      </c>
    </row>
    <row r="264" spans="1:9" x14ac:dyDescent="0.4">
      <c r="A264" s="735"/>
      <c r="B264" s="735"/>
      <c r="C264" s="438" t="s">
        <v>538</v>
      </c>
      <c r="D264" s="451">
        <f t="shared" si="125"/>
        <v>-27857.200000000001</v>
      </c>
      <c r="E264" s="431"/>
      <c r="F264" s="431"/>
      <c r="G264" s="431"/>
      <c r="H264" s="431">
        <v>-27857.200000000001</v>
      </c>
    </row>
    <row r="265" spans="1:9" s="318" customFormat="1" x14ac:dyDescent="0.3">
      <c r="A265" s="736"/>
      <c r="B265" s="736"/>
      <c r="C265" s="416" t="s">
        <v>1086</v>
      </c>
      <c r="D265" s="449">
        <f t="shared" ref="D265" si="126">+E265+F265+G265+H265</f>
        <v>-32805</v>
      </c>
      <c r="E265" s="449"/>
      <c r="F265" s="449"/>
      <c r="G265" s="449"/>
      <c r="H265" s="449">
        <v>-32805</v>
      </c>
    </row>
    <row r="266" spans="1:9" ht="18" x14ac:dyDescent="0.4">
      <c r="A266" s="450"/>
      <c r="B266" s="450"/>
      <c r="C266" s="435" t="s">
        <v>301</v>
      </c>
      <c r="D266" s="426">
        <f>SUM(E266:H266)</f>
        <v>-30668.5</v>
      </c>
      <c r="E266" s="426">
        <f>+E267</f>
        <v>0</v>
      </c>
      <c r="F266" s="426">
        <f t="shared" ref="F266:H266" si="127">+F267</f>
        <v>0</v>
      </c>
      <c r="G266" s="426">
        <f t="shared" si="127"/>
        <v>0</v>
      </c>
      <c r="H266" s="426">
        <f t="shared" si="127"/>
        <v>-30668.5</v>
      </c>
    </row>
    <row r="267" spans="1:9" ht="34.799999999999997" x14ac:dyDescent="0.4">
      <c r="A267" s="450"/>
      <c r="B267" s="450"/>
      <c r="C267" s="438" t="s">
        <v>338</v>
      </c>
      <c r="D267" s="451">
        <f t="shared" ref="D267" si="128">SUM(E267:H267)</f>
        <v>-30668.5</v>
      </c>
      <c r="E267" s="431"/>
      <c r="F267" s="431"/>
      <c r="G267" s="431"/>
      <c r="H267" s="431">
        <v>-30668.5</v>
      </c>
    </row>
    <row r="268" spans="1:9" s="243" customFormat="1" ht="72" x14ac:dyDescent="0.4">
      <c r="A268" s="434">
        <v>1183</v>
      </c>
      <c r="B268" s="411">
        <v>32013</v>
      </c>
      <c r="C268" s="409" t="s">
        <v>573</v>
      </c>
      <c r="D268" s="404">
        <f>SUM(E268:H268)</f>
        <v>-267300</v>
      </c>
      <c r="E268" s="404">
        <f>+E270+E278+E283+E293+E305+E307+E322</f>
        <v>0</v>
      </c>
      <c r="F268" s="404">
        <f t="shared" ref="F268:H268" si="129">+F270+F278+F283+F293+F305+F307+F322</f>
        <v>0</v>
      </c>
      <c r="G268" s="404">
        <f t="shared" si="129"/>
        <v>-267300</v>
      </c>
      <c r="H268" s="404">
        <f t="shared" si="129"/>
        <v>0</v>
      </c>
    </row>
    <row r="269" spans="1:9" ht="18" x14ac:dyDescent="0.4">
      <c r="A269" s="423"/>
      <c r="B269" s="423"/>
      <c r="C269" s="425" t="s">
        <v>17</v>
      </c>
      <c r="D269" s="50"/>
      <c r="E269" s="421"/>
      <c r="F269" s="419"/>
      <c r="G269" s="50"/>
      <c r="H269" s="50"/>
    </row>
    <row r="270" spans="1:9" s="395" customFormat="1" ht="16.95" customHeight="1" x14ac:dyDescent="0.4">
      <c r="A270" s="418"/>
      <c r="B270" s="418"/>
      <c r="C270" s="435" t="s">
        <v>111</v>
      </c>
      <c r="D270" s="415">
        <f>SUM(E270:H270)</f>
        <v>-34200</v>
      </c>
      <c r="E270" s="415">
        <f>SUM(E271:E277)</f>
        <v>0</v>
      </c>
      <c r="F270" s="415">
        <f t="shared" ref="F270:H270" si="130">SUM(F271:F277)</f>
        <v>0</v>
      </c>
      <c r="G270" s="415">
        <f>SUM(G271:G277)</f>
        <v>-34200</v>
      </c>
      <c r="H270" s="415">
        <f t="shared" si="130"/>
        <v>0</v>
      </c>
      <c r="I270" s="394"/>
    </row>
    <row r="271" spans="1:9" s="318" customFormat="1" x14ac:dyDescent="0.3">
      <c r="A271" s="740"/>
      <c r="B271" s="740"/>
      <c r="C271" s="412" t="s">
        <v>574</v>
      </c>
      <c r="D271" s="420">
        <f t="shared" ref="D271:D277" si="131">+E271+F271+G271+H271</f>
        <v>-4800</v>
      </c>
      <c r="E271" s="420"/>
      <c r="F271" s="420"/>
      <c r="G271" s="420">
        <f>+'Հավելված N 11'!I547+'Հավելված N 11'!I598</f>
        <v>-4800</v>
      </c>
      <c r="H271" s="420"/>
    </row>
    <row r="272" spans="1:9" s="318" customFormat="1" x14ac:dyDescent="0.3">
      <c r="A272" s="720"/>
      <c r="B272" s="720"/>
      <c r="C272" s="412" t="s">
        <v>575</v>
      </c>
      <c r="D272" s="420">
        <f t="shared" si="131"/>
        <v>-4800</v>
      </c>
      <c r="E272" s="420"/>
      <c r="F272" s="420"/>
      <c r="G272" s="420">
        <f>+'Հավելված N 11'!I548+'Հավելված N 11'!I599</f>
        <v>-4800</v>
      </c>
      <c r="H272" s="420"/>
    </row>
    <row r="273" spans="1:9" s="318" customFormat="1" x14ac:dyDescent="0.3">
      <c r="A273" s="720"/>
      <c r="B273" s="720"/>
      <c r="C273" s="412" t="s">
        <v>576</v>
      </c>
      <c r="D273" s="420">
        <f t="shared" si="131"/>
        <v>-4800</v>
      </c>
      <c r="E273" s="420"/>
      <c r="F273" s="420"/>
      <c r="G273" s="420">
        <f>+'Հավելված N 11'!I549+'Հավելված N 11'!I600</f>
        <v>-4800</v>
      </c>
      <c r="H273" s="420"/>
    </row>
    <row r="274" spans="1:9" s="318" customFormat="1" x14ac:dyDescent="0.3">
      <c r="A274" s="720"/>
      <c r="B274" s="720"/>
      <c r="C274" s="412" t="s">
        <v>577</v>
      </c>
      <c r="D274" s="420">
        <f t="shared" si="131"/>
        <v>-4800</v>
      </c>
      <c r="E274" s="420"/>
      <c r="F274" s="420"/>
      <c r="G274" s="420">
        <f>+'Հավելված N 11'!I550+'Հավելված N 11'!I601</f>
        <v>-4800</v>
      </c>
      <c r="H274" s="420"/>
    </row>
    <row r="275" spans="1:9" s="318" customFormat="1" x14ac:dyDescent="0.3">
      <c r="A275" s="720"/>
      <c r="B275" s="720"/>
      <c r="C275" s="412" t="s">
        <v>578</v>
      </c>
      <c r="D275" s="420">
        <f t="shared" si="131"/>
        <v>-5400</v>
      </c>
      <c r="E275" s="420"/>
      <c r="F275" s="420"/>
      <c r="G275" s="420">
        <f>+'Հավելված N 11'!I551+'Հավելված N 11'!I602</f>
        <v>-5400</v>
      </c>
      <c r="H275" s="420"/>
    </row>
    <row r="276" spans="1:9" s="318" customFormat="1" x14ac:dyDescent="0.3">
      <c r="A276" s="720"/>
      <c r="B276" s="720"/>
      <c r="C276" s="412" t="s">
        <v>579</v>
      </c>
      <c r="D276" s="420">
        <f t="shared" si="131"/>
        <v>-4800</v>
      </c>
      <c r="E276" s="420"/>
      <c r="F276" s="420"/>
      <c r="G276" s="420">
        <f>+'Հավելված N 11'!I552+'Հավելված N 11'!I603</f>
        <v>-4800</v>
      </c>
      <c r="H276" s="420"/>
    </row>
    <row r="277" spans="1:9" s="318" customFormat="1" x14ac:dyDescent="0.3">
      <c r="A277" s="721"/>
      <c r="B277" s="721"/>
      <c r="C277" s="412" t="s">
        <v>580</v>
      </c>
      <c r="D277" s="420">
        <f t="shared" si="131"/>
        <v>-4800</v>
      </c>
      <c r="E277" s="420"/>
      <c r="F277" s="420"/>
      <c r="G277" s="420">
        <f>+'Հավելված N 11'!I553+'Հավելված N 11'!I604</f>
        <v>-4800</v>
      </c>
      <c r="H277" s="420"/>
    </row>
    <row r="278" spans="1:9" s="395" customFormat="1" ht="16.95" customHeight="1" x14ac:dyDescent="0.4">
      <c r="A278" s="50"/>
      <c r="B278" s="50"/>
      <c r="C278" s="435" t="s">
        <v>129</v>
      </c>
      <c r="D278" s="415">
        <f>SUM(E278:H278)</f>
        <v>-21600</v>
      </c>
      <c r="E278" s="415">
        <f>SUM(E279:E279)</f>
        <v>0</v>
      </c>
      <c r="F278" s="415">
        <f>SUM(F279:F279)</f>
        <v>0</v>
      </c>
      <c r="G278" s="415">
        <f>SUM(G279:G282)</f>
        <v>-21600</v>
      </c>
      <c r="H278" s="415">
        <f>SUM(H279:H279)</f>
        <v>0</v>
      </c>
      <c r="I278" s="394"/>
    </row>
    <row r="279" spans="1:9" s="318" customFormat="1" x14ac:dyDescent="0.3">
      <c r="A279" s="739"/>
      <c r="B279" s="739"/>
      <c r="C279" s="412" t="s">
        <v>581</v>
      </c>
      <c r="D279" s="420">
        <f t="shared" ref="D279:D282" si="132">+E279+F279+G279+H279</f>
        <v>-5400</v>
      </c>
      <c r="E279" s="420"/>
      <c r="F279" s="420"/>
      <c r="G279" s="420">
        <f>+'Հավելված N 11'!I554+'Հավելված N 11'!I605</f>
        <v>-5400</v>
      </c>
      <c r="H279" s="420"/>
    </row>
    <row r="280" spans="1:9" s="318" customFormat="1" x14ac:dyDescent="0.3">
      <c r="A280" s="729"/>
      <c r="B280" s="729"/>
      <c r="C280" s="412" t="s">
        <v>582</v>
      </c>
      <c r="D280" s="420">
        <f t="shared" si="132"/>
        <v>-5400</v>
      </c>
      <c r="E280" s="420"/>
      <c r="F280" s="420"/>
      <c r="G280" s="420">
        <f>+'Հավելված N 11'!I555+'Հավելված N 11'!I606</f>
        <v>-5400</v>
      </c>
      <c r="H280" s="420"/>
    </row>
    <row r="281" spans="1:9" s="318" customFormat="1" x14ac:dyDescent="0.3">
      <c r="A281" s="729"/>
      <c r="B281" s="729"/>
      <c r="C281" s="412" t="s">
        <v>583</v>
      </c>
      <c r="D281" s="420">
        <f t="shared" si="132"/>
        <v>-5400</v>
      </c>
      <c r="E281" s="420"/>
      <c r="F281" s="420"/>
      <c r="G281" s="420">
        <f>+'Հավելված N 11'!I556+'Հավելված N 11'!I607</f>
        <v>-5400</v>
      </c>
      <c r="H281" s="420"/>
    </row>
    <row r="282" spans="1:9" s="318" customFormat="1" x14ac:dyDescent="0.3">
      <c r="A282" s="730"/>
      <c r="B282" s="730"/>
      <c r="C282" s="412" t="s">
        <v>584</v>
      </c>
      <c r="D282" s="420">
        <f t="shared" si="132"/>
        <v>-5400</v>
      </c>
      <c r="E282" s="420"/>
      <c r="F282" s="420"/>
      <c r="G282" s="420">
        <f>+'Հավելված N 11'!I557+'Հավելված N 11'!I608</f>
        <v>-5400</v>
      </c>
      <c r="H282" s="420"/>
    </row>
    <row r="283" spans="1:9" s="395" customFormat="1" ht="16.95" customHeight="1" x14ac:dyDescent="0.4">
      <c r="A283" s="50"/>
      <c r="B283" s="50"/>
      <c r="C283" s="435" t="s">
        <v>265</v>
      </c>
      <c r="D283" s="415">
        <f>SUM(E283:H283)</f>
        <v>-43800</v>
      </c>
      <c r="E283" s="415">
        <f>SUM(E284:E284)</f>
        <v>0</v>
      </c>
      <c r="F283" s="415">
        <f>SUM(F284:F284)</f>
        <v>0</v>
      </c>
      <c r="G283" s="415">
        <f>SUM(G284:G292)</f>
        <v>-43800</v>
      </c>
      <c r="H283" s="415">
        <f>SUM(H284:H284)</f>
        <v>0</v>
      </c>
      <c r="I283" s="394"/>
    </row>
    <row r="284" spans="1:9" s="318" customFormat="1" x14ac:dyDescent="0.3">
      <c r="A284" s="739"/>
      <c r="B284" s="739"/>
      <c r="C284" s="412" t="s">
        <v>585</v>
      </c>
      <c r="D284" s="420">
        <f t="shared" ref="D284:D292" si="133">+E284+F284+G284+H284</f>
        <v>-4800</v>
      </c>
      <c r="E284" s="420"/>
      <c r="F284" s="420"/>
      <c r="G284" s="420">
        <f>+'Հավելված N 11'!I558+'Հավելված N 11'!I609</f>
        <v>-4800</v>
      </c>
      <c r="H284" s="420"/>
    </row>
    <row r="285" spans="1:9" s="318" customFormat="1" x14ac:dyDescent="0.3">
      <c r="A285" s="729"/>
      <c r="B285" s="729"/>
      <c r="C285" s="412" t="s">
        <v>586</v>
      </c>
      <c r="D285" s="420">
        <f t="shared" si="133"/>
        <v>-4800</v>
      </c>
      <c r="E285" s="420"/>
      <c r="F285" s="420"/>
      <c r="G285" s="420">
        <f>+'Հավելված N 11'!I559+'Հավելված N 11'!I610</f>
        <v>-4800</v>
      </c>
      <c r="H285" s="420"/>
    </row>
    <row r="286" spans="1:9" s="318" customFormat="1" x14ac:dyDescent="0.3">
      <c r="A286" s="729"/>
      <c r="B286" s="729"/>
      <c r="C286" s="412" t="s">
        <v>587</v>
      </c>
      <c r="D286" s="420">
        <f t="shared" si="133"/>
        <v>-5400</v>
      </c>
      <c r="E286" s="420"/>
      <c r="F286" s="420"/>
      <c r="G286" s="420">
        <f>+'Հավելված N 11'!I560+'Հավելված N 11'!I611</f>
        <v>-5400</v>
      </c>
      <c r="H286" s="420"/>
    </row>
    <row r="287" spans="1:9" s="318" customFormat="1" x14ac:dyDescent="0.3">
      <c r="A287" s="729"/>
      <c r="B287" s="729"/>
      <c r="C287" s="412" t="s">
        <v>588</v>
      </c>
      <c r="D287" s="420">
        <f t="shared" si="133"/>
        <v>-4800</v>
      </c>
      <c r="E287" s="420"/>
      <c r="F287" s="420"/>
      <c r="G287" s="420">
        <f>+'Հավելված N 11'!I561+'Հավելված N 11'!I612</f>
        <v>-4800</v>
      </c>
      <c r="H287" s="420"/>
    </row>
    <row r="288" spans="1:9" s="318" customFormat="1" x14ac:dyDescent="0.3">
      <c r="A288" s="729"/>
      <c r="B288" s="729"/>
      <c r="C288" s="412" t="s">
        <v>589</v>
      </c>
      <c r="D288" s="420">
        <f t="shared" si="133"/>
        <v>-4800</v>
      </c>
      <c r="E288" s="420"/>
      <c r="F288" s="420"/>
      <c r="G288" s="420">
        <f>+'Հավելված N 11'!I562+'Հավելված N 11'!I613</f>
        <v>-4800</v>
      </c>
      <c r="H288" s="420"/>
    </row>
    <row r="289" spans="1:9" s="318" customFormat="1" x14ac:dyDescent="0.3">
      <c r="A289" s="729"/>
      <c r="B289" s="729"/>
      <c r="C289" s="412" t="s">
        <v>590</v>
      </c>
      <c r="D289" s="420">
        <f t="shared" si="133"/>
        <v>-4800</v>
      </c>
      <c r="E289" s="420"/>
      <c r="F289" s="420"/>
      <c r="G289" s="420">
        <f>+'Հավելված N 11'!I563+'Հավելված N 11'!I614</f>
        <v>-4800</v>
      </c>
      <c r="H289" s="420"/>
    </row>
    <row r="290" spans="1:9" s="318" customFormat="1" x14ac:dyDescent="0.3">
      <c r="A290" s="729"/>
      <c r="B290" s="729"/>
      <c r="C290" s="412" t="s">
        <v>591</v>
      </c>
      <c r="D290" s="420">
        <f t="shared" si="133"/>
        <v>-4800</v>
      </c>
      <c r="E290" s="420"/>
      <c r="F290" s="420"/>
      <c r="G290" s="420">
        <f>+'Հավելված N 11'!I564+'Հավելված N 11'!I615</f>
        <v>-4800</v>
      </c>
      <c r="H290" s="420"/>
    </row>
    <row r="291" spans="1:9" s="318" customFormat="1" x14ac:dyDescent="0.3">
      <c r="A291" s="729"/>
      <c r="B291" s="729"/>
      <c r="C291" s="412" t="s">
        <v>592</v>
      </c>
      <c r="D291" s="420">
        <f t="shared" si="133"/>
        <v>-4800</v>
      </c>
      <c r="E291" s="420"/>
      <c r="F291" s="420"/>
      <c r="G291" s="420">
        <f>+'Հավելված N 11'!I565+'Հավելված N 11'!I616</f>
        <v>-4800</v>
      </c>
      <c r="H291" s="420"/>
    </row>
    <row r="292" spans="1:9" s="318" customFormat="1" x14ac:dyDescent="0.3">
      <c r="A292" s="730"/>
      <c r="B292" s="730"/>
      <c r="C292" s="412" t="s">
        <v>593</v>
      </c>
      <c r="D292" s="420">
        <f t="shared" si="133"/>
        <v>-4800</v>
      </c>
      <c r="E292" s="420"/>
      <c r="F292" s="420"/>
      <c r="G292" s="420">
        <f>+'Հավելված N 11'!I566+'Հավելված N 11'!I617</f>
        <v>-4800</v>
      </c>
      <c r="H292" s="420"/>
    </row>
    <row r="293" spans="1:9" s="395" customFormat="1" ht="16.95" customHeight="1" x14ac:dyDescent="0.4">
      <c r="A293" s="418"/>
      <c r="B293" s="418"/>
      <c r="C293" s="435" t="s">
        <v>175</v>
      </c>
      <c r="D293" s="415">
        <f>SUM(E293:H293)</f>
        <v>-57000</v>
      </c>
      <c r="E293" s="415">
        <f>SUM(E294:E304)</f>
        <v>0</v>
      </c>
      <c r="F293" s="415">
        <f t="shared" ref="F293:H293" si="134">SUM(F294:F304)</f>
        <v>0</v>
      </c>
      <c r="G293" s="415">
        <f>SUM(G294:G304)</f>
        <v>-57000</v>
      </c>
      <c r="H293" s="415">
        <f t="shared" si="134"/>
        <v>0</v>
      </c>
      <c r="I293" s="394"/>
    </row>
    <row r="294" spans="1:9" s="318" customFormat="1" x14ac:dyDescent="0.3">
      <c r="A294" s="740"/>
      <c r="B294" s="740"/>
      <c r="C294" s="403" t="s">
        <v>596</v>
      </c>
      <c r="D294" s="420">
        <f t="shared" ref="D294:D304" si="135">+E294+F294+G294+H294</f>
        <v>-4800</v>
      </c>
      <c r="E294" s="420"/>
      <c r="F294" s="420"/>
      <c r="G294" s="420">
        <f>+'Հավելված N 11'!I567+'Հավելված N 11'!I618</f>
        <v>-4800</v>
      </c>
      <c r="H294" s="420"/>
    </row>
    <row r="295" spans="1:9" s="318" customFormat="1" x14ac:dyDescent="0.3">
      <c r="A295" s="720"/>
      <c r="B295" s="720"/>
      <c r="C295" s="412" t="s">
        <v>597</v>
      </c>
      <c r="D295" s="420">
        <f t="shared" si="135"/>
        <v>-5400</v>
      </c>
      <c r="E295" s="420"/>
      <c r="F295" s="420"/>
      <c r="G295" s="420">
        <f>+'Հավելված N 11'!I568+'Հավելված N 11'!I619</f>
        <v>-5400</v>
      </c>
      <c r="H295" s="420"/>
    </row>
    <row r="296" spans="1:9" s="318" customFormat="1" ht="34.799999999999997" x14ac:dyDescent="0.3">
      <c r="A296" s="720"/>
      <c r="B296" s="720"/>
      <c r="C296" s="412" t="s">
        <v>598</v>
      </c>
      <c r="D296" s="420">
        <f t="shared" si="135"/>
        <v>-5400</v>
      </c>
      <c r="E296" s="420"/>
      <c r="F296" s="420"/>
      <c r="G296" s="420">
        <f>+'Հավելված N 11'!I569+'Հավելված N 11'!I620</f>
        <v>-5400</v>
      </c>
      <c r="H296" s="420"/>
    </row>
    <row r="297" spans="1:9" s="318" customFormat="1" ht="52.2" x14ac:dyDescent="0.3">
      <c r="A297" s="720"/>
      <c r="B297" s="720"/>
      <c r="C297" s="412" t="s">
        <v>599</v>
      </c>
      <c r="D297" s="420">
        <f t="shared" si="135"/>
        <v>-5400</v>
      </c>
      <c r="E297" s="420"/>
      <c r="F297" s="420"/>
      <c r="G297" s="420">
        <f>+'Հավելված N 11'!I570+'Հավելված N 11'!I621</f>
        <v>-5400</v>
      </c>
      <c r="H297" s="420"/>
    </row>
    <row r="298" spans="1:9" s="318" customFormat="1" x14ac:dyDescent="0.3">
      <c r="A298" s="720"/>
      <c r="B298" s="720"/>
      <c r="C298" s="412" t="s">
        <v>600</v>
      </c>
      <c r="D298" s="420">
        <f t="shared" si="135"/>
        <v>-4800</v>
      </c>
      <c r="E298" s="420"/>
      <c r="F298" s="420"/>
      <c r="G298" s="420">
        <f>+'Հավելված N 11'!I571+'Հավելված N 11'!I622</f>
        <v>-4800</v>
      </c>
      <c r="H298" s="420"/>
    </row>
    <row r="299" spans="1:9" s="318" customFormat="1" x14ac:dyDescent="0.3">
      <c r="A299" s="720"/>
      <c r="B299" s="720"/>
      <c r="C299" s="412" t="s">
        <v>601</v>
      </c>
      <c r="D299" s="420">
        <f t="shared" si="135"/>
        <v>-5400</v>
      </c>
      <c r="E299" s="420"/>
      <c r="F299" s="420"/>
      <c r="G299" s="420">
        <f>+'Հավելված N 11'!I572+'Հավելված N 11'!I623</f>
        <v>-5400</v>
      </c>
      <c r="H299" s="420"/>
    </row>
    <row r="300" spans="1:9" s="318" customFormat="1" x14ac:dyDescent="0.3">
      <c r="A300" s="720"/>
      <c r="B300" s="720"/>
      <c r="C300" s="412" t="s">
        <v>602</v>
      </c>
      <c r="D300" s="420">
        <f t="shared" si="135"/>
        <v>-5400</v>
      </c>
      <c r="E300" s="420"/>
      <c r="F300" s="420"/>
      <c r="G300" s="420">
        <f>+'Հավելված N 11'!I573+'Հավելված N 11'!I624</f>
        <v>-5400</v>
      </c>
      <c r="H300" s="420"/>
    </row>
    <row r="301" spans="1:9" s="318" customFormat="1" x14ac:dyDescent="0.3">
      <c r="A301" s="720"/>
      <c r="B301" s="720"/>
      <c r="C301" s="412" t="s">
        <v>603</v>
      </c>
      <c r="D301" s="420">
        <f t="shared" si="135"/>
        <v>-4800</v>
      </c>
      <c r="E301" s="420"/>
      <c r="F301" s="420"/>
      <c r="G301" s="420">
        <f>+'Հավելված N 11'!I574+'Հավելված N 11'!I625</f>
        <v>-4800</v>
      </c>
      <c r="H301" s="420"/>
    </row>
    <row r="302" spans="1:9" s="318" customFormat="1" x14ac:dyDescent="0.3">
      <c r="A302" s="720"/>
      <c r="B302" s="720"/>
      <c r="C302" s="412" t="s">
        <v>604</v>
      </c>
      <c r="D302" s="420">
        <f t="shared" si="135"/>
        <v>-5400</v>
      </c>
      <c r="E302" s="420"/>
      <c r="F302" s="420"/>
      <c r="G302" s="420">
        <f>+'Հավելված N 11'!I575+'Հավելված N 11'!I626</f>
        <v>-5400</v>
      </c>
      <c r="H302" s="420"/>
    </row>
    <row r="303" spans="1:9" s="318" customFormat="1" x14ac:dyDescent="0.3">
      <c r="A303" s="720"/>
      <c r="B303" s="720"/>
      <c r="C303" s="412" t="s">
        <v>605</v>
      </c>
      <c r="D303" s="420">
        <f t="shared" si="135"/>
        <v>-5400</v>
      </c>
      <c r="E303" s="420"/>
      <c r="F303" s="420"/>
      <c r="G303" s="420">
        <f>+'Հավելված N 11'!I576+'Հավելված N 11'!I627</f>
        <v>-5400</v>
      </c>
      <c r="H303" s="420"/>
    </row>
    <row r="304" spans="1:9" s="318" customFormat="1" x14ac:dyDescent="0.3">
      <c r="A304" s="721"/>
      <c r="B304" s="721"/>
      <c r="C304" s="412" t="s">
        <v>606</v>
      </c>
      <c r="D304" s="420">
        <f t="shared" si="135"/>
        <v>-4800</v>
      </c>
      <c r="E304" s="420"/>
      <c r="F304" s="420"/>
      <c r="G304" s="420">
        <f>+'Հավելված N 11'!I577+'Հավելված N 11'!I628</f>
        <v>-4800</v>
      </c>
      <c r="H304" s="420"/>
    </row>
    <row r="305" spans="1:9" s="395" customFormat="1" ht="16.95" customHeight="1" x14ac:dyDescent="0.4">
      <c r="A305" s="50"/>
      <c r="B305" s="50"/>
      <c r="C305" s="435" t="s">
        <v>167</v>
      </c>
      <c r="D305" s="415">
        <f>SUM(E305:H305)</f>
        <v>-4800</v>
      </c>
      <c r="E305" s="415">
        <f>SUM(E306:E306)</f>
        <v>0</v>
      </c>
      <c r="F305" s="415">
        <f>SUM(F306:F306)</f>
        <v>0</v>
      </c>
      <c r="G305" s="415">
        <f>SUM(G306:G306)</f>
        <v>-4800</v>
      </c>
      <c r="H305" s="415">
        <f>SUM(H306:H306)</f>
        <v>0</v>
      </c>
      <c r="I305" s="394"/>
    </row>
    <row r="306" spans="1:9" s="318" customFormat="1" x14ac:dyDescent="0.4">
      <c r="A306" s="402"/>
      <c r="B306" s="402"/>
      <c r="C306" s="412" t="s">
        <v>625</v>
      </c>
      <c r="D306" s="420">
        <f t="shared" ref="D306" si="136">+E306+F306+G306+H306</f>
        <v>-4800</v>
      </c>
      <c r="E306" s="420"/>
      <c r="F306" s="420"/>
      <c r="G306" s="420">
        <f>+'Հավելված N 11'!I578+'Հավելված N 11'!I629</f>
        <v>-4800</v>
      </c>
      <c r="H306" s="420"/>
    </row>
    <row r="307" spans="1:9" s="395" customFormat="1" ht="16.95" customHeight="1" x14ac:dyDescent="0.4">
      <c r="A307" s="50"/>
      <c r="B307" s="50"/>
      <c r="C307" s="435" t="s">
        <v>296</v>
      </c>
      <c r="D307" s="415">
        <f>SUM(E307:H307)</f>
        <v>-80700</v>
      </c>
      <c r="E307" s="415">
        <f>SUM(E308:E321)</f>
        <v>0</v>
      </c>
      <c r="F307" s="415">
        <f t="shared" ref="F307" si="137">SUM(F308:F321)</f>
        <v>0</v>
      </c>
      <c r="G307" s="415">
        <f>SUM(G308:G321)</f>
        <v>-80700</v>
      </c>
      <c r="H307" s="415">
        <f>SUM(H308:H321)</f>
        <v>0</v>
      </c>
      <c r="I307" s="394"/>
    </row>
    <row r="308" spans="1:9" s="318" customFormat="1" x14ac:dyDescent="0.3">
      <c r="A308" s="740"/>
      <c r="B308" s="740"/>
      <c r="C308" s="412" t="s">
        <v>607</v>
      </c>
      <c r="D308" s="420">
        <f t="shared" ref="D308:D321" si="138">+E308+F308+G308+H308</f>
        <v>-4800</v>
      </c>
      <c r="E308" s="420"/>
      <c r="F308" s="420"/>
      <c r="G308" s="420">
        <f>+'Հավելված N 11'!I579+'Հավելված N 11'!I630</f>
        <v>-4800</v>
      </c>
      <c r="H308" s="420"/>
    </row>
    <row r="309" spans="1:9" s="318" customFormat="1" x14ac:dyDescent="0.3">
      <c r="A309" s="720"/>
      <c r="B309" s="720"/>
      <c r="C309" s="412" t="s">
        <v>608</v>
      </c>
      <c r="D309" s="420">
        <f t="shared" si="138"/>
        <v>-4800</v>
      </c>
      <c r="E309" s="420"/>
      <c r="F309" s="420"/>
      <c r="G309" s="420">
        <f>+'Հավելված N 11'!I580+'Հավելված N 11'!I631</f>
        <v>-4800</v>
      </c>
      <c r="H309" s="420"/>
    </row>
    <row r="310" spans="1:9" s="318" customFormat="1" x14ac:dyDescent="0.3">
      <c r="A310" s="720"/>
      <c r="B310" s="720"/>
      <c r="C310" s="412" t="s">
        <v>609</v>
      </c>
      <c r="D310" s="420">
        <f t="shared" si="138"/>
        <v>-4800</v>
      </c>
      <c r="E310" s="420"/>
      <c r="F310" s="420"/>
      <c r="G310" s="420">
        <f>+'Հավելված N 11'!I581+'Հավելված N 11'!I632</f>
        <v>-4800</v>
      </c>
      <c r="H310" s="420"/>
    </row>
    <row r="311" spans="1:9" s="318" customFormat="1" x14ac:dyDescent="0.3">
      <c r="A311" s="720"/>
      <c r="B311" s="720"/>
      <c r="C311" s="412" t="s">
        <v>610</v>
      </c>
      <c r="D311" s="420">
        <f t="shared" si="138"/>
        <v>-4800</v>
      </c>
      <c r="E311" s="420"/>
      <c r="F311" s="420"/>
      <c r="G311" s="420">
        <f>+'Հավելված N 11'!I582+'Հավելված N 11'!I633</f>
        <v>-4800</v>
      </c>
      <c r="H311" s="420"/>
    </row>
    <row r="312" spans="1:9" s="318" customFormat="1" x14ac:dyDescent="0.3">
      <c r="A312" s="720"/>
      <c r="B312" s="720"/>
      <c r="C312" s="412" t="s">
        <v>611</v>
      </c>
      <c r="D312" s="420">
        <f t="shared" si="138"/>
        <v>-4800</v>
      </c>
      <c r="E312" s="420"/>
      <c r="F312" s="420"/>
      <c r="G312" s="420">
        <f>+'Հավելված N 11'!I583+'Հավելված N 11'!I634</f>
        <v>-4800</v>
      </c>
      <c r="H312" s="420"/>
    </row>
    <row r="313" spans="1:9" s="318" customFormat="1" x14ac:dyDescent="0.3">
      <c r="A313" s="720"/>
      <c r="B313" s="720"/>
      <c r="C313" s="412" t="s">
        <v>612</v>
      </c>
      <c r="D313" s="420">
        <f t="shared" si="138"/>
        <v>-18300</v>
      </c>
      <c r="E313" s="420"/>
      <c r="F313" s="420"/>
      <c r="G313" s="420">
        <f>+'Հավելված N 11'!I584+'Հավելված N 11'!I635</f>
        <v>-18300</v>
      </c>
      <c r="H313" s="420"/>
    </row>
    <row r="314" spans="1:9" s="318" customFormat="1" x14ac:dyDescent="0.3">
      <c r="A314" s="720"/>
      <c r="B314" s="720"/>
      <c r="C314" s="412" t="s">
        <v>613</v>
      </c>
      <c r="D314" s="420">
        <f t="shared" si="138"/>
        <v>-4800</v>
      </c>
      <c r="E314" s="420"/>
      <c r="F314" s="420"/>
      <c r="G314" s="420">
        <f>+'Հավելված N 11'!I585+'Հավելված N 11'!I636</f>
        <v>-4800</v>
      </c>
      <c r="H314" s="420"/>
    </row>
    <row r="315" spans="1:9" s="318" customFormat="1" x14ac:dyDescent="0.3">
      <c r="A315" s="720"/>
      <c r="B315" s="720"/>
      <c r="C315" s="412" t="s">
        <v>614</v>
      </c>
      <c r="D315" s="420">
        <f t="shared" si="138"/>
        <v>-4800</v>
      </c>
      <c r="E315" s="420"/>
      <c r="F315" s="420"/>
      <c r="G315" s="420">
        <f>+'Հավելված N 11'!I586+'Հավելված N 11'!I637</f>
        <v>-4800</v>
      </c>
      <c r="H315" s="420"/>
    </row>
    <row r="316" spans="1:9" s="318" customFormat="1" x14ac:dyDescent="0.3">
      <c r="A316" s="720"/>
      <c r="B316" s="720"/>
      <c r="C316" s="412" t="s">
        <v>615</v>
      </c>
      <c r="D316" s="420">
        <f t="shared" si="138"/>
        <v>-4800</v>
      </c>
      <c r="E316" s="420"/>
      <c r="F316" s="420"/>
      <c r="G316" s="420">
        <f>+'Հավելված N 11'!I587+'Հավելված N 11'!I638</f>
        <v>-4800</v>
      </c>
      <c r="H316" s="420"/>
    </row>
    <row r="317" spans="1:9" s="318" customFormat="1" x14ac:dyDescent="0.3">
      <c r="A317" s="720"/>
      <c r="B317" s="720"/>
      <c r="C317" s="412" t="s">
        <v>616</v>
      </c>
      <c r="D317" s="420">
        <f t="shared" si="138"/>
        <v>-4800</v>
      </c>
      <c r="E317" s="420"/>
      <c r="F317" s="420"/>
      <c r="G317" s="420">
        <f>+'Հավելված N 11'!I588+'Հավելված N 11'!I639</f>
        <v>-4800</v>
      </c>
      <c r="H317" s="420"/>
    </row>
    <row r="318" spans="1:9" s="318" customFormat="1" x14ac:dyDescent="0.3">
      <c r="A318" s="720"/>
      <c r="B318" s="720"/>
      <c r="C318" s="412" t="s">
        <v>617</v>
      </c>
      <c r="D318" s="420">
        <f t="shared" si="138"/>
        <v>-4800</v>
      </c>
      <c r="E318" s="420"/>
      <c r="F318" s="420"/>
      <c r="G318" s="420">
        <f>+'Հավելված N 11'!I589+'Հավելված N 11'!I640</f>
        <v>-4800</v>
      </c>
      <c r="H318" s="420"/>
    </row>
    <row r="319" spans="1:9" s="318" customFormat="1" x14ac:dyDescent="0.3">
      <c r="A319" s="720"/>
      <c r="B319" s="720"/>
      <c r="C319" s="412" t="s">
        <v>618</v>
      </c>
      <c r="D319" s="420">
        <f t="shared" si="138"/>
        <v>-4800</v>
      </c>
      <c r="E319" s="420"/>
      <c r="F319" s="420"/>
      <c r="G319" s="420">
        <f>+'Հավելված N 11'!I590+'Հավելված N 11'!I641</f>
        <v>-4800</v>
      </c>
      <c r="H319" s="420"/>
    </row>
    <row r="320" spans="1:9" s="318" customFormat="1" x14ac:dyDescent="0.3">
      <c r="A320" s="720"/>
      <c r="B320" s="720"/>
      <c r="C320" s="412" t="s">
        <v>619</v>
      </c>
      <c r="D320" s="420">
        <f t="shared" si="138"/>
        <v>-4800</v>
      </c>
      <c r="E320" s="420"/>
      <c r="F320" s="420"/>
      <c r="G320" s="420">
        <f>+'Հավելված N 11'!I591+'Հավելված N 11'!I642</f>
        <v>-4800</v>
      </c>
      <c r="H320" s="420"/>
    </row>
    <row r="321" spans="1:9" s="318" customFormat="1" x14ac:dyDescent="0.3">
      <c r="A321" s="721"/>
      <c r="B321" s="721"/>
      <c r="C321" s="412" t="s">
        <v>620</v>
      </c>
      <c r="D321" s="420">
        <f t="shared" si="138"/>
        <v>-4800</v>
      </c>
      <c r="E321" s="420"/>
      <c r="F321" s="420"/>
      <c r="G321" s="420">
        <f>+'Հավելված N 11'!I592+'Հավելված N 11'!I643</f>
        <v>-4800</v>
      </c>
      <c r="H321" s="420"/>
    </row>
    <row r="322" spans="1:9" s="395" customFormat="1" ht="16.95" customHeight="1" x14ac:dyDescent="0.4">
      <c r="A322" s="50"/>
      <c r="B322" s="50"/>
      <c r="C322" s="435" t="s">
        <v>301</v>
      </c>
      <c r="D322" s="415">
        <f>SUM(E322:H322)</f>
        <v>-25200</v>
      </c>
      <c r="E322" s="415">
        <f>SUM(E323:E327)</f>
        <v>0</v>
      </c>
      <c r="F322" s="415">
        <f t="shared" ref="F322:H322" si="139">SUM(F323:F327)</f>
        <v>0</v>
      </c>
      <c r="G322" s="415">
        <f t="shared" si="139"/>
        <v>-25200</v>
      </c>
      <c r="H322" s="415">
        <f t="shared" si="139"/>
        <v>0</v>
      </c>
      <c r="I322" s="394"/>
    </row>
    <row r="323" spans="1:9" s="318" customFormat="1" x14ac:dyDescent="0.3">
      <c r="A323" s="738"/>
      <c r="B323" s="738"/>
      <c r="C323" s="403" t="s">
        <v>621</v>
      </c>
      <c r="D323" s="420">
        <f t="shared" ref="D323:D327" si="140">+E323+F323+G323+H323</f>
        <v>-4800</v>
      </c>
      <c r="E323" s="420"/>
      <c r="F323" s="420"/>
      <c r="G323" s="420">
        <f>+'Հավելված N 11'!I593+'Հավելված N 11'!I644</f>
        <v>-4800</v>
      </c>
      <c r="H323" s="420"/>
    </row>
    <row r="324" spans="1:9" s="318" customFormat="1" x14ac:dyDescent="0.3">
      <c r="A324" s="738"/>
      <c r="B324" s="738"/>
      <c r="C324" s="403" t="s">
        <v>622</v>
      </c>
      <c r="D324" s="420">
        <f t="shared" si="140"/>
        <v>-5400</v>
      </c>
      <c r="E324" s="420"/>
      <c r="F324" s="420"/>
      <c r="G324" s="420">
        <f>+'Հավելված N 11'!I594+'Հավելված N 11'!I645</f>
        <v>-5400</v>
      </c>
      <c r="H324" s="420"/>
    </row>
    <row r="325" spans="1:9" s="318" customFormat="1" x14ac:dyDescent="0.3">
      <c r="A325" s="738"/>
      <c r="B325" s="738"/>
      <c r="C325" s="403" t="s">
        <v>623</v>
      </c>
      <c r="D325" s="420">
        <f t="shared" si="140"/>
        <v>-4800</v>
      </c>
      <c r="E325" s="420"/>
      <c r="F325" s="420"/>
      <c r="G325" s="420">
        <f>+'Հավելված N 11'!I595+'Հավելված N 11'!I646</f>
        <v>-4800</v>
      </c>
      <c r="H325" s="420"/>
    </row>
    <row r="326" spans="1:9" s="318" customFormat="1" x14ac:dyDescent="0.3">
      <c r="A326" s="738"/>
      <c r="B326" s="738"/>
      <c r="C326" s="403" t="s">
        <v>606</v>
      </c>
      <c r="D326" s="420">
        <f t="shared" si="140"/>
        <v>-5400</v>
      </c>
      <c r="E326" s="420"/>
      <c r="F326" s="420"/>
      <c r="G326" s="420">
        <f>+'Հավելված N 11'!I596+'Հավելված N 11'!I647</f>
        <v>-5400</v>
      </c>
      <c r="H326" s="420"/>
    </row>
    <row r="327" spans="1:9" s="318" customFormat="1" x14ac:dyDescent="0.3">
      <c r="A327" s="738"/>
      <c r="B327" s="738"/>
      <c r="C327" s="403" t="s">
        <v>624</v>
      </c>
      <c r="D327" s="420">
        <f t="shared" si="140"/>
        <v>-4800</v>
      </c>
      <c r="E327" s="420"/>
      <c r="F327" s="420"/>
      <c r="G327" s="420">
        <f>+'Հավելված N 11'!I597+'Հավելված N 11'!I648</f>
        <v>-4800</v>
      </c>
      <c r="H327" s="420"/>
    </row>
  </sheetData>
  <mergeCells count="78">
    <mergeCell ref="A258:A261"/>
    <mergeCell ref="B258:B261"/>
    <mergeCell ref="A263:A265"/>
    <mergeCell ref="B263:B265"/>
    <mergeCell ref="B308:B321"/>
    <mergeCell ref="A308:A321"/>
    <mergeCell ref="A271:A277"/>
    <mergeCell ref="B271:B277"/>
    <mergeCell ref="A323:A327"/>
    <mergeCell ref="B323:B327"/>
    <mergeCell ref="A279:A282"/>
    <mergeCell ref="B279:B282"/>
    <mergeCell ref="A284:A292"/>
    <mergeCell ref="B284:B292"/>
    <mergeCell ref="B294:B304"/>
    <mergeCell ref="A294:A304"/>
    <mergeCell ref="A252:A256"/>
    <mergeCell ref="B252:B256"/>
    <mergeCell ref="B225:B226"/>
    <mergeCell ref="A225:A226"/>
    <mergeCell ref="A239:A240"/>
    <mergeCell ref="B239:B240"/>
    <mergeCell ref="A246:A247"/>
    <mergeCell ref="B246:B247"/>
    <mergeCell ref="B249:B250"/>
    <mergeCell ref="A249:A250"/>
    <mergeCell ref="B242:B244"/>
    <mergeCell ref="A242:A244"/>
    <mergeCell ref="B202:B204"/>
    <mergeCell ref="A202:A204"/>
    <mergeCell ref="B206:B207"/>
    <mergeCell ref="A206:A207"/>
    <mergeCell ref="B209:B211"/>
    <mergeCell ref="A209:A211"/>
    <mergeCell ref="B194:B195"/>
    <mergeCell ref="A194:A195"/>
    <mergeCell ref="B175:B179"/>
    <mergeCell ref="A175:A179"/>
    <mergeCell ref="B181:B188"/>
    <mergeCell ref="A181:A188"/>
    <mergeCell ref="B82:B83"/>
    <mergeCell ref="A82:A83"/>
    <mergeCell ref="A96:A97"/>
    <mergeCell ref="B96:B97"/>
    <mergeCell ref="B139:B146"/>
    <mergeCell ref="A139:A146"/>
    <mergeCell ref="A197:A198"/>
    <mergeCell ref="B197:B198"/>
    <mergeCell ref="A232:A233"/>
    <mergeCell ref="B232:B233"/>
    <mergeCell ref="B101:B103"/>
    <mergeCell ref="A101:A103"/>
    <mergeCell ref="A116:A123"/>
    <mergeCell ref="B116:B123"/>
    <mergeCell ref="B125:B127"/>
    <mergeCell ref="A125:A127"/>
    <mergeCell ref="B148:B159"/>
    <mergeCell ref="A148:A159"/>
    <mergeCell ref="A161:A173"/>
    <mergeCell ref="B161:B173"/>
    <mergeCell ref="B129:B137"/>
    <mergeCell ref="A129:A137"/>
    <mergeCell ref="F1:H1"/>
    <mergeCell ref="F2:H2"/>
    <mergeCell ref="F3:H3"/>
    <mergeCell ref="A6:H7"/>
    <mergeCell ref="A10:B10"/>
    <mergeCell ref="C10:C11"/>
    <mergeCell ref="D10:D11"/>
    <mergeCell ref="E10:H10"/>
    <mergeCell ref="A18:A31"/>
    <mergeCell ref="B18:B31"/>
    <mergeCell ref="A46:A52"/>
    <mergeCell ref="B46:B52"/>
    <mergeCell ref="B77:B80"/>
    <mergeCell ref="A77:A80"/>
    <mergeCell ref="B69:B73"/>
    <mergeCell ref="A69:A73"/>
  </mergeCells>
  <pageMargins left="0.7" right="0.7" top="0.75" bottom="0.75" header="0.3" footer="0.3"/>
  <pageSetup paperSize="9" scale="4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1"/>
  <sheetViews>
    <sheetView topLeftCell="A5" zoomScale="90" zoomScaleNormal="90" workbookViewId="0">
      <selection activeCell="F12" sqref="F12"/>
    </sheetView>
  </sheetViews>
  <sheetFormatPr defaultColWidth="9.109375" defaultRowHeight="17.399999999999999" x14ac:dyDescent="0.4"/>
  <cols>
    <col min="1" max="1" width="9.109375" style="46"/>
    <col min="2" max="3" width="9.88671875" style="8" customWidth="1"/>
    <col min="4" max="4" width="54.21875" style="8" customWidth="1"/>
    <col min="5" max="5" width="31.6640625" style="31" customWidth="1"/>
    <col min="6" max="6" width="50.109375" style="8" customWidth="1"/>
    <col min="7" max="8" width="9.109375" style="8"/>
    <col min="9" max="9" width="12.21875" style="8" customWidth="1"/>
    <col min="10" max="16384" width="9.109375" style="8"/>
  </cols>
  <sheetData>
    <row r="1" spans="1:6" s="121" customFormat="1" ht="37.5" customHeight="1" x14ac:dyDescent="0.4">
      <c r="A1" s="77"/>
      <c r="D1" s="745" t="s">
        <v>83</v>
      </c>
      <c r="E1" s="745"/>
    </row>
    <row r="2" spans="1:6" s="121" customFormat="1" ht="17.55" customHeight="1" x14ac:dyDescent="0.4">
      <c r="A2" s="77"/>
      <c r="D2" s="751" t="s">
        <v>123</v>
      </c>
      <c r="E2" s="751"/>
    </row>
    <row r="3" spans="1:6" s="121" customFormat="1" ht="17.55" customHeight="1" x14ac:dyDescent="0.4">
      <c r="A3" s="77"/>
      <c r="D3" s="751" t="s">
        <v>81</v>
      </c>
      <c r="E3" s="751"/>
    </row>
    <row r="4" spans="1:6" ht="13.65" customHeight="1" x14ac:dyDescent="0.4">
      <c r="D4" s="75"/>
      <c r="E4" s="105"/>
    </row>
    <row r="5" spans="1:6" ht="85.65" customHeight="1" x14ac:dyDescent="0.4">
      <c r="B5" s="746" t="s">
        <v>124</v>
      </c>
      <c r="C5" s="746"/>
      <c r="D5" s="746"/>
      <c r="E5" s="746"/>
    </row>
    <row r="6" spans="1:6" x14ac:dyDescent="0.4">
      <c r="E6" s="106"/>
    </row>
    <row r="7" spans="1:6" x14ac:dyDescent="0.4">
      <c r="E7" s="106"/>
    </row>
    <row r="8" spans="1:6" x14ac:dyDescent="0.4">
      <c r="E8" s="454" t="s">
        <v>21</v>
      </c>
    </row>
    <row r="9" spans="1:6" ht="111.75" customHeight="1" x14ac:dyDescent="0.4">
      <c r="B9" s="747" t="s">
        <v>48</v>
      </c>
      <c r="C9" s="747"/>
      <c r="D9" s="707" t="s">
        <v>49</v>
      </c>
      <c r="E9" s="453" t="s">
        <v>113</v>
      </c>
    </row>
    <row r="10" spans="1:6" ht="24" customHeight="1" x14ac:dyDescent="0.4">
      <c r="B10" s="749" t="s">
        <v>51</v>
      </c>
      <c r="C10" s="749" t="s">
        <v>52</v>
      </c>
      <c r="D10" s="748"/>
      <c r="E10" s="750" t="s">
        <v>50</v>
      </c>
    </row>
    <row r="11" spans="1:6" x14ac:dyDescent="0.4">
      <c r="B11" s="749"/>
      <c r="C11" s="749"/>
      <c r="D11" s="708"/>
      <c r="E11" s="710"/>
      <c r="F11" s="26"/>
    </row>
    <row r="12" spans="1:6" ht="36" x14ac:dyDescent="0.4">
      <c r="B12" s="123"/>
      <c r="C12" s="123"/>
      <c r="D12" s="1" t="s">
        <v>55</v>
      </c>
      <c r="E12" s="5">
        <f>+E14+E35+E47+E60+E66+E72+E101+E107+E110+E117+E130+E136+E221+E246+E256+E267+E276+E310</f>
        <v>-14769223.969999999</v>
      </c>
      <c r="F12" s="49"/>
    </row>
    <row r="13" spans="1:6" ht="18" x14ac:dyDescent="0.4">
      <c r="B13" s="123"/>
      <c r="C13" s="123"/>
      <c r="D13" s="14" t="s">
        <v>56</v>
      </c>
      <c r="E13" s="61"/>
    </row>
    <row r="14" spans="1:6" s="129" customFormat="1" ht="67.650000000000006" customHeight="1" x14ac:dyDescent="0.4">
      <c r="B14" s="130">
        <v>1045</v>
      </c>
      <c r="C14" s="131">
        <v>32001</v>
      </c>
      <c r="D14" s="132" t="s">
        <v>176</v>
      </c>
      <c r="E14" s="133">
        <f>+E16+E24</f>
        <v>-710539.10000000009</v>
      </c>
      <c r="F14" s="536"/>
    </row>
    <row r="15" spans="1:6" s="129" customFormat="1" ht="18" x14ac:dyDescent="0.4">
      <c r="B15" s="134"/>
      <c r="C15" s="134"/>
      <c r="D15" s="135" t="s">
        <v>54</v>
      </c>
      <c r="E15" s="136"/>
    </row>
    <row r="16" spans="1:6" s="129" customFormat="1" ht="18" x14ac:dyDescent="0.4">
      <c r="B16" s="137"/>
      <c r="C16" s="137"/>
      <c r="D16" s="138" t="s">
        <v>137</v>
      </c>
      <c r="E16" s="139">
        <f>+E18+E20+E22</f>
        <v>-385126</v>
      </c>
    </row>
    <row r="17" spans="2:5" s="129" customFormat="1" x14ac:dyDescent="0.4">
      <c r="B17" s="137"/>
      <c r="C17" s="137"/>
      <c r="D17" s="140" t="s">
        <v>128</v>
      </c>
      <c r="E17" s="141"/>
    </row>
    <row r="18" spans="2:5" s="129" customFormat="1" ht="18" x14ac:dyDescent="0.4">
      <c r="B18" s="142"/>
      <c r="C18" s="142"/>
      <c r="D18" s="143" t="s">
        <v>149</v>
      </c>
      <c r="E18" s="144">
        <f>+E19</f>
        <v>-10364</v>
      </c>
    </row>
    <row r="19" spans="2:5" s="129" customFormat="1" ht="34.799999999999997" x14ac:dyDescent="0.4">
      <c r="B19" s="302"/>
      <c r="C19" s="302"/>
      <c r="D19" s="145" t="str">
        <f>+'Հավելված N 5'!C19</f>
        <v>«Երևանի թեթև արդյունաբերության պետական քոլեջ» ՊՈԱԿ</v>
      </c>
      <c r="E19" s="345">
        <f>+'Հավելված N 5'!D19</f>
        <v>-10364</v>
      </c>
    </row>
    <row r="20" spans="2:5" s="129" customFormat="1" ht="18" x14ac:dyDescent="0.4">
      <c r="B20" s="142"/>
      <c r="C20" s="142"/>
      <c r="D20" s="143" t="s">
        <v>169</v>
      </c>
      <c r="E20" s="308">
        <f>+E21</f>
        <v>-155400</v>
      </c>
    </row>
    <row r="21" spans="2:5" s="129" customFormat="1" ht="34.799999999999997" x14ac:dyDescent="0.4">
      <c r="B21" s="302"/>
      <c r="C21" s="302"/>
      <c r="D21" s="145" t="str">
        <f>+'Հավելված N 5'!C23</f>
        <v>«Մասիսի պետական գյուղատնտեսական քոլեջ» ՊՈԱԿ</v>
      </c>
      <c r="E21" s="146">
        <f>+'Հավելված N 5'!D23</f>
        <v>-155400</v>
      </c>
    </row>
    <row r="22" spans="2:5" s="129" customFormat="1" ht="18" x14ac:dyDescent="0.4">
      <c r="B22" s="142"/>
      <c r="C22" s="142"/>
      <c r="D22" s="143" t="s">
        <v>167</v>
      </c>
      <c r="E22" s="308">
        <f>+E23</f>
        <v>-219362</v>
      </c>
    </row>
    <row r="23" spans="2:5" s="129" customFormat="1" ht="52.2" x14ac:dyDescent="0.4">
      <c r="B23" s="302"/>
      <c r="C23" s="302"/>
      <c r="D23" s="145" t="str">
        <f>+'Հավելված N 5'!C29</f>
        <v>«Նոր Գեղիի ակադեմիկոս Գ. Աղաջանյանի անվան պետական գյուղատնտեսական քոլեջ» ՊՈԱԿ</v>
      </c>
      <c r="E23" s="146">
        <f>+'Հավելված N 5'!D29</f>
        <v>-219362</v>
      </c>
    </row>
    <row r="24" spans="2:5" s="129" customFormat="1" ht="36" x14ac:dyDescent="0.4">
      <c r="B24" s="137"/>
      <c r="C24" s="137"/>
      <c r="D24" s="138" t="s">
        <v>39</v>
      </c>
      <c r="E24" s="139">
        <f>+E26+E29+E31+E33</f>
        <v>-325413.10000000003</v>
      </c>
    </row>
    <row r="25" spans="2:5" s="129" customFormat="1" x14ac:dyDescent="0.4">
      <c r="B25" s="137"/>
      <c r="C25" s="137"/>
      <c r="D25" s="140" t="s">
        <v>128</v>
      </c>
      <c r="E25" s="141"/>
    </row>
    <row r="26" spans="2:5" s="129" customFormat="1" ht="18" x14ac:dyDescent="0.4">
      <c r="B26" s="142"/>
      <c r="C26" s="142"/>
      <c r="D26" s="143" t="s">
        <v>149</v>
      </c>
      <c r="E26" s="144">
        <f>+E27+E28</f>
        <v>-310318.90000000002</v>
      </c>
    </row>
    <row r="27" spans="2:5" s="129" customFormat="1" ht="34.799999999999997" x14ac:dyDescent="0.4">
      <c r="B27" s="752"/>
      <c r="C27" s="752"/>
      <c r="D27" s="145" t="str">
        <f>+'Հավելված N 5'!C20</f>
        <v>«Երևանի հ․8 արհեստագործական պետական ուսումնարան» ՊՈԱԿ</v>
      </c>
      <c r="E27" s="345">
        <f>+'Հավելված N 5'!D20</f>
        <v>-292850.7</v>
      </c>
    </row>
    <row r="28" spans="2:5" s="129" customFormat="1" ht="34.799999999999997" x14ac:dyDescent="0.4">
      <c r="B28" s="753"/>
      <c r="C28" s="753"/>
      <c r="D28" s="145" t="str">
        <f>+'Հավելված N 5'!C21</f>
        <v>«Երևանի հ․9 արհեստագործական պետական ուսումնարան» ՊՈԱԿ</v>
      </c>
      <c r="E28" s="345">
        <f>+'Հավելված N 5'!D21</f>
        <v>-17468.2</v>
      </c>
    </row>
    <row r="29" spans="2:5" s="129" customFormat="1" ht="18" x14ac:dyDescent="0.4">
      <c r="B29" s="142"/>
      <c r="C29" s="142"/>
      <c r="D29" s="143" t="s">
        <v>265</v>
      </c>
      <c r="E29" s="308">
        <f>+E30</f>
        <v>-6636.5</v>
      </c>
    </row>
    <row r="30" spans="2:5" s="129" customFormat="1" x14ac:dyDescent="0.4">
      <c r="B30" s="302"/>
      <c r="C30" s="302"/>
      <c r="D30" s="145" t="str">
        <f>+'Հավելված N 5'!C25</f>
        <v>«Գավառի պետական բժշկական քոլեջ» ՊՈԱԿ</v>
      </c>
      <c r="E30" s="146">
        <f>+'Հավելված N 5'!D25</f>
        <v>-6636.5</v>
      </c>
    </row>
    <row r="31" spans="2:5" s="129" customFormat="1" ht="18" x14ac:dyDescent="0.4">
      <c r="B31" s="142"/>
      <c r="C31" s="142"/>
      <c r="D31" s="143" t="s">
        <v>175</v>
      </c>
      <c r="E31" s="308">
        <f>+E32</f>
        <v>-7083.3</v>
      </c>
    </row>
    <row r="32" spans="2:5" s="129" customFormat="1" ht="50.7" customHeight="1" x14ac:dyDescent="0.4">
      <c r="B32" s="302"/>
      <c r="C32" s="302"/>
      <c r="D32" s="145" t="str">
        <f>+'Հավելված N 5'!C27</f>
        <v xml:space="preserve">«Վանաձորի Կ. Ղարաքեշիշյանի անվան N 1 արհեստագործական պետական ուսումնարան» ՊՈԱԿ </v>
      </c>
      <c r="E32" s="146">
        <f>+'Հավելված N 5'!D27</f>
        <v>-7083.3</v>
      </c>
    </row>
    <row r="33" spans="2:5" s="129" customFormat="1" ht="18" x14ac:dyDescent="0.4">
      <c r="B33" s="142"/>
      <c r="C33" s="142"/>
      <c r="D33" s="143" t="s">
        <v>136</v>
      </c>
      <c r="E33" s="308">
        <f>+E34</f>
        <v>-1374.3999999999999</v>
      </c>
    </row>
    <row r="34" spans="2:5" s="129" customFormat="1" x14ac:dyDescent="0.4">
      <c r="B34" s="302"/>
      <c r="C34" s="302"/>
      <c r="D34" s="145" t="str">
        <f>+'Հավելված N 5'!C31</f>
        <v xml:space="preserve">«Արթիկի պետական քոլեջ» ՊՈԱԿ </v>
      </c>
      <c r="E34" s="146">
        <f>+'Հավելված N 5'!D31</f>
        <v>-1374.3999999999999</v>
      </c>
    </row>
    <row r="35" spans="2:5" s="129" customFormat="1" ht="67.650000000000006" customHeight="1" x14ac:dyDescent="0.4">
      <c r="B35" s="130">
        <v>1045</v>
      </c>
      <c r="C35" s="220">
        <v>32005</v>
      </c>
      <c r="D35" s="216" t="s">
        <v>178</v>
      </c>
      <c r="E35" s="133">
        <f t="shared" ref="E35" si="0">+E37</f>
        <v>-955465.70000000007</v>
      </c>
    </row>
    <row r="36" spans="2:5" s="129" customFormat="1" ht="18" x14ac:dyDescent="0.4">
      <c r="B36" s="134"/>
      <c r="C36" s="134"/>
      <c r="D36" s="135" t="s">
        <v>54</v>
      </c>
      <c r="E36" s="136"/>
    </row>
    <row r="37" spans="2:5" s="129" customFormat="1" ht="18" x14ac:dyDescent="0.4">
      <c r="B37" s="137"/>
      <c r="C37" s="137"/>
      <c r="D37" s="138" t="s">
        <v>137</v>
      </c>
      <c r="E37" s="139">
        <f>+E39+E41+E43+E45</f>
        <v>-955465.70000000007</v>
      </c>
    </row>
    <row r="38" spans="2:5" s="129" customFormat="1" x14ac:dyDescent="0.4">
      <c r="B38" s="137"/>
      <c r="C38" s="137"/>
      <c r="D38" s="140" t="s">
        <v>128</v>
      </c>
      <c r="E38" s="141"/>
    </row>
    <row r="39" spans="2:5" s="129" customFormat="1" ht="18" x14ac:dyDescent="0.4">
      <c r="B39" s="189"/>
      <c r="C39" s="189"/>
      <c r="D39" s="350" t="s">
        <v>111</v>
      </c>
      <c r="E39" s="308">
        <f>+E40</f>
        <v>-453627.9</v>
      </c>
    </row>
    <row r="40" spans="2:5" s="129" customFormat="1" ht="52.2" x14ac:dyDescent="0.4">
      <c r="B40" s="248"/>
      <c r="C40" s="248"/>
      <c r="D40" s="145" t="str">
        <f>+'Հավելված N 5'!C35</f>
        <v>Հայաստանի ազգային ագրարային համալսարան հիմնադրամի Ապարանի մասնաճյուղ</v>
      </c>
      <c r="E40" s="146">
        <f>+'Հավելված N 5'!D35</f>
        <v>-453627.9</v>
      </c>
    </row>
    <row r="41" spans="2:5" s="129" customFormat="1" ht="18" x14ac:dyDescent="0.4">
      <c r="B41" s="189"/>
      <c r="C41" s="189"/>
      <c r="D41" s="143" t="s">
        <v>265</v>
      </c>
      <c r="E41" s="308">
        <f>+E42</f>
        <v>-155280</v>
      </c>
    </row>
    <row r="42" spans="2:5" s="129" customFormat="1" ht="34.799999999999997" x14ac:dyDescent="0.4">
      <c r="B42" s="248"/>
      <c r="C42" s="248"/>
      <c r="D42" s="145" t="str">
        <f>+'Հավելված N 5'!C37</f>
        <v>«Գավառի ակադեմիկոս Ա. Թամամշևի անվան պետական գյուղատնտեսական քոլեջ» ՊՈԱԿ</v>
      </c>
      <c r="E42" s="146">
        <f>+'Հավելված N 5'!D37</f>
        <v>-155280</v>
      </c>
    </row>
    <row r="43" spans="2:5" s="129" customFormat="1" ht="18" x14ac:dyDescent="0.4">
      <c r="B43" s="189"/>
      <c r="C43" s="189"/>
      <c r="D43" s="143" t="s">
        <v>175</v>
      </c>
      <c r="E43" s="308">
        <f>+E44</f>
        <v>-103600</v>
      </c>
    </row>
    <row r="44" spans="2:5" s="129" customFormat="1" ht="34.799999999999997" x14ac:dyDescent="0.4">
      <c r="B44" s="248"/>
      <c r="C44" s="248"/>
      <c r="D44" s="145" t="str">
        <f>+'Հավելված N 5'!C39</f>
        <v>«Ստեփանավանի պրոֆ. Քալանթարի անվան պետական գյուղատնտեսական քոլեջ» ՊՈԱԿ</v>
      </c>
      <c r="E44" s="146">
        <f>+'Հավելված N 5'!D39</f>
        <v>-103600</v>
      </c>
    </row>
    <row r="45" spans="2:5" s="129" customFormat="1" ht="18" x14ac:dyDescent="0.4">
      <c r="B45" s="189"/>
      <c r="C45" s="189"/>
      <c r="D45" s="143" t="s">
        <v>296</v>
      </c>
      <c r="E45" s="308">
        <f>+E46</f>
        <v>-242957.80000000002</v>
      </c>
    </row>
    <row r="46" spans="2:5" s="129" customFormat="1" ht="34.799999999999997" x14ac:dyDescent="0.4">
      <c r="B46" s="248"/>
      <c r="C46" s="248"/>
      <c r="D46" s="145" t="str">
        <f>+'Հավելված N 5'!C41</f>
        <v>«Գորիսի պրոֆեսոր Խ. Երիցյանի անվան պետական գյուղատնտեսական քոլեջ» ՊՈԱԿ</v>
      </c>
      <c r="E46" s="146">
        <f>+'Հավելված N 5'!D41</f>
        <v>-242957.80000000002</v>
      </c>
    </row>
    <row r="47" spans="2:5" s="129" customFormat="1" ht="36" x14ac:dyDescent="0.4">
      <c r="B47" s="130">
        <v>1075</v>
      </c>
      <c r="C47" s="457">
        <v>21001</v>
      </c>
      <c r="D47" s="216" t="s">
        <v>406</v>
      </c>
      <c r="E47" s="133">
        <f t="shared" ref="E47" si="1">+E49</f>
        <v>-280378</v>
      </c>
    </row>
    <row r="48" spans="2:5" s="129" customFormat="1" ht="18" x14ac:dyDescent="0.4">
      <c r="B48" s="466"/>
      <c r="C48" s="466"/>
      <c r="D48" s="135" t="s">
        <v>54</v>
      </c>
      <c r="E48" s="136"/>
    </row>
    <row r="49" spans="2:6" s="129" customFormat="1" ht="36" x14ac:dyDescent="0.4">
      <c r="B49" s="137"/>
      <c r="C49" s="137"/>
      <c r="D49" s="138" t="s">
        <v>39</v>
      </c>
      <c r="E49" s="139">
        <f>+E51</f>
        <v>-280378</v>
      </c>
    </row>
    <row r="50" spans="2:6" s="129" customFormat="1" x14ac:dyDescent="0.4">
      <c r="B50" s="137"/>
      <c r="C50" s="137"/>
      <c r="D50" s="140" t="s">
        <v>128</v>
      </c>
      <c r="E50" s="141"/>
    </row>
    <row r="51" spans="2:6" s="129" customFormat="1" ht="18" x14ac:dyDescent="0.4">
      <c r="B51" s="485"/>
      <c r="C51" s="485"/>
      <c r="D51" s="482" t="s">
        <v>407</v>
      </c>
      <c r="E51" s="488">
        <f>+E53+E55+E57</f>
        <v>-280378</v>
      </c>
    </row>
    <row r="52" spans="2:6" s="129" customFormat="1" x14ac:dyDescent="0.4">
      <c r="B52" s="485"/>
      <c r="C52" s="485"/>
      <c r="D52" s="487" t="s">
        <v>408</v>
      </c>
      <c r="E52" s="486"/>
    </row>
    <row r="53" spans="2:6" s="129" customFormat="1" ht="18" x14ac:dyDescent="0.4">
      <c r="B53" s="189"/>
      <c r="C53" s="189"/>
      <c r="D53" s="143" t="s">
        <v>149</v>
      </c>
      <c r="E53" s="308">
        <f>+E54</f>
        <v>-198686</v>
      </c>
    </row>
    <row r="54" spans="2:6" s="129" customFormat="1" ht="34.799999999999997" x14ac:dyDescent="0.4">
      <c r="B54" s="248"/>
      <c r="C54" s="248"/>
      <c r="D54" s="145" t="str">
        <f>+'Հավելված N 5'!C47</f>
        <v>Հայոց ցեղասպանության հուշահամալիրի և թանգարանի հիմնանորոգում և բարեկարգում</v>
      </c>
      <c r="E54" s="146">
        <f>+'Հավելված N 5'!D47</f>
        <v>-198686</v>
      </c>
    </row>
    <row r="55" spans="2:6" s="129" customFormat="1" ht="18" x14ac:dyDescent="0.4">
      <c r="B55" s="189"/>
      <c r="C55" s="189"/>
      <c r="D55" s="143" t="s">
        <v>129</v>
      </c>
      <c r="E55" s="308">
        <f>+E56</f>
        <v>-68731.500000000015</v>
      </c>
    </row>
    <row r="56" spans="2:6" s="129" customFormat="1" ht="34.799999999999997" x14ac:dyDescent="0.4">
      <c r="B56" s="248"/>
      <c r="C56" s="248"/>
      <c r="D56" s="145" t="str">
        <f>+'Հավելված N 5'!C49</f>
        <v xml:space="preserve">Այգեշատ համայնքի Թարգմանչաց եկեղեցու վերականգնում </v>
      </c>
      <c r="E56" s="146">
        <f>+'Հավելված N 5'!D49</f>
        <v>-68731.500000000015</v>
      </c>
    </row>
    <row r="57" spans="2:6" s="129" customFormat="1" ht="18" x14ac:dyDescent="0.4">
      <c r="B57" s="189"/>
      <c r="C57" s="189"/>
      <c r="D57" s="143" t="s">
        <v>175</v>
      </c>
      <c r="E57" s="308">
        <f>++E58+E59</f>
        <v>-12960.5</v>
      </c>
    </row>
    <row r="58" spans="2:6" s="129" customFormat="1" ht="52.2" x14ac:dyDescent="0.4">
      <c r="B58" s="752"/>
      <c r="C58" s="752"/>
      <c r="D58" s="145" t="str">
        <f>+'Հավելված N 5'!C51</f>
        <v>Ալավերդի համայնքի  Սանահինի վանական համալիրի Սբ Ամենափրկիչ եկեղեցու տանիքների նորոգում</v>
      </c>
      <c r="E58" s="146">
        <f>+'Հավելված N 5'!D51</f>
        <v>-5019</v>
      </c>
    </row>
    <row r="59" spans="2:6" s="129" customFormat="1" ht="34.799999999999997" x14ac:dyDescent="0.4">
      <c r="B59" s="753"/>
      <c r="C59" s="753"/>
      <c r="D59" s="145" t="str">
        <f>+'Հավելված N 5'!C52</f>
        <v>Քոբայր ե/գ կայարանի Քոբայրավանքի սեղանատան վերականգնում</v>
      </c>
      <c r="E59" s="146">
        <f>+'Հավելված N 5'!D52</f>
        <v>-7941.5</v>
      </c>
    </row>
    <row r="60" spans="2:6" s="129" customFormat="1" ht="36" x14ac:dyDescent="0.4">
      <c r="B60" s="130">
        <v>1075</v>
      </c>
      <c r="C60" s="220">
        <v>32001</v>
      </c>
      <c r="D60" s="216" t="s">
        <v>166</v>
      </c>
      <c r="E60" s="133">
        <f t="shared" ref="E60" si="2">+E62</f>
        <v>-180536.40000000002</v>
      </c>
      <c r="F60" s="290"/>
    </row>
    <row r="61" spans="2:6" s="129" customFormat="1" ht="18" x14ac:dyDescent="0.4">
      <c r="B61" s="134"/>
      <c r="C61" s="134"/>
      <c r="D61" s="135" t="s">
        <v>54</v>
      </c>
      <c r="E61" s="136"/>
    </row>
    <row r="62" spans="2:6" s="129" customFormat="1" ht="36" x14ac:dyDescent="0.4">
      <c r="B62" s="137"/>
      <c r="C62" s="137"/>
      <c r="D62" s="138" t="s">
        <v>39</v>
      </c>
      <c r="E62" s="139">
        <f>+E64</f>
        <v>-180536.40000000002</v>
      </c>
    </row>
    <row r="63" spans="2:6" s="129" customFormat="1" x14ac:dyDescent="0.4">
      <c r="B63" s="137"/>
      <c r="C63" s="137"/>
      <c r="D63" s="140" t="s">
        <v>128</v>
      </c>
      <c r="E63" s="141"/>
    </row>
    <row r="64" spans="2:6" s="129" customFormat="1" ht="18" x14ac:dyDescent="0.4">
      <c r="B64" s="189"/>
      <c r="C64" s="189"/>
      <c r="D64" s="143" t="s">
        <v>149</v>
      </c>
      <c r="E64" s="308">
        <f>+E65</f>
        <v>-180536.40000000002</v>
      </c>
    </row>
    <row r="65" spans="2:6" s="129" customFormat="1" x14ac:dyDescent="0.4">
      <c r="B65" s="248"/>
      <c r="C65" s="248"/>
      <c r="D65" s="145" t="str">
        <f>+'Հավելված N 5'!C56</f>
        <v>«Հ. Թումանյանի թանգարան» ՊՈԱԿ</v>
      </c>
      <c r="E65" s="146">
        <f>+'Հավելված N 5'!D56</f>
        <v>-180536.40000000002</v>
      </c>
    </row>
    <row r="66" spans="2:6" s="129" customFormat="1" ht="72" x14ac:dyDescent="0.4">
      <c r="B66" s="130">
        <v>1111</v>
      </c>
      <c r="C66" s="300">
        <v>32001</v>
      </c>
      <c r="D66" s="216" t="s">
        <v>276</v>
      </c>
      <c r="E66" s="133">
        <f t="shared" ref="E66" si="3">+E68</f>
        <v>-374821.87</v>
      </c>
      <c r="F66" s="290"/>
    </row>
    <row r="67" spans="2:6" s="129" customFormat="1" ht="18" x14ac:dyDescent="0.4">
      <c r="B67" s="303"/>
      <c r="C67" s="303"/>
      <c r="D67" s="135" t="s">
        <v>54</v>
      </c>
      <c r="E67" s="136"/>
    </row>
    <row r="68" spans="2:6" s="129" customFormat="1" ht="18" x14ac:dyDescent="0.4">
      <c r="B68" s="137"/>
      <c r="C68" s="137"/>
      <c r="D68" s="138" t="s">
        <v>137</v>
      </c>
      <c r="E68" s="139">
        <f>+E70</f>
        <v>-374821.87</v>
      </c>
    </row>
    <row r="69" spans="2:6" s="129" customFormat="1" x14ac:dyDescent="0.4">
      <c r="B69" s="137"/>
      <c r="C69" s="137"/>
      <c r="D69" s="140" t="s">
        <v>128</v>
      </c>
      <c r="E69" s="141"/>
    </row>
    <row r="70" spans="2:6" s="129" customFormat="1" ht="18" x14ac:dyDescent="0.4">
      <c r="B70" s="189"/>
      <c r="C70" s="189"/>
      <c r="D70" s="143" t="s">
        <v>149</v>
      </c>
      <c r="E70" s="308">
        <f>+E71</f>
        <v>-374821.87</v>
      </c>
    </row>
    <row r="71" spans="2:6" s="129" customFormat="1" ht="34.799999999999997" x14ac:dyDescent="0.4">
      <c r="B71" s="248"/>
      <c r="C71" s="248"/>
      <c r="D71" s="145" t="str">
        <f>+'Հավելված N 5'!C60</f>
        <v>«Երևանի Կոմիտասի անվան պետական կոնսերվատորիա» ՊՈԱԿ</v>
      </c>
      <c r="E71" s="146">
        <f>+'Հավելված N 5'!D60</f>
        <v>-374821.87</v>
      </c>
    </row>
    <row r="72" spans="2:6" s="129" customFormat="1" ht="36" x14ac:dyDescent="0.4">
      <c r="B72" s="232">
        <v>1146</v>
      </c>
      <c r="C72" s="232">
        <v>12010</v>
      </c>
      <c r="D72" s="200" t="s">
        <v>184</v>
      </c>
      <c r="E72" s="133">
        <f>+E74</f>
        <v>-2928071.5999999996</v>
      </c>
    </row>
    <row r="73" spans="2:6" s="129" customFormat="1" ht="18" x14ac:dyDescent="0.4">
      <c r="B73" s="182"/>
      <c r="C73" s="182"/>
      <c r="D73" s="180" t="s">
        <v>53</v>
      </c>
      <c r="E73" s="136"/>
    </row>
    <row r="74" spans="2:6" s="129" customFormat="1" ht="18" x14ac:dyDescent="0.4">
      <c r="B74" s="178"/>
      <c r="C74" s="178"/>
      <c r="D74" s="181" t="s">
        <v>137</v>
      </c>
      <c r="E74" s="139">
        <f>+E76+E77+E78+E79+E81+E87+E89+E94+E97+E99</f>
        <v>-2928071.5999999996</v>
      </c>
    </row>
    <row r="75" spans="2:6" s="129" customFormat="1" ht="18" x14ac:dyDescent="0.4">
      <c r="B75" s="178"/>
      <c r="C75" s="178"/>
      <c r="D75" s="180" t="s">
        <v>85</v>
      </c>
      <c r="E75" s="141"/>
    </row>
    <row r="76" spans="2:6" s="129" customFormat="1" ht="72" x14ac:dyDescent="0.4">
      <c r="B76" s="178"/>
      <c r="C76" s="178"/>
      <c r="D76" s="179" t="s">
        <v>364</v>
      </c>
      <c r="E76" s="309">
        <f>+'Հավելված N 5'!D63</f>
        <v>-460</v>
      </c>
    </row>
    <row r="77" spans="2:6" s="129" customFormat="1" ht="72" x14ac:dyDescent="0.4">
      <c r="B77" s="178"/>
      <c r="C77" s="178"/>
      <c r="D77" s="179" t="s">
        <v>365</v>
      </c>
      <c r="E77" s="309">
        <f>+'Հավելված N 5'!D64</f>
        <v>-900</v>
      </c>
    </row>
    <row r="78" spans="2:6" s="129" customFormat="1" ht="72" x14ac:dyDescent="0.4">
      <c r="B78" s="178"/>
      <c r="C78" s="178"/>
      <c r="D78" s="179" t="s">
        <v>366</v>
      </c>
      <c r="E78" s="309">
        <f>+'Հավելված N 5'!D65</f>
        <v>-700</v>
      </c>
    </row>
    <row r="79" spans="2:6" s="129" customFormat="1" ht="18" x14ac:dyDescent="0.4">
      <c r="B79" s="178"/>
      <c r="C79" s="178"/>
      <c r="D79" s="179" t="s">
        <v>169</v>
      </c>
      <c r="E79" s="144">
        <f>+E80</f>
        <v>-103948.29999999999</v>
      </c>
    </row>
    <row r="80" spans="2:6" s="175" customFormat="1" ht="52.2" x14ac:dyDescent="0.4">
      <c r="B80" s="178"/>
      <c r="C80" s="178"/>
      <c r="D80" s="177" t="str">
        <f>+'Հավելված N 5'!C67</f>
        <v xml:space="preserve">ՀՀ Արարատի մարզի Արալեզ համայնքում «Մոդուլային» տիպի 144 տեղ հզորությամբ մսուր-մանկապարտեզ </v>
      </c>
      <c r="E80" s="176">
        <f>+'Հավելված N 5'!D67</f>
        <v>-103948.29999999999</v>
      </c>
    </row>
    <row r="81" spans="2:5" s="129" customFormat="1" ht="18" x14ac:dyDescent="0.4">
      <c r="B81" s="178"/>
      <c r="C81" s="178"/>
      <c r="D81" s="179" t="s">
        <v>129</v>
      </c>
      <c r="E81" s="144">
        <f>+E82+E83+E84+E85+E86</f>
        <v>-1308357.3999999999</v>
      </c>
    </row>
    <row r="82" spans="2:5" s="175" customFormat="1" ht="52.2" x14ac:dyDescent="0.4">
      <c r="B82" s="697"/>
      <c r="C82" s="697"/>
      <c r="D82" s="177" t="str">
        <f>+'Հավելված N 5'!C69</f>
        <v>ՀՀ Արմավիրի մարզի Այգևան համայնքում «Մոդուլային» տիպի 144 տեղ հզորությամբ մսուր-մանկապարտեզ</v>
      </c>
      <c r="E82" s="176">
        <f>+'Հավելված N 5'!D69</f>
        <v>-258691.6</v>
      </c>
    </row>
    <row r="83" spans="2:5" s="175" customFormat="1" ht="52.2" x14ac:dyDescent="0.4">
      <c r="B83" s="697"/>
      <c r="C83" s="697"/>
      <c r="D83" s="177" t="str">
        <f>+'Հավելված N 5'!C70</f>
        <v>ՀՀ Արմավիրի մարզի Գետաշեն համայնքում «Մոդուլային» տիպի 144 տեղ հզորությամբ մսուր-մանկապարտեզ</v>
      </c>
      <c r="E83" s="176">
        <f>+'Հավելված N 5'!D70</f>
        <v>-490149.30000000005</v>
      </c>
    </row>
    <row r="84" spans="2:5" s="175" customFormat="1" ht="52.2" x14ac:dyDescent="0.4">
      <c r="B84" s="697"/>
      <c r="C84" s="697"/>
      <c r="D84" s="177" t="str">
        <f>+'Հավելված N 5'!C71</f>
        <v>ՀՀ Արմավիրի մարզի Նորավան համայնքում «Մոդուլային» տիպի 144 տեղ հզորությամբ մսուր-մանկապարտեզ</v>
      </c>
      <c r="E84" s="176">
        <f>+'Հավելված N 5'!D71</f>
        <v>-119779.49999999999</v>
      </c>
    </row>
    <row r="85" spans="2:5" s="175" customFormat="1" ht="52.2" x14ac:dyDescent="0.4">
      <c r="B85" s="697"/>
      <c r="C85" s="697"/>
      <c r="D85" s="177" t="str">
        <f>+'Հավելված N 5'!C72</f>
        <v>ՀՀ Արմավիրի մարզի Փշատավան համայնքում «Մոդուլային» տիպի 144 տեղ հզորությամբ մսուր-մանկապարտեզ</v>
      </c>
      <c r="E85" s="176">
        <f>+'Հավելված N 5'!D72</f>
        <v>-283328.60000000003</v>
      </c>
    </row>
    <row r="86" spans="2:5" s="175" customFormat="1" ht="52.2" x14ac:dyDescent="0.4">
      <c r="B86" s="698"/>
      <c r="C86" s="698"/>
      <c r="D86" s="177" t="str">
        <f>+'Հավելված N 5'!C73</f>
        <v>ՀՀ Արմավիրի մարզի Լենուղի համայնքում «Մոդուլային» տիպի 144 տեղ հզորությամբ մսուր-մանկապարտեզ</v>
      </c>
      <c r="E86" s="176">
        <f>+'Հավելված N 5'!D73</f>
        <v>-156408.40000000002</v>
      </c>
    </row>
    <row r="87" spans="2:5" s="129" customFormat="1" ht="18" x14ac:dyDescent="0.4">
      <c r="B87" s="178"/>
      <c r="C87" s="178"/>
      <c r="D87" s="179" t="s">
        <v>265</v>
      </c>
      <c r="E87" s="144">
        <f>+E88</f>
        <v>-153332.5</v>
      </c>
    </row>
    <row r="88" spans="2:5" s="175" customFormat="1" ht="52.2" x14ac:dyDescent="0.4">
      <c r="B88" s="178"/>
      <c r="C88" s="178"/>
      <c r="D88" s="177" t="str">
        <f>+'Հավելված N 5'!C75</f>
        <v xml:space="preserve">ՀՀ Գեղարքունիքի մարզի Աստղաձոր համայնքում «Մոդուլային» տիպի 144 տեղ հզորությամբ մսուր-մանկապարտեզ </v>
      </c>
      <c r="E88" s="176">
        <f>+'Հավելված N 5'!D75</f>
        <v>-153332.5</v>
      </c>
    </row>
    <row r="89" spans="2:5" s="129" customFormat="1" ht="18" x14ac:dyDescent="0.4">
      <c r="B89" s="178"/>
      <c r="C89" s="178"/>
      <c r="D89" s="179" t="s">
        <v>175</v>
      </c>
      <c r="E89" s="144">
        <f>+E90+E91+E92+E93</f>
        <v>-558327.1</v>
      </c>
    </row>
    <row r="90" spans="2:5" s="175" customFormat="1" ht="52.2" x14ac:dyDescent="0.4">
      <c r="B90" s="696"/>
      <c r="C90" s="696"/>
      <c r="D90" s="177" t="str">
        <f>+'Հավելված N 5'!C77</f>
        <v xml:space="preserve">ՀՀ Լոռու մարզի Սպիտակ համայնքում «Մոդուլային» տիպի 144 տեղ հզորությամբ մսուր-մանկապարտեզ </v>
      </c>
      <c r="E90" s="176">
        <f>+'Հավելված N 5'!D77</f>
        <v>-106198.90000000001</v>
      </c>
    </row>
    <row r="91" spans="2:5" s="175" customFormat="1" ht="52.2" x14ac:dyDescent="0.4">
      <c r="B91" s="697"/>
      <c r="C91" s="697"/>
      <c r="D91" s="177" t="str">
        <f>+'Հավելված N 5'!C78</f>
        <v>ՀՀ Լոռու մարզի Գոգարան համայնքում «Մոդուլային» տիպի 144 տեղ հզորությամբ մսուր-մանկապարտեզ</v>
      </c>
      <c r="E91" s="176">
        <f>+'Հավելված N 5'!D78</f>
        <v>-241592.4</v>
      </c>
    </row>
    <row r="92" spans="2:5" s="175" customFormat="1" ht="52.2" x14ac:dyDescent="0.4">
      <c r="B92" s="697"/>
      <c r="C92" s="697"/>
      <c r="D92" s="177" t="str">
        <f>+'Հավելված N 5'!C79</f>
        <v>ՀՀ Լոռու մարզի Լեռնավան համայնքում «Մոդուլային» տիպի 144 տեղ հզորությամբ մսուր-մանկապարտեզ</v>
      </c>
      <c r="E92" s="176">
        <f>+'Հավելված N 5'!D79</f>
        <v>-121303.40000000001</v>
      </c>
    </row>
    <row r="93" spans="2:5" s="175" customFormat="1" ht="52.2" x14ac:dyDescent="0.4">
      <c r="B93" s="698"/>
      <c r="C93" s="698"/>
      <c r="D93" s="177" t="str">
        <f>+'Հավելված N 5'!C80</f>
        <v>ՀՀ Լոռու մարզի Լուսաղբյուր համայնքում «Մոդուլային» տիպի 144 տեղ հզորությամբ մսուր-մանկապարտեզ</v>
      </c>
      <c r="E93" s="176">
        <f>+'Հավելված N 5'!D80</f>
        <v>-89232.4</v>
      </c>
    </row>
    <row r="94" spans="2:5" s="129" customFormat="1" ht="18" x14ac:dyDescent="0.4">
      <c r="B94" s="178"/>
      <c r="C94" s="178"/>
      <c r="D94" s="179" t="s">
        <v>136</v>
      </c>
      <c r="E94" s="144">
        <f>SUM(E95:E96)</f>
        <v>-575753</v>
      </c>
    </row>
    <row r="95" spans="2:5" s="175" customFormat="1" ht="52.2" x14ac:dyDescent="0.4">
      <c r="B95" s="696"/>
      <c r="C95" s="696"/>
      <c r="D95" s="177" t="str">
        <f>+'Հավելված N 5'!C82</f>
        <v>ՀՀ Շիրակի մարզի Արթիկ համայնքում «Մոդուլային» տիպի 144 տեղ հզորությամբ մսուր-մանկապարտեզ</v>
      </c>
      <c r="E95" s="176">
        <f>+'Հավելված N 5'!D82</f>
        <v>-292319.89999999997</v>
      </c>
    </row>
    <row r="96" spans="2:5" s="175" customFormat="1" ht="52.2" x14ac:dyDescent="0.4">
      <c r="B96" s="698"/>
      <c r="C96" s="698"/>
      <c r="D96" s="177" t="str">
        <f>+'Հավելված N 5'!C83</f>
        <v>ՀՀ Շիրակի մարզի Արևշատ համայնքում «Մոդուլային» տիպի 144 տեղ հզորությամբ մսուր-մանկապարտեզ</v>
      </c>
      <c r="E96" s="176">
        <f>+'Հավելված N 5'!D83</f>
        <v>-283433.10000000003</v>
      </c>
    </row>
    <row r="97" spans="2:6" s="129" customFormat="1" ht="18" x14ac:dyDescent="0.4">
      <c r="B97" s="178"/>
      <c r="C97" s="178"/>
      <c r="D97" s="179" t="s">
        <v>185</v>
      </c>
      <c r="E97" s="144">
        <f>+E98</f>
        <v>-51800</v>
      </c>
    </row>
    <row r="98" spans="2:6" s="175" customFormat="1" ht="52.2" x14ac:dyDescent="0.4">
      <c r="B98" s="301"/>
      <c r="C98" s="301"/>
      <c r="D98" s="177" t="str">
        <f>+'Հավելված N 5'!C85</f>
        <v>ՀՀ Վայոց ձորի մարզի Եղեգիս համայնքի Շատին բնակավայրում «Մոդուլային» տիպի 250 տեղ հզորությամբ մսուր-մանկապարտեզ</v>
      </c>
      <c r="E98" s="176">
        <f>+'Հավելված N 5'!D85</f>
        <v>-51800</v>
      </c>
    </row>
    <row r="99" spans="2:6" s="129" customFormat="1" ht="18" x14ac:dyDescent="0.4">
      <c r="B99" s="178"/>
      <c r="C99" s="178"/>
      <c r="D99" s="179" t="s">
        <v>301</v>
      </c>
      <c r="E99" s="144">
        <f>+E100</f>
        <v>-174493.30000000002</v>
      </c>
    </row>
    <row r="100" spans="2:6" s="175" customFormat="1" ht="69.599999999999994" x14ac:dyDescent="0.4">
      <c r="B100" s="301"/>
      <c r="C100" s="301"/>
      <c r="D100" s="177" t="str">
        <f>+'Հավելված N 5'!C87</f>
        <v>ՀՀ Տավուշի մարզի Այրում համայնքի Բագրատաշեն բնակավայրում «Մոդուլային» տիպի 144 տեղ հզորությամբ մսուր-մանկապարտեզ</v>
      </c>
      <c r="E100" s="176">
        <f>+'Հավելված N 5'!D87</f>
        <v>-174493.30000000002</v>
      </c>
    </row>
    <row r="101" spans="2:6" s="129" customFormat="1" ht="54" x14ac:dyDescent="0.4">
      <c r="B101" s="439">
        <v>1148</v>
      </c>
      <c r="C101" s="439">
        <v>32003</v>
      </c>
      <c r="D101" s="371" t="s">
        <v>436</v>
      </c>
      <c r="E101" s="133">
        <f>+E103</f>
        <v>-113596.4</v>
      </c>
    </row>
    <row r="102" spans="2:6" s="129" customFormat="1" ht="18" x14ac:dyDescent="0.4">
      <c r="B102" s="182"/>
      <c r="C102" s="182"/>
      <c r="D102" s="180" t="s">
        <v>53</v>
      </c>
      <c r="E102" s="136"/>
    </row>
    <row r="103" spans="2:6" s="129" customFormat="1" ht="36" x14ac:dyDescent="0.4">
      <c r="B103" s="178"/>
      <c r="C103" s="178"/>
      <c r="D103" s="181" t="s">
        <v>39</v>
      </c>
      <c r="E103" s="139">
        <f>+E105</f>
        <v>-113596.4</v>
      </c>
    </row>
    <row r="104" spans="2:6" s="129" customFormat="1" ht="18" x14ac:dyDescent="0.4">
      <c r="B104" s="178"/>
      <c r="C104" s="178"/>
      <c r="D104" s="180" t="s">
        <v>85</v>
      </c>
      <c r="E104" s="141"/>
    </row>
    <row r="105" spans="2:6" s="129" customFormat="1" ht="18" x14ac:dyDescent="0.4">
      <c r="B105" s="178"/>
      <c r="C105" s="178"/>
      <c r="D105" s="179" t="s">
        <v>167</v>
      </c>
      <c r="E105" s="144">
        <f>+E106</f>
        <v>-113596.4</v>
      </c>
    </row>
    <row r="106" spans="2:6" s="175" customFormat="1" ht="34.799999999999997" x14ac:dyDescent="0.4">
      <c r="B106" s="178"/>
      <c r="C106" s="178"/>
      <c r="D106" s="177" t="str">
        <f>+'Հավելված N 5'!C91</f>
        <v>«Արամ Մանուկյանի անվան մարզառազմական մասնագիտացված դպրոց» ՊՈԱԿ</v>
      </c>
      <c r="E106" s="176">
        <f>+'Հավելված N 5'!D91</f>
        <v>-113596.4</v>
      </c>
    </row>
    <row r="107" spans="2:6" s="129" customFormat="1" ht="72" x14ac:dyDescent="0.4">
      <c r="B107" s="478">
        <v>1162</v>
      </c>
      <c r="C107" s="478">
        <v>32004</v>
      </c>
      <c r="D107" s="480" t="s">
        <v>1089</v>
      </c>
      <c r="E107" s="133">
        <f>+E109</f>
        <v>-3200000</v>
      </c>
    </row>
    <row r="108" spans="2:6" s="129" customFormat="1" ht="18" x14ac:dyDescent="0.4">
      <c r="B108" s="478"/>
      <c r="C108" s="478"/>
      <c r="D108" s="481" t="s">
        <v>53</v>
      </c>
      <c r="E108" s="136"/>
    </row>
    <row r="109" spans="2:6" s="129" customFormat="1" ht="54" x14ac:dyDescent="0.4">
      <c r="B109" s="478"/>
      <c r="C109" s="478"/>
      <c r="D109" s="482" t="s">
        <v>1090</v>
      </c>
      <c r="E109" s="139">
        <f>+'Հավելված N 5'!D92</f>
        <v>-3200000</v>
      </c>
    </row>
    <row r="110" spans="2:6" s="129" customFormat="1" ht="18" x14ac:dyDescent="0.4">
      <c r="B110" s="358">
        <v>1163</v>
      </c>
      <c r="C110" s="358">
        <v>32001</v>
      </c>
      <c r="D110" s="371" t="s">
        <v>442</v>
      </c>
      <c r="E110" s="133">
        <f>+E112</f>
        <v>-160815.1</v>
      </c>
      <c r="F110" s="536"/>
    </row>
    <row r="111" spans="2:6" s="129" customFormat="1" ht="18" x14ac:dyDescent="0.4">
      <c r="B111" s="182"/>
      <c r="C111" s="182"/>
      <c r="D111" s="180" t="s">
        <v>53</v>
      </c>
      <c r="E111" s="136"/>
    </row>
    <row r="112" spans="2:6" s="129" customFormat="1" ht="18" x14ac:dyDescent="0.4">
      <c r="B112" s="178"/>
      <c r="C112" s="178"/>
      <c r="D112" s="181" t="s">
        <v>137</v>
      </c>
      <c r="E112" s="139">
        <f>+E114</f>
        <v>-160815.1</v>
      </c>
    </row>
    <row r="113" spans="2:6" s="129" customFormat="1" ht="18" x14ac:dyDescent="0.4">
      <c r="B113" s="178"/>
      <c r="C113" s="178"/>
      <c r="D113" s="180" t="s">
        <v>85</v>
      </c>
      <c r="E113" s="141"/>
    </row>
    <row r="114" spans="2:6" s="129" customFormat="1" ht="18" x14ac:dyDescent="0.4">
      <c r="B114" s="178"/>
      <c r="C114" s="178"/>
      <c r="D114" s="179" t="s">
        <v>149</v>
      </c>
      <c r="E114" s="144">
        <f>+E115+E116</f>
        <v>-160815.1</v>
      </c>
    </row>
    <row r="115" spans="2:6" s="175" customFormat="1" ht="34.799999999999997" x14ac:dyDescent="0.4">
      <c r="B115" s="696"/>
      <c r="C115" s="696"/>
      <c r="D115" s="177" t="str">
        <f>+'Հավելված N 5'!C96</f>
        <v>«Հեծանվային սպորտի օլիմպիական մանկապատանեկան մարզադպրոց» ՊՈԱԿ</v>
      </c>
      <c r="E115" s="176">
        <f>+'Հավելված N 5'!D96</f>
        <v>-126795.1</v>
      </c>
    </row>
    <row r="116" spans="2:6" s="175" customFormat="1" x14ac:dyDescent="0.4">
      <c r="B116" s="698"/>
      <c r="C116" s="698"/>
      <c r="D116" s="177" t="str">
        <f>+'Հավելված N 5'!C97</f>
        <v>Արթուր Աբրահամի անվան մարզահամալիր</v>
      </c>
      <c r="E116" s="176">
        <f>+'Հավելված N 5'!D97</f>
        <v>-34020</v>
      </c>
    </row>
    <row r="117" spans="2:6" s="129" customFormat="1" ht="18" x14ac:dyDescent="0.4">
      <c r="B117" s="358">
        <v>1163</v>
      </c>
      <c r="C117" s="358">
        <v>32002</v>
      </c>
      <c r="D117" s="371" t="s">
        <v>449</v>
      </c>
      <c r="E117" s="133">
        <f>+E119+E126</f>
        <v>-277975</v>
      </c>
      <c r="F117" s="535"/>
    </row>
    <row r="118" spans="2:6" s="129" customFormat="1" ht="18" x14ac:dyDescent="0.4">
      <c r="B118" s="182"/>
      <c r="C118" s="182"/>
      <c r="D118" s="180" t="s">
        <v>53</v>
      </c>
      <c r="E118" s="136"/>
    </row>
    <row r="119" spans="2:6" s="129" customFormat="1" ht="18" x14ac:dyDescent="0.4">
      <c r="B119" s="178"/>
      <c r="C119" s="178"/>
      <c r="D119" s="181" t="s">
        <v>137</v>
      </c>
      <c r="E119" s="139">
        <f>+E121+E124</f>
        <v>-158105.9</v>
      </c>
    </row>
    <row r="120" spans="2:6" s="129" customFormat="1" ht="18" x14ac:dyDescent="0.4">
      <c r="B120" s="178"/>
      <c r="C120" s="178"/>
      <c r="D120" s="180" t="s">
        <v>85</v>
      </c>
      <c r="E120" s="141"/>
    </row>
    <row r="121" spans="2:6" s="129" customFormat="1" ht="18" x14ac:dyDescent="0.4">
      <c r="B121" s="178"/>
      <c r="C121" s="178"/>
      <c r="D121" s="179" t="s">
        <v>149</v>
      </c>
      <c r="E121" s="144">
        <f>+E122+E123</f>
        <v>-134220.4</v>
      </c>
    </row>
    <row r="122" spans="2:6" s="175" customFormat="1" ht="34.799999999999997" x14ac:dyDescent="0.4">
      <c r="B122" s="696"/>
      <c r="C122" s="696"/>
      <c r="D122" s="177" t="str">
        <f>+'Հավելված N 5'!C101</f>
        <v>«Երևանի օլիմպիական հերթափոխի պետական մարզական քոլեջ» ՊՈԱԿ</v>
      </c>
      <c r="E122" s="176">
        <f>+'Հավելված N 5'!D101</f>
        <v>-93311</v>
      </c>
    </row>
    <row r="123" spans="2:6" s="175" customFormat="1" ht="34.799999999999997" x14ac:dyDescent="0.4">
      <c r="B123" s="698"/>
      <c r="C123" s="698"/>
      <c r="D123" s="177" t="str">
        <f>+'Հավելված N 5'!C102</f>
        <v>«Խաղային մարզաձևերի օլիմպիական մանկապատանեկան մարզադպրոց» ՊՈԱԿ</v>
      </c>
      <c r="E123" s="176">
        <f>+'Հավելված N 5'!D102</f>
        <v>-40909.4</v>
      </c>
    </row>
    <row r="124" spans="2:6" s="129" customFormat="1" ht="18" x14ac:dyDescent="0.4">
      <c r="B124" s="178"/>
      <c r="C124" s="178"/>
      <c r="D124" s="179" t="s">
        <v>136</v>
      </c>
      <c r="E124" s="144">
        <f>+E125</f>
        <v>-23885.5</v>
      </c>
    </row>
    <row r="125" spans="2:6" s="175" customFormat="1" ht="34.799999999999997" x14ac:dyDescent="0.4">
      <c r="B125" s="439"/>
      <c r="C125" s="439"/>
      <c r="D125" s="177" t="str">
        <f>+'Հավելված N 5'!C105</f>
        <v>«Գյումրու մանկապատանեկան համալիր մարզադպրոց» ՊՈԱԿ</v>
      </c>
      <c r="E125" s="176">
        <f>+'Հավելված N 5'!D105</f>
        <v>-23885.5</v>
      </c>
    </row>
    <row r="126" spans="2:6" s="129" customFormat="1" ht="36" x14ac:dyDescent="0.4">
      <c r="B126" s="178"/>
      <c r="C126" s="178"/>
      <c r="D126" s="181" t="s">
        <v>39</v>
      </c>
      <c r="E126" s="139">
        <f>+E128</f>
        <v>-119869.1</v>
      </c>
    </row>
    <row r="127" spans="2:6" s="129" customFormat="1" ht="18" x14ac:dyDescent="0.4">
      <c r="B127" s="178"/>
      <c r="C127" s="178"/>
      <c r="D127" s="180" t="s">
        <v>85</v>
      </c>
      <c r="E127" s="141"/>
    </row>
    <row r="128" spans="2:6" s="129" customFormat="1" ht="18" x14ac:dyDescent="0.4">
      <c r="B128" s="178"/>
      <c r="C128" s="178"/>
      <c r="D128" s="179" t="s">
        <v>149</v>
      </c>
      <c r="E128" s="144">
        <f>+E129</f>
        <v>-119869.1</v>
      </c>
    </row>
    <row r="129" spans="2:6" s="175" customFormat="1" ht="34.799999999999997" x14ac:dyDescent="0.4">
      <c r="B129" s="439"/>
      <c r="C129" s="439"/>
      <c r="D129" s="177" t="str">
        <f>+'Հավելված N 5'!C103</f>
        <v>«Թիավարության մարզաձևերի օլիմպիական մանկապատանեական մարզադպրոց» ՊՈԱԿ</v>
      </c>
      <c r="E129" s="176">
        <f>+'Հավելված N 5'!D103</f>
        <v>-119869.1</v>
      </c>
    </row>
    <row r="130" spans="2:6" s="129" customFormat="1" ht="54" x14ac:dyDescent="0.4">
      <c r="B130" s="232">
        <v>1168</v>
      </c>
      <c r="C130" s="232">
        <v>32001</v>
      </c>
      <c r="D130" s="216" t="s">
        <v>215</v>
      </c>
      <c r="E130" s="133">
        <f>+E132</f>
        <v>-79831.3</v>
      </c>
      <c r="F130" s="536"/>
    </row>
    <row r="131" spans="2:6" s="129" customFormat="1" ht="18" x14ac:dyDescent="0.4">
      <c r="B131" s="182"/>
      <c r="C131" s="182"/>
      <c r="D131" s="180" t="s">
        <v>53</v>
      </c>
      <c r="E131" s="136"/>
    </row>
    <row r="132" spans="2:6" s="129" customFormat="1" ht="18" x14ac:dyDescent="0.4">
      <c r="B132" s="178"/>
      <c r="C132" s="178"/>
      <c r="D132" s="181" t="s">
        <v>137</v>
      </c>
      <c r="E132" s="139">
        <f>+E134</f>
        <v>-79831.3</v>
      </c>
    </row>
    <row r="133" spans="2:6" s="129" customFormat="1" ht="18" x14ac:dyDescent="0.4">
      <c r="B133" s="178"/>
      <c r="C133" s="178"/>
      <c r="D133" s="180" t="s">
        <v>85</v>
      </c>
      <c r="E133" s="141"/>
    </row>
    <row r="134" spans="2:6" s="129" customFormat="1" ht="18" x14ac:dyDescent="0.4">
      <c r="B134" s="178"/>
      <c r="C134" s="178"/>
      <c r="D134" s="179" t="s">
        <v>149</v>
      </c>
      <c r="E134" s="144">
        <f>+E135</f>
        <v>-79831.3</v>
      </c>
    </row>
    <row r="135" spans="2:6" s="175" customFormat="1" ht="34.799999999999997" x14ac:dyDescent="0.4">
      <c r="B135" s="178"/>
      <c r="C135" s="178"/>
      <c r="D135" s="177" t="str">
        <f>+'Հավելված N 5'!C109</f>
        <v xml:space="preserve">Երևանի մնջախաղի պետական թատրոնի շենքի վերակառուցում </v>
      </c>
      <c r="E135" s="176">
        <f>+'Հավելված N 5'!D109</f>
        <v>-79831.3</v>
      </c>
    </row>
    <row r="136" spans="2:6" ht="36" x14ac:dyDescent="0.4">
      <c r="B136" s="122">
        <v>1183</v>
      </c>
      <c r="C136" s="122">
        <v>32002</v>
      </c>
      <c r="D136" s="68" t="s">
        <v>309</v>
      </c>
      <c r="E136" s="23">
        <f>+E138+E215</f>
        <v>-2887155</v>
      </c>
      <c r="F136" s="80"/>
    </row>
    <row r="137" spans="2:6" ht="18" x14ac:dyDescent="0.4">
      <c r="B137" s="122"/>
      <c r="C137" s="122"/>
      <c r="D137" s="2" t="s">
        <v>53</v>
      </c>
      <c r="E137" s="15"/>
    </row>
    <row r="138" spans="2:6" ht="18" x14ac:dyDescent="0.4">
      <c r="B138" s="122"/>
      <c r="C138" s="122"/>
      <c r="D138" s="138" t="s">
        <v>137</v>
      </c>
      <c r="E138" s="22">
        <f>+E140+E141+E143+E152+E155+E165+E174+E187+E201+E206</f>
        <v>-2800355</v>
      </c>
    </row>
    <row r="139" spans="2:6" s="129" customFormat="1" ht="18" x14ac:dyDescent="0.4">
      <c r="B139" s="178"/>
      <c r="C139" s="178"/>
      <c r="D139" s="180" t="s">
        <v>85</v>
      </c>
      <c r="E139" s="141"/>
    </row>
    <row r="140" spans="2:6" ht="54" x14ac:dyDescent="0.4">
      <c r="B140" s="244"/>
      <c r="C140" s="244"/>
      <c r="D140" s="24" t="str">
        <f>+'Հավելված N 5'!C112</f>
        <v>300 տեղ հզորությամբ դպրոցի կառուցման նախագծի լրամշակում (վերափոխում 350 տեղ հզորության)</v>
      </c>
      <c r="E140" s="107">
        <f>+'Հավելված N 5'!D112</f>
        <v>-21000</v>
      </c>
    </row>
    <row r="141" spans="2:6" ht="18" x14ac:dyDescent="0.4">
      <c r="B141" s="244"/>
      <c r="C141" s="244"/>
      <c r="D141" s="24" t="s">
        <v>149</v>
      </c>
      <c r="E141" s="107">
        <f>SUM(E142:E142)</f>
        <v>-444575.39999999997</v>
      </c>
    </row>
    <row r="142" spans="2:6" ht="18" x14ac:dyDescent="0.4">
      <c r="B142" s="304"/>
      <c r="C142" s="304"/>
      <c r="D142" s="83" t="str">
        <f>+'Հավելված N 5'!C114</f>
        <v>«Երևանի թիվ 109 ավագ դպրոց» ՊՈԱԿ</v>
      </c>
      <c r="E142" s="74">
        <f>+'Հավելված N 5'!D114</f>
        <v>-444575.39999999997</v>
      </c>
    </row>
    <row r="143" spans="2:6" ht="18" x14ac:dyDescent="0.4">
      <c r="B143" s="244"/>
      <c r="C143" s="244"/>
      <c r="D143" s="24" t="s">
        <v>111</v>
      </c>
      <c r="E143" s="107">
        <f>+E144+E145+E146+E147+E148+E149+E150+E151</f>
        <v>-98000</v>
      </c>
    </row>
    <row r="144" spans="2:6" ht="52.2" x14ac:dyDescent="0.4">
      <c r="B144" s="726"/>
      <c r="C144" s="726"/>
      <c r="D144" s="83" t="str">
        <f>+'Հավելված N 5'!C116</f>
        <v>ք. Ապարանի միջնակարգ դպրոց (ք. Ապարանի Վ.Եղիազարյան անվ. թիվ 1 հիմնական դպրոցի տեղակայման վայրում)</v>
      </c>
      <c r="E144" s="74">
        <f>+'Հավելված N 5'!D116</f>
        <v>-11600</v>
      </c>
    </row>
    <row r="145" spans="2:5" ht="34.799999999999997" x14ac:dyDescent="0.4">
      <c r="B145" s="744"/>
      <c r="C145" s="744"/>
      <c r="D145" s="83" t="str">
        <f>+'Հավելված N 5'!C117</f>
        <v>ք. Թալինի միջնակարգ դպրոց (ք. Թալինի թիվ 2 հիմնական դպրոցի տեղակայման վայրում)</v>
      </c>
      <c r="E145" s="74">
        <f>+'Հավելված N 5'!D117</f>
        <v>-11600</v>
      </c>
    </row>
    <row r="146" spans="2:5" x14ac:dyDescent="0.4">
      <c r="B146" s="744"/>
      <c r="C146" s="744"/>
      <c r="D146" s="83" t="str">
        <f>+'Հավելված N 5'!C118</f>
        <v>գ. Ներքին Սասնաշենի միջնակարգ դպրոց</v>
      </c>
      <c r="E146" s="74">
        <f>+'Հավելված N 5'!D118</f>
        <v>-9500</v>
      </c>
    </row>
    <row r="147" spans="2:5" ht="34.799999999999997" x14ac:dyDescent="0.4">
      <c r="B147" s="744"/>
      <c r="C147" s="744"/>
      <c r="D147" s="83" t="str">
        <f>+'Հավելված N 5'!C119</f>
        <v>ք. Աշտարակի Վ.Պետրոսյան անվ. հիմնական դպրոց</v>
      </c>
      <c r="E147" s="74">
        <f>+'Հավելված N 5'!D119</f>
        <v>-21000</v>
      </c>
    </row>
    <row r="148" spans="2:5" x14ac:dyDescent="0.4">
      <c r="B148" s="744"/>
      <c r="C148" s="744"/>
      <c r="D148" s="83" t="str">
        <f>+'Հավելված N 5'!C120</f>
        <v>գ. Ալագյազի միջնակարգ դպրոց</v>
      </c>
      <c r="E148" s="74">
        <f>+'Հավելված N 5'!D120</f>
        <v>-9500</v>
      </c>
    </row>
    <row r="149" spans="2:5" ht="34.799999999999997" x14ac:dyDescent="0.4">
      <c r="B149" s="744"/>
      <c r="C149" s="744"/>
      <c r="D149" s="83" t="str">
        <f>+'Հավելված N 5'!C121</f>
        <v>գ. Օշականի Մ.Մաշտոցի անվ. միջնակարգ դպրոց</v>
      </c>
      <c r="E149" s="74">
        <f>+'Հավելված N 5'!D121</f>
        <v>-13700</v>
      </c>
    </row>
    <row r="150" spans="2:5" x14ac:dyDescent="0.4">
      <c r="B150" s="744"/>
      <c r="C150" s="744"/>
      <c r="D150" s="83" t="str">
        <f>+'Հավելված N 5'!C122</f>
        <v>գ. Արագածավանի թիվ 2 միջնակարգ դպրոց</v>
      </c>
      <c r="E150" s="74">
        <f>+'Հավելված N 5'!D122</f>
        <v>-11600</v>
      </c>
    </row>
    <row r="151" spans="2:5" ht="18" customHeight="1" x14ac:dyDescent="0.4">
      <c r="B151" s="727"/>
      <c r="C151" s="727"/>
      <c r="D151" s="83" t="str">
        <f>+'Հավելված N 5'!C123</f>
        <v>գ. Նոր Եդեսիայի Ն. Շնորհալու անվ. միջնակարգ դպրոց</v>
      </c>
      <c r="E151" s="74">
        <f>+'Հավելված N 5'!D123</f>
        <v>-9500</v>
      </c>
    </row>
    <row r="152" spans="2:5" ht="18" x14ac:dyDescent="0.4">
      <c r="B152" s="244"/>
      <c r="C152" s="244"/>
      <c r="D152" s="24" t="s">
        <v>169</v>
      </c>
      <c r="E152" s="107">
        <f>+E153+E154</f>
        <v>-451178.5</v>
      </c>
    </row>
    <row r="153" spans="2:5" x14ac:dyDescent="0.4">
      <c r="B153" s="726"/>
      <c r="C153" s="726"/>
      <c r="D153" s="83" t="str">
        <f>+'Հավելված N 5'!C125</f>
        <v>«Վեդիի ավագ դպրոց» ՊՈԱԿ</v>
      </c>
      <c r="E153" s="74">
        <f>+'Հավելված N 5'!D125</f>
        <v>-444048.5</v>
      </c>
    </row>
    <row r="154" spans="2:5" x14ac:dyDescent="0.4">
      <c r="B154" s="727"/>
      <c r="C154" s="727"/>
      <c r="D154" s="83" t="str">
        <f>+'Հավելված N 5'!C126</f>
        <v>«Բարձրաշենի միջնակարգ դպրոց»ՊՈԱԿ</v>
      </c>
      <c r="E154" s="74">
        <f>+'Հավելված N 5'!D126</f>
        <v>-7130</v>
      </c>
    </row>
    <row r="155" spans="2:5" ht="18" x14ac:dyDescent="0.4">
      <c r="B155" s="244"/>
      <c r="C155" s="244"/>
      <c r="D155" s="24" t="s">
        <v>129</v>
      </c>
      <c r="E155" s="107">
        <f>+E156+E157+E158+E159+E160+E161+E162+E163+E164</f>
        <v>-251500</v>
      </c>
    </row>
    <row r="156" spans="2:5" ht="34.799999999999997" x14ac:dyDescent="0.4">
      <c r="B156" s="726"/>
      <c r="C156" s="726"/>
      <c r="D156" s="83" t="str">
        <f>+'Հավելված N 5'!C129</f>
        <v>«Վաղարշապատի Մովսես Խորենացու անվան N 10 ավագ դպրոց» ՊՈԱԿ</v>
      </c>
      <c r="E156" s="74">
        <f>+'Հավելված N 5'!D129</f>
        <v>-155400</v>
      </c>
    </row>
    <row r="157" spans="2:5" ht="18" customHeight="1" x14ac:dyDescent="0.4">
      <c r="B157" s="744"/>
      <c r="C157" s="744"/>
      <c r="D157" s="83" t="str">
        <f>+'Հավելված N 5'!C130</f>
        <v>գ. Ջրառատի Թ.Խաչատրյանի անվ. միջնակարգ դպրոց</v>
      </c>
      <c r="E157" s="74">
        <f>+'Հավելված N 5'!D130</f>
        <v>-11600</v>
      </c>
    </row>
    <row r="158" spans="2:5" ht="34.799999999999997" x14ac:dyDescent="0.4">
      <c r="B158" s="744"/>
      <c r="C158" s="744"/>
      <c r="D158" s="83" t="str">
        <f>+'Հավելված N 5'!C131</f>
        <v>գ. Արաքսի Զ.Ավետիսյանի անվ. միջնակարգ դպրոց</v>
      </c>
      <c r="E158" s="74">
        <f>+'Հավելված N 5'!D131</f>
        <v>-9500</v>
      </c>
    </row>
    <row r="159" spans="2:5" x14ac:dyDescent="0.4">
      <c r="B159" s="744"/>
      <c r="C159" s="744"/>
      <c r="D159" s="83" t="str">
        <f>+'Հավելված N 5'!C132</f>
        <v>գ. Գեղակերտի միջնակարգ դպրոց</v>
      </c>
      <c r="E159" s="74">
        <f>+'Հավելված N 5'!D132</f>
        <v>-9500</v>
      </c>
    </row>
    <row r="160" spans="2:5" ht="34.799999999999997" x14ac:dyDescent="0.4">
      <c r="B160" s="744"/>
      <c r="C160" s="744"/>
      <c r="D160" s="83" t="str">
        <f>+'Հավելված N 5'!C133</f>
        <v>ք. Վաղարշապատի Վ.Ռշտունու անվ. թիվ 11 հիմնական դպրոց</v>
      </c>
      <c r="E160" s="74">
        <f>+'Հավելված N 5'!D133</f>
        <v>-11600</v>
      </c>
    </row>
    <row r="161" spans="2:5" ht="34.799999999999997" x14ac:dyDescent="0.4">
      <c r="B161" s="744"/>
      <c r="C161" s="744"/>
      <c r="D161" s="83" t="str">
        <f>+'Հավելված N 5'!C134</f>
        <v>ք. Վաղարշապատի Ե.Օտյանի անվ. թիվ 7 հիմնական դպրոց</v>
      </c>
      <c r="E161" s="74">
        <f>+'Հավելված N 5'!D134</f>
        <v>-21200</v>
      </c>
    </row>
    <row r="162" spans="2:5" x14ac:dyDescent="0.4">
      <c r="B162" s="744"/>
      <c r="C162" s="744"/>
      <c r="D162" s="83" t="str">
        <f>+'Հավելված N 5'!C135</f>
        <v xml:space="preserve">գ. Վանանդի միջնակարգ դպրոց            </v>
      </c>
      <c r="E162" s="74">
        <f>+'Հավելված N 5'!D135</f>
        <v>-11600</v>
      </c>
    </row>
    <row r="163" spans="2:5" x14ac:dyDescent="0.4">
      <c r="B163" s="744"/>
      <c r="C163" s="744"/>
      <c r="D163" s="83" t="str">
        <f>+'Հավելված N 5'!C136</f>
        <v>գ. Նոր Կեսարիայի միջնակարգ դպրոց</v>
      </c>
      <c r="E163" s="74">
        <f>+'Հավելված N 5'!D136</f>
        <v>-11600</v>
      </c>
    </row>
    <row r="164" spans="2:5" ht="17.25" customHeight="1" x14ac:dyDescent="0.4">
      <c r="B164" s="727"/>
      <c r="C164" s="727"/>
      <c r="D164" s="83" t="str">
        <f>+'Հավելված N 5'!C137</f>
        <v xml:space="preserve">գ. Ամբերդի Հ. Նավասարդյանի անվ. միջնակարգ դպրոց  </v>
      </c>
      <c r="E164" s="74">
        <f>+'Հավելված N 5'!D137</f>
        <v>-9500</v>
      </c>
    </row>
    <row r="165" spans="2:5" ht="18" x14ac:dyDescent="0.4">
      <c r="B165" s="244"/>
      <c r="C165" s="244"/>
      <c r="D165" s="24" t="s">
        <v>265</v>
      </c>
      <c r="E165" s="107">
        <f>+E166+E167+E168+E169+E170+E171+E172+E173</f>
        <v>-656146</v>
      </c>
    </row>
    <row r="166" spans="2:5" x14ac:dyDescent="0.4">
      <c r="B166" s="726"/>
      <c r="C166" s="726"/>
      <c r="D166" s="83" t="str">
        <f>+'Հավելված N 5'!C139</f>
        <v>Ն.Գետաշենի թիվ 1 հիմնական դպրոց ՊՈԱԿ</v>
      </c>
      <c r="E166" s="74">
        <f>+'Հավելված N 5'!D139</f>
        <v>-423846</v>
      </c>
    </row>
    <row r="167" spans="2:5" ht="34.799999999999997" x14ac:dyDescent="0.4">
      <c r="B167" s="744"/>
      <c r="C167" s="744"/>
      <c r="D167" s="83" t="str">
        <f>+'Հավելված N 5'!C140</f>
        <v>«Վարդենիսի Հ. Համբարձումյանի անվան ավագ դպրոց» ՊՈԱԿ</v>
      </c>
      <c r="E167" s="74">
        <f>+'Հավելված N 5'!D140</f>
        <v>-155400</v>
      </c>
    </row>
    <row r="168" spans="2:5" x14ac:dyDescent="0.4">
      <c r="B168" s="744"/>
      <c r="C168" s="744"/>
      <c r="D168" s="83" t="str">
        <f>+'Հավելված N 5'!C141</f>
        <v>ք. Գավառի թիվ 5 հիմնական դպրոց</v>
      </c>
      <c r="E168" s="74">
        <f>+'Հավելված N 5'!D141</f>
        <v>-11600</v>
      </c>
    </row>
    <row r="169" spans="2:5" ht="34.799999999999997" x14ac:dyDescent="0.4">
      <c r="B169" s="744"/>
      <c r="C169" s="744"/>
      <c r="D169" s="83" t="str">
        <f>+'Հավելված N 5'!C142</f>
        <v>գ. Ծովինարի Արծրուն Խաչատրյանի անվ. միջնակարգ դպրոց</v>
      </c>
      <c r="E169" s="74">
        <f>+'Հավելված N 5'!D142</f>
        <v>-11600</v>
      </c>
    </row>
    <row r="170" spans="2:5" ht="34.799999999999997" x14ac:dyDescent="0.4">
      <c r="B170" s="744"/>
      <c r="C170" s="744"/>
      <c r="D170" s="83" t="str">
        <f>+'Հավելված N 5'!C143</f>
        <v>ք. Սևանի Վ.Կարապետյանի անվ. թիվ 3 հիմնական դպրոց</v>
      </c>
      <c r="E170" s="74">
        <f>+'Հավելված N 5'!D143</f>
        <v>-21000</v>
      </c>
    </row>
    <row r="171" spans="2:5" ht="34.799999999999997" x14ac:dyDescent="0.4">
      <c r="B171" s="744"/>
      <c r="C171" s="744"/>
      <c r="D171" s="83" t="str">
        <f>+'Հավելված N 5'!C144</f>
        <v>գ. Լիճքի միջնակարգ դպրոց (գ. Լիճքի հիմնական դպրոցի տեղակայման վայրում)</v>
      </c>
      <c r="E171" s="74">
        <f>+'Հավելված N 5'!D144</f>
        <v>-9500</v>
      </c>
    </row>
    <row r="172" spans="2:5" x14ac:dyDescent="0.4">
      <c r="B172" s="744"/>
      <c r="C172" s="744"/>
      <c r="D172" s="83" t="str">
        <f>+'Հավելված N 5'!C145</f>
        <v>ք. Վարդենիսի թիվ 3 հիմնական դպրոց</v>
      </c>
      <c r="E172" s="74">
        <f>+'Հավելված N 5'!D145</f>
        <v>-13700</v>
      </c>
    </row>
    <row r="173" spans="2:5" ht="34.799999999999997" x14ac:dyDescent="0.4">
      <c r="B173" s="727"/>
      <c r="C173" s="727"/>
      <c r="D173" s="83" t="str">
        <f>+'Հավելված N 5'!C146</f>
        <v xml:space="preserve">ք. Գավառի Գեորգի Մնացականյանի թիվ 7 միջնակարգ դպրոց     </v>
      </c>
      <c r="E173" s="74">
        <f>+'Հավելված N 5'!D146</f>
        <v>-9500</v>
      </c>
    </row>
    <row r="174" spans="2:5" ht="18" x14ac:dyDescent="0.4">
      <c r="B174" s="244"/>
      <c r="C174" s="244"/>
      <c r="D174" s="24" t="s">
        <v>175</v>
      </c>
      <c r="E174" s="107">
        <f>+E175+E176+E177+E178+E179+E180+E181+E182+E183+E184+E185+E186</f>
        <v>-396355.1</v>
      </c>
    </row>
    <row r="175" spans="2:5" ht="34.799999999999997" x14ac:dyDescent="0.4">
      <c r="B175" s="726"/>
      <c r="C175" s="726"/>
      <c r="D175" s="83" t="str">
        <f>+'Հավելված N 5'!C148</f>
        <v>«Ալավերդու Սայաթ Նովայի անվան թիվ 8 ավագ դպրոց» ՊՈԱԿ</v>
      </c>
      <c r="E175" s="74">
        <f>+'Հավելված N 5'!D148</f>
        <v>-285555.09999999998</v>
      </c>
    </row>
    <row r="176" spans="2:5" x14ac:dyDescent="0.4">
      <c r="B176" s="744"/>
      <c r="C176" s="744"/>
      <c r="D176" s="83" t="str">
        <f>+'Հավելված N 5'!C149</f>
        <v>գ. Ճոճկանի միջնակարգ դպրոց</v>
      </c>
      <c r="E176" s="74">
        <f>+'Հավելված N 5'!D149</f>
        <v>-9500</v>
      </c>
    </row>
    <row r="177" spans="2:5" ht="34.799999999999997" x14ac:dyDescent="0.4">
      <c r="B177" s="744"/>
      <c r="C177" s="744"/>
      <c r="D177" s="83" t="str">
        <f>+'Հավելված N 5'!C150</f>
        <v>գ. Արևածագի Կ․ Մելիքսեթյան անվան միջնակարգ դպրոց</v>
      </c>
      <c r="E177" s="74">
        <f>+'Հավելված N 5'!D150</f>
        <v>-9500</v>
      </c>
    </row>
    <row r="178" spans="2:5" x14ac:dyDescent="0.4">
      <c r="B178" s="744"/>
      <c r="C178" s="744"/>
      <c r="D178" s="83" t="str">
        <f>+'Հավելված N 5'!C151</f>
        <v>գ. Օձունի թիվ 2 միջնակարգ դպրոց</v>
      </c>
      <c r="E178" s="74">
        <f>+'Հավելված N 5'!D151</f>
        <v>-9500</v>
      </c>
    </row>
    <row r="179" spans="2:5" ht="34.799999999999997" x14ac:dyDescent="0.4">
      <c r="B179" s="744"/>
      <c r="C179" s="744"/>
      <c r="D179" s="83" t="str">
        <f>+'Հավելված N 5'!C152</f>
        <v>ք. Տաշիրի միջնակարգ դպրոց (ք. Տաշիրի թիվ 1 հիմնական դպրոցի տեղակայման վայրում)</v>
      </c>
      <c r="E179" s="74">
        <f>+'Հավելված N 5'!D152</f>
        <v>-11600</v>
      </c>
    </row>
    <row r="180" spans="2:5" x14ac:dyDescent="0.4">
      <c r="B180" s="744"/>
      <c r="C180" s="744"/>
      <c r="D180" s="83" t="str">
        <f>+'Հավելված N 5'!C153</f>
        <v>ք. Սպիտակի թիվ 8 միջնակարգ դպրոց</v>
      </c>
      <c r="E180" s="74">
        <f>+'Հավելված N 5'!D153</f>
        <v>-11600</v>
      </c>
    </row>
    <row r="181" spans="2:5" x14ac:dyDescent="0.4">
      <c r="B181" s="744"/>
      <c r="C181" s="744"/>
      <c r="D181" s="83" t="str">
        <f>+'Հավելված N 5'!C154</f>
        <v>գ. Աքորու միջնակարգ դպրոց</v>
      </c>
      <c r="E181" s="74">
        <f>+'Հավելված N 5'!D154</f>
        <v>-9500</v>
      </c>
    </row>
    <row r="182" spans="2:5" ht="34.799999999999997" x14ac:dyDescent="0.4">
      <c r="B182" s="744"/>
      <c r="C182" s="744"/>
      <c r="D182" s="83" t="str">
        <f>+'Հավելված N 5'!C155</f>
        <v>ք. Ալավերդու Մյասնիկյանի անվան թիվ 7 միջնակարգ դպրոց</v>
      </c>
      <c r="E182" s="74">
        <f>+'Հավելված N 5'!D155</f>
        <v>-9500</v>
      </c>
    </row>
    <row r="183" spans="2:5" ht="34.799999999999997" x14ac:dyDescent="0.4">
      <c r="B183" s="744"/>
      <c r="C183" s="744"/>
      <c r="D183" s="83" t="str">
        <f>+'Հավելված N 5'!C156</f>
        <v>ք. Վանաձորի Ստ.Շահումյանի անվան թիվ 6 հիմնական դպրոց</v>
      </c>
      <c r="E183" s="74">
        <f>+'Հավելված N 5'!D156</f>
        <v>-11600</v>
      </c>
    </row>
    <row r="184" spans="2:5" x14ac:dyDescent="0.4">
      <c r="B184" s="744"/>
      <c r="C184" s="744"/>
      <c r="D184" s="83" t="str">
        <f>+'Հավելված N 5'!C157</f>
        <v>գ. Մեծավանի թիվ 2 միջնակարգ դպրոց</v>
      </c>
      <c r="E184" s="74">
        <f>+'Հավելված N 5'!D157</f>
        <v>-9500</v>
      </c>
    </row>
    <row r="185" spans="2:5" ht="34.799999999999997" x14ac:dyDescent="0.4">
      <c r="B185" s="744"/>
      <c r="C185" s="744"/>
      <c r="D185" s="83" t="str">
        <f>+'Հավելված N 5'!C158</f>
        <v>գ. Դսեղի Հ.Թումանյանի անվան միջնակարգ դպրոց</v>
      </c>
      <c r="E185" s="74">
        <f>+'Հավելված N 5'!D158</f>
        <v>-9500</v>
      </c>
    </row>
    <row r="186" spans="2:5" x14ac:dyDescent="0.4">
      <c r="B186" s="727"/>
      <c r="C186" s="727"/>
      <c r="D186" s="83" t="str">
        <f>+'Հավելված N 5'!C159</f>
        <v>գ. Շիրակամուտի թիվ 1 միջնակարգ դպրոց</v>
      </c>
      <c r="E186" s="74">
        <f>+'Հավելված N 5'!D159</f>
        <v>-9500</v>
      </c>
    </row>
    <row r="187" spans="2:5" ht="18" x14ac:dyDescent="0.4">
      <c r="B187" s="244"/>
      <c r="C187" s="244"/>
      <c r="D187" s="24" t="s">
        <v>167</v>
      </c>
      <c r="E187" s="107">
        <f>+E188+E189+E190+E191+E192+E193+E194+E195+E196+E197+E198+E199+E200</f>
        <v>-284100</v>
      </c>
    </row>
    <row r="188" spans="2:5" ht="34.799999999999997" x14ac:dyDescent="0.4">
      <c r="B188" s="726"/>
      <c r="C188" s="726"/>
      <c r="D188" s="83" t="str">
        <f>+'Հավելված N 5'!C161</f>
        <v>«Հրազդանի Լևոն Խեչոյանի անվան թիվ 10 ավագ դպրոց» ՊՈԱԿ</v>
      </c>
      <c r="E188" s="74">
        <f>+'Հավելված N 5'!D161</f>
        <v>-155400</v>
      </c>
    </row>
    <row r="189" spans="2:5" x14ac:dyDescent="0.4">
      <c r="B189" s="744"/>
      <c r="C189" s="744"/>
      <c r="D189" s="83" t="str">
        <f>+'Հավելված N 5'!C162</f>
        <v>Կապուտան բնակավայրի միջնակարգ դպրոց</v>
      </c>
      <c r="E189" s="74">
        <f>+'Հավելված N 5'!D162</f>
        <v>-9500</v>
      </c>
    </row>
    <row r="190" spans="2:5" ht="17.25" customHeight="1" x14ac:dyDescent="0.4">
      <c r="B190" s="744"/>
      <c r="C190" s="744"/>
      <c r="D190" s="83" t="str">
        <f>+'Հավելված N 5'!C163</f>
        <v>Կոտայք և Նոր Գյուղ բնակավայրերի միջնակարգ դպրոց</v>
      </c>
      <c r="E190" s="74">
        <f>+'Հավելված N 5'!D163</f>
        <v>-11600</v>
      </c>
    </row>
    <row r="191" spans="2:5" x14ac:dyDescent="0.4">
      <c r="B191" s="744"/>
      <c r="C191" s="744"/>
      <c r="D191" s="83" t="str">
        <f>+'Հավելված N 5'!C164</f>
        <v>Զառ բնակավայրի միջնակարգ դպրոց</v>
      </c>
      <c r="E191" s="74">
        <f>+'Հավելված N 5'!D164</f>
        <v>-9500</v>
      </c>
    </row>
    <row r="192" spans="2:5" x14ac:dyDescent="0.4">
      <c r="B192" s="744"/>
      <c r="C192" s="744"/>
      <c r="D192" s="83" t="str">
        <f>+'Հավելված N 5'!C165</f>
        <v>Գեղադիր բնակավայրի միջնակարգ դպրոց</v>
      </c>
      <c r="E192" s="74">
        <f>+'Հավելված N 5'!D165</f>
        <v>-9500</v>
      </c>
    </row>
    <row r="193" spans="2:5" x14ac:dyDescent="0.4">
      <c r="B193" s="744"/>
      <c r="C193" s="744"/>
      <c r="D193" s="83" t="str">
        <f>+'Հավելված N 5'!C166</f>
        <v>Արգել բնակավայրի միջնակարգ դպրոց</v>
      </c>
      <c r="E193" s="74">
        <f>+'Հավելված N 5'!D166</f>
        <v>-11600</v>
      </c>
    </row>
    <row r="194" spans="2:5" x14ac:dyDescent="0.4">
      <c r="B194" s="744"/>
      <c r="C194" s="744"/>
      <c r="D194" s="83" t="str">
        <f>+'Հավելված N 5'!C167</f>
        <v>Արագյուղ բնակավայրի միջնակարգ դպրոց</v>
      </c>
      <c r="E194" s="74">
        <f>+'Հավելված N 5'!D167</f>
        <v>-9500</v>
      </c>
    </row>
    <row r="195" spans="2:5" x14ac:dyDescent="0.4">
      <c r="B195" s="744"/>
      <c r="C195" s="744"/>
      <c r="D195" s="83" t="str">
        <f>+'Հավելված N 5'!C168</f>
        <v>Գողթ բնակավայրի միջնակարգ դպրոց</v>
      </c>
      <c r="E195" s="74">
        <f>+'Հավելված N 5'!D168</f>
        <v>-11600</v>
      </c>
    </row>
    <row r="196" spans="2:5" x14ac:dyDescent="0.4">
      <c r="B196" s="744"/>
      <c r="C196" s="744"/>
      <c r="D196" s="83" t="str">
        <f>+'Հավելված N 5'!C169</f>
        <v>Պռոշյան բնակավայրի միջնակարգ դպրոց</v>
      </c>
      <c r="E196" s="74">
        <f>+'Հավելված N 5'!D169</f>
        <v>-11600</v>
      </c>
    </row>
    <row r="197" spans="2:5" x14ac:dyDescent="0.4">
      <c r="B197" s="744"/>
      <c r="C197" s="744"/>
      <c r="D197" s="83" t="str">
        <f>+'Հավելված N 5'!C170</f>
        <v>Զովունի բնակավայրի միջնակարգ դպրոց</v>
      </c>
      <c r="E197" s="74">
        <f>+'Հավելված N 5'!D170</f>
        <v>-11600</v>
      </c>
    </row>
    <row r="198" spans="2:5" x14ac:dyDescent="0.4">
      <c r="B198" s="744"/>
      <c r="C198" s="744"/>
      <c r="D198" s="83" t="str">
        <f>+'Հավելված N 5'!C171</f>
        <v>Լեռնանիստ բնակավայրի միջնակարգ դպրոց</v>
      </c>
      <c r="E198" s="74">
        <f>+'Հավելված N 5'!D171</f>
        <v>-11600</v>
      </c>
    </row>
    <row r="199" spans="2:5" x14ac:dyDescent="0.4">
      <c r="B199" s="744"/>
      <c r="C199" s="744"/>
      <c r="D199" s="83" t="str">
        <f>+'Հավելված N 5'!C172</f>
        <v>Մայակովսկի բնակավայրի միջնակարգ դպրոց</v>
      </c>
      <c r="E199" s="74">
        <f>+'Հավելված N 5'!D172</f>
        <v>-9500</v>
      </c>
    </row>
    <row r="200" spans="2:5" x14ac:dyDescent="0.4">
      <c r="B200" s="727"/>
      <c r="C200" s="727"/>
      <c r="D200" s="83" t="str">
        <f>+'Հավելված N 5'!C173</f>
        <v>Արամուս բնակավայրի միջնակարգ դպրոց</v>
      </c>
      <c r="E200" s="74">
        <f>+'Հավելված N 5'!D173</f>
        <v>-11600</v>
      </c>
    </row>
    <row r="201" spans="2:5" ht="18" x14ac:dyDescent="0.4">
      <c r="B201" s="244"/>
      <c r="C201" s="244"/>
      <c r="D201" s="24" t="s">
        <v>296</v>
      </c>
      <c r="E201" s="107">
        <f>+E202+E203+E204+E205</f>
        <v>-103500</v>
      </c>
    </row>
    <row r="202" spans="2:5" x14ac:dyDescent="0.4">
      <c r="B202" s="726"/>
      <c r="C202" s="726"/>
      <c r="D202" s="83" t="str">
        <f>+'Հավելված N 5'!C175</f>
        <v>«գ. Շաղաթի միջնակարգ դպրոց» ՊՈԱԿ</v>
      </c>
      <c r="E202" s="74">
        <f>+'Հավելված N 5'!D175</f>
        <v>-29800</v>
      </c>
    </row>
    <row r="203" spans="2:5" x14ac:dyDescent="0.4">
      <c r="B203" s="744"/>
      <c r="C203" s="744"/>
      <c r="D203" s="83" t="str">
        <f>+'Հավելված N 5'!C176</f>
        <v>«գ. Խնձորեսկի միջնակարգ դպրոց» ՊՈԱԿ</v>
      </c>
      <c r="E203" s="74">
        <f>+'Հավելված N 5'!D176</f>
        <v>-46300</v>
      </c>
    </row>
    <row r="204" spans="2:5" ht="17.25" customHeight="1" x14ac:dyDescent="0.4">
      <c r="B204" s="744"/>
      <c r="C204" s="744"/>
      <c r="D204" s="83" t="str">
        <f>+'Հավելված N 5'!C177</f>
        <v xml:space="preserve">«ք. Գորիսի Ս. Խանզադյանի անվան թիվ 6 հիմնական դպրոց» ՊՈԱԿ </v>
      </c>
      <c r="E204" s="74">
        <f>+'Հավելված N 5'!D177</f>
        <v>-13700</v>
      </c>
    </row>
    <row r="205" spans="2:5" x14ac:dyDescent="0.4">
      <c r="B205" s="727"/>
      <c r="C205" s="727"/>
      <c r="D205" s="83" t="str">
        <f>+'Հավելված N 5'!C178</f>
        <v xml:space="preserve">«ք. Սիսիանի թիվ 2 հիմնական դպրոց» ՊՈԱԿ </v>
      </c>
      <c r="E205" s="74">
        <f>+'Հավելված N 5'!D178</f>
        <v>-13700</v>
      </c>
    </row>
    <row r="206" spans="2:5" ht="18" x14ac:dyDescent="0.4">
      <c r="B206" s="244"/>
      <c r="C206" s="244"/>
      <c r="D206" s="24" t="s">
        <v>301</v>
      </c>
      <c r="E206" s="107">
        <f>+E207+E208+E209+E210+E211+E212+E213+E214</f>
        <v>-94000</v>
      </c>
    </row>
    <row r="207" spans="2:5" ht="34.799999999999997" x14ac:dyDescent="0.4">
      <c r="B207" s="726"/>
      <c r="C207" s="726"/>
      <c r="D207" s="83" t="str">
        <f>+'Հավելված N 5'!C181</f>
        <v xml:space="preserve">ք. Այրումի Հ.Մալինյանի անվան միջնակարգ դպրոց </v>
      </c>
      <c r="E207" s="74">
        <f>+'Հավելված N 5'!D181</f>
        <v>-11600</v>
      </c>
    </row>
    <row r="208" spans="2:5" x14ac:dyDescent="0.4">
      <c r="B208" s="744"/>
      <c r="C208" s="744"/>
      <c r="D208" s="83" t="str">
        <f>+'Հավելված N 5'!C182</f>
        <v>գ. Կոթիի միջնակարգ դպրոց</v>
      </c>
      <c r="E208" s="74">
        <f>+'Հավելված N 5'!D182</f>
        <v>-9500</v>
      </c>
    </row>
    <row r="209" spans="2:6" ht="34.799999999999997" x14ac:dyDescent="0.4">
      <c r="B209" s="744"/>
      <c r="C209" s="744"/>
      <c r="D209" s="83" t="str">
        <f>+'Հավելված N 5'!C183</f>
        <v>գ. Բագրատաշենի Մ․ Մագուլյանի անվան թիվ 1 միջնակարգ դպրոց</v>
      </c>
      <c r="E209" s="74">
        <f>+'Հավելված N 5'!D183</f>
        <v>-11600</v>
      </c>
    </row>
    <row r="210" spans="2:6" x14ac:dyDescent="0.4">
      <c r="B210" s="744"/>
      <c r="C210" s="744"/>
      <c r="D210" s="83" t="str">
        <f>+'Հավելված N 5'!C184</f>
        <v>գ. Արծվաբերդի թիվ 1 միջնակարգ դպրոց</v>
      </c>
      <c r="E210" s="74">
        <f>+'Հավելված N 5'!D184</f>
        <v>-11600</v>
      </c>
    </row>
    <row r="211" spans="2:6" x14ac:dyDescent="0.4">
      <c r="B211" s="744"/>
      <c r="C211" s="744"/>
      <c r="D211" s="83" t="str">
        <f>+'Հավելված N 5'!C185</f>
        <v>գ. Այգեձորի միջնակարգ դպրոց</v>
      </c>
      <c r="E211" s="74">
        <f>+'Հավելված N 5'!D185</f>
        <v>-9500</v>
      </c>
    </row>
    <row r="212" spans="2:6" ht="52.2" x14ac:dyDescent="0.4">
      <c r="B212" s="744"/>
      <c r="C212" s="744"/>
      <c r="D212" s="83" t="str">
        <f>+'Հավելված N 5'!C186</f>
        <v>ք. Նոյեմբերյանի միջնակարգ դպրոց (ք. Նոյեմբերյանի թիվ 1 ավագ դպրոցի տեղակայման վայրում)</v>
      </c>
      <c r="E212" s="74">
        <f>+'Հավելված N 5'!D186</f>
        <v>-21200</v>
      </c>
    </row>
    <row r="213" spans="2:6" ht="34.799999999999997" x14ac:dyDescent="0.4">
      <c r="B213" s="744"/>
      <c r="C213" s="744"/>
      <c r="D213" s="83" t="str">
        <f>+'Հավելված N 5'!C187</f>
        <v>գ. Կողբի Ջ.Կարախանյանի անվ. թիվ 1 միջնակարգ դպրոց</v>
      </c>
      <c r="E213" s="74">
        <f>+'Հավելված N 5'!D187</f>
        <v>-9500</v>
      </c>
    </row>
    <row r="214" spans="2:6" x14ac:dyDescent="0.4">
      <c r="B214" s="727"/>
      <c r="C214" s="727"/>
      <c r="D214" s="83" t="str">
        <f>+'Հավելված N 5'!C188</f>
        <v>գ. Սևքարի միջնակարգ դպրոց</v>
      </c>
      <c r="E214" s="74">
        <f>+'Հավելված N 5'!D188</f>
        <v>-9500</v>
      </c>
    </row>
    <row r="215" spans="2:6" ht="36" x14ac:dyDescent="0.4">
      <c r="B215" s="122"/>
      <c r="C215" s="122"/>
      <c r="D215" s="138" t="s">
        <v>472</v>
      </c>
      <c r="E215" s="22">
        <f>+E217+E219</f>
        <v>-86800</v>
      </c>
    </row>
    <row r="216" spans="2:6" s="129" customFormat="1" ht="18" x14ac:dyDescent="0.4">
      <c r="B216" s="178"/>
      <c r="C216" s="178"/>
      <c r="D216" s="180" t="s">
        <v>85</v>
      </c>
      <c r="E216" s="141"/>
    </row>
    <row r="217" spans="2:6" ht="18" x14ac:dyDescent="0.4">
      <c r="B217" s="244"/>
      <c r="C217" s="244"/>
      <c r="D217" s="24" t="s">
        <v>169</v>
      </c>
      <c r="E217" s="107">
        <f>+E218</f>
        <v>-21000</v>
      </c>
    </row>
    <row r="218" spans="2:6" ht="18" x14ac:dyDescent="0.4">
      <c r="B218" s="473"/>
      <c r="C218" s="473"/>
      <c r="D218" s="83" t="str">
        <f>+'Հավելված N 5'!C127</f>
        <v>Արտաշատի թիվ 1 հիմնական դպրոց</v>
      </c>
      <c r="E218" s="74">
        <f>+'Հավելված N 5'!D127</f>
        <v>-21000</v>
      </c>
    </row>
    <row r="219" spans="2:6" ht="18" x14ac:dyDescent="0.4">
      <c r="B219" s="244"/>
      <c r="C219" s="244"/>
      <c r="D219" s="24" t="s">
        <v>296</v>
      </c>
      <c r="E219" s="107">
        <f>SUM(E220:E220)</f>
        <v>-65800</v>
      </c>
    </row>
    <row r="220" spans="2:6" ht="18" x14ac:dyDescent="0.4">
      <c r="B220" s="473"/>
      <c r="C220" s="473"/>
      <c r="D220" s="83" t="str">
        <f>+'Հավելված N 5'!C179</f>
        <v>«գ. Շինուհայրի միջնակարգ դպրոց» ՊՈԱԿ</v>
      </c>
      <c r="E220" s="74">
        <f>+'Հավելված N 5'!D179</f>
        <v>-65800</v>
      </c>
    </row>
    <row r="221" spans="2:6" s="129" customFormat="1" ht="72" x14ac:dyDescent="0.4">
      <c r="B221" s="183">
        <v>1183</v>
      </c>
      <c r="C221" s="184">
        <v>32003</v>
      </c>
      <c r="D221" s="185" t="s">
        <v>138</v>
      </c>
      <c r="E221" s="186">
        <f t="shared" ref="E221" si="4">+E223</f>
        <v>-1368042.7</v>
      </c>
    </row>
    <row r="222" spans="2:6" s="129" customFormat="1" ht="18" x14ac:dyDescent="0.4">
      <c r="B222" s="134"/>
      <c r="C222" s="134"/>
      <c r="D222" s="187" t="s">
        <v>54</v>
      </c>
      <c r="E222" s="188"/>
    </row>
    <row r="223" spans="2:6" s="129" customFormat="1" ht="18" x14ac:dyDescent="0.4">
      <c r="B223" s="189"/>
      <c r="C223" s="189"/>
      <c r="D223" s="190" t="s">
        <v>137</v>
      </c>
      <c r="E223" s="191">
        <f>+E225+E227+E230+E233+E235+E239+E242</f>
        <v>-1368042.7</v>
      </c>
      <c r="F223" s="290"/>
    </row>
    <row r="224" spans="2:6" s="129" customFormat="1" ht="18" x14ac:dyDescent="0.4">
      <c r="B224" s="178"/>
      <c r="C224" s="178"/>
      <c r="D224" s="180" t="s">
        <v>85</v>
      </c>
      <c r="E224" s="141"/>
    </row>
    <row r="225" spans="2:5" ht="18" x14ac:dyDescent="0.4">
      <c r="B225" s="244"/>
      <c r="C225" s="244"/>
      <c r="D225" s="24" t="s">
        <v>111</v>
      </c>
      <c r="E225" s="107">
        <f>SUM(E226:E226)</f>
        <v>-52627.7</v>
      </c>
    </row>
    <row r="226" spans="2:5" ht="18" customHeight="1" x14ac:dyDescent="0.4">
      <c r="B226" s="312"/>
      <c r="C226" s="312"/>
      <c r="D226" s="83" t="str">
        <f>+'Հավելված N 5'!C192</f>
        <v>«Լուսակնի միջնակարգ դպրոց» ՀՈԱԿ</v>
      </c>
      <c r="E226" s="74">
        <f>+'Հավելված N 5'!D192</f>
        <v>-52627.7</v>
      </c>
    </row>
    <row r="227" spans="2:5" ht="18" x14ac:dyDescent="0.4">
      <c r="B227" s="244"/>
      <c r="C227" s="244"/>
      <c r="D227" s="24" t="s">
        <v>265</v>
      </c>
      <c r="E227" s="107">
        <f>+E228+E229</f>
        <v>-242313.9</v>
      </c>
    </row>
    <row r="228" spans="2:5" x14ac:dyDescent="0.4">
      <c r="B228" s="726"/>
      <c r="C228" s="726"/>
      <c r="D228" s="83" t="str">
        <f>+'Հավելված N 5'!C194</f>
        <v>«Շատջրեք գյուղի միջնակարգ դպրոց» ՊՈԱԿ</v>
      </c>
      <c r="E228" s="74">
        <f>+'Հավելված N 5'!D194</f>
        <v>-105652.9</v>
      </c>
    </row>
    <row r="229" spans="2:5" x14ac:dyDescent="0.4">
      <c r="B229" s="727"/>
      <c r="C229" s="727"/>
      <c r="D229" s="83" t="str">
        <f>+'Հավելված N 5'!C195</f>
        <v>«Ջիլի միջնակարգ դպրոց» ՊՈԱԿ</v>
      </c>
      <c r="E229" s="74">
        <f>+'Հավելված N 5'!D195</f>
        <v>-136661</v>
      </c>
    </row>
    <row r="230" spans="2:5" ht="18" x14ac:dyDescent="0.4">
      <c r="B230" s="244"/>
      <c r="C230" s="244"/>
      <c r="D230" s="24" t="s">
        <v>167</v>
      </c>
      <c r="E230" s="107">
        <f>+E231+E232</f>
        <v>3743.1</v>
      </c>
    </row>
    <row r="231" spans="2:5" x14ac:dyDescent="0.4">
      <c r="B231" s="726"/>
      <c r="C231" s="726"/>
      <c r="D231" s="83" t="str">
        <f>+'Հավելված N 5'!C197</f>
        <v xml:space="preserve"> Ջրառատի միջնակարգ դպրոց ՊՈԱԿ</v>
      </c>
      <c r="E231" s="74">
        <f>+'Հավելված N 5'!D197</f>
        <v>1062.9000000000001</v>
      </c>
    </row>
    <row r="232" spans="2:5" x14ac:dyDescent="0.4">
      <c r="B232" s="744"/>
      <c r="C232" s="744"/>
      <c r="D232" s="83" t="str">
        <f>+'Հավելված N 5'!C198</f>
        <v xml:space="preserve"> Կաթնաղբյուրի հիմնական դպրոց ՊՈԱԿ</v>
      </c>
      <c r="E232" s="74">
        <f>+'Հավելված N 5'!D198</f>
        <v>2680.2</v>
      </c>
    </row>
    <row r="233" spans="2:5" ht="18" x14ac:dyDescent="0.4">
      <c r="B233" s="244"/>
      <c r="C233" s="244"/>
      <c r="D233" s="24" t="s">
        <v>136</v>
      </c>
      <c r="E233" s="107">
        <f>SUM(E234:E234)</f>
        <v>-73422.599999999991</v>
      </c>
    </row>
    <row r="234" spans="2:5" ht="18" x14ac:dyDescent="0.4">
      <c r="B234" s="441"/>
      <c r="C234" s="441"/>
      <c r="D234" s="83" t="str">
        <f>+'Հավելված N 5'!C200</f>
        <v>«Արեգնադեմի միջնակարգ դպրոց» ՊՈԱԿ</v>
      </c>
      <c r="E234" s="74">
        <f>+'Հավելված N 5'!D200</f>
        <v>-73422.599999999991</v>
      </c>
    </row>
    <row r="235" spans="2:5" ht="18" x14ac:dyDescent="0.4">
      <c r="B235" s="244"/>
      <c r="C235" s="244"/>
      <c r="D235" s="24" t="s">
        <v>296</v>
      </c>
      <c r="E235" s="107">
        <f>+E236+E237+E238</f>
        <v>-541080.6</v>
      </c>
    </row>
    <row r="236" spans="2:5" ht="17.25" customHeight="1" x14ac:dyDescent="0.4">
      <c r="B236" s="726"/>
      <c r="C236" s="726"/>
      <c r="D236" s="83" t="str">
        <f>+'Հավելված N 5'!C202</f>
        <v>«Հարժիսի Համլետ Մինասյանի անվան միջնակարգ դպրոց» ՊՈԱԿ</v>
      </c>
      <c r="E236" s="74">
        <f>+'Հավելված N 5'!D202</f>
        <v>-208349.5</v>
      </c>
    </row>
    <row r="237" spans="2:5" x14ac:dyDescent="0.4">
      <c r="B237" s="744"/>
      <c r="C237" s="744"/>
      <c r="D237" s="83" t="str">
        <f>+'Հավելված N 5'!C203</f>
        <v>«Վաղատինի միջնակարգ դպրոց» ՊՈԱԿ</v>
      </c>
      <c r="E237" s="74">
        <f>+'Հավելված N 5'!D203</f>
        <v>-166032.70000000001</v>
      </c>
    </row>
    <row r="238" spans="2:5" x14ac:dyDescent="0.4">
      <c r="B238" s="727"/>
      <c r="C238" s="727"/>
      <c r="D238" s="83" t="str">
        <f>+'Հավելված N 5'!C204</f>
        <v>«Դարբասի միջնակարգ դպրոց» ՊՈԱԿ</v>
      </c>
      <c r="E238" s="74">
        <f>+'Հավելված N 5'!D204</f>
        <v>-166698.4</v>
      </c>
    </row>
    <row r="239" spans="2:5" ht="18" x14ac:dyDescent="0.4">
      <c r="B239" s="244"/>
      <c r="C239" s="244"/>
      <c r="D239" s="24" t="s">
        <v>185</v>
      </c>
      <c r="E239" s="107">
        <f>+E240+E241</f>
        <v>-210289.69999999998</v>
      </c>
    </row>
    <row r="240" spans="2:5" x14ac:dyDescent="0.4">
      <c r="B240" s="726"/>
      <c r="C240" s="726"/>
      <c r="D240" s="83" t="str">
        <f>+'Հավելված N 5'!C206</f>
        <v>«Չիվայի միջնակարգ դպրոց» ՊՈԱԿ</v>
      </c>
      <c r="E240" s="74">
        <f>+'Հավելված N 5'!D206</f>
        <v>-104873.79999999999</v>
      </c>
    </row>
    <row r="241" spans="2:6" x14ac:dyDescent="0.4">
      <c r="B241" s="727"/>
      <c r="C241" s="727"/>
      <c r="D241" s="83" t="str">
        <f>+'Հավելված N 5'!C207</f>
        <v>«Գոմքի միջնակարգ դպրոց» ՊՈԱԿ</v>
      </c>
      <c r="E241" s="74">
        <f>+'Հավելված N 5'!D207</f>
        <v>-105415.9</v>
      </c>
    </row>
    <row r="242" spans="2:6" ht="18" x14ac:dyDescent="0.4">
      <c r="B242" s="244"/>
      <c r="C242" s="244"/>
      <c r="D242" s="24" t="s">
        <v>301</v>
      </c>
      <c r="E242" s="107">
        <f>+E243+E244+E245</f>
        <v>-252051.30000000002</v>
      </c>
    </row>
    <row r="243" spans="2:6" ht="34.799999999999997" x14ac:dyDescent="0.4">
      <c r="B243" s="726"/>
      <c r="C243" s="726"/>
      <c r="D243" s="83" t="str">
        <f>+'Հավելված N 5'!C209</f>
        <v>«Կիրանցի Գ.Վարդանյանի անվ. հիմնական դպրոց» ՊՈԱԿ</v>
      </c>
      <c r="E243" s="74">
        <f>+'Հավելված N 5'!D209</f>
        <v>-152649.70000000001</v>
      </c>
    </row>
    <row r="244" spans="2:6" x14ac:dyDescent="0.4">
      <c r="B244" s="744"/>
      <c r="C244" s="744"/>
      <c r="D244" s="83" t="str">
        <f>+'Հավելված N 5'!C210</f>
        <v>«գ. Դովեղի միջնակարգ դպրոց» ՊՈԱԿ</v>
      </c>
      <c r="E244" s="74">
        <f>+'Հավելված N 5'!D210</f>
        <v>-94401.600000000006</v>
      </c>
    </row>
    <row r="245" spans="2:6" x14ac:dyDescent="0.4">
      <c r="B245" s="727"/>
      <c r="C245" s="727"/>
      <c r="D245" s="83" t="str">
        <f>+'Հավելված N 5'!C211</f>
        <v>«Գոշի միջնակարգ դպրոց» ՊՈԱԿ</v>
      </c>
      <c r="E245" s="74">
        <f>+'Հավելված N 5'!D211</f>
        <v>-5000</v>
      </c>
    </row>
    <row r="246" spans="2:6" ht="54" x14ac:dyDescent="0.4">
      <c r="B246" s="124">
        <v>1183</v>
      </c>
      <c r="C246" s="124">
        <v>32004</v>
      </c>
      <c r="D246" s="68" t="s">
        <v>170</v>
      </c>
      <c r="E246" s="82">
        <f t="shared" ref="E246" si="5">+E248</f>
        <v>-94431.5</v>
      </c>
      <c r="F246" s="38"/>
    </row>
    <row r="247" spans="2:6" ht="18" x14ac:dyDescent="0.4">
      <c r="B247" s="124"/>
      <c r="C247" s="124"/>
      <c r="D247" s="84" t="s">
        <v>53</v>
      </c>
      <c r="E247" s="85"/>
    </row>
    <row r="248" spans="2:6" ht="36" x14ac:dyDescent="0.4">
      <c r="B248" s="124"/>
      <c r="C248" s="124"/>
      <c r="D248" s="138" t="s">
        <v>39</v>
      </c>
      <c r="E248" s="86">
        <f>+E250+E252+E254</f>
        <v>-94431.5</v>
      </c>
    </row>
    <row r="249" spans="2:6" ht="17.55" customHeight="1" x14ac:dyDescent="0.4">
      <c r="B249" s="124"/>
      <c r="C249" s="124"/>
      <c r="D249" s="84" t="s">
        <v>85</v>
      </c>
      <c r="E249" s="85"/>
    </row>
    <row r="250" spans="2:6" ht="18" x14ac:dyDescent="0.4">
      <c r="B250" s="88"/>
      <c r="C250" s="88"/>
      <c r="D250" s="24" t="s">
        <v>175</v>
      </c>
      <c r="E250" s="107">
        <f>+E251</f>
        <v>-49111.6</v>
      </c>
    </row>
    <row r="251" spans="2:6" ht="18" x14ac:dyDescent="0.4">
      <c r="B251" s="244"/>
      <c r="C251" s="244"/>
      <c r="D251" s="98" t="str">
        <f>+'Հավելված N 5'!C215</f>
        <v>«Ալավերդու N 5 ավագ դպրոց» ՊՈԱԿ</v>
      </c>
      <c r="E251" s="74">
        <f>+'Հավելված N 5'!D215</f>
        <v>-49111.6</v>
      </c>
    </row>
    <row r="252" spans="2:6" ht="18" x14ac:dyDescent="0.4">
      <c r="B252" s="88"/>
      <c r="C252" s="88"/>
      <c r="D252" s="24" t="s">
        <v>136</v>
      </c>
      <c r="E252" s="107">
        <f>+E253</f>
        <v>-43727.1</v>
      </c>
    </row>
    <row r="253" spans="2:6" ht="18" x14ac:dyDescent="0.4">
      <c r="B253" s="244"/>
      <c r="C253" s="244"/>
      <c r="D253" s="98" t="str">
        <f>+'Հավելված N 5'!C217</f>
        <v>«Գյումրու «Ֆոտոն» վարժարան» ՊՈԱԿ</v>
      </c>
      <c r="E253" s="74">
        <f>+'Հավելված N 5'!D217</f>
        <v>-43727.1</v>
      </c>
    </row>
    <row r="254" spans="2:6" ht="18" x14ac:dyDescent="0.4">
      <c r="B254" s="88"/>
      <c r="C254" s="88"/>
      <c r="D254" s="24" t="s">
        <v>185</v>
      </c>
      <c r="E254" s="107">
        <f>+E255</f>
        <v>-1592.8</v>
      </c>
    </row>
    <row r="255" spans="2:6" ht="18" x14ac:dyDescent="0.4">
      <c r="B255" s="244"/>
      <c r="C255" s="244"/>
      <c r="D255" s="98" t="str">
        <f>+'Հավելված N 5'!C219</f>
        <v>«Եղեգնաձորի ավագ դպրոցի» ՊՈԱԿ</v>
      </c>
      <c r="E255" s="74">
        <f>+'Հավելված N 5'!D219</f>
        <v>-1592.8</v>
      </c>
    </row>
    <row r="256" spans="2:6" s="129" customFormat="1" ht="54" x14ac:dyDescent="0.4">
      <c r="B256" s="232">
        <v>1183</v>
      </c>
      <c r="C256" s="232">
        <v>32007</v>
      </c>
      <c r="D256" s="185" t="s">
        <v>181</v>
      </c>
      <c r="E256" s="133">
        <f>+E258</f>
        <v>-67555</v>
      </c>
    </row>
    <row r="257" spans="2:5" s="129" customFormat="1" ht="18" x14ac:dyDescent="0.4">
      <c r="B257" s="182"/>
      <c r="C257" s="182"/>
      <c r="D257" s="180" t="s">
        <v>53</v>
      </c>
      <c r="E257" s="136"/>
    </row>
    <row r="258" spans="2:5" s="129" customFormat="1" ht="18" x14ac:dyDescent="0.4">
      <c r="B258" s="178"/>
      <c r="C258" s="178"/>
      <c r="D258" s="181" t="s">
        <v>137</v>
      </c>
      <c r="E258" s="139">
        <f>+E260+E262+E265</f>
        <v>-67555</v>
      </c>
    </row>
    <row r="259" spans="2:5" s="129" customFormat="1" ht="18" x14ac:dyDescent="0.4">
      <c r="B259" s="178"/>
      <c r="C259" s="178"/>
      <c r="D259" s="180" t="s">
        <v>85</v>
      </c>
      <c r="E259" s="141"/>
    </row>
    <row r="260" spans="2:5" s="129" customFormat="1" ht="18" x14ac:dyDescent="0.4">
      <c r="B260" s="178"/>
      <c r="C260" s="178"/>
      <c r="D260" s="179" t="s">
        <v>129</v>
      </c>
      <c r="E260" s="144">
        <f>+E261</f>
        <v>-5085</v>
      </c>
    </row>
    <row r="261" spans="2:5" s="175" customFormat="1" ht="18" x14ac:dyDescent="0.4">
      <c r="B261" s="440"/>
      <c r="C261" s="440"/>
      <c r="D261" s="177" t="str">
        <f>+'Հավելված N 5'!C223</f>
        <v>«Մրգաստանի միջնակարգ դպրոց» ՊՈԱԿ</v>
      </c>
      <c r="E261" s="176">
        <f>+'Հավելված N 5'!D223</f>
        <v>-5085</v>
      </c>
    </row>
    <row r="262" spans="2:5" s="129" customFormat="1" ht="18" x14ac:dyDescent="0.4">
      <c r="B262" s="178"/>
      <c r="C262" s="178"/>
      <c r="D262" s="179" t="s">
        <v>175</v>
      </c>
      <c r="E262" s="144">
        <f>+E263+E264</f>
        <v>-10170</v>
      </c>
    </row>
    <row r="263" spans="2:5" s="175" customFormat="1" x14ac:dyDescent="0.4">
      <c r="B263" s="696"/>
      <c r="C263" s="696"/>
      <c r="D263" s="177" t="str">
        <f>+'Հավելված N 5'!C225</f>
        <v>գ. Ախթալայի թիվ 2 միջնակարգ դպրոց</v>
      </c>
      <c r="E263" s="176">
        <f>+'Հավելված N 5'!D225</f>
        <v>-5085</v>
      </c>
    </row>
    <row r="264" spans="2:5" s="175" customFormat="1" x14ac:dyDescent="0.4">
      <c r="B264" s="697"/>
      <c r="C264" s="697"/>
      <c r="D264" s="177" t="str">
        <f>+'Հավելված N 5'!C226</f>
        <v>գ. Ղուրսալու միջնակարգ դպրոց</v>
      </c>
      <c r="E264" s="176">
        <f>+'Հավելված N 5'!D226</f>
        <v>-5085</v>
      </c>
    </row>
    <row r="265" spans="2:5" s="129" customFormat="1" ht="18" x14ac:dyDescent="0.4">
      <c r="B265" s="178"/>
      <c r="C265" s="178"/>
      <c r="D265" s="179" t="s">
        <v>136</v>
      </c>
      <c r="E265" s="144">
        <f>+E266</f>
        <v>-52300</v>
      </c>
    </row>
    <row r="266" spans="2:5" s="175" customFormat="1" ht="34.799999999999997" x14ac:dyDescent="0.4">
      <c r="B266" s="178"/>
      <c r="C266" s="178"/>
      <c r="D266" s="177" t="str">
        <f>+'Հավելված N 5'!C228</f>
        <v>«Ախուրյանի Նիկոլ Աղբալյանի անվան ավագ դպրոց»ՊՈԱԿ</v>
      </c>
      <c r="E266" s="176">
        <f>+'Հավելված N 5'!D228</f>
        <v>-52300</v>
      </c>
    </row>
    <row r="267" spans="2:5" s="129" customFormat="1" ht="54" x14ac:dyDescent="0.4">
      <c r="B267" s="301">
        <v>1183</v>
      </c>
      <c r="C267" s="301">
        <v>32009</v>
      </c>
      <c r="D267" s="185" t="s">
        <v>358</v>
      </c>
      <c r="E267" s="133">
        <f>+E269</f>
        <v>-224588.6</v>
      </c>
    </row>
    <row r="268" spans="2:5" s="129" customFormat="1" ht="18" x14ac:dyDescent="0.4">
      <c r="B268" s="182"/>
      <c r="C268" s="182"/>
      <c r="D268" s="180" t="s">
        <v>53</v>
      </c>
      <c r="E268" s="136"/>
    </row>
    <row r="269" spans="2:5" s="129" customFormat="1" ht="18" x14ac:dyDescent="0.4">
      <c r="B269" s="178"/>
      <c r="C269" s="178"/>
      <c r="D269" s="181" t="s">
        <v>137</v>
      </c>
      <c r="E269" s="139">
        <f>+E271+E274</f>
        <v>-224588.6</v>
      </c>
    </row>
    <row r="270" spans="2:5" s="129" customFormat="1" ht="18" x14ac:dyDescent="0.4">
      <c r="B270" s="178"/>
      <c r="C270" s="178"/>
      <c r="D270" s="180" t="s">
        <v>85</v>
      </c>
      <c r="E270" s="141"/>
    </row>
    <row r="271" spans="2:5" s="129" customFormat="1" ht="18" x14ac:dyDescent="0.4">
      <c r="B271" s="178"/>
      <c r="C271" s="178"/>
      <c r="D271" s="179" t="s">
        <v>149</v>
      </c>
      <c r="E271" s="144">
        <f>+E272+E273</f>
        <v>-135736.6</v>
      </c>
    </row>
    <row r="272" spans="2:5" s="175" customFormat="1" ht="34.799999999999997" x14ac:dyDescent="0.4">
      <c r="B272" s="743"/>
      <c r="C272" s="743"/>
      <c r="D272" s="177" t="str">
        <f>+'Հավելված N 5'!C232</f>
        <v>«Երևանի Վ. Թեքեյանի անվան թիվ 92 հիմնական դպրոց» ՊՈԱԿ</v>
      </c>
      <c r="E272" s="176">
        <f>+'Հավելված N 5'!D232</f>
        <v>-62623.8</v>
      </c>
    </row>
    <row r="273" spans="2:6" s="175" customFormat="1" x14ac:dyDescent="0.4">
      <c r="B273" s="743"/>
      <c r="C273" s="743"/>
      <c r="D273" s="177" t="str">
        <f>+'Հավելված N 5'!C233</f>
        <v>«Երևանի հ. 37 հիմնական դպրոց» ՊՈԱԿ</v>
      </c>
      <c r="E273" s="176">
        <f>+'Հավելված N 5'!D233</f>
        <v>-73112.800000000003</v>
      </c>
    </row>
    <row r="274" spans="2:6" s="129" customFormat="1" ht="18" x14ac:dyDescent="0.4">
      <c r="B274" s="178"/>
      <c r="C274" s="178"/>
      <c r="D274" s="179" t="s">
        <v>175</v>
      </c>
      <c r="E274" s="144">
        <f>+E275</f>
        <v>-88852</v>
      </c>
    </row>
    <row r="275" spans="2:6" s="175" customFormat="1" ht="34.799999999999997" x14ac:dyDescent="0.4">
      <c r="B275" s="306"/>
      <c r="C275" s="306"/>
      <c r="D275" s="307" t="str">
        <f>+'Հավելված N 5'!C235</f>
        <v>«Ալավերդու թիվ 12 հիմնական դպրոց» ՊՈԱԿ-ի մարզադահլիճի վերակառուցում</v>
      </c>
      <c r="E275" s="176">
        <f>+'Հավելված N 5'!D235</f>
        <v>-88852</v>
      </c>
    </row>
    <row r="276" spans="2:6" ht="36" x14ac:dyDescent="0.4">
      <c r="B276" s="124">
        <v>1183</v>
      </c>
      <c r="C276" s="124">
        <v>32012</v>
      </c>
      <c r="D276" s="68" t="s">
        <v>566</v>
      </c>
      <c r="E276" s="82">
        <f t="shared" ref="E276" si="6">+E278</f>
        <v>-598120.70000000007</v>
      </c>
      <c r="F276" s="38"/>
    </row>
    <row r="277" spans="2:6" ht="18" x14ac:dyDescent="0.4">
      <c r="B277" s="124"/>
      <c r="C277" s="124"/>
      <c r="D277" s="84" t="s">
        <v>53</v>
      </c>
      <c r="E277" s="85"/>
    </row>
    <row r="278" spans="2:6" ht="36" x14ac:dyDescent="0.4">
      <c r="B278" s="124"/>
      <c r="C278" s="124"/>
      <c r="D278" s="138" t="s">
        <v>39</v>
      </c>
      <c r="E278" s="86">
        <f>+E280+E283+E287+E290+E293+E299+E304+E308</f>
        <v>-598120.70000000007</v>
      </c>
    </row>
    <row r="279" spans="2:6" ht="17.55" customHeight="1" x14ac:dyDescent="0.4">
      <c r="B279" s="124"/>
      <c r="C279" s="124"/>
      <c r="D279" s="84" t="s">
        <v>85</v>
      </c>
      <c r="E279" s="85"/>
    </row>
    <row r="280" spans="2:6" s="129" customFormat="1" ht="18" x14ac:dyDescent="0.4">
      <c r="B280" s="178"/>
      <c r="C280" s="178"/>
      <c r="D280" s="179" t="s">
        <v>149</v>
      </c>
      <c r="E280" s="144">
        <f>+E281+E282</f>
        <v>-32791</v>
      </c>
    </row>
    <row r="281" spans="2:6" s="175" customFormat="1" ht="34.799999999999997" x14ac:dyDescent="0.4">
      <c r="B281" s="743"/>
      <c r="C281" s="743"/>
      <c r="D281" s="177" t="str">
        <f>+'Հավելված N 5'!C239</f>
        <v>«Երևանի Ղևոնդ Ալիշանի անվան թիվ 95 միջնակարգ դպրոց» ՊՈԱԿ</v>
      </c>
      <c r="E281" s="176">
        <f>+'Հավելված N 5'!D239</f>
        <v>-26703</v>
      </c>
    </row>
    <row r="282" spans="2:6" s="175" customFormat="1" ht="34.799999999999997" x14ac:dyDescent="0.4">
      <c r="B282" s="743"/>
      <c r="C282" s="743"/>
      <c r="D282" s="177" t="str">
        <f>+'Հավելված N 5'!C240</f>
        <v>«Երևանի Ա. Ղարիբյանի անվան N 142 ավագ  դպրոց» ՊՈԱԿ</v>
      </c>
      <c r="E282" s="176">
        <f>+'Հավելված N 5'!D240</f>
        <v>-6088</v>
      </c>
    </row>
    <row r="283" spans="2:6" s="129" customFormat="1" ht="18" x14ac:dyDescent="0.4">
      <c r="B283" s="178"/>
      <c r="C283" s="178"/>
      <c r="D283" s="179" t="s">
        <v>111</v>
      </c>
      <c r="E283" s="144">
        <f>+E284+E285+E286</f>
        <v>-71544.600000000006</v>
      </c>
    </row>
    <row r="284" spans="2:6" s="175" customFormat="1" x14ac:dyDescent="0.4">
      <c r="B284" s="696"/>
      <c r="C284" s="723"/>
      <c r="D284" s="177" t="str">
        <f>+'Հավելված N 5'!C242</f>
        <v>«Գառնահովիտի  միջնակարգ դպրոց» ՊՈԱԿ</v>
      </c>
      <c r="E284" s="176">
        <f>+'Հավելված N 5'!D242</f>
        <v>-29831</v>
      </c>
    </row>
    <row r="285" spans="2:6" s="175" customFormat="1" x14ac:dyDescent="0.4">
      <c r="B285" s="697"/>
      <c r="C285" s="697"/>
      <c r="D285" s="177" t="str">
        <f>+'Հավելված N 5'!C243</f>
        <v>«Լուսակնի միջնակարգ դպրոց» ՀՈԱԿ</v>
      </c>
      <c r="E285" s="176">
        <f>+'Հավելված N 5'!D243</f>
        <v>-30063.599999999999</v>
      </c>
    </row>
    <row r="286" spans="2:6" s="175" customFormat="1" x14ac:dyDescent="0.4">
      <c r="B286" s="698"/>
      <c r="C286" s="698"/>
      <c r="D286" s="177" t="str">
        <f>+'Հավելված N 5'!C244</f>
        <v>«Ալագյազի միջնակարգ դպրոց» ՀՈԱԿ</v>
      </c>
      <c r="E286" s="176">
        <f>+'Հավելված N 5'!D244</f>
        <v>-11650</v>
      </c>
    </row>
    <row r="287" spans="2:6" s="129" customFormat="1" ht="18" x14ac:dyDescent="0.4">
      <c r="B287" s="178"/>
      <c r="C287" s="178"/>
      <c r="D287" s="179" t="s">
        <v>265</v>
      </c>
      <c r="E287" s="144">
        <f>+E288+E289</f>
        <v>-38942</v>
      </c>
    </row>
    <row r="288" spans="2:6" s="175" customFormat="1" ht="34.799999999999997" x14ac:dyDescent="0.4">
      <c r="B288" s="743"/>
      <c r="C288" s="743"/>
      <c r="D288" s="177" t="str">
        <f>+'Հավելված N 5'!C246</f>
        <v>«Սևան քաղաքի Խ. Աբովյանի անվան ավագ դպրոց» ՊՈԱԿ</v>
      </c>
      <c r="E288" s="176">
        <f>+'Հավելված N 5'!D246</f>
        <v>-13172</v>
      </c>
    </row>
    <row r="289" spans="2:5" s="175" customFormat="1" ht="34.799999999999997" x14ac:dyDescent="0.4">
      <c r="B289" s="743"/>
      <c r="C289" s="743"/>
      <c r="D289" s="177" t="str">
        <f>+'Հավելված N 5'!C247</f>
        <v>«Զոլաքար գյուղի Ա. Վարդանյանի անվան N2 միջնակարգ դպրոց» ՊՈԱԿ</v>
      </c>
      <c r="E289" s="176">
        <f>+'Հավելված N 5'!D247</f>
        <v>-25770</v>
      </c>
    </row>
    <row r="290" spans="2:5" s="129" customFormat="1" ht="18" x14ac:dyDescent="0.4">
      <c r="B290" s="178"/>
      <c r="C290" s="178"/>
      <c r="D290" s="179" t="s">
        <v>175</v>
      </c>
      <c r="E290" s="144">
        <f>+E291+E292</f>
        <v>-65381.3</v>
      </c>
    </row>
    <row r="291" spans="2:5" s="175" customFormat="1" x14ac:dyDescent="0.4">
      <c r="B291" s="743"/>
      <c r="C291" s="743"/>
      <c r="D291" s="177" t="str">
        <f>+'Հավելված N 5'!C249</f>
        <v>«Մեդովկայի միջնակարգ դպրոց» ՊՈԱԿ</v>
      </c>
      <c r="E291" s="176">
        <f>+'Հավելված N 5'!D249</f>
        <v>-27505.3</v>
      </c>
    </row>
    <row r="292" spans="2:5" s="175" customFormat="1" ht="34.799999999999997" x14ac:dyDescent="0.4">
      <c r="B292" s="743"/>
      <c r="C292" s="743"/>
      <c r="D292" s="177" t="str">
        <f>+'Հավելված N 5'!C250</f>
        <v>«Ալավերդու Ստ.Շահումյանի անվան թիվ 5 ավագ դպրոց» ՊՈԱԿ</v>
      </c>
      <c r="E292" s="176">
        <f>+'Հավելված N 5'!D250</f>
        <v>-37876</v>
      </c>
    </row>
    <row r="293" spans="2:5" s="129" customFormat="1" ht="18" x14ac:dyDescent="0.4">
      <c r="B293" s="178"/>
      <c r="C293" s="178"/>
      <c r="D293" s="179" t="s">
        <v>136</v>
      </c>
      <c r="E293" s="144">
        <f>+E294+E295+E296+E297+E298</f>
        <v>-106366.3</v>
      </c>
    </row>
    <row r="294" spans="2:5" s="175" customFormat="1" x14ac:dyDescent="0.4">
      <c r="B294" s="742"/>
      <c r="C294" s="742"/>
      <c r="D294" s="416" t="str">
        <f>+'Հավելված N 5'!C252</f>
        <v>«Արեգնադեմի միջնակարգ դպրոց» ՊՈԱԿ</v>
      </c>
      <c r="E294" s="176">
        <f>+'Հավելված N 5'!D252</f>
        <v>-40281.1</v>
      </c>
    </row>
    <row r="295" spans="2:5" s="175" customFormat="1" x14ac:dyDescent="0.4">
      <c r="B295" s="742"/>
      <c r="C295" s="742"/>
      <c r="D295" s="416" t="str">
        <f>+'Հավելված N 5'!C253</f>
        <v>«Կապսի միջնակարգ դպրոց» ՊՈԱԿ</v>
      </c>
      <c r="E295" s="176">
        <f>+'Հավելված N 5'!D253</f>
        <v>-29263.1</v>
      </c>
    </row>
    <row r="296" spans="2:5" s="175" customFormat="1" x14ac:dyDescent="0.4">
      <c r="B296" s="742"/>
      <c r="C296" s="742"/>
      <c r="D296" s="416" t="str">
        <f>+'Հավելված N 5'!C254</f>
        <v>«Գյումրու Ակադեմիական Վարժարան» ՊՈԱԿ</v>
      </c>
      <c r="E296" s="176">
        <f>+'Հավելված N 5'!D254</f>
        <v>-13868.8</v>
      </c>
    </row>
    <row r="297" spans="2:5" s="175" customFormat="1" x14ac:dyDescent="0.4">
      <c r="B297" s="742"/>
      <c r="C297" s="742"/>
      <c r="D297" s="416" t="str">
        <f>+'Հավելված N 5'!C255</f>
        <v>«Արթիկ քաղաքի թիվ 3 ավագ դպրոց» ՊՈԱԿ</v>
      </c>
      <c r="E297" s="176">
        <f>+'Հավելված N 5'!D255</f>
        <v>-7951</v>
      </c>
    </row>
    <row r="298" spans="2:5" s="175" customFormat="1" x14ac:dyDescent="0.4">
      <c r="B298" s="742"/>
      <c r="C298" s="742"/>
      <c r="D298" s="416" t="str">
        <f>+'Հավելված N 5'!C256</f>
        <v>«Գյումրու թիվ 27 միջնակարգ դպրոց» ՊՈԱԿ</v>
      </c>
      <c r="E298" s="176">
        <f>+'Հավելված N 5'!D256</f>
        <v>-15002.3</v>
      </c>
    </row>
    <row r="299" spans="2:5" s="129" customFormat="1" ht="18" x14ac:dyDescent="0.4">
      <c r="B299" s="178"/>
      <c r="C299" s="178"/>
      <c r="D299" s="179" t="s">
        <v>296</v>
      </c>
      <c r="E299" s="144">
        <f>+E300+E301+E302+E303</f>
        <v>-161285.6</v>
      </c>
    </row>
    <row r="300" spans="2:5" s="175" customFormat="1" ht="34.799999999999997" x14ac:dyDescent="0.4">
      <c r="B300" s="719"/>
      <c r="C300" s="719"/>
      <c r="D300" s="416" t="str">
        <f>+'Հավելված N 5'!C258</f>
        <v>«Հարժիսի Համլետ Մինասյանի անվան միջնակարգ դպրոց» ՊՈԱԿ</v>
      </c>
      <c r="E300" s="176">
        <f>+'Հավելված N 5'!D258</f>
        <v>-50000</v>
      </c>
    </row>
    <row r="301" spans="2:5" s="175" customFormat="1" x14ac:dyDescent="0.4">
      <c r="B301" s="720"/>
      <c r="C301" s="720"/>
      <c r="D301" s="416" t="str">
        <f>+'Հավելված N 5'!C259</f>
        <v>«Վաղատինի միջնակարգ դպրոց» ՊՈԱԿ</v>
      </c>
      <c r="E301" s="176">
        <f>+'Հավելված N 5'!D259</f>
        <v>-29335.8</v>
      </c>
    </row>
    <row r="302" spans="2:5" s="175" customFormat="1" x14ac:dyDescent="0.4">
      <c r="B302" s="720"/>
      <c r="C302" s="720"/>
      <c r="D302" s="416" t="str">
        <f>+'Հավելված N 5'!C260</f>
        <v>«Դարբասի միջնակարգ դպրոց» ՊՈԱԿ</v>
      </c>
      <c r="E302" s="176">
        <f>+'Հավելված N 5'!D260</f>
        <v>-27667.8</v>
      </c>
    </row>
    <row r="303" spans="2:5" s="175" customFormat="1" ht="34.799999999999997" x14ac:dyDescent="0.4">
      <c r="B303" s="721"/>
      <c r="C303" s="721"/>
      <c r="D303" s="416" t="str">
        <f>+'Հավելված N 5'!C261</f>
        <v>«Գորիսի Ա.Բակունցի անվ.թիվ 1 ավագ դպրոց» ՊՈԱԿ</v>
      </c>
      <c r="E303" s="176">
        <f>+'Հավելված N 5'!D261</f>
        <v>-54282</v>
      </c>
    </row>
    <row r="304" spans="2:5" s="129" customFormat="1" ht="18" x14ac:dyDescent="0.4">
      <c r="B304" s="178"/>
      <c r="C304" s="178"/>
      <c r="D304" s="179" t="s">
        <v>185</v>
      </c>
      <c r="E304" s="144">
        <f>+E305+E306+E307</f>
        <v>-91141.4</v>
      </c>
    </row>
    <row r="305" spans="2:6" s="175" customFormat="1" x14ac:dyDescent="0.4">
      <c r="B305" s="741"/>
      <c r="C305" s="741"/>
      <c r="D305" s="416" t="str">
        <f>+'Հավելված N 5'!C263</f>
        <v>«Գոմքի միջնակարգ դպրոց» ՊՈԱԿ</v>
      </c>
      <c r="E305" s="176">
        <f>+'Հավելված N 5'!D263</f>
        <v>-30479.200000000001</v>
      </c>
    </row>
    <row r="306" spans="2:6" s="175" customFormat="1" x14ac:dyDescent="0.4">
      <c r="B306" s="741"/>
      <c r="C306" s="741"/>
      <c r="D306" s="416" t="str">
        <f>+'Հավելված N 5'!C264</f>
        <v>«Չիվայի միջնակարգ դպրոց» ՊՈԱԿ</v>
      </c>
      <c r="E306" s="176">
        <f>+'Հավելված N 5'!D264</f>
        <v>-27857.200000000001</v>
      </c>
    </row>
    <row r="307" spans="2:6" s="175" customFormat="1" x14ac:dyDescent="0.4">
      <c r="B307" s="741"/>
      <c r="C307" s="741"/>
      <c r="D307" s="416" t="str">
        <f>+'Հավելված N 5'!C265</f>
        <v>«Եղեգնաձորի թիվ 1 հիմնական դպրոց» ՊՈԱԿ</v>
      </c>
      <c r="E307" s="176">
        <f>+'Հավելված N 5'!D265</f>
        <v>-32805</v>
      </c>
    </row>
    <row r="308" spans="2:6" s="129" customFormat="1" ht="18" x14ac:dyDescent="0.4">
      <c r="B308" s="178"/>
      <c r="C308" s="178"/>
      <c r="D308" s="179" t="s">
        <v>301</v>
      </c>
      <c r="E308" s="144">
        <f>+E309</f>
        <v>-30668.5</v>
      </c>
    </row>
    <row r="309" spans="2:6" s="175" customFormat="1" ht="34.799999999999997" x14ac:dyDescent="0.4">
      <c r="B309" s="444"/>
      <c r="C309" s="444"/>
      <c r="D309" s="416" t="str">
        <f>+'Հավելված N 5'!C267</f>
        <v>«Կիրանցի Գ.Վարդանյանի անվ. հիմնական դպրոց» ՊՈԱԿ</v>
      </c>
      <c r="E309" s="176">
        <f>+'Հավելված N 5'!D267</f>
        <v>-30668.5</v>
      </c>
    </row>
    <row r="310" spans="2:6" ht="72" x14ac:dyDescent="0.4">
      <c r="B310" s="124">
        <v>1183</v>
      </c>
      <c r="C310" s="124">
        <v>32013</v>
      </c>
      <c r="D310" s="409" t="s">
        <v>573</v>
      </c>
      <c r="E310" s="82">
        <f>+E312</f>
        <v>-267300</v>
      </c>
      <c r="F310" s="38"/>
    </row>
    <row r="311" spans="2:6" ht="18" x14ac:dyDescent="0.4">
      <c r="B311" s="124"/>
      <c r="C311" s="124"/>
      <c r="D311" s="84" t="s">
        <v>53</v>
      </c>
      <c r="E311" s="85"/>
    </row>
    <row r="312" spans="2:6" ht="18" x14ac:dyDescent="0.4">
      <c r="B312" s="124"/>
      <c r="C312" s="124"/>
      <c r="D312" s="138" t="s">
        <v>137</v>
      </c>
      <c r="E312" s="86">
        <f>+E314+E322+E327+E337+E349+E351+E366</f>
        <v>-267300</v>
      </c>
    </row>
    <row r="313" spans="2:6" ht="17.55" customHeight="1" x14ac:dyDescent="0.4">
      <c r="B313" s="124"/>
      <c r="C313" s="124"/>
      <c r="D313" s="84" t="s">
        <v>85</v>
      </c>
      <c r="E313" s="85"/>
    </row>
    <row r="314" spans="2:6" s="129" customFormat="1" ht="18" x14ac:dyDescent="0.4">
      <c r="B314" s="178"/>
      <c r="C314" s="178"/>
      <c r="D314" s="179" t="s">
        <v>111</v>
      </c>
      <c r="E314" s="144">
        <f>+E315+E316+E317+E318+E319+E320+E321</f>
        <v>-34200</v>
      </c>
    </row>
    <row r="315" spans="2:6" s="175" customFormat="1" x14ac:dyDescent="0.4">
      <c r="B315" s="719"/>
      <c r="C315" s="719"/>
      <c r="D315" s="474" t="str">
        <f>+'Հավելված N 5'!C271</f>
        <v>գ. Ագարակավանի կրթահամալիր</v>
      </c>
      <c r="E315" s="475">
        <f>+'Հավելված N 5'!D271</f>
        <v>-4800</v>
      </c>
    </row>
    <row r="316" spans="2:6" s="175" customFormat="1" x14ac:dyDescent="0.4">
      <c r="B316" s="720"/>
      <c r="C316" s="720"/>
      <c r="D316" s="474" t="str">
        <f>+'Հավելված N 5'!C272</f>
        <v>գ. Ռյա Թազայի կրթահամալիր</v>
      </c>
      <c r="E316" s="475">
        <f>+'Հավելված N 5'!D272</f>
        <v>-4800</v>
      </c>
    </row>
    <row r="317" spans="2:6" s="175" customFormat="1" x14ac:dyDescent="0.4">
      <c r="B317" s="720"/>
      <c r="C317" s="720"/>
      <c r="D317" s="474" t="str">
        <f>+'Հավելված N 5'!C273</f>
        <v>գ. Նոր-Ամանոսի կրթահամալիր</v>
      </c>
      <c r="E317" s="475">
        <f>+'Հավելված N 5'!D273</f>
        <v>-4800</v>
      </c>
    </row>
    <row r="318" spans="2:6" s="175" customFormat="1" x14ac:dyDescent="0.4">
      <c r="B318" s="720"/>
      <c r="C318" s="720"/>
      <c r="D318" s="474" t="str">
        <f>+'Հավելված N 5'!C274</f>
        <v>գ. Ճարճակիսի կրթահամալիր</v>
      </c>
      <c r="E318" s="475">
        <f>+'Հավելված N 5'!D274</f>
        <v>-4800</v>
      </c>
    </row>
    <row r="319" spans="2:6" s="175" customFormat="1" x14ac:dyDescent="0.4">
      <c r="B319" s="720"/>
      <c r="C319" s="720"/>
      <c r="D319" s="474" t="str">
        <f>+'Հավելված N 5'!C275</f>
        <v>գ. Զարինջայի կրթահամալիր</v>
      </c>
      <c r="E319" s="475">
        <f>+'Հավելված N 5'!D275</f>
        <v>-5400</v>
      </c>
    </row>
    <row r="320" spans="2:6" s="175" customFormat="1" x14ac:dyDescent="0.4">
      <c r="B320" s="720"/>
      <c r="C320" s="720"/>
      <c r="D320" s="474" t="str">
        <f>+'Հավելված N 5'!C276</f>
        <v>գ. Վարդենուտի կրթահամալիր</v>
      </c>
      <c r="E320" s="475">
        <f>+'Հավելված N 5'!D276</f>
        <v>-4800</v>
      </c>
    </row>
    <row r="321" spans="2:5" s="175" customFormat="1" x14ac:dyDescent="0.4">
      <c r="B321" s="720"/>
      <c r="C321" s="720"/>
      <c r="D321" s="474" t="str">
        <f>+'Հավելված N 5'!C277</f>
        <v>գ. Կարինի կրթահամալիր</v>
      </c>
      <c r="E321" s="475">
        <f>+'Հավելված N 5'!D277</f>
        <v>-4800</v>
      </c>
    </row>
    <row r="322" spans="2:5" s="129" customFormat="1" ht="18" x14ac:dyDescent="0.4">
      <c r="B322" s="473"/>
      <c r="C322" s="473"/>
      <c r="D322" s="476" t="s">
        <v>129</v>
      </c>
      <c r="E322" s="477">
        <f>+E323+E324+E325+E326</f>
        <v>-21600</v>
      </c>
    </row>
    <row r="323" spans="2:5" x14ac:dyDescent="0.4">
      <c r="B323" s="719"/>
      <c r="C323" s="719"/>
      <c r="D323" s="474" t="str">
        <f>+'Հավելված N 5'!C279</f>
        <v>գ. Երասխահունի կրթահամալիր</v>
      </c>
      <c r="E323" s="475">
        <f>+'Հավելված N 5'!D279</f>
        <v>-5400</v>
      </c>
    </row>
    <row r="324" spans="2:5" x14ac:dyDescent="0.4">
      <c r="B324" s="720"/>
      <c r="C324" s="720"/>
      <c r="D324" s="474" t="str">
        <f>+'Հավելված N 5'!C280</f>
        <v>գ. Վարդանաշենի կրթահամալիր</v>
      </c>
      <c r="E324" s="475">
        <f>+'Հավելված N 5'!D280</f>
        <v>-5400</v>
      </c>
    </row>
    <row r="325" spans="2:5" x14ac:dyDescent="0.4">
      <c r="B325" s="720"/>
      <c r="C325" s="720"/>
      <c r="D325" s="474" t="str">
        <f>+'Հավելված N 5'!C281</f>
        <v>գ. Երվանդաշատի կրթահամալիր</v>
      </c>
      <c r="E325" s="475">
        <f>+'Հավելված N 5'!D281</f>
        <v>-5400</v>
      </c>
    </row>
    <row r="326" spans="2:5" x14ac:dyDescent="0.4">
      <c r="B326" s="721"/>
      <c r="C326" s="721"/>
      <c r="D326" s="474" t="str">
        <f>+'Հավելված N 5'!C282</f>
        <v>գ. Նոր Արտագերսի կրթահամալիր</v>
      </c>
      <c r="E326" s="475">
        <f>+'Հավելված N 5'!D282</f>
        <v>-5400</v>
      </c>
    </row>
    <row r="327" spans="2:5" s="129" customFormat="1" ht="18" x14ac:dyDescent="0.4">
      <c r="B327" s="473"/>
      <c r="C327" s="473"/>
      <c r="D327" s="476" t="s">
        <v>1088</v>
      </c>
      <c r="E327" s="477">
        <f>+E328+E329+E330+E331+E332+E333+E334+E335+E336</f>
        <v>-43800</v>
      </c>
    </row>
    <row r="328" spans="2:5" x14ac:dyDescent="0.4">
      <c r="B328" s="719"/>
      <c r="C328" s="719"/>
      <c r="D328" s="474" t="str">
        <f>+'Հավելված N 5'!C284</f>
        <v>գ. Թթուջուրի կրթահամալիր</v>
      </c>
      <c r="E328" s="475">
        <f>+'Հավելված N 5'!D284</f>
        <v>-4800</v>
      </c>
    </row>
    <row r="329" spans="2:5" x14ac:dyDescent="0.4">
      <c r="B329" s="720"/>
      <c r="C329" s="720"/>
      <c r="D329" s="474" t="str">
        <f>+'Հավելված N 5'!C285</f>
        <v>գ. Մարտունու կրթահամալիր</v>
      </c>
      <c r="E329" s="475">
        <f>+'Հավելված N 5'!D285</f>
        <v>-4800</v>
      </c>
    </row>
    <row r="330" spans="2:5" x14ac:dyDescent="0.4">
      <c r="B330" s="720"/>
      <c r="C330" s="720"/>
      <c r="D330" s="474" t="str">
        <f>+'Հավելված N 5'!C286</f>
        <v>գ. Դպրաբակի կրթահամալիր</v>
      </c>
      <c r="E330" s="475">
        <f>+'Հավելված N 5'!D286</f>
        <v>-5400</v>
      </c>
    </row>
    <row r="331" spans="2:5" x14ac:dyDescent="0.4">
      <c r="B331" s="720"/>
      <c r="C331" s="720"/>
      <c r="D331" s="474" t="str">
        <f>+'Հավելված N 5'!C287</f>
        <v>գ. Շատվանի կրթահամալիր</v>
      </c>
      <c r="E331" s="475">
        <f>+'Հավելված N 5'!D287</f>
        <v>-4800</v>
      </c>
    </row>
    <row r="332" spans="2:5" x14ac:dyDescent="0.4">
      <c r="B332" s="720"/>
      <c r="C332" s="720"/>
      <c r="D332" s="474" t="str">
        <f>+'Հավելված N 5'!C288</f>
        <v>գ. Կախակնի կրթահամալիր</v>
      </c>
      <c r="E332" s="475">
        <f>+'Հավելված N 5'!D288</f>
        <v>-4800</v>
      </c>
    </row>
    <row r="333" spans="2:5" x14ac:dyDescent="0.4">
      <c r="B333" s="720"/>
      <c r="C333" s="720"/>
      <c r="D333" s="474" t="str">
        <f>+'Հավելված N 5'!C289</f>
        <v>գ. Արեգունու կրթահամալիր</v>
      </c>
      <c r="E333" s="475">
        <f>+'Հավելված N 5'!D289</f>
        <v>-4800</v>
      </c>
    </row>
    <row r="334" spans="2:5" x14ac:dyDescent="0.4">
      <c r="B334" s="720"/>
      <c r="C334" s="720"/>
      <c r="D334" s="474" t="str">
        <f>+'Հավելված N 5'!C290</f>
        <v>գ. Փոքր Մասրիկի  կրթահամալիր</v>
      </c>
      <c r="E334" s="475">
        <f>+'Հավելված N 5'!D290</f>
        <v>-4800</v>
      </c>
    </row>
    <row r="335" spans="2:5" x14ac:dyDescent="0.4">
      <c r="B335" s="720"/>
      <c r="C335" s="720"/>
      <c r="D335" s="474" t="str">
        <f>+'Հավելված N 5'!C291</f>
        <v>գ. Մաքենիսի  կրթահամալիր</v>
      </c>
      <c r="E335" s="475">
        <f>+'Հավելված N 5'!D291</f>
        <v>-4800</v>
      </c>
    </row>
    <row r="336" spans="2:5" x14ac:dyDescent="0.4">
      <c r="B336" s="721"/>
      <c r="C336" s="721"/>
      <c r="D336" s="474" t="str">
        <f>+'Հավելված N 5'!C292</f>
        <v>գ. Մադինայի  կրթահամալիր</v>
      </c>
      <c r="E336" s="475">
        <f>+'Հավելված N 5'!D292</f>
        <v>-4800</v>
      </c>
    </row>
    <row r="337" spans="2:5" s="129" customFormat="1" ht="18" x14ac:dyDescent="0.4">
      <c r="B337" s="473"/>
      <c r="C337" s="473"/>
      <c r="D337" s="476" t="s">
        <v>175</v>
      </c>
      <c r="E337" s="477">
        <f>+E338+E339+E340+E341+E342+E343+E344+E345+E346+E347+E348</f>
        <v>-57000</v>
      </c>
    </row>
    <row r="338" spans="2:5" x14ac:dyDescent="0.4">
      <c r="B338" s="719"/>
      <c r="C338" s="719"/>
      <c r="D338" s="474" t="str">
        <f>+'Հավելված N 5'!C294</f>
        <v>գ. Հարթագյուղի կրթահամալիր</v>
      </c>
      <c r="E338" s="475">
        <f>+'Հավելված N 5'!D294</f>
        <v>-4800</v>
      </c>
    </row>
    <row r="339" spans="2:5" x14ac:dyDescent="0.4">
      <c r="B339" s="720"/>
      <c r="C339" s="720"/>
      <c r="D339" s="474" t="str">
        <f>+'Հավելված N 5'!C295</f>
        <v>գ. Լորուտի կրթահամալիր</v>
      </c>
      <c r="E339" s="475">
        <f>+'Հավելված N 5'!D295</f>
        <v>-5400</v>
      </c>
    </row>
    <row r="340" spans="2:5" ht="34.799999999999997" x14ac:dyDescent="0.4">
      <c r="B340" s="720"/>
      <c r="C340" s="720"/>
      <c r="D340" s="474" t="str">
        <f>+'Հավելված N 5'!C296</f>
        <v>ք. Ալավերդիի կրթահամալիր (ք. Ալավերդու թիվ 4 հիմնական դպրոցի տեղակայման վայրում)</v>
      </c>
      <c r="E340" s="475">
        <f>+'Հավելված N 5'!D296</f>
        <v>-5400</v>
      </c>
    </row>
    <row r="341" spans="2:5" ht="52.2" x14ac:dyDescent="0.4">
      <c r="B341" s="720"/>
      <c r="C341" s="720"/>
      <c r="D341" s="474" t="str">
        <f>+'Հավելված N 5'!C297</f>
        <v>ք. Թումանյանի կրթահամալիր (ք. Թումանյանի Խ.Աբովյանի անվան միջնակարգ դպրոցի տեղակայման վայրում)</v>
      </c>
      <c r="E341" s="475">
        <f>+'Հավելված N 5'!D297</f>
        <v>-5400</v>
      </c>
    </row>
    <row r="342" spans="2:5" x14ac:dyDescent="0.4">
      <c r="B342" s="720"/>
      <c r="C342" s="720"/>
      <c r="D342" s="474" t="str">
        <f>+'Հավելված N 5'!C298</f>
        <v>գ. Քարինջի կրթահամալիր</v>
      </c>
      <c r="E342" s="475">
        <f>+'Հավելված N 5'!D298</f>
        <v>-4800</v>
      </c>
    </row>
    <row r="343" spans="2:5" x14ac:dyDescent="0.4">
      <c r="B343" s="720"/>
      <c r="C343" s="720"/>
      <c r="D343" s="474" t="str">
        <f>+'Հավելված N 5'!C299</f>
        <v>գ. Բազումի կրթահամալիր</v>
      </c>
      <c r="E343" s="475">
        <f>+'Հավելված N 5'!D299</f>
        <v>-5400</v>
      </c>
    </row>
    <row r="344" spans="2:5" x14ac:dyDescent="0.4">
      <c r="B344" s="720"/>
      <c r="C344" s="720"/>
      <c r="D344" s="474" t="str">
        <f>+'Հավելված N 5'!C300</f>
        <v>գ. Միխայլովկայի կրթահամալիր</v>
      </c>
      <c r="E344" s="475">
        <f>+'Հավելված N 5'!D300</f>
        <v>-5400</v>
      </c>
    </row>
    <row r="345" spans="2:5" x14ac:dyDescent="0.4">
      <c r="B345" s="720"/>
      <c r="C345" s="720"/>
      <c r="D345" s="474" t="str">
        <f>+'Հավելված N 5'!C301</f>
        <v>գ. Լեջանի կրթահամալիր</v>
      </c>
      <c r="E345" s="475">
        <f>+'Հավելված N 5'!D301</f>
        <v>-4800</v>
      </c>
    </row>
    <row r="346" spans="2:5" x14ac:dyDescent="0.4">
      <c r="B346" s="720"/>
      <c r="C346" s="720"/>
      <c r="D346" s="474" t="str">
        <f>+'Հավելված N 5'!C302</f>
        <v>գ. Կաթնառատի կրթահամալիր</v>
      </c>
      <c r="E346" s="475">
        <f>+'Հավելված N 5'!D302</f>
        <v>-5400</v>
      </c>
    </row>
    <row r="347" spans="2:5" x14ac:dyDescent="0.4">
      <c r="B347" s="720"/>
      <c r="C347" s="720"/>
      <c r="D347" s="474" t="str">
        <f>+'Հավելված N 5'!C303</f>
        <v>գ. Գարգառի կրթահամալիր</v>
      </c>
      <c r="E347" s="475">
        <f>+'Հավելված N 5'!D303</f>
        <v>-5400</v>
      </c>
    </row>
    <row r="348" spans="2:5" x14ac:dyDescent="0.4">
      <c r="B348" s="721"/>
      <c r="C348" s="721"/>
      <c r="D348" s="474" t="str">
        <f>+'Հավելված N 5'!C304</f>
        <v>գ. Նորաշենի կրթահամալիր</v>
      </c>
      <c r="E348" s="475">
        <f>+'Հավելված N 5'!D304</f>
        <v>-4800</v>
      </c>
    </row>
    <row r="349" spans="2:5" s="129" customFormat="1" ht="18" x14ac:dyDescent="0.4">
      <c r="B349" s="473"/>
      <c r="C349" s="473"/>
      <c r="D349" s="476" t="s">
        <v>167</v>
      </c>
      <c r="E349" s="477">
        <f>+E350</f>
        <v>-4800</v>
      </c>
    </row>
    <row r="350" spans="2:5" x14ac:dyDescent="0.4">
      <c r="B350" s="444"/>
      <c r="C350" s="444"/>
      <c r="D350" s="474" t="str">
        <f>+'Հավելված N 5'!C306</f>
        <v>Արտավազի կրթահամալիր</v>
      </c>
      <c r="E350" s="475">
        <f>+'Հավելված N 5'!D306</f>
        <v>-4800</v>
      </c>
    </row>
    <row r="351" spans="2:5" s="129" customFormat="1" ht="18" x14ac:dyDescent="0.4">
      <c r="B351" s="473"/>
      <c r="C351" s="473"/>
      <c r="D351" s="476" t="s">
        <v>296</v>
      </c>
      <c r="E351" s="477">
        <f>+E352+E353+E354+E355+E356+E357+E358+E359+E360+E361+E362+E363+E364+E365</f>
        <v>-80700</v>
      </c>
    </row>
    <row r="352" spans="2:5" x14ac:dyDescent="0.4">
      <c r="B352" s="719"/>
      <c r="C352" s="719"/>
      <c r="D352" s="474" t="str">
        <f>+'Հավելված N 5'!C308</f>
        <v>Գորայք համայնքի Գորայքի կրթահամալիր</v>
      </c>
      <c r="E352" s="475">
        <f>+'Հավելված N 5'!D308</f>
        <v>-4800</v>
      </c>
    </row>
    <row r="353" spans="2:5" x14ac:dyDescent="0.4">
      <c r="B353" s="720"/>
      <c r="C353" s="720"/>
      <c r="D353" s="474" t="str">
        <f>+'Հավելված N 5'!C309</f>
        <v>Գորայք համայնքի Սառնակունքի կրթահամալիր</v>
      </c>
      <c r="E353" s="475">
        <f>+'Հավելված N 5'!D309</f>
        <v>-4800</v>
      </c>
    </row>
    <row r="354" spans="2:5" x14ac:dyDescent="0.4">
      <c r="B354" s="720"/>
      <c r="C354" s="720"/>
      <c r="D354" s="474" t="str">
        <f>+'Հավելված N 5'!C310</f>
        <v>Սիսիան համայնքի Աշոտավանի կրթահամալիր</v>
      </c>
      <c r="E354" s="475">
        <f>+'Հավելված N 5'!D310</f>
        <v>-4800</v>
      </c>
    </row>
    <row r="355" spans="2:5" x14ac:dyDescent="0.4">
      <c r="B355" s="720"/>
      <c r="C355" s="720"/>
      <c r="D355" s="474" t="str">
        <f>+'Հավելված N 5'!C311</f>
        <v>Սիսիան համայնքի Նորավանի կրթահամալիր</v>
      </c>
      <c r="E355" s="475">
        <f>+'Հավելված N 5'!D311</f>
        <v>-4800</v>
      </c>
    </row>
    <row r="356" spans="2:5" x14ac:dyDescent="0.4">
      <c r="B356" s="720"/>
      <c r="C356" s="720"/>
      <c r="D356" s="474" t="str">
        <f>+'Հավելված N 5'!C312</f>
        <v>Սիսիան համայնքի Ախլաթյանի կրթահամալիր</v>
      </c>
      <c r="E356" s="475">
        <f>+'Հավելված N 5'!D312</f>
        <v>-4800</v>
      </c>
    </row>
    <row r="357" spans="2:5" x14ac:dyDescent="0.4">
      <c r="B357" s="720"/>
      <c r="C357" s="720"/>
      <c r="D357" s="474" t="str">
        <f>+'Հավելված N 5'!C313</f>
        <v>Սիսիան համայնքի Իշխանասարի կրթահամալիր</v>
      </c>
      <c r="E357" s="475">
        <f>+'Հավելված N 5'!D313</f>
        <v>-18300</v>
      </c>
    </row>
    <row r="358" spans="2:5" x14ac:dyDescent="0.4">
      <c r="B358" s="720"/>
      <c r="C358" s="720"/>
      <c r="D358" s="474" t="str">
        <f>+'Հավելված N 5'!C314</f>
        <v>Սիսիան համայնքի Ույծի կրթահամալիր</v>
      </c>
      <c r="E358" s="475">
        <f>+'Հավելված N 5'!D314</f>
        <v>-4800</v>
      </c>
    </row>
    <row r="359" spans="2:5" x14ac:dyDescent="0.4">
      <c r="B359" s="720"/>
      <c r="C359" s="720"/>
      <c r="D359" s="474" t="str">
        <f>+'Հավելված N 5'!C315</f>
        <v>Սիսիան համայնքի Շաքիի կրթահամալիր</v>
      </c>
      <c r="E359" s="475">
        <f>+'Հավելված N 5'!D315</f>
        <v>-4800</v>
      </c>
    </row>
    <row r="360" spans="2:5" x14ac:dyDescent="0.4">
      <c r="B360" s="720"/>
      <c r="C360" s="720"/>
      <c r="D360" s="474" t="str">
        <f>+'Հավելված N 5'!C316</f>
        <v>Գորիս համայնքի Որոտանի կրթահամալիր</v>
      </c>
      <c r="E360" s="475">
        <f>+'Հավելված N 5'!D316</f>
        <v>-4800</v>
      </c>
    </row>
    <row r="361" spans="2:5" x14ac:dyDescent="0.4">
      <c r="B361" s="720"/>
      <c r="C361" s="720"/>
      <c r="D361" s="474" t="str">
        <f>+'Հավելված N 5'!C317</f>
        <v>Գորիս համայնքի Հարթաշենի կրթահամալիր</v>
      </c>
      <c r="E361" s="475">
        <f>+'Հավելված N 5'!D317</f>
        <v>-4800</v>
      </c>
    </row>
    <row r="362" spans="2:5" x14ac:dyDescent="0.4">
      <c r="B362" s="720"/>
      <c r="C362" s="720"/>
      <c r="D362" s="474" t="str">
        <f>+'Հավելված N 5'!C318</f>
        <v>Տեղ համայնքի Տեղի թիվ 2 կրթահամալիր</v>
      </c>
      <c r="E362" s="475">
        <f>+'Հավելված N 5'!D318</f>
        <v>-4800</v>
      </c>
    </row>
    <row r="363" spans="2:5" x14ac:dyDescent="0.4">
      <c r="B363" s="720"/>
      <c r="C363" s="720"/>
      <c r="D363" s="474" t="str">
        <f>+'Հավելված N 5'!C319</f>
        <v>Տեղ համայնքի Խնածախի կրթահամալիր</v>
      </c>
      <c r="E363" s="475">
        <f>+'Հավելված N 5'!D319</f>
        <v>-4800</v>
      </c>
    </row>
    <row r="364" spans="2:5" x14ac:dyDescent="0.4">
      <c r="B364" s="720"/>
      <c r="C364" s="720"/>
      <c r="D364" s="474" t="str">
        <f>+'Հավելված N 5'!C320</f>
        <v>Տեղ համայնքի Կորնիձորի կրթահամալիր</v>
      </c>
      <c r="E364" s="475">
        <f>+'Հավելված N 5'!D320</f>
        <v>-4800</v>
      </c>
    </row>
    <row r="365" spans="2:5" x14ac:dyDescent="0.4">
      <c r="B365" s="721"/>
      <c r="C365" s="721"/>
      <c r="D365" s="474" t="str">
        <f>+'Հավելված N 5'!C321</f>
        <v>Տեղ համայնքի Քարաշենի կրթահամալիր</v>
      </c>
      <c r="E365" s="475">
        <f>+'Հավելված N 5'!D321</f>
        <v>-4800</v>
      </c>
    </row>
    <row r="366" spans="2:5" s="129" customFormat="1" ht="18" x14ac:dyDescent="0.4">
      <c r="B366" s="473"/>
      <c r="C366" s="473"/>
      <c r="D366" s="476" t="s">
        <v>301</v>
      </c>
      <c r="E366" s="477">
        <f>+E367+E368+E369+E370+E371</f>
        <v>-25200</v>
      </c>
    </row>
    <row r="367" spans="2:5" x14ac:dyDescent="0.4">
      <c r="B367" s="719"/>
      <c r="C367" s="719"/>
      <c r="D367" s="474" t="str">
        <f>+'Հավելված N 5'!C323</f>
        <v>գ. Լուսաձորի կրթահամալիր</v>
      </c>
      <c r="E367" s="475">
        <f>+'Հավելված N 5'!D323</f>
        <v>-4800</v>
      </c>
    </row>
    <row r="368" spans="2:5" x14ac:dyDescent="0.4">
      <c r="B368" s="720"/>
      <c r="C368" s="720"/>
      <c r="D368" s="474" t="str">
        <f>+'Հավելված N 5'!C324</f>
        <v>գ. Պտղավանի կրթահամալիր</v>
      </c>
      <c r="E368" s="475">
        <f>+'Հավելված N 5'!D324</f>
        <v>-5400</v>
      </c>
    </row>
    <row r="369" spans="2:5" x14ac:dyDescent="0.4">
      <c r="B369" s="720"/>
      <c r="C369" s="720"/>
      <c r="D369" s="474" t="str">
        <f>+'Հավելված N 5'!C325</f>
        <v>գ. Աղավնավանքի կրթահամալիր</v>
      </c>
      <c r="E369" s="475">
        <f>+'Հավելված N 5'!D325</f>
        <v>-4800</v>
      </c>
    </row>
    <row r="370" spans="2:5" x14ac:dyDescent="0.4">
      <c r="B370" s="720"/>
      <c r="C370" s="720"/>
      <c r="D370" s="474" t="str">
        <f>+'Հավելված N 5'!C326</f>
        <v>գ. Նորաշենի կրթահամալիր</v>
      </c>
      <c r="E370" s="475">
        <f>+'Հավելված N 5'!D326</f>
        <v>-5400</v>
      </c>
    </row>
    <row r="371" spans="2:5" x14ac:dyDescent="0.4">
      <c r="B371" s="721"/>
      <c r="C371" s="721"/>
      <c r="D371" s="474" t="str">
        <f>+'Հավելված N 5'!C327</f>
        <v>գ. Ոսկևանի կրթահամալիր</v>
      </c>
      <c r="E371" s="475">
        <f>+'Հավելված N 5'!D327</f>
        <v>-4800</v>
      </c>
    </row>
  </sheetData>
  <mergeCells count="79">
    <mergeCell ref="B352:B365"/>
    <mergeCell ref="C352:C365"/>
    <mergeCell ref="C367:C371"/>
    <mergeCell ref="B367:B371"/>
    <mergeCell ref="C58:C59"/>
    <mergeCell ref="B58:B59"/>
    <mergeCell ref="B323:B326"/>
    <mergeCell ref="C323:C326"/>
    <mergeCell ref="C328:C336"/>
    <mergeCell ref="B328:B336"/>
    <mergeCell ref="C338:C348"/>
    <mergeCell ref="B338:B348"/>
    <mergeCell ref="C156:C164"/>
    <mergeCell ref="B156:B164"/>
    <mergeCell ref="C263:C264"/>
    <mergeCell ref="B263:B264"/>
    <mergeCell ref="C27:C28"/>
    <mergeCell ref="B27:B28"/>
    <mergeCell ref="C90:C93"/>
    <mergeCell ref="B90:B93"/>
    <mergeCell ref="B122:B123"/>
    <mergeCell ref="C122:C123"/>
    <mergeCell ref="C82:C86"/>
    <mergeCell ref="B82:B86"/>
    <mergeCell ref="B95:B96"/>
    <mergeCell ref="C95:C96"/>
    <mergeCell ref="C153:C154"/>
    <mergeCell ref="B153:B154"/>
    <mergeCell ref="C115:C116"/>
    <mergeCell ref="B115:B116"/>
    <mergeCell ref="C144:C151"/>
    <mergeCell ref="B144:B151"/>
    <mergeCell ref="D1:E1"/>
    <mergeCell ref="B5:E5"/>
    <mergeCell ref="B9:C9"/>
    <mergeCell ref="D9:D11"/>
    <mergeCell ref="C10:C11"/>
    <mergeCell ref="B10:B11"/>
    <mergeCell ref="E10:E11"/>
    <mergeCell ref="D3:E3"/>
    <mergeCell ref="D2:E2"/>
    <mergeCell ref="C207:C214"/>
    <mergeCell ref="B207:B214"/>
    <mergeCell ref="C166:C173"/>
    <mergeCell ref="B166:B173"/>
    <mergeCell ref="C175:C186"/>
    <mergeCell ref="B175:B186"/>
    <mergeCell ref="C188:C200"/>
    <mergeCell ref="B188:B200"/>
    <mergeCell ref="C202:C205"/>
    <mergeCell ref="B202:B205"/>
    <mergeCell ref="C228:C229"/>
    <mergeCell ref="B228:B229"/>
    <mergeCell ref="C236:C238"/>
    <mergeCell ref="B236:B238"/>
    <mergeCell ref="B281:B282"/>
    <mergeCell ref="C281:C282"/>
    <mergeCell ref="C231:C232"/>
    <mergeCell ref="B231:B232"/>
    <mergeCell ref="B272:B273"/>
    <mergeCell ref="C272:C273"/>
    <mergeCell ref="C243:C245"/>
    <mergeCell ref="B243:B245"/>
    <mergeCell ref="C240:C241"/>
    <mergeCell ref="B240:B241"/>
    <mergeCell ref="B288:B289"/>
    <mergeCell ref="C288:C289"/>
    <mergeCell ref="B291:B292"/>
    <mergeCell ref="C291:C292"/>
    <mergeCell ref="C284:C286"/>
    <mergeCell ref="B284:B286"/>
    <mergeCell ref="B315:B321"/>
    <mergeCell ref="C315:C321"/>
    <mergeCell ref="C305:C307"/>
    <mergeCell ref="B305:B307"/>
    <mergeCell ref="C294:C298"/>
    <mergeCell ref="B294:B298"/>
    <mergeCell ref="C300:C303"/>
    <mergeCell ref="B300:B303"/>
  </mergeCells>
  <pageMargins left="0.2" right="0.2" top="0.25" bottom="0.25" header="0.05" footer="0.05"/>
  <pageSetup paperSize="9" scale="5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6"/>
  <sheetViews>
    <sheetView topLeftCell="A37" zoomScale="70" zoomScaleNormal="70" workbookViewId="0">
      <selection activeCell="G27" activeCellId="1" sqref="G14 G27"/>
    </sheetView>
  </sheetViews>
  <sheetFormatPr defaultColWidth="9.109375" defaultRowHeight="17.399999999999999" x14ac:dyDescent="0.3"/>
  <cols>
    <col min="1" max="1" width="9.88671875" style="492" customWidth="1"/>
    <col min="2" max="2" width="13.109375" style="492" customWidth="1"/>
    <col min="3" max="3" width="8" style="492" customWidth="1"/>
    <col min="4" max="4" width="7.77734375" style="509" customWidth="1"/>
    <col min="5" max="5" width="39.109375" style="509" customWidth="1"/>
    <col min="6" max="6" width="50.109375" style="509" customWidth="1"/>
    <col min="7" max="7" width="35" style="492" customWidth="1"/>
    <col min="8" max="8" width="44" style="492" customWidth="1"/>
    <col min="9" max="10" width="9.109375" style="492"/>
    <col min="11" max="11" width="12.109375" style="492" customWidth="1"/>
    <col min="12" max="16384" width="9.109375" style="492"/>
  </cols>
  <sheetData>
    <row r="1" spans="1:43" s="6" customFormat="1" ht="24" customHeight="1" x14ac:dyDescent="0.4">
      <c r="F1" s="757" t="s">
        <v>114</v>
      </c>
      <c r="G1" s="757"/>
      <c r="AB1" s="757"/>
      <c r="AC1" s="757"/>
      <c r="AD1" s="757"/>
    </row>
    <row r="2" spans="1:43" s="6" customFormat="1" x14ac:dyDescent="0.4">
      <c r="A2" s="489"/>
      <c r="B2" s="489"/>
      <c r="C2" s="489"/>
      <c r="D2" s="489"/>
      <c r="E2" s="489"/>
      <c r="F2" s="757" t="s">
        <v>125</v>
      </c>
      <c r="G2" s="757"/>
      <c r="Y2" s="489"/>
      <c r="Z2" s="489"/>
      <c r="AA2" s="757"/>
      <c r="AB2" s="757"/>
      <c r="AC2" s="757"/>
      <c r="AD2" s="757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s="6" customFormat="1" ht="15.9" customHeight="1" x14ac:dyDescent="0.4">
      <c r="A3" s="489"/>
      <c r="B3" s="489"/>
      <c r="C3" s="489"/>
      <c r="D3" s="489"/>
      <c r="E3" s="489"/>
      <c r="F3" s="757" t="s">
        <v>7</v>
      </c>
      <c r="G3" s="757"/>
      <c r="Y3" s="757"/>
      <c r="Z3" s="757"/>
      <c r="AA3" s="757"/>
      <c r="AB3" s="757"/>
      <c r="AC3" s="757"/>
      <c r="AD3" s="757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4" spans="1:43" s="6" customFormat="1" x14ac:dyDescent="0.4">
      <c r="F4" s="470"/>
      <c r="G4" s="470"/>
      <c r="H4" s="470"/>
    </row>
    <row r="5" spans="1:43" s="6" customFormat="1" ht="15.9" customHeight="1" x14ac:dyDescent="0.4">
      <c r="F5" s="470"/>
      <c r="G5" s="470"/>
      <c r="H5" s="470"/>
    </row>
    <row r="6" spans="1:43" s="6" customFormat="1" ht="67.650000000000006" customHeight="1" x14ac:dyDescent="0.4">
      <c r="A6" s="758" t="s">
        <v>1091</v>
      </c>
      <c r="B6" s="758"/>
      <c r="C6" s="758"/>
      <c r="D6" s="758"/>
      <c r="E6" s="758"/>
      <c r="F6" s="758"/>
      <c r="G6" s="758"/>
      <c r="H6" s="617"/>
    </row>
    <row r="7" spans="1:43" s="6" customFormat="1" ht="21" customHeight="1" x14ac:dyDescent="0.4">
      <c r="A7" s="759" t="s">
        <v>21</v>
      </c>
      <c r="B7" s="759"/>
      <c r="C7" s="759"/>
      <c r="D7" s="759"/>
      <c r="E7" s="759"/>
      <c r="F7" s="759"/>
      <c r="G7" s="759"/>
      <c r="H7" s="490"/>
    </row>
    <row r="8" spans="1:43" ht="52.2" x14ac:dyDescent="0.3">
      <c r="A8" s="760" t="s">
        <v>10</v>
      </c>
      <c r="B8" s="760"/>
      <c r="C8" s="491"/>
      <c r="D8" s="761" t="s">
        <v>16</v>
      </c>
      <c r="E8" s="762"/>
      <c r="F8" s="765" t="s">
        <v>1092</v>
      </c>
      <c r="G8" s="491" t="s">
        <v>88</v>
      </c>
      <c r="H8" s="515"/>
    </row>
    <row r="9" spans="1:43" s="493" customFormat="1" ht="34.799999999999997" x14ac:dyDescent="0.3">
      <c r="A9" s="491" t="s">
        <v>13</v>
      </c>
      <c r="B9" s="491" t="s">
        <v>52</v>
      </c>
      <c r="C9" s="491"/>
      <c r="D9" s="763"/>
      <c r="E9" s="764"/>
      <c r="F9" s="766"/>
      <c r="G9" s="491" t="s">
        <v>12</v>
      </c>
      <c r="H9" s="516"/>
    </row>
    <row r="10" spans="1:43" s="493" customFormat="1" ht="31.65" customHeight="1" x14ac:dyDescent="0.3">
      <c r="A10" s="754" t="s">
        <v>39</v>
      </c>
      <c r="B10" s="755"/>
      <c r="C10" s="755"/>
      <c r="D10" s="755"/>
      <c r="E10" s="755"/>
      <c r="F10" s="756"/>
      <c r="G10" s="494">
        <f>+G11+G14+G20+G23+G27+G31</f>
        <v>295509.30000000005</v>
      </c>
      <c r="H10" s="495"/>
    </row>
    <row r="11" spans="1:43" ht="24" customHeight="1" x14ac:dyDescent="0.3">
      <c r="A11" s="496">
        <v>1045</v>
      </c>
      <c r="B11" s="770" t="s">
        <v>180</v>
      </c>
      <c r="C11" s="771"/>
      <c r="D11" s="771"/>
      <c r="E11" s="771"/>
      <c r="F11" s="772"/>
      <c r="G11" s="497">
        <f>+G12</f>
        <v>3591.5</v>
      </c>
      <c r="H11" s="514"/>
    </row>
    <row r="12" spans="1:43" ht="89.25" customHeight="1" x14ac:dyDescent="0.3">
      <c r="A12" s="498"/>
      <c r="B12" s="496">
        <v>32001</v>
      </c>
      <c r="C12" s="767" t="s">
        <v>176</v>
      </c>
      <c r="D12" s="768"/>
      <c r="E12" s="769"/>
      <c r="F12" s="499" t="s">
        <v>39</v>
      </c>
      <c r="G12" s="500">
        <f>+G13</f>
        <v>3591.5</v>
      </c>
      <c r="H12" s="501"/>
    </row>
    <row r="13" spans="1:43" x14ac:dyDescent="0.3">
      <c r="A13" s="498"/>
      <c r="B13" s="498"/>
      <c r="C13" s="498"/>
      <c r="D13" s="502"/>
      <c r="E13" s="503"/>
      <c r="F13" s="484" t="s">
        <v>1096</v>
      </c>
      <c r="G13" s="504">
        <v>3591.5</v>
      </c>
    </row>
    <row r="14" spans="1:43" ht="24" customHeight="1" x14ac:dyDescent="0.3">
      <c r="A14" s="496">
        <v>1075</v>
      </c>
      <c r="B14" s="770" t="s">
        <v>1093</v>
      </c>
      <c r="C14" s="771"/>
      <c r="D14" s="771"/>
      <c r="E14" s="771"/>
      <c r="F14" s="772"/>
      <c r="G14" s="497">
        <f>+G15+G17</f>
        <v>52968</v>
      </c>
    </row>
    <row r="15" spans="1:43" ht="36" x14ac:dyDescent="0.3">
      <c r="A15" s="498"/>
      <c r="B15" s="496">
        <v>32001</v>
      </c>
      <c r="C15" s="767" t="s">
        <v>166</v>
      </c>
      <c r="D15" s="768"/>
      <c r="E15" s="769"/>
      <c r="F15" s="499" t="s">
        <v>39</v>
      </c>
      <c r="G15" s="500">
        <f>+G16</f>
        <v>50000</v>
      </c>
      <c r="H15" s="501"/>
    </row>
    <row r="16" spans="1:43" ht="69.599999999999994" x14ac:dyDescent="0.3">
      <c r="A16" s="498"/>
      <c r="B16" s="498"/>
      <c r="C16" s="498"/>
      <c r="D16" s="506"/>
      <c r="E16" s="503"/>
      <c r="F16" s="484" t="s">
        <v>1097</v>
      </c>
      <c r="G16" s="510">
        <v>50000</v>
      </c>
    </row>
    <row r="17" spans="1:8" ht="55.35" customHeight="1" x14ac:dyDescent="0.3">
      <c r="A17" s="498"/>
      <c r="B17" s="496">
        <v>32008</v>
      </c>
      <c r="C17" s="767" t="s">
        <v>1098</v>
      </c>
      <c r="D17" s="768"/>
      <c r="E17" s="769"/>
      <c r="F17" s="499" t="s">
        <v>39</v>
      </c>
      <c r="G17" s="500">
        <f>+G18+G19</f>
        <v>2968</v>
      </c>
      <c r="H17" s="501"/>
    </row>
    <row r="18" spans="1:8" x14ac:dyDescent="0.3">
      <c r="A18" s="498"/>
      <c r="B18" s="498"/>
      <c r="C18" s="498"/>
      <c r="D18" s="506"/>
      <c r="E18" s="503"/>
      <c r="F18" s="484" t="s">
        <v>1099</v>
      </c>
      <c r="G18" s="507">
        <v>963</v>
      </c>
    </row>
    <row r="19" spans="1:8" ht="34.799999999999997" x14ac:dyDescent="0.3">
      <c r="A19" s="498"/>
      <c r="B19" s="498"/>
      <c r="C19" s="498"/>
      <c r="D19" s="506"/>
      <c r="E19" s="503"/>
      <c r="F19" s="484" t="s">
        <v>1100</v>
      </c>
      <c r="G19" s="507">
        <v>2005</v>
      </c>
    </row>
    <row r="20" spans="1:8" ht="24" customHeight="1" x14ac:dyDescent="0.3">
      <c r="A20" s="496">
        <v>1111</v>
      </c>
      <c r="B20" s="770" t="s">
        <v>1101</v>
      </c>
      <c r="C20" s="771"/>
      <c r="D20" s="771"/>
      <c r="E20" s="771"/>
      <c r="F20" s="772"/>
      <c r="G20" s="497">
        <f>+G21</f>
        <v>49983.7</v>
      </c>
    </row>
    <row r="21" spans="1:8" ht="70.95" customHeight="1" x14ac:dyDescent="0.3">
      <c r="A21" s="498"/>
      <c r="B21" s="496">
        <v>32003</v>
      </c>
      <c r="C21" s="767" t="s">
        <v>1102</v>
      </c>
      <c r="D21" s="768"/>
      <c r="E21" s="769"/>
      <c r="F21" s="499" t="s">
        <v>39</v>
      </c>
      <c r="G21" s="500">
        <f>+G22</f>
        <v>49983.7</v>
      </c>
      <c r="H21" s="501"/>
    </row>
    <row r="22" spans="1:8" ht="36" customHeight="1" x14ac:dyDescent="0.3">
      <c r="A22" s="498"/>
      <c r="B22" s="498"/>
      <c r="C22" s="498"/>
      <c r="D22" s="502"/>
      <c r="E22" s="503"/>
      <c r="F22" s="484" t="s">
        <v>1103</v>
      </c>
      <c r="G22" s="504">
        <v>49983.7</v>
      </c>
    </row>
    <row r="23" spans="1:8" ht="24" customHeight="1" x14ac:dyDescent="0.3">
      <c r="A23" s="496">
        <v>1163</v>
      </c>
      <c r="B23" s="770" t="s">
        <v>1115</v>
      </c>
      <c r="C23" s="771"/>
      <c r="D23" s="771"/>
      <c r="E23" s="771"/>
      <c r="F23" s="772"/>
      <c r="G23" s="497">
        <f>+G24</f>
        <v>33296</v>
      </c>
    </row>
    <row r="24" spans="1:8" ht="18" x14ac:dyDescent="0.3">
      <c r="A24" s="498"/>
      <c r="B24" s="496">
        <v>32002</v>
      </c>
      <c r="C24" s="767" t="s">
        <v>449</v>
      </c>
      <c r="D24" s="768"/>
      <c r="E24" s="769"/>
      <c r="F24" s="499"/>
      <c r="G24" s="500">
        <f>+G25</f>
        <v>33296</v>
      </c>
      <c r="H24" s="501"/>
    </row>
    <row r="25" spans="1:8" s="493" customFormat="1" ht="36" customHeight="1" x14ac:dyDescent="0.3">
      <c r="A25" s="512"/>
      <c r="B25" s="512"/>
      <c r="C25" s="512"/>
      <c r="D25" s="502"/>
      <c r="E25" s="503"/>
      <c r="F25" s="499" t="s">
        <v>1111</v>
      </c>
      <c r="G25" s="500">
        <f>+G26</f>
        <v>33296</v>
      </c>
    </row>
    <row r="26" spans="1:8" ht="34.799999999999997" x14ac:dyDescent="0.3">
      <c r="A26" s="498"/>
      <c r="B26" s="498"/>
      <c r="C26" s="498"/>
      <c r="D26" s="502"/>
      <c r="E26" s="503"/>
      <c r="F26" s="484" t="s">
        <v>1116</v>
      </c>
      <c r="G26" s="504">
        <v>33296</v>
      </c>
    </row>
    <row r="27" spans="1:8" ht="24" customHeight="1" x14ac:dyDescent="0.3">
      <c r="A27" s="496">
        <v>1168</v>
      </c>
      <c r="B27" s="770" t="s">
        <v>1094</v>
      </c>
      <c r="C27" s="771"/>
      <c r="D27" s="771"/>
      <c r="E27" s="771"/>
      <c r="F27" s="772"/>
      <c r="G27" s="497">
        <f>+G28</f>
        <v>19805</v>
      </c>
    </row>
    <row r="28" spans="1:8" ht="52.2" customHeight="1" x14ac:dyDescent="0.3">
      <c r="A28" s="498"/>
      <c r="B28" s="496">
        <v>32007</v>
      </c>
      <c r="C28" s="767" t="s">
        <v>1104</v>
      </c>
      <c r="D28" s="768"/>
      <c r="E28" s="769"/>
      <c r="F28" s="499" t="s">
        <v>39</v>
      </c>
      <c r="G28" s="500">
        <f>+G29+G30</f>
        <v>19805</v>
      </c>
      <c r="H28" s="501"/>
    </row>
    <row r="29" spans="1:8" ht="34.799999999999997" x14ac:dyDescent="0.3">
      <c r="A29" s="498"/>
      <c r="B29" s="498"/>
      <c r="C29" s="498"/>
      <c r="D29" s="502"/>
      <c r="E29" s="503"/>
      <c r="F29" s="508" t="s">
        <v>1105</v>
      </c>
      <c r="G29" s="504">
        <v>13950</v>
      </c>
    </row>
    <row r="30" spans="1:8" ht="34.799999999999997" x14ac:dyDescent="0.3">
      <c r="A30" s="498"/>
      <c r="B30" s="498"/>
      <c r="C30" s="498"/>
      <c r="D30" s="502"/>
      <c r="E30" s="503"/>
      <c r="F30" s="508" t="s">
        <v>1106</v>
      </c>
      <c r="G30" s="511">
        <v>5855</v>
      </c>
    </row>
    <row r="31" spans="1:8" ht="24" customHeight="1" x14ac:dyDescent="0.3">
      <c r="A31" s="496">
        <v>1183</v>
      </c>
      <c r="B31" s="770" t="s">
        <v>94</v>
      </c>
      <c r="C31" s="771"/>
      <c r="D31" s="771"/>
      <c r="E31" s="771"/>
      <c r="F31" s="772"/>
      <c r="G31" s="497">
        <f>+G32+G42</f>
        <v>135865.1</v>
      </c>
    </row>
    <row r="32" spans="1:8" ht="37.65" customHeight="1" x14ac:dyDescent="0.3">
      <c r="A32" s="498"/>
      <c r="B32" s="496">
        <v>32001</v>
      </c>
      <c r="C32" s="767" t="s">
        <v>1107</v>
      </c>
      <c r="D32" s="768"/>
      <c r="E32" s="769"/>
      <c r="F32" s="499"/>
      <c r="G32" s="500">
        <f>+G33+G36+G38</f>
        <v>132471.1</v>
      </c>
      <c r="H32" s="501"/>
    </row>
    <row r="33" spans="1:8" s="493" customFormat="1" ht="36" customHeight="1" x14ac:dyDescent="0.3">
      <c r="A33" s="512"/>
      <c r="B33" s="512"/>
      <c r="C33" s="512"/>
      <c r="D33" s="502"/>
      <c r="E33" s="503"/>
      <c r="F33" s="499" t="s">
        <v>1108</v>
      </c>
      <c r="G33" s="513">
        <f>+G34+G35</f>
        <v>42336.9</v>
      </c>
    </row>
    <row r="34" spans="1:8" x14ac:dyDescent="0.3">
      <c r="A34" s="498"/>
      <c r="B34" s="498"/>
      <c r="C34" s="498"/>
      <c r="D34" s="502"/>
      <c r="E34" s="503"/>
      <c r="F34" s="484" t="s">
        <v>1109</v>
      </c>
      <c r="G34" s="504">
        <f>18000+350+141.2</f>
        <v>18491.2</v>
      </c>
    </row>
    <row r="35" spans="1:8" x14ac:dyDescent="0.3">
      <c r="A35" s="498"/>
      <c r="B35" s="498"/>
      <c r="C35" s="498"/>
      <c r="D35" s="502"/>
      <c r="E35" s="503"/>
      <c r="F35" s="484" t="s">
        <v>1110</v>
      </c>
      <c r="G35" s="504">
        <v>23845.7</v>
      </c>
    </row>
    <row r="36" spans="1:8" s="493" customFormat="1" ht="36" customHeight="1" x14ac:dyDescent="0.3">
      <c r="A36" s="512"/>
      <c r="B36" s="512"/>
      <c r="C36" s="512"/>
      <c r="D36" s="502"/>
      <c r="E36" s="503"/>
      <c r="F36" s="499" t="s">
        <v>1136</v>
      </c>
      <c r="G36" s="513">
        <f>+G37</f>
        <v>7503.5</v>
      </c>
    </row>
    <row r="37" spans="1:8" ht="34.799999999999997" x14ac:dyDescent="0.3">
      <c r="A37" s="498"/>
      <c r="B37" s="498"/>
      <c r="C37" s="498"/>
      <c r="D37" s="502"/>
      <c r="E37" s="503"/>
      <c r="F37" s="484" t="s">
        <v>1114</v>
      </c>
      <c r="G37" s="504">
        <f>7200+233.5+70</f>
        <v>7503.5</v>
      </c>
    </row>
    <row r="38" spans="1:8" s="493" customFormat="1" ht="36" customHeight="1" x14ac:dyDescent="0.3">
      <c r="A38" s="512"/>
      <c r="B38" s="512"/>
      <c r="C38" s="512"/>
      <c r="D38" s="502"/>
      <c r="E38" s="503"/>
      <c r="F38" s="499" t="s">
        <v>1111</v>
      </c>
      <c r="G38" s="513">
        <f>+G39+G40+G41</f>
        <v>82630.7</v>
      </c>
    </row>
    <row r="39" spans="1:8" x14ac:dyDescent="0.3">
      <c r="A39" s="498"/>
      <c r="B39" s="498"/>
      <c r="C39" s="498"/>
      <c r="D39" s="502"/>
      <c r="E39" s="503"/>
      <c r="F39" s="484" t="s">
        <v>1112</v>
      </c>
      <c r="G39" s="504">
        <v>24929</v>
      </c>
    </row>
    <row r="40" spans="1:8" x14ac:dyDescent="0.3">
      <c r="A40" s="498"/>
      <c r="B40" s="498"/>
      <c r="C40" s="498"/>
      <c r="D40" s="502"/>
      <c r="E40" s="503"/>
      <c r="F40" s="484" t="s">
        <v>1113</v>
      </c>
      <c r="G40" s="504">
        <v>36846.6</v>
      </c>
    </row>
    <row r="41" spans="1:8" x14ac:dyDescent="0.3">
      <c r="A41" s="498"/>
      <c r="B41" s="498"/>
      <c r="C41" s="498"/>
      <c r="D41" s="502"/>
      <c r="E41" s="503"/>
      <c r="F41" s="484" t="s">
        <v>1095</v>
      </c>
      <c r="G41" s="511">
        <v>20855.099999999999</v>
      </c>
    </row>
    <row r="42" spans="1:8" ht="37.65" customHeight="1" x14ac:dyDescent="0.3">
      <c r="A42" s="498"/>
      <c r="B42" s="496">
        <v>32012</v>
      </c>
      <c r="C42" s="767" t="s">
        <v>571</v>
      </c>
      <c r="D42" s="768"/>
      <c r="E42" s="769"/>
      <c r="F42" s="499"/>
      <c r="G42" s="500">
        <f>+G43+G45</f>
        <v>3394</v>
      </c>
      <c r="H42" s="501"/>
    </row>
    <row r="43" spans="1:8" ht="36" customHeight="1" x14ac:dyDescent="0.3">
      <c r="A43" s="498"/>
      <c r="B43" s="498"/>
      <c r="C43" s="498"/>
      <c r="D43" s="502"/>
      <c r="E43" s="503"/>
      <c r="F43" s="499" t="s">
        <v>39</v>
      </c>
      <c r="G43" s="500">
        <f>+G44</f>
        <v>848</v>
      </c>
    </row>
    <row r="44" spans="1:8" ht="36" customHeight="1" x14ac:dyDescent="0.3">
      <c r="A44" s="498"/>
      <c r="B44" s="498"/>
      <c r="C44" s="498"/>
      <c r="D44" s="502"/>
      <c r="E44" s="503"/>
      <c r="F44" s="484" t="s">
        <v>1117</v>
      </c>
      <c r="G44" s="504">
        <v>848</v>
      </c>
    </row>
    <row r="45" spans="1:8" ht="36" customHeight="1" x14ac:dyDescent="0.3">
      <c r="A45" s="498"/>
      <c r="B45" s="498"/>
      <c r="C45" s="498"/>
      <c r="D45" s="502"/>
      <c r="E45" s="503"/>
      <c r="F45" s="499" t="s">
        <v>1118</v>
      </c>
      <c r="G45" s="500">
        <f>+G46</f>
        <v>2546</v>
      </c>
    </row>
    <row r="46" spans="1:8" ht="36" customHeight="1" x14ac:dyDescent="0.3">
      <c r="A46" s="498"/>
      <c r="B46" s="498"/>
      <c r="C46" s="498"/>
      <c r="D46" s="502"/>
      <c r="E46" s="503"/>
      <c r="F46" s="484" t="s">
        <v>1119</v>
      </c>
      <c r="G46" s="504">
        <v>2546</v>
      </c>
    </row>
  </sheetData>
  <mergeCells count="26">
    <mergeCell ref="C42:E42"/>
    <mergeCell ref="C28:E28"/>
    <mergeCell ref="C32:E32"/>
    <mergeCell ref="B23:F23"/>
    <mergeCell ref="C24:E24"/>
    <mergeCell ref="B31:F31"/>
    <mergeCell ref="C17:E17"/>
    <mergeCell ref="B27:F27"/>
    <mergeCell ref="B11:F11"/>
    <mergeCell ref="C12:E12"/>
    <mergeCell ref="B14:F14"/>
    <mergeCell ref="C15:E15"/>
    <mergeCell ref="B20:F20"/>
    <mergeCell ref="C21:E21"/>
    <mergeCell ref="A10:F10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D8:E9"/>
    <mergeCell ref="F8:F9"/>
  </mergeCells>
  <pageMargins left="0.2" right="0.2" top="0.25" bottom="0.25" header="0.3" footer="0.3"/>
  <pageSetup paperSize="9" scale="2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opLeftCell="A7" zoomScale="85" zoomScaleNormal="85" zoomScaleSheetLayoutView="115" workbookViewId="0">
      <selection activeCell="A6" sqref="A6:E6"/>
    </sheetView>
  </sheetViews>
  <sheetFormatPr defaultColWidth="8.21875" defaultRowHeight="17.399999999999999" x14ac:dyDescent="0.3"/>
  <cols>
    <col min="1" max="1" width="9.77734375" style="546" customWidth="1"/>
    <col min="2" max="2" width="15.44140625" style="546" customWidth="1"/>
    <col min="3" max="3" width="48" style="552" customWidth="1"/>
    <col min="4" max="4" width="38" style="552" customWidth="1"/>
    <col min="5" max="5" width="25.44140625" style="552" customWidth="1"/>
    <col min="6" max="6" width="20.6640625" style="546" customWidth="1"/>
    <col min="7" max="7" width="21" style="546" customWidth="1"/>
    <col min="8" max="9" width="8.6640625" style="546" bestFit="1" customWidth="1"/>
    <col min="10" max="16384" width="8.21875" style="546"/>
  </cols>
  <sheetData>
    <row r="1" spans="1:6" ht="36.6" customHeight="1" x14ac:dyDescent="0.3">
      <c r="C1" s="622" t="s">
        <v>1177</v>
      </c>
      <c r="D1" s="622"/>
      <c r="E1" s="622"/>
    </row>
    <row r="2" spans="1:6" ht="17.100000000000001" customHeight="1" x14ac:dyDescent="0.4">
      <c r="C2" s="623" t="s">
        <v>123</v>
      </c>
      <c r="D2" s="623"/>
      <c r="E2" s="623"/>
      <c r="F2" s="547"/>
    </row>
    <row r="3" spans="1:6" ht="17.100000000000001" customHeight="1" x14ac:dyDescent="0.4">
      <c r="C3" s="623" t="s">
        <v>7</v>
      </c>
      <c r="D3" s="623"/>
      <c r="E3" s="623"/>
      <c r="F3" s="547"/>
    </row>
    <row r="4" spans="1:6" x14ac:dyDescent="0.4">
      <c r="C4" s="548"/>
      <c r="D4" s="548"/>
      <c r="E4" s="548"/>
      <c r="F4" s="547"/>
    </row>
    <row r="5" spans="1:6" x14ac:dyDescent="0.4">
      <c r="C5" s="548"/>
      <c r="D5" s="548"/>
      <c r="E5" s="548"/>
      <c r="F5" s="547"/>
    </row>
    <row r="6" spans="1:6" ht="46.2" customHeight="1" x14ac:dyDescent="0.3">
      <c r="A6" s="624" t="s">
        <v>1164</v>
      </c>
      <c r="B6" s="624"/>
      <c r="C6" s="624"/>
      <c r="D6" s="624"/>
      <c r="E6" s="624"/>
    </row>
    <row r="7" spans="1:6" ht="18" x14ac:dyDescent="0.3">
      <c r="A7" s="553"/>
      <c r="B7" s="553"/>
      <c r="C7" s="553"/>
      <c r="D7" s="553"/>
      <c r="E7" s="553"/>
    </row>
    <row r="8" spans="1:6" ht="17.55" customHeight="1" x14ac:dyDescent="0.3">
      <c r="A8" s="549"/>
      <c r="B8" s="549"/>
      <c r="C8" s="549"/>
      <c r="D8" s="549"/>
      <c r="E8" s="550"/>
    </row>
    <row r="9" spans="1:6" ht="72.599999999999994" customHeight="1" x14ac:dyDescent="0.3">
      <c r="A9" s="775" t="s">
        <v>1165</v>
      </c>
      <c r="B9" s="637" t="s">
        <v>1166</v>
      </c>
      <c r="C9" s="639"/>
      <c r="D9" s="775" t="s">
        <v>1167</v>
      </c>
      <c r="E9" s="560" t="s">
        <v>1168</v>
      </c>
    </row>
    <row r="10" spans="1:6" x14ac:dyDescent="0.3">
      <c r="A10" s="776"/>
      <c r="B10" s="640"/>
      <c r="C10" s="642"/>
      <c r="D10" s="776"/>
      <c r="E10" s="554" t="s">
        <v>12</v>
      </c>
    </row>
    <row r="11" spans="1:6" ht="28.35" customHeight="1" x14ac:dyDescent="0.3">
      <c r="A11" s="628" t="s">
        <v>1169</v>
      </c>
      <c r="B11" s="629"/>
      <c r="C11" s="630"/>
      <c r="D11" s="555"/>
      <c r="E11" s="556">
        <f t="shared" ref="E11" si="0">+E13</f>
        <v>7503.5</v>
      </c>
    </row>
    <row r="12" spans="1:6" x14ac:dyDescent="0.3">
      <c r="A12" s="557"/>
      <c r="B12" s="634" t="s">
        <v>58</v>
      </c>
      <c r="C12" s="636"/>
      <c r="D12" s="558"/>
      <c r="E12" s="559"/>
    </row>
    <row r="13" spans="1:6" s="561" customFormat="1" ht="36" customHeight="1" x14ac:dyDescent="0.3">
      <c r="A13" s="560">
        <v>6</v>
      </c>
      <c r="B13" s="773" t="s">
        <v>1170</v>
      </c>
      <c r="C13" s="773"/>
      <c r="D13" s="537"/>
      <c r="E13" s="519">
        <f t="shared" ref="E13" si="1">+E14</f>
        <v>7503.5</v>
      </c>
    </row>
    <row r="14" spans="1:6" s="563" customFormat="1" ht="73.05" customHeight="1" x14ac:dyDescent="0.3">
      <c r="A14" s="562">
        <v>6.8</v>
      </c>
      <c r="B14" s="774" t="s">
        <v>1171</v>
      </c>
      <c r="C14" s="774"/>
      <c r="D14" s="562" t="s">
        <v>1172</v>
      </c>
      <c r="E14" s="521">
        <f>+'Հավելված N 7'!G37</f>
        <v>7503.5</v>
      </c>
    </row>
  </sheetData>
  <mergeCells count="11">
    <mergeCell ref="A11:C11"/>
    <mergeCell ref="B12:C12"/>
    <mergeCell ref="B13:C13"/>
    <mergeCell ref="B14:C14"/>
    <mergeCell ref="C1:E1"/>
    <mergeCell ref="C2:E2"/>
    <mergeCell ref="C3:E3"/>
    <mergeCell ref="A6:E6"/>
    <mergeCell ref="A9:A10"/>
    <mergeCell ref="B9:C10"/>
    <mergeCell ref="D9:D10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2"/>
  <sheetViews>
    <sheetView topLeftCell="A285" zoomScale="85" zoomScaleNormal="85" zoomScaleSheetLayoutView="100" workbookViewId="0">
      <selection activeCell="C291" sqref="C291"/>
    </sheetView>
  </sheetViews>
  <sheetFormatPr defaultColWidth="9.109375" defaultRowHeight="17.399999999999999" x14ac:dyDescent="0.4"/>
  <cols>
    <col min="1" max="1" width="5.21875" style="6" customWidth="1"/>
    <col min="2" max="2" width="24.5546875" style="6" customWidth="1"/>
    <col min="3" max="3" width="67.88671875" style="6" customWidth="1"/>
    <col min="4" max="4" width="31.6640625" style="6" customWidth="1"/>
    <col min="5" max="5" width="32" style="6" customWidth="1"/>
    <col min="6" max="6" width="49.88671875" style="6" customWidth="1"/>
    <col min="7" max="16384" width="9.109375" style="6"/>
  </cols>
  <sheetData>
    <row r="1" spans="1:4" ht="37.5" customHeight="1" x14ac:dyDescent="0.4">
      <c r="C1" s="788" t="s">
        <v>1178</v>
      </c>
      <c r="D1" s="788"/>
    </row>
    <row r="2" spans="1:4" ht="17.55" customHeight="1" x14ac:dyDescent="0.4">
      <c r="C2" s="757" t="s">
        <v>125</v>
      </c>
      <c r="D2" s="757"/>
    </row>
    <row r="3" spans="1:4" ht="17.55" customHeight="1" x14ac:dyDescent="0.4">
      <c r="C3" s="757" t="s">
        <v>7</v>
      </c>
      <c r="D3" s="757"/>
    </row>
    <row r="6" spans="1:4" ht="59.7" customHeight="1" x14ac:dyDescent="0.4">
      <c r="A6" s="45"/>
      <c r="B6" s="758" t="s">
        <v>223</v>
      </c>
      <c r="C6" s="758"/>
      <c r="D6" s="758"/>
    </row>
    <row r="7" spans="1:4" ht="23.7" customHeight="1" x14ac:dyDescent="0.4"/>
    <row r="8" spans="1:4" ht="21.9" customHeight="1" x14ac:dyDescent="0.4">
      <c r="A8" s="792" t="s">
        <v>108</v>
      </c>
      <c r="B8" s="792"/>
      <c r="C8" s="792"/>
      <c r="D8" s="792"/>
    </row>
    <row r="9" spans="1:4" ht="39" customHeight="1" x14ac:dyDescent="0.4">
      <c r="C9" s="467" t="s">
        <v>102</v>
      </c>
      <c r="D9" s="16"/>
    </row>
    <row r="10" spans="1:4" ht="18" x14ac:dyDescent="0.4">
      <c r="B10" s="789" t="s">
        <v>8</v>
      </c>
      <c r="C10" s="790"/>
      <c r="D10" s="791"/>
    </row>
    <row r="11" spans="1:4" s="32" customFormat="1" x14ac:dyDescent="0.4">
      <c r="B11" s="46"/>
      <c r="C11" s="46"/>
      <c r="D11" s="47"/>
    </row>
    <row r="12" spans="1:4" s="32" customFormat="1" x14ac:dyDescent="0.4">
      <c r="B12" s="46"/>
      <c r="C12" s="46"/>
    </row>
    <row r="13" spans="1:4" s="8" customFormat="1" ht="18" x14ac:dyDescent="0.4">
      <c r="B13" s="166" t="s">
        <v>1</v>
      </c>
      <c r="C13" s="166" t="s">
        <v>2</v>
      </c>
      <c r="D13" s="167"/>
    </row>
    <row r="14" spans="1:4" s="8" customFormat="1" ht="34.799999999999997" x14ac:dyDescent="0.4">
      <c r="B14" s="168">
        <v>1045</v>
      </c>
      <c r="C14" s="203" t="s">
        <v>180</v>
      </c>
      <c r="D14" s="166"/>
    </row>
    <row r="15" spans="1:4" s="8" customFormat="1" x14ac:dyDescent="0.4"/>
    <row r="16" spans="1:4" s="8" customFormat="1" ht="18" customHeight="1" x14ac:dyDescent="0.4">
      <c r="B16" s="783" t="s">
        <v>3</v>
      </c>
      <c r="C16" s="784"/>
      <c r="D16" s="785" t="s">
        <v>106</v>
      </c>
    </row>
    <row r="17" spans="2:5" s="8" customFormat="1" ht="59.1" customHeight="1" x14ac:dyDescent="0.4">
      <c r="B17" s="147" t="s">
        <v>4</v>
      </c>
      <c r="C17" s="159">
        <v>1045</v>
      </c>
      <c r="D17" s="785"/>
    </row>
    <row r="18" spans="2:5" s="8" customFormat="1" x14ac:dyDescent="0.4">
      <c r="B18" s="147" t="s">
        <v>5</v>
      </c>
      <c r="C18" s="159">
        <v>32001</v>
      </c>
      <c r="D18" s="172" t="s">
        <v>12</v>
      </c>
    </row>
    <row r="19" spans="2:5" s="8" customFormat="1" ht="52.2" x14ac:dyDescent="0.4">
      <c r="B19" s="201" t="s">
        <v>133</v>
      </c>
      <c r="C19" s="282" t="s">
        <v>224</v>
      </c>
      <c r="D19" s="673"/>
    </row>
    <row r="20" spans="2:5" s="8" customFormat="1" ht="69.599999999999994" x14ac:dyDescent="0.4">
      <c r="B20" s="201" t="s">
        <v>134</v>
      </c>
      <c r="C20" s="282" t="s">
        <v>225</v>
      </c>
      <c r="D20" s="674"/>
    </row>
    <row r="21" spans="2:5" s="8" customFormat="1" ht="34.799999999999997" x14ac:dyDescent="0.4">
      <c r="B21" s="201" t="s">
        <v>135</v>
      </c>
      <c r="C21" s="282" t="s">
        <v>98</v>
      </c>
      <c r="D21" s="674"/>
    </row>
    <row r="22" spans="2:5" s="8" customFormat="1" ht="69.599999999999994" x14ac:dyDescent="0.4">
      <c r="B22" s="193" t="s">
        <v>119</v>
      </c>
      <c r="C22" s="282" t="s">
        <v>226</v>
      </c>
      <c r="D22" s="674"/>
    </row>
    <row r="23" spans="2:5" s="8" customFormat="1" x14ac:dyDescent="0.4">
      <c r="B23" s="786" t="s">
        <v>0</v>
      </c>
      <c r="C23" s="787"/>
      <c r="D23" s="664"/>
    </row>
    <row r="24" spans="2:5" s="8" customFormat="1" x14ac:dyDescent="0.4">
      <c r="B24" s="777" t="s">
        <v>230</v>
      </c>
      <c r="C24" s="778"/>
      <c r="D24" s="169">
        <v>-1</v>
      </c>
    </row>
    <row r="25" spans="2:5" s="31" customFormat="1" x14ac:dyDescent="0.3">
      <c r="B25" s="170" t="s">
        <v>6</v>
      </c>
      <c r="C25" s="170"/>
      <c r="D25" s="171">
        <f>+'Հավելված N 3'!D23</f>
        <v>-706947.60000000009</v>
      </c>
      <c r="E25" s="53"/>
    </row>
    <row r="26" spans="2:5" s="8" customFormat="1" ht="8.5500000000000007" customHeight="1" x14ac:dyDescent="0.4"/>
    <row r="27" spans="2:5" s="8" customFormat="1" x14ac:dyDescent="0.4">
      <c r="B27" s="783" t="s">
        <v>3</v>
      </c>
      <c r="C27" s="784"/>
      <c r="D27" s="785" t="s">
        <v>106</v>
      </c>
    </row>
    <row r="28" spans="2:5" s="8" customFormat="1" ht="56.4" customHeight="1" x14ac:dyDescent="0.4">
      <c r="B28" s="147" t="s">
        <v>4</v>
      </c>
      <c r="C28" s="159">
        <v>1045</v>
      </c>
      <c r="D28" s="785"/>
    </row>
    <row r="29" spans="2:5" s="8" customFormat="1" x14ac:dyDescent="0.4">
      <c r="B29" s="147" t="s">
        <v>5</v>
      </c>
      <c r="C29" s="159">
        <v>32005</v>
      </c>
      <c r="D29" s="172" t="s">
        <v>12</v>
      </c>
    </row>
    <row r="30" spans="2:5" s="8" customFormat="1" ht="52.2" x14ac:dyDescent="0.4">
      <c r="B30" s="201" t="s">
        <v>33</v>
      </c>
      <c r="C30" s="282" t="s">
        <v>228</v>
      </c>
      <c r="D30" s="673"/>
    </row>
    <row r="31" spans="2:5" s="8" customFormat="1" ht="34.799999999999997" x14ac:dyDescent="0.4">
      <c r="B31" s="201" t="s">
        <v>34</v>
      </c>
      <c r="C31" s="282" t="s">
        <v>229</v>
      </c>
      <c r="D31" s="674"/>
    </row>
    <row r="32" spans="2:5" s="8" customFormat="1" ht="34.799999999999997" x14ac:dyDescent="0.4">
      <c r="B32" s="201" t="s">
        <v>35</v>
      </c>
      <c r="C32" s="282" t="s">
        <v>98</v>
      </c>
      <c r="D32" s="674"/>
    </row>
    <row r="33" spans="2:5" s="8" customFormat="1" ht="69.599999999999994" x14ac:dyDescent="0.4">
      <c r="B33" s="193" t="s">
        <v>119</v>
      </c>
      <c r="C33" s="282" t="s">
        <v>226</v>
      </c>
      <c r="D33" s="674"/>
    </row>
    <row r="34" spans="2:5" s="8" customFormat="1" x14ac:dyDescent="0.4">
      <c r="B34" s="786" t="s">
        <v>0</v>
      </c>
      <c r="C34" s="787"/>
      <c r="D34" s="664"/>
    </row>
    <row r="35" spans="2:5" s="8" customFormat="1" x14ac:dyDescent="0.4">
      <c r="B35" s="777" t="s">
        <v>1180</v>
      </c>
      <c r="C35" s="778"/>
      <c r="D35" s="169">
        <v>-2</v>
      </c>
    </row>
    <row r="36" spans="2:5" s="31" customFormat="1" x14ac:dyDescent="0.3">
      <c r="B36" s="170" t="s">
        <v>6</v>
      </c>
      <c r="C36" s="170"/>
      <c r="D36" s="171">
        <f>+'Հավելված N 3'!D29</f>
        <v>-955465.70000000007</v>
      </c>
      <c r="E36" s="53"/>
    </row>
    <row r="37" spans="2:5" s="8" customFormat="1" x14ac:dyDescent="0.4"/>
    <row r="38" spans="2:5" s="8" customFormat="1" ht="18" x14ac:dyDescent="0.4">
      <c r="B38" s="166" t="s">
        <v>1</v>
      </c>
      <c r="C38" s="166" t="s">
        <v>2</v>
      </c>
      <c r="D38" s="167"/>
    </row>
    <row r="39" spans="2:5" s="8" customFormat="1" ht="18" x14ac:dyDescent="0.4">
      <c r="B39" s="168">
        <v>1075</v>
      </c>
      <c r="C39" s="201" t="s">
        <v>231</v>
      </c>
      <c r="D39" s="166"/>
    </row>
    <row r="40" spans="2:5" s="8" customFormat="1" x14ac:dyDescent="0.4"/>
    <row r="41" spans="2:5" s="8" customFormat="1" ht="18" customHeight="1" x14ac:dyDescent="0.4">
      <c r="B41" s="783" t="s">
        <v>3</v>
      </c>
      <c r="C41" s="784"/>
      <c r="D41" s="785" t="s">
        <v>106</v>
      </c>
    </row>
    <row r="42" spans="2:5" s="8" customFormat="1" ht="59.7" customHeight="1" x14ac:dyDescent="0.4">
      <c r="B42" s="147" t="s">
        <v>4</v>
      </c>
      <c r="C42" s="159">
        <v>1075</v>
      </c>
      <c r="D42" s="785"/>
    </row>
    <row r="43" spans="2:5" s="8" customFormat="1" ht="34.799999999999997" x14ac:dyDescent="0.4">
      <c r="B43" s="147" t="s">
        <v>1181</v>
      </c>
      <c r="C43" s="159" t="s">
        <v>1182</v>
      </c>
      <c r="D43" s="172" t="s">
        <v>12</v>
      </c>
    </row>
    <row r="44" spans="2:5" s="8" customFormat="1" ht="34.799999999999997" x14ac:dyDescent="0.4">
      <c r="B44" s="201" t="s">
        <v>33</v>
      </c>
      <c r="C44" s="282" t="s">
        <v>1183</v>
      </c>
      <c r="D44" s="673"/>
    </row>
    <row r="45" spans="2:5" s="8" customFormat="1" ht="87" x14ac:dyDescent="0.4">
      <c r="B45" s="201" t="s">
        <v>34</v>
      </c>
      <c r="C45" s="282" t="s">
        <v>1184</v>
      </c>
      <c r="D45" s="674"/>
    </row>
    <row r="46" spans="2:5" s="8" customFormat="1" ht="34.799999999999997" x14ac:dyDescent="0.4">
      <c r="B46" s="201" t="s">
        <v>35</v>
      </c>
      <c r="C46" s="282" t="s">
        <v>1185</v>
      </c>
      <c r="D46" s="674"/>
    </row>
    <row r="47" spans="2:5" s="8" customFormat="1" ht="52.2" x14ac:dyDescent="0.4">
      <c r="B47" s="193" t="s">
        <v>1186</v>
      </c>
      <c r="C47" s="282" t="s">
        <v>1187</v>
      </c>
      <c r="D47" s="674"/>
    </row>
    <row r="48" spans="2:5" s="8" customFormat="1" x14ac:dyDescent="0.4">
      <c r="B48" s="786" t="s">
        <v>0</v>
      </c>
      <c r="C48" s="787"/>
      <c r="D48" s="664"/>
    </row>
    <row r="49" spans="2:5" s="8" customFormat="1" ht="36" customHeight="1" x14ac:dyDescent="0.4">
      <c r="B49" s="777" t="s">
        <v>1188</v>
      </c>
      <c r="C49" s="778"/>
      <c r="D49" s="169">
        <v>-1</v>
      </c>
    </row>
    <row r="50" spans="2:5" s="31" customFormat="1" x14ac:dyDescent="0.3">
      <c r="B50" s="170" t="s">
        <v>6</v>
      </c>
      <c r="C50" s="170"/>
      <c r="D50" s="171">
        <f>+'Հավելված N 3'!D42</f>
        <v>-280378</v>
      </c>
      <c r="E50" s="53"/>
    </row>
    <row r="51" spans="2:5" s="8" customFormat="1" ht="8.1" customHeight="1" x14ac:dyDescent="0.4"/>
    <row r="52" spans="2:5" s="8" customFormat="1" ht="18" customHeight="1" x14ac:dyDescent="0.4">
      <c r="B52" s="783" t="s">
        <v>3</v>
      </c>
      <c r="C52" s="784"/>
      <c r="D52" s="785" t="s">
        <v>1189</v>
      </c>
    </row>
    <row r="53" spans="2:5" s="8" customFormat="1" ht="92.4" customHeight="1" x14ac:dyDescent="0.4">
      <c r="B53" s="147" t="s">
        <v>4</v>
      </c>
      <c r="C53" s="159">
        <v>1075</v>
      </c>
      <c r="D53" s="785"/>
    </row>
    <row r="54" spans="2:5" s="8" customFormat="1" x14ac:dyDescent="0.4">
      <c r="B54" s="147" t="s">
        <v>5</v>
      </c>
      <c r="C54" s="159">
        <v>32001</v>
      </c>
      <c r="D54" s="172" t="s">
        <v>12</v>
      </c>
    </row>
    <row r="55" spans="2:5" s="8" customFormat="1" ht="34.799999999999997" x14ac:dyDescent="0.4">
      <c r="B55" s="201" t="s">
        <v>33</v>
      </c>
      <c r="C55" s="282" t="s">
        <v>232</v>
      </c>
      <c r="D55" s="673"/>
    </row>
    <row r="56" spans="2:5" s="8" customFormat="1" ht="69.599999999999994" x14ac:dyDescent="0.4">
      <c r="B56" s="201" t="s">
        <v>34</v>
      </c>
      <c r="C56" s="282" t="s">
        <v>233</v>
      </c>
      <c r="D56" s="674"/>
    </row>
    <row r="57" spans="2:5" s="8" customFormat="1" ht="34.799999999999997" x14ac:dyDescent="0.4">
      <c r="B57" s="201" t="s">
        <v>35</v>
      </c>
      <c r="C57" s="282" t="s">
        <v>98</v>
      </c>
      <c r="D57" s="674"/>
    </row>
    <row r="58" spans="2:5" s="8" customFormat="1" ht="69.599999999999994" x14ac:dyDescent="0.4">
      <c r="B58" s="193" t="s">
        <v>119</v>
      </c>
      <c r="C58" s="282" t="s">
        <v>234</v>
      </c>
      <c r="D58" s="674"/>
    </row>
    <row r="59" spans="2:5" s="8" customFormat="1" x14ac:dyDescent="0.4">
      <c r="B59" s="786" t="s">
        <v>0</v>
      </c>
      <c r="C59" s="787"/>
      <c r="D59" s="664"/>
    </row>
    <row r="60" spans="2:5" s="8" customFormat="1" x14ac:dyDescent="0.4">
      <c r="B60" s="777" t="s">
        <v>235</v>
      </c>
      <c r="C60" s="778"/>
      <c r="D60" s="169">
        <v>1</v>
      </c>
    </row>
    <row r="61" spans="2:5" s="31" customFormat="1" x14ac:dyDescent="0.3">
      <c r="B61" s="170" t="s">
        <v>6</v>
      </c>
      <c r="C61" s="170"/>
      <c r="D61" s="171">
        <f>+'Հավելված N 3'!D48</f>
        <v>-130536.40000000002</v>
      </c>
      <c r="E61" s="53"/>
    </row>
    <row r="62" spans="2:5" s="8" customFormat="1" ht="8.1" customHeight="1" x14ac:dyDescent="0.4"/>
    <row r="63" spans="2:5" s="8" customFormat="1" ht="18" customHeight="1" x14ac:dyDescent="0.4">
      <c r="B63" s="783" t="s">
        <v>3</v>
      </c>
      <c r="C63" s="784"/>
      <c r="D63" s="785" t="s">
        <v>88</v>
      </c>
    </row>
    <row r="64" spans="2:5" s="8" customFormat="1" ht="52.2" customHeight="1" x14ac:dyDescent="0.4">
      <c r="B64" s="147" t="s">
        <v>4</v>
      </c>
      <c r="C64" s="159">
        <v>1075</v>
      </c>
      <c r="D64" s="785"/>
    </row>
    <row r="65" spans="2:5" s="8" customFormat="1" x14ac:dyDescent="0.4">
      <c r="B65" s="530" t="s">
        <v>5</v>
      </c>
      <c r="C65" s="539">
        <v>32008</v>
      </c>
      <c r="D65" s="172" t="s">
        <v>12</v>
      </c>
    </row>
    <row r="66" spans="2:5" s="8" customFormat="1" ht="34.799999999999997" x14ac:dyDescent="0.4">
      <c r="B66" s="587" t="s">
        <v>133</v>
      </c>
      <c r="C66" s="588" t="s">
        <v>1098</v>
      </c>
      <c r="D66" s="673"/>
    </row>
    <row r="67" spans="2:5" s="8" customFormat="1" ht="34.799999999999997" x14ac:dyDescent="0.4">
      <c r="B67" s="530" t="s">
        <v>134</v>
      </c>
      <c r="C67" s="588" t="s">
        <v>1137</v>
      </c>
      <c r="D67" s="674"/>
    </row>
    <row r="68" spans="2:5" s="8" customFormat="1" ht="34.799999999999997" x14ac:dyDescent="0.4">
      <c r="B68" s="506" t="s">
        <v>135</v>
      </c>
      <c r="C68" s="588" t="s">
        <v>1190</v>
      </c>
      <c r="D68" s="674"/>
    </row>
    <row r="69" spans="2:5" s="8" customFormat="1" ht="69.599999999999994" x14ac:dyDescent="0.4">
      <c r="B69" s="518" t="s">
        <v>119</v>
      </c>
      <c r="C69" s="588" t="s">
        <v>1191</v>
      </c>
      <c r="D69" s="674"/>
    </row>
    <row r="70" spans="2:5" s="8" customFormat="1" x14ac:dyDescent="0.4">
      <c r="B70" s="786" t="s">
        <v>0</v>
      </c>
      <c r="C70" s="787"/>
      <c r="D70" s="664"/>
    </row>
    <row r="71" spans="2:5" s="8" customFormat="1" ht="17.7" customHeight="1" x14ac:dyDescent="0.4">
      <c r="B71" s="798" t="s">
        <v>1192</v>
      </c>
      <c r="C71" s="799"/>
      <c r="D71" s="169">
        <v>2</v>
      </c>
    </row>
    <row r="72" spans="2:5" s="31" customFormat="1" x14ac:dyDescent="0.3">
      <c r="B72" s="170" t="s">
        <v>6</v>
      </c>
      <c r="C72" s="170"/>
      <c r="D72" s="171">
        <f>+'Հավելված N 3'!D54</f>
        <v>2968</v>
      </c>
      <c r="E72" s="53"/>
    </row>
    <row r="73" spans="2:5" s="8" customFormat="1" x14ac:dyDescent="0.4"/>
    <row r="74" spans="2:5" s="8" customFormat="1" ht="18" x14ac:dyDescent="0.4">
      <c r="B74" s="166" t="s">
        <v>1</v>
      </c>
      <c r="C74" s="166" t="s">
        <v>2</v>
      </c>
      <c r="D74" s="167"/>
    </row>
    <row r="75" spans="2:5" s="8" customFormat="1" ht="34.799999999999997" x14ac:dyDescent="0.4">
      <c r="B75" s="168">
        <v>1111</v>
      </c>
      <c r="C75" s="201" t="s">
        <v>379</v>
      </c>
      <c r="D75" s="166"/>
    </row>
    <row r="76" spans="2:5" s="8" customFormat="1" x14ac:dyDescent="0.4"/>
    <row r="77" spans="2:5" s="8" customFormat="1" ht="18" customHeight="1" x14ac:dyDescent="0.4">
      <c r="B77" s="783" t="s">
        <v>3</v>
      </c>
      <c r="C77" s="784"/>
      <c r="D77" s="785" t="s">
        <v>106</v>
      </c>
    </row>
    <row r="78" spans="2:5" s="8" customFormat="1" ht="54.3" customHeight="1" x14ac:dyDescent="0.4">
      <c r="B78" s="147" t="s">
        <v>4</v>
      </c>
      <c r="C78" s="159">
        <v>1111</v>
      </c>
      <c r="D78" s="785"/>
    </row>
    <row r="79" spans="2:5" s="8" customFormat="1" x14ac:dyDescent="0.4">
      <c r="B79" s="147" t="s">
        <v>5</v>
      </c>
      <c r="C79" s="159">
        <v>32001</v>
      </c>
      <c r="D79" s="172" t="s">
        <v>12</v>
      </c>
    </row>
    <row r="80" spans="2:5" s="8" customFormat="1" ht="52.2" x14ac:dyDescent="0.4">
      <c r="B80" s="201" t="s">
        <v>33</v>
      </c>
      <c r="C80" s="282" t="s">
        <v>380</v>
      </c>
      <c r="D80" s="673"/>
    </row>
    <row r="81" spans="2:5" s="8" customFormat="1" ht="52.2" x14ac:dyDescent="0.4">
      <c r="B81" s="201" t="s">
        <v>34</v>
      </c>
      <c r="C81" s="282" t="s">
        <v>381</v>
      </c>
      <c r="D81" s="674"/>
    </row>
    <row r="82" spans="2:5" s="8" customFormat="1" ht="34.799999999999997" x14ac:dyDescent="0.4">
      <c r="B82" s="201" t="s">
        <v>35</v>
      </c>
      <c r="C82" s="282" t="s">
        <v>98</v>
      </c>
      <c r="D82" s="674"/>
    </row>
    <row r="83" spans="2:5" s="8" customFormat="1" ht="69.599999999999994" x14ac:dyDescent="0.4">
      <c r="B83" s="193" t="s">
        <v>119</v>
      </c>
      <c r="C83" s="282" t="s">
        <v>382</v>
      </c>
      <c r="D83" s="674"/>
    </row>
    <row r="84" spans="2:5" s="8" customFormat="1" x14ac:dyDescent="0.4">
      <c r="B84" s="786" t="s">
        <v>0</v>
      </c>
      <c r="C84" s="787"/>
      <c r="D84" s="664"/>
    </row>
    <row r="85" spans="2:5" s="31" customFormat="1" x14ac:dyDescent="0.3">
      <c r="B85" s="170" t="s">
        <v>6</v>
      </c>
      <c r="C85" s="170"/>
      <c r="D85" s="171">
        <f>+'Հավելված N 3'!D67</f>
        <v>-374821.87</v>
      </c>
      <c r="E85" s="53"/>
    </row>
    <row r="86" spans="2:5" s="8" customFormat="1" ht="8.1" customHeight="1" x14ac:dyDescent="0.4"/>
    <row r="87" spans="2:5" s="8" customFormat="1" ht="18" customHeight="1" x14ac:dyDescent="0.4">
      <c r="B87" s="783" t="s">
        <v>3</v>
      </c>
      <c r="C87" s="784"/>
      <c r="D87" s="785" t="s">
        <v>88</v>
      </c>
    </row>
    <row r="88" spans="2:5" s="8" customFormat="1" ht="54.3" customHeight="1" x14ac:dyDescent="0.4">
      <c r="B88" s="147" t="s">
        <v>4</v>
      </c>
      <c r="C88" s="159">
        <v>1111</v>
      </c>
      <c r="D88" s="785"/>
    </row>
    <row r="89" spans="2:5" s="8" customFormat="1" x14ac:dyDescent="0.4">
      <c r="B89" s="147" t="s">
        <v>5</v>
      </c>
      <c r="C89" s="159">
        <v>32003</v>
      </c>
      <c r="D89" s="172" t="s">
        <v>12</v>
      </c>
    </row>
    <row r="90" spans="2:5" s="8" customFormat="1" ht="52.2" x14ac:dyDescent="0.4">
      <c r="B90" s="201" t="s">
        <v>33</v>
      </c>
      <c r="C90" s="282" t="s">
        <v>1140</v>
      </c>
      <c r="D90" s="673"/>
    </row>
    <row r="91" spans="2:5" s="8" customFormat="1" ht="69.599999999999994" x14ac:dyDescent="0.4">
      <c r="B91" s="201" t="s">
        <v>34</v>
      </c>
      <c r="C91" s="282" t="s">
        <v>1141</v>
      </c>
      <c r="D91" s="674"/>
    </row>
    <row r="92" spans="2:5" s="8" customFormat="1" ht="34.799999999999997" x14ac:dyDescent="0.4">
      <c r="B92" s="201" t="s">
        <v>35</v>
      </c>
      <c r="C92" s="282" t="s">
        <v>98</v>
      </c>
      <c r="D92" s="674"/>
    </row>
    <row r="93" spans="2:5" s="8" customFormat="1" ht="69.599999999999994" x14ac:dyDescent="0.4">
      <c r="B93" s="193" t="s">
        <v>1193</v>
      </c>
      <c r="C93" s="282" t="s">
        <v>1194</v>
      </c>
      <c r="D93" s="674"/>
    </row>
    <row r="94" spans="2:5" s="8" customFormat="1" x14ac:dyDescent="0.4">
      <c r="B94" s="786" t="s">
        <v>0</v>
      </c>
      <c r="C94" s="787"/>
      <c r="D94" s="664"/>
    </row>
    <row r="95" spans="2:5" s="8" customFormat="1" ht="17.7" customHeight="1" x14ac:dyDescent="0.4">
      <c r="B95" s="798" t="s">
        <v>1195</v>
      </c>
      <c r="C95" s="799"/>
      <c r="D95" s="169">
        <v>1</v>
      </c>
    </row>
    <row r="96" spans="2:5" s="31" customFormat="1" x14ac:dyDescent="0.3">
      <c r="B96" s="170" t="s">
        <v>6</v>
      </c>
      <c r="C96" s="170"/>
      <c r="D96" s="171">
        <f>+'Հավելված N 3'!D73</f>
        <v>49983.7</v>
      </c>
      <c r="E96" s="53"/>
    </row>
    <row r="97" spans="2:5" s="8" customFormat="1" x14ac:dyDescent="0.4"/>
    <row r="98" spans="2:5" s="8" customFormat="1" ht="18" x14ac:dyDescent="0.4">
      <c r="B98" s="18" t="s">
        <v>1</v>
      </c>
      <c r="C98" s="18" t="s">
        <v>2</v>
      </c>
      <c r="D98" s="50"/>
    </row>
    <row r="99" spans="2:5" s="8" customFormat="1" ht="18" x14ac:dyDescent="0.4">
      <c r="B99" s="51">
        <v>1146</v>
      </c>
      <c r="C99" s="95" t="s">
        <v>115</v>
      </c>
      <c r="D99" s="18"/>
    </row>
    <row r="100" spans="2:5" s="8" customFormat="1" x14ac:dyDescent="0.4"/>
    <row r="101" spans="2:5" s="8" customFormat="1" ht="18" customHeight="1" x14ac:dyDescent="0.4">
      <c r="B101" s="779" t="s">
        <v>3</v>
      </c>
      <c r="C101" s="780"/>
      <c r="D101" s="785" t="s">
        <v>106</v>
      </c>
    </row>
    <row r="102" spans="2:5" s="8" customFormat="1" ht="58.05" customHeight="1" x14ac:dyDescent="0.4">
      <c r="B102" s="17" t="s">
        <v>4</v>
      </c>
      <c r="C102" s="90">
        <v>1146</v>
      </c>
      <c r="D102" s="785"/>
    </row>
    <row r="103" spans="2:5" s="8" customFormat="1" x14ac:dyDescent="0.4">
      <c r="B103" s="81" t="s">
        <v>5</v>
      </c>
      <c r="C103" s="90">
        <v>12010</v>
      </c>
      <c r="D103" s="102" t="s">
        <v>9</v>
      </c>
    </row>
    <row r="104" spans="2:5" s="8" customFormat="1" ht="34.799999999999997" x14ac:dyDescent="0.4">
      <c r="B104" s="96" t="s">
        <v>33</v>
      </c>
      <c r="C104" s="103" t="s">
        <v>236</v>
      </c>
      <c r="D104" s="673"/>
    </row>
    <row r="105" spans="2:5" s="8" customFormat="1" ht="34.799999999999997" x14ac:dyDescent="0.4">
      <c r="B105" s="96" t="s">
        <v>34</v>
      </c>
      <c r="C105" s="103" t="s">
        <v>237</v>
      </c>
      <c r="D105" s="674"/>
    </row>
    <row r="106" spans="2:5" s="8" customFormat="1" ht="34.799999999999997" x14ac:dyDescent="0.4">
      <c r="B106" s="96" t="s">
        <v>35</v>
      </c>
      <c r="C106" s="97" t="s">
        <v>238</v>
      </c>
      <c r="D106" s="674"/>
    </row>
    <row r="107" spans="2:5" s="8" customFormat="1" ht="52.2" x14ac:dyDescent="0.4">
      <c r="B107" s="96" t="s">
        <v>239</v>
      </c>
      <c r="C107" s="97" t="s">
        <v>240</v>
      </c>
      <c r="D107" s="674"/>
    </row>
    <row r="108" spans="2:5" s="8" customFormat="1" ht="18" customHeight="1" x14ac:dyDescent="0.4">
      <c r="B108" s="781" t="s">
        <v>0</v>
      </c>
      <c r="C108" s="782"/>
      <c r="D108" s="664"/>
    </row>
    <row r="109" spans="2:5" s="31" customFormat="1" x14ac:dyDescent="0.3">
      <c r="B109" s="19" t="s">
        <v>6</v>
      </c>
      <c r="C109" s="19"/>
      <c r="D109" s="52">
        <f>+'Հավելված N 3'!D86</f>
        <v>-2928071.5999999996</v>
      </c>
      <c r="E109" s="53"/>
    </row>
    <row r="110" spans="2:5" s="8" customFormat="1" x14ac:dyDescent="0.4"/>
    <row r="111" spans="2:5" s="8" customFormat="1" ht="18" x14ac:dyDescent="0.4">
      <c r="B111" s="18" t="s">
        <v>1</v>
      </c>
      <c r="C111" s="18" t="s">
        <v>2</v>
      </c>
      <c r="D111" s="50"/>
    </row>
    <row r="112" spans="2:5" s="8" customFormat="1" ht="18" x14ac:dyDescent="0.4">
      <c r="B112" s="51">
        <v>1148</v>
      </c>
      <c r="C112" s="95" t="s">
        <v>1145</v>
      </c>
      <c r="D112" s="18"/>
    </row>
    <row r="113" spans="2:5" s="8" customFormat="1" x14ac:dyDescent="0.4"/>
    <row r="114" spans="2:5" s="8" customFormat="1" ht="18" customHeight="1" x14ac:dyDescent="0.4">
      <c r="B114" s="779" t="s">
        <v>3</v>
      </c>
      <c r="C114" s="780"/>
      <c r="D114" s="785" t="s">
        <v>106</v>
      </c>
    </row>
    <row r="115" spans="2:5" s="8" customFormat="1" ht="58.05" customHeight="1" x14ac:dyDescent="0.4">
      <c r="B115" s="17" t="s">
        <v>4</v>
      </c>
      <c r="C115" s="90">
        <v>1148</v>
      </c>
      <c r="D115" s="785"/>
    </row>
    <row r="116" spans="2:5" s="8" customFormat="1" x14ac:dyDescent="0.4">
      <c r="B116" s="81" t="s">
        <v>5</v>
      </c>
      <c r="C116" s="90">
        <v>32003</v>
      </c>
      <c r="D116" s="468" t="s">
        <v>9</v>
      </c>
    </row>
    <row r="117" spans="2:5" s="8" customFormat="1" ht="52.2" x14ac:dyDescent="0.4">
      <c r="B117" s="96" t="s">
        <v>33</v>
      </c>
      <c r="C117" s="315" t="s">
        <v>1196</v>
      </c>
      <c r="D117" s="673"/>
    </row>
    <row r="118" spans="2:5" s="8" customFormat="1" ht="69.599999999999994" x14ac:dyDescent="0.4">
      <c r="B118" s="96" t="s">
        <v>34</v>
      </c>
      <c r="C118" s="315" t="s">
        <v>1197</v>
      </c>
      <c r="D118" s="674"/>
    </row>
    <row r="119" spans="2:5" s="8" customFormat="1" ht="34.799999999999997" x14ac:dyDescent="0.4">
      <c r="B119" s="96" t="s">
        <v>35</v>
      </c>
      <c r="C119" s="97" t="s">
        <v>98</v>
      </c>
      <c r="D119" s="674"/>
    </row>
    <row r="120" spans="2:5" s="8" customFormat="1" ht="69.599999999999994" x14ac:dyDescent="0.4">
      <c r="B120" s="96" t="s">
        <v>119</v>
      </c>
      <c r="C120" s="97" t="s">
        <v>1198</v>
      </c>
      <c r="D120" s="674"/>
    </row>
    <row r="121" spans="2:5" s="8" customFormat="1" ht="18" customHeight="1" x14ac:dyDescent="0.4">
      <c r="B121" s="781" t="s">
        <v>0</v>
      </c>
      <c r="C121" s="782"/>
      <c r="D121" s="664"/>
    </row>
    <row r="122" spans="2:5" s="8" customFormat="1" ht="18" customHeight="1" x14ac:dyDescent="0.4">
      <c r="B122" s="798" t="s">
        <v>109</v>
      </c>
      <c r="C122" s="799"/>
      <c r="D122" s="297">
        <v>-1</v>
      </c>
    </row>
    <row r="123" spans="2:5" s="8" customFormat="1" ht="35.549999999999997" customHeight="1" x14ac:dyDescent="0.4">
      <c r="B123" s="798" t="s">
        <v>1199</v>
      </c>
      <c r="C123" s="799"/>
      <c r="D123" s="297">
        <v>-1</v>
      </c>
    </row>
    <row r="124" spans="2:5" s="31" customFormat="1" x14ac:dyDescent="0.3">
      <c r="B124" s="19" t="s">
        <v>6</v>
      </c>
      <c r="C124" s="19"/>
      <c r="D124" s="52">
        <f>+'Հավելված N 3'!D99</f>
        <v>-113596.4</v>
      </c>
      <c r="E124" s="53"/>
    </row>
    <row r="125" spans="2:5" s="8" customFormat="1" x14ac:dyDescent="0.4"/>
    <row r="126" spans="2:5" s="8" customFormat="1" ht="18" x14ac:dyDescent="0.4">
      <c r="B126" s="18" t="s">
        <v>1</v>
      </c>
      <c r="C126" s="18" t="s">
        <v>2</v>
      </c>
      <c r="D126" s="50"/>
    </row>
    <row r="127" spans="2:5" s="8" customFormat="1" ht="34.799999999999997" x14ac:dyDescent="0.4">
      <c r="B127" s="51">
        <v>1162</v>
      </c>
      <c r="C127" s="95" t="s">
        <v>1200</v>
      </c>
      <c r="D127" s="18"/>
    </row>
    <row r="128" spans="2:5" s="8" customFormat="1" x14ac:dyDescent="0.4"/>
    <row r="129" spans="2:5" s="8" customFormat="1" ht="18" customHeight="1" x14ac:dyDescent="0.4">
      <c r="B129" s="779" t="s">
        <v>3</v>
      </c>
      <c r="C129" s="780"/>
      <c r="D129" s="785" t="s">
        <v>106</v>
      </c>
    </row>
    <row r="130" spans="2:5" s="8" customFormat="1" ht="58.05" customHeight="1" x14ac:dyDescent="0.4">
      <c r="B130" s="17" t="s">
        <v>4</v>
      </c>
      <c r="C130" s="90">
        <v>1162</v>
      </c>
      <c r="D130" s="785"/>
    </row>
    <row r="131" spans="2:5" s="8" customFormat="1" x14ac:dyDescent="0.4">
      <c r="B131" s="81" t="s">
        <v>5</v>
      </c>
      <c r="C131" s="90">
        <v>32004</v>
      </c>
      <c r="D131" s="468" t="s">
        <v>9</v>
      </c>
    </row>
    <row r="132" spans="2:5" s="8" customFormat="1" ht="52.2" x14ac:dyDescent="0.4">
      <c r="B132" s="96" t="s">
        <v>33</v>
      </c>
      <c r="C132" s="315" t="s">
        <v>1201</v>
      </c>
      <c r="D132" s="673"/>
    </row>
    <row r="133" spans="2:5" s="8" customFormat="1" ht="52.2" x14ac:dyDescent="0.4">
      <c r="B133" s="96" t="s">
        <v>34</v>
      </c>
      <c r="C133" s="315" t="s">
        <v>1202</v>
      </c>
      <c r="D133" s="674"/>
    </row>
    <row r="134" spans="2:5" s="8" customFormat="1" ht="34.799999999999997" x14ac:dyDescent="0.4">
      <c r="B134" s="96" t="s">
        <v>35</v>
      </c>
      <c r="C134" s="97" t="s">
        <v>98</v>
      </c>
      <c r="D134" s="674"/>
    </row>
    <row r="135" spans="2:5" s="8" customFormat="1" ht="69.599999999999994" x14ac:dyDescent="0.4">
      <c r="B135" s="96" t="s">
        <v>1203</v>
      </c>
      <c r="C135" s="97" t="s">
        <v>1204</v>
      </c>
      <c r="D135" s="674"/>
    </row>
    <row r="136" spans="2:5" s="8" customFormat="1" ht="18" customHeight="1" x14ac:dyDescent="0.4">
      <c r="B136" s="781" t="s">
        <v>0</v>
      </c>
      <c r="C136" s="782"/>
      <c r="D136" s="664"/>
    </row>
    <row r="137" spans="2:5" s="8" customFormat="1" ht="18" customHeight="1" x14ac:dyDescent="0.4">
      <c r="B137" s="798" t="s">
        <v>1205</v>
      </c>
      <c r="C137" s="799"/>
      <c r="D137" s="297">
        <v>-14</v>
      </c>
    </row>
    <row r="138" spans="2:5" s="31" customFormat="1" x14ac:dyDescent="0.3">
      <c r="B138" s="19" t="s">
        <v>6</v>
      </c>
      <c r="C138" s="19"/>
      <c r="D138" s="52">
        <f>+'Հավելված N 3'!D112</f>
        <v>-3200000</v>
      </c>
      <c r="E138" s="53"/>
    </row>
    <row r="139" spans="2:5" s="8" customFormat="1" x14ac:dyDescent="0.4"/>
    <row r="140" spans="2:5" s="89" customFormat="1" ht="18" x14ac:dyDescent="0.4">
      <c r="B140" s="18" t="s">
        <v>1</v>
      </c>
      <c r="C140" s="18" t="s">
        <v>2</v>
      </c>
      <c r="D140" s="50"/>
    </row>
    <row r="141" spans="2:5" s="89" customFormat="1" ht="18" x14ac:dyDescent="0.4">
      <c r="B141" s="51">
        <v>1163</v>
      </c>
      <c r="C141" s="81" t="s">
        <v>1115</v>
      </c>
      <c r="D141" s="18"/>
    </row>
    <row r="142" spans="2:5" s="89" customFormat="1" x14ac:dyDescent="0.4">
      <c r="B142" s="8"/>
      <c r="C142" s="8"/>
      <c r="D142" s="8"/>
    </row>
    <row r="143" spans="2:5" s="89" customFormat="1" ht="18" customHeight="1" x14ac:dyDescent="0.4">
      <c r="B143" s="779" t="s">
        <v>3</v>
      </c>
      <c r="C143" s="780"/>
      <c r="D143" s="785" t="s">
        <v>106</v>
      </c>
    </row>
    <row r="144" spans="2:5" s="89" customFormat="1" ht="58.05" customHeight="1" x14ac:dyDescent="0.4">
      <c r="B144" s="17" t="s">
        <v>4</v>
      </c>
      <c r="C144" s="591">
        <v>1163</v>
      </c>
      <c r="D144" s="785"/>
    </row>
    <row r="145" spans="2:5" s="89" customFormat="1" x14ac:dyDescent="0.4">
      <c r="B145" s="81" t="s">
        <v>5</v>
      </c>
      <c r="C145" s="591">
        <v>32001</v>
      </c>
      <c r="D145" s="468" t="s">
        <v>9</v>
      </c>
    </row>
    <row r="146" spans="2:5" s="89" customFormat="1" ht="34.799999999999997" x14ac:dyDescent="0.4">
      <c r="B146" s="127" t="s">
        <v>33</v>
      </c>
      <c r="C146" s="591" t="s">
        <v>1206</v>
      </c>
      <c r="D146" s="673"/>
    </row>
    <row r="147" spans="2:5" s="89" customFormat="1" ht="69.599999999999994" x14ac:dyDescent="0.4">
      <c r="B147" s="127" t="s">
        <v>34</v>
      </c>
      <c r="C147" s="591" t="s">
        <v>1207</v>
      </c>
      <c r="D147" s="674"/>
    </row>
    <row r="148" spans="2:5" s="89" customFormat="1" ht="34.799999999999997" x14ac:dyDescent="0.4">
      <c r="B148" s="127" t="s">
        <v>35</v>
      </c>
      <c r="C148" s="592" t="s">
        <v>98</v>
      </c>
      <c r="D148" s="674"/>
    </row>
    <row r="149" spans="2:5" s="89" customFormat="1" ht="69.599999999999994" x14ac:dyDescent="0.4">
      <c r="B149" s="127" t="s">
        <v>119</v>
      </c>
      <c r="C149" s="592" t="s">
        <v>1208</v>
      </c>
      <c r="D149" s="674"/>
    </row>
    <row r="150" spans="2:5" s="89" customFormat="1" ht="18" customHeight="1" x14ac:dyDescent="0.4">
      <c r="B150" s="781" t="s">
        <v>0</v>
      </c>
      <c r="C150" s="782"/>
      <c r="D150" s="664"/>
    </row>
    <row r="151" spans="2:5" s="89" customFormat="1" ht="18" customHeight="1" x14ac:dyDescent="0.4">
      <c r="B151" s="798" t="s">
        <v>1209</v>
      </c>
      <c r="C151" s="799"/>
      <c r="D151" s="297">
        <v>-1</v>
      </c>
    </row>
    <row r="152" spans="2:5" s="589" customFormat="1" x14ac:dyDescent="0.3">
      <c r="B152" s="19" t="s">
        <v>6</v>
      </c>
      <c r="C152" s="19"/>
      <c r="D152" s="52">
        <f>+'Հավելված N 3'!D125</f>
        <v>-160815.1</v>
      </c>
      <c r="E152" s="590"/>
    </row>
    <row r="153" spans="2:5" s="89" customFormat="1" ht="8.1" customHeight="1" x14ac:dyDescent="0.4">
      <c r="B153" s="8"/>
      <c r="C153" s="8"/>
      <c r="D153" s="8"/>
    </row>
    <row r="154" spans="2:5" s="89" customFormat="1" ht="18" customHeight="1" x14ac:dyDescent="0.4">
      <c r="B154" s="779" t="s">
        <v>3</v>
      </c>
      <c r="C154" s="780"/>
      <c r="D154" s="785" t="s">
        <v>106</v>
      </c>
    </row>
    <row r="155" spans="2:5" s="89" customFormat="1" ht="58.05" customHeight="1" x14ac:dyDescent="0.4">
      <c r="B155" s="17" t="s">
        <v>4</v>
      </c>
      <c r="C155" s="591">
        <v>1163</v>
      </c>
      <c r="D155" s="785"/>
    </row>
    <row r="156" spans="2:5" s="89" customFormat="1" x14ac:dyDescent="0.4">
      <c r="B156" s="81" t="s">
        <v>5</v>
      </c>
      <c r="C156" s="591">
        <v>32002</v>
      </c>
      <c r="D156" s="468" t="s">
        <v>9</v>
      </c>
    </row>
    <row r="157" spans="2:5" s="89" customFormat="1" ht="34.799999999999997" x14ac:dyDescent="0.4">
      <c r="B157" s="127" t="s">
        <v>33</v>
      </c>
      <c r="C157" s="591" t="s">
        <v>1210</v>
      </c>
      <c r="D157" s="673"/>
    </row>
    <row r="158" spans="2:5" s="89" customFormat="1" ht="69.599999999999994" x14ac:dyDescent="0.4">
      <c r="B158" s="127" t="s">
        <v>34</v>
      </c>
      <c r="C158" s="591" t="s">
        <v>1211</v>
      </c>
      <c r="D158" s="674"/>
    </row>
    <row r="159" spans="2:5" s="89" customFormat="1" ht="34.799999999999997" x14ac:dyDescent="0.4">
      <c r="B159" s="127" t="s">
        <v>35</v>
      </c>
      <c r="C159" s="592" t="s">
        <v>98</v>
      </c>
      <c r="D159" s="674"/>
    </row>
    <row r="160" spans="2:5" s="89" customFormat="1" ht="69.599999999999994" x14ac:dyDescent="0.4">
      <c r="B160" s="127" t="s">
        <v>119</v>
      </c>
      <c r="C160" s="592" t="s">
        <v>1208</v>
      </c>
      <c r="D160" s="674"/>
    </row>
    <row r="161" spans="2:5" s="89" customFormat="1" ht="18" customHeight="1" x14ac:dyDescent="0.4">
      <c r="B161" s="781" t="s">
        <v>0</v>
      </c>
      <c r="C161" s="782"/>
      <c r="D161" s="664"/>
    </row>
    <row r="162" spans="2:5" s="89" customFormat="1" ht="18" customHeight="1" x14ac:dyDescent="0.4">
      <c r="B162" s="798" t="s">
        <v>1209</v>
      </c>
      <c r="C162" s="799"/>
      <c r="D162" s="297">
        <v>-2</v>
      </c>
    </row>
    <row r="163" spans="2:5" s="89" customFormat="1" ht="18" customHeight="1" x14ac:dyDescent="0.4">
      <c r="B163" s="798" t="s">
        <v>1212</v>
      </c>
      <c r="C163" s="799"/>
      <c r="D163" s="297">
        <v>-1</v>
      </c>
    </row>
    <row r="164" spans="2:5" s="89" customFormat="1" ht="34.35" customHeight="1" x14ac:dyDescent="0.4">
      <c r="B164" s="798" t="s">
        <v>1199</v>
      </c>
      <c r="C164" s="799"/>
      <c r="D164" s="297">
        <v>-1</v>
      </c>
    </row>
    <row r="165" spans="2:5" s="589" customFormat="1" x14ac:dyDescent="0.3">
      <c r="B165" s="19" t="s">
        <v>6</v>
      </c>
      <c r="C165" s="19"/>
      <c r="D165" s="52">
        <f>+'Հավելված N 3'!D131</f>
        <v>-244679</v>
      </c>
      <c r="E165" s="590"/>
    </row>
    <row r="166" spans="2:5" s="89" customFormat="1" x14ac:dyDescent="0.4"/>
    <row r="167" spans="2:5" s="8" customFormat="1" ht="18" x14ac:dyDescent="0.4">
      <c r="B167" s="166" t="s">
        <v>1</v>
      </c>
      <c r="C167" s="166" t="s">
        <v>2</v>
      </c>
      <c r="D167" s="167"/>
    </row>
    <row r="168" spans="2:5" s="8" customFormat="1" ht="18" x14ac:dyDescent="0.4">
      <c r="B168" s="168">
        <v>1168</v>
      </c>
      <c r="C168" s="203" t="s">
        <v>241</v>
      </c>
      <c r="D168" s="166"/>
    </row>
    <row r="169" spans="2:5" s="8" customFormat="1" x14ac:dyDescent="0.4"/>
    <row r="170" spans="2:5" s="8" customFormat="1" ht="17.7" customHeight="1" x14ac:dyDescent="0.4">
      <c r="B170" s="783" t="s">
        <v>3</v>
      </c>
      <c r="C170" s="784"/>
      <c r="D170" s="785" t="s">
        <v>106</v>
      </c>
    </row>
    <row r="171" spans="2:5" s="8" customFormat="1" ht="59.1" customHeight="1" x14ac:dyDescent="0.4">
      <c r="B171" s="147" t="s">
        <v>4</v>
      </c>
      <c r="C171" s="159">
        <v>1168</v>
      </c>
      <c r="D171" s="785"/>
    </row>
    <row r="172" spans="2:5" s="8" customFormat="1" x14ac:dyDescent="0.4">
      <c r="B172" s="147" t="s">
        <v>5</v>
      </c>
      <c r="C172" s="159">
        <v>32001</v>
      </c>
      <c r="D172" s="172" t="s">
        <v>12</v>
      </c>
    </row>
    <row r="173" spans="2:5" s="8" customFormat="1" ht="52.2" x14ac:dyDescent="0.4">
      <c r="B173" s="201" t="s">
        <v>33</v>
      </c>
      <c r="C173" s="282" t="s">
        <v>242</v>
      </c>
      <c r="D173" s="673"/>
    </row>
    <row r="174" spans="2:5" s="8" customFormat="1" ht="69.599999999999994" x14ac:dyDescent="0.4">
      <c r="B174" s="201" t="s">
        <v>34</v>
      </c>
      <c r="C174" s="282" t="s">
        <v>243</v>
      </c>
      <c r="D174" s="674"/>
    </row>
    <row r="175" spans="2:5" s="8" customFormat="1" ht="34.799999999999997" x14ac:dyDescent="0.4">
      <c r="B175" s="201" t="s">
        <v>35</v>
      </c>
      <c r="C175" s="282" t="s">
        <v>98</v>
      </c>
      <c r="D175" s="674"/>
    </row>
    <row r="176" spans="2:5" s="8" customFormat="1" ht="69.599999999999994" x14ac:dyDescent="0.4">
      <c r="B176" s="193" t="s">
        <v>119</v>
      </c>
      <c r="C176" s="282" t="s">
        <v>244</v>
      </c>
      <c r="D176" s="674"/>
    </row>
    <row r="177" spans="2:5" s="8" customFormat="1" x14ac:dyDescent="0.4">
      <c r="B177" s="786" t="s">
        <v>0</v>
      </c>
      <c r="C177" s="787"/>
      <c r="D177" s="664"/>
    </row>
    <row r="178" spans="2:5" s="31" customFormat="1" x14ac:dyDescent="0.3">
      <c r="B178" s="170" t="s">
        <v>6</v>
      </c>
      <c r="C178" s="170"/>
      <c r="D178" s="171">
        <f>+'Հավելված N 3'!D144</f>
        <v>-79831.3</v>
      </c>
      <c r="E178" s="53"/>
    </row>
    <row r="180" spans="2:5" s="8" customFormat="1" ht="17.7" customHeight="1" x14ac:dyDescent="0.4">
      <c r="B180" s="783" t="s">
        <v>3</v>
      </c>
      <c r="C180" s="784"/>
      <c r="D180" s="785" t="s">
        <v>88</v>
      </c>
    </row>
    <row r="181" spans="2:5" s="8" customFormat="1" ht="59.1" customHeight="1" x14ac:dyDescent="0.4">
      <c r="B181" s="147" t="s">
        <v>4</v>
      </c>
      <c r="C181" s="159">
        <v>1168</v>
      </c>
      <c r="D181" s="785"/>
    </row>
    <row r="182" spans="2:5" s="8" customFormat="1" x14ac:dyDescent="0.4">
      <c r="B182" s="147" t="s">
        <v>5</v>
      </c>
      <c r="C182" s="159">
        <v>32007</v>
      </c>
      <c r="D182" s="172" t="s">
        <v>12</v>
      </c>
    </row>
    <row r="183" spans="2:5" s="8" customFormat="1" ht="34.799999999999997" x14ac:dyDescent="0.4">
      <c r="B183" s="201" t="s">
        <v>133</v>
      </c>
      <c r="C183" s="282" t="s">
        <v>1213</v>
      </c>
      <c r="D183" s="673"/>
    </row>
    <row r="184" spans="2:5" s="8" customFormat="1" ht="34.799999999999997" x14ac:dyDescent="0.4">
      <c r="B184" s="201" t="s">
        <v>134</v>
      </c>
      <c r="C184" s="282" t="s">
        <v>1214</v>
      </c>
      <c r="D184" s="674"/>
    </row>
    <row r="185" spans="2:5" s="8" customFormat="1" ht="34.799999999999997" x14ac:dyDescent="0.4">
      <c r="B185" s="201" t="s">
        <v>135</v>
      </c>
      <c r="C185" s="282" t="s">
        <v>98</v>
      </c>
      <c r="D185" s="674"/>
    </row>
    <row r="186" spans="2:5" s="8" customFormat="1" ht="69.599999999999994" x14ac:dyDescent="0.4">
      <c r="B186" s="193" t="s">
        <v>1193</v>
      </c>
      <c r="C186" s="282" t="s">
        <v>1215</v>
      </c>
      <c r="D186" s="674"/>
    </row>
    <row r="187" spans="2:5" s="8" customFormat="1" x14ac:dyDescent="0.4">
      <c r="B187" s="786" t="s">
        <v>0</v>
      </c>
      <c r="C187" s="787"/>
      <c r="D187" s="664"/>
    </row>
    <row r="188" spans="2:5" s="8" customFormat="1" ht="37.65" customHeight="1" x14ac:dyDescent="0.4">
      <c r="B188" s="798" t="s">
        <v>1216</v>
      </c>
      <c r="C188" s="799"/>
      <c r="D188" s="593">
        <v>2</v>
      </c>
    </row>
    <row r="189" spans="2:5" s="31" customFormat="1" x14ac:dyDescent="0.3">
      <c r="B189" s="170" t="s">
        <v>6</v>
      </c>
      <c r="C189" s="170"/>
      <c r="D189" s="171">
        <f>+'Հավելված N 3'!D150</f>
        <v>19805</v>
      </c>
      <c r="E189" s="53"/>
    </row>
    <row r="191" spans="2:5" ht="18" x14ac:dyDescent="0.4">
      <c r="B191" s="21" t="s">
        <v>1</v>
      </c>
      <c r="C191" s="800" t="s">
        <v>2</v>
      </c>
      <c r="D191" s="801"/>
    </row>
    <row r="192" spans="2:5" x14ac:dyDescent="0.4">
      <c r="B192" s="51">
        <v>1183</v>
      </c>
      <c r="C192" s="20" t="s">
        <v>99</v>
      </c>
      <c r="D192" s="20"/>
    </row>
    <row r="193" spans="2:4" x14ac:dyDescent="0.4">
      <c r="B193" s="8"/>
      <c r="C193" s="8"/>
      <c r="D193" s="8"/>
    </row>
    <row r="194" spans="2:4" s="89" customFormat="1" ht="18" customHeight="1" x14ac:dyDescent="0.4">
      <c r="B194" s="796" t="s">
        <v>3</v>
      </c>
      <c r="C194" s="797"/>
      <c r="D194" s="785" t="s">
        <v>88</v>
      </c>
    </row>
    <row r="195" spans="2:4" s="8" customFormat="1" ht="54.75" customHeight="1" x14ac:dyDescent="0.4">
      <c r="B195" s="17" t="s">
        <v>32</v>
      </c>
      <c r="C195" s="90">
        <v>1183</v>
      </c>
      <c r="D195" s="785"/>
    </row>
    <row r="196" spans="2:4" s="89" customFormat="1" x14ac:dyDescent="0.4">
      <c r="B196" s="11" t="s">
        <v>120</v>
      </c>
      <c r="C196" s="39">
        <v>32001</v>
      </c>
      <c r="D196" s="125" t="s">
        <v>9</v>
      </c>
    </row>
    <row r="197" spans="2:4" s="89" customFormat="1" ht="34.799999999999997" x14ac:dyDescent="0.4">
      <c r="B197" s="11" t="s">
        <v>33</v>
      </c>
      <c r="C197" s="48" t="s">
        <v>245</v>
      </c>
      <c r="D197" s="673"/>
    </row>
    <row r="198" spans="2:4" s="89" customFormat="1" ht="75" customHeight="1" x14ac:dyDescent="0.4">
      <c r="B198" s="11" t="s">
        <v>34</v>
      </c>
      <c r="C198" s="48" t="s">
        <v>246</v>
      </c>
      <c r="D198" s="674"/>
    </row>
    <row r="199" spans="2:4" s="89" customFormat="1" ht="34.799999999999997" x14ac:dyDescent="0.4">
      <c r="B199" s="11" t="s">
        <v>35</v>
      </c>
      <c r="C199" s="110" t="s">
        <v>98</v>
      </c>
      <c r="D199" s="674"/>
    </row>
    <row r="200" spans="2:4" s="89" customFormat="1" ht="72" customHeight="1" x14ac:dyDescent="0.4">
      <c r="B200" s="11" t="s">
        <v>119</v>
      </c>
      <c r="C200" s="110" t="s">
        <v>247</v>
      </c>
      <c r="D200" s="674"/>
    </row>
    <row r="201" spans="2:4" s="89" customFormat="1" x14ac:dyDescent="0.4">
      <c r="B201" s="793" t="s">
        <v>36</v>
      </c>
      <c r="C201" s="793"/>
      <c r="D201" s="664"/>
    </row>
    <row r="202" spans="2:4" s="89" customFormat="1" ht="17.55" customHeight="1" x14ac:dyDescent="0.4">
      <c r="B202" s="794" t="s">
        <v>109</v>
      </c>
      <c r="C202" s="795"/>
      <c r="D202" s="54">
        <v>6</v>
      </c>
    </row>
    <row r="203" spans="2:4" s="89" customFormat="1" x14ac:dyDescent="0.4">
      <c r="B203" s="19" t="s">
        <v>37</v>
      </c>
      <c r="C203" s="19"/>
      <c r="D203" s="52">
        <f>+'Հավելված N 3'!D163</f>
        <v>132471.1</v>
      </c>
    </row>
    <row r="204" spans="2:4" ht="9.9" customHeight="1" x14ac:dyDescent="0.4"/>
    <row r="205" spans="2:4" s="89" customFormat="1" ht="18" customHeight="1" x14ac:dyDescent="0.4">
      <c r="B205" s="796" t="s">
        <v>3</v>
      </c>
      <c r="C205" s="797"/>
      <c r="D205" s="785" t="s">
        <v>106</v>
      </c>
    </row>
    <row r="206" spans="2:4" s="8" customFormat="1" ht="53.7" customHeight="1" x14ac:dyDescent="0.4">
      <c r="B206" s="17" t="s">
        <v>32</v>
      </c>
      <c r="C206" s="90">
        <v>1183</v>
      </c>
      <c r="D206" s="785"/>
    </row>
    <row r="207" spans="2:4" s="89" customFormat="1" x14ac:dyDescent="0.4">
      <c r="B207" s="11" t="s">
        <v>120</v>
      </c>
      <c r="C207" s="39">
        <v>32002</v>
      </c>
      <c r="D207" s="314" t="s">
        <v>9</v>
      </c>
    </row>
    <row r="208" spans="2:4" s="89" customFormat="1" ht="34.799999999999997" x14ac:dyDescent="0.4">
      <c r="B208" s="11" t="s">
        <v>33</v>
      </c>
      <c r="C208" s="48" t="s">
        <v>383</v>
      </c>
      <c r="D208" s="673"/>
    </row>
    <row r="209" spans="2:4" s="89" customFormat="1" ht="75" customHeight="1" x14ac:dyDescent="0.4">
      <c r="B209" s="11" t="s">
        <v>34</v>
      </c>
      <c r="C209" s="48" t="s">
        <v>384</v>
      </c>
      <c r="D209" s="674"/>
    </row>
    <row r="210" spans="2:4" s="89" customFormat="1" ht="34.799999999999997" x14ac:dyDescent="0.4">
      <c r="B210" s="11" t="s">
        <v>35</v>
      </c>
      <c r="C210" s="110" t="s">
        <v>98</v>
      </c>
      <c r="D210" s="674"/>
    </row>
    <row r="211" spans="2:4" s="89" customFormat="1" ht="72" customHeight="1" x14ac:dyDescent="0.4">
      <c r="B211" s="11" t="s">
        <v>119</v>
      </c>
      <c r="C211" s="110" t="s">
        <v>100</v>
      </c>
      <c r="D211" s="674"/>
    </row>
    <row r="212" spans="2:4" s="89" customFormat="1" x14ac:dyDescent="0.4">
      <c r="B212" s="793" t="s">
        <v>36</v>
      </c>
      <c r="C212" s="793"/>
      <c r="D212" s="664"/>
    </row>
    <row r="213" spans="2:4" s="89" customFormat="1" ht="17.55" customHeight="1" x14ac:dyDescent="0.4">
      <c r="B213" s="794" t="s">
        <v>109</v>
      </c>
      <c r="C213" s="795"/>
      <c r="D213" s="54">
        <v>-6</v>
      </c>
    </row>
    <row r="214" spans="2:4" s="89" customFormat="1" ht="17.55" customHeight="1" x14ac:dyDescent="0.4">
      <c r="B214" s="794" t="s">
        <v>230</v>
      </c>
      <c r="C214" s="795"/>
      <c r="D214" s="54">
        <v>-59</v>
      </c>
    </row>
    <row r="215" spans="2:4" s="89" customFormat="1" x14ac:dyDescent="0.4">
      <c r="B215" s="19" t="s">
        <v>37</v>
      </c>
      <c r="C215" s="19"/>
      <c r="D215" s="52">
        <f>+'Հավելված N 3'!D169</f>
        <v>-2887155</v>
      </c>
    </row>
    <row r="216" spans="2:4" ht="9.9" customHeight="1" x14ac:dyDescent="0.4"/>
    <row r="217" spans="2:4" s="89" customFormat="1" ht="18" customHeight="1" x14ac:dyDescent="0.4">
      <c r="B217" s="796" t="s">
        <v>3</v>
      </c>
      <c r="C217" s="797"/>
      <c r="D217" s="785" t="s">
        <v>106</v>
      </c>
    </row>
    <row r="218" spans="2:4" s="8" customFormat="1" ht="51" customHeight="1" x14ac:dyDescent="0.4">
      <c r="B218" s="17" t="s">
        <v>32</v>
      </c>
      <c r="C218" s="90">
        <v>1183</v>
      </c>
      <c r="D218" s="785"/>
    </row>
    <row r="219" spans="2:4" s="89" customFormat="1" x14ac:dyDescent="0.4">
      <c r="B219" s="11" t="s">
        <v>120</v>
      </c>
      <c r="C219" s="39">
        <v>32003</v>
      </c>
      <c r="D219" s="174" t="s">
        <v>9</v>
      </c>
    </row>
    <row r="220" spans="2:4" s="89" customFormat="1" ht="34.799999999999997" x14ac:dyDescent="0.4">
      <c r="B220" s="212" t="s">
        <v>33</v>
      </c>
      <c r="C220" s="204" t="s">
        <v>144</v>
      </c>
      <c r="D220" s="673"/>
    </row>
    <row r="221" spans="2:4" s="89" customFormat="1" ht="75" customHeight="1" x14ac:dyDescent="0.4">
      <c r="B221" s="212" t="s">
        <v>34</v>
      </c>
      <c r="C221" s="204" t="s">
        <v>145</v>
      </c>
      <c r="D221" s="674"/>
    </row>
    <row r="222" spans="2:4" s="89" customFormat="1" ht="34.799999999999997" x14ac:dyDescent="0.4">
      <c r="B222" s="212" t="s">
        <v>35</v>
      </c>
      <c r="C222" s="213" t="s">
        <v>98</v>
      </c>
      <c r="D222" s="674"/>
    </row>
    <row r="223" spans="2:4" s="89" customFormat="1" ht="72" customHeight="1" x14ac:dyDescent="0.4">
      <c r="B223" s="212" t="s">
        <v>101</v>
      </c>
      <c r="C223" s="213" t="s">
        <v>146</v>
      </c>
      <c r="D223" s="674"/>
    </row>
    <row r="224" spans="2:4" s="89" customFormat="1" x14ac:dyDescent="0.4">
      <c r="B224" s="793" t="s">
        <v>36</v>
      </c>
      <c r="C224" s="793"/>
      <c r="D224" s="664"/>
    </row>
    <row r="225" spans="2:4" s="89" customFormat="1" x14ac:dyDescent="0.4">
      <c r="B225" s="794" t="s">
        <v>230</v>
      </c>
      <c r="C225" s="795"/>
      <c r="D225" s="54">
        <v>-1</v>
      </c>
    </row>
    <row r="226" spans="2:4" s="89" customFormat="1" x14ac:dyDescent="0.4">
      <c r="B226" s="19" t="s">
        <v>37</v>
      </c>
      <c r="C226" s="19"/>
      <c r="D226" s="52">
        <f>+'Հավելված N 3'!D175</f>
        <v>-1368042.7</v>
      </c>
    </row>
    <row r="227" spans="2:4" ht="9.9" customHeight="1" x14ac:dyDescent="0.4"/>
    <row r="228" spans="2:4" s="89" customFormat="1" x14ac:dyDescent="0.4">
      <c r="B228" s="796" t="s">
        <v>3</v>
      </c>
      <c r="C228" s="797"/>
      <c r="D228" s="785" t="s">
        <v>106</v>
      </c>
    </row>
    <row r="229" spans="2:4" s="8" customFormat="1" ht="57" customHeight="1" x14ac:dyDescent="0.4">
      <c r="B229" s="17" t="s">
        <v>32</v>
      </c>
      <c r="C229" s="90">
        <v>1183</v>
      </c>
      <c r="D229" s="785"/>
    </row>
    <row r="230" spans="2:4" s="89" customFormat="1" x14ac:dyDescent="0.4">
      <c r="B230" s="11" t="s">
        <v>120</v>
      </c>
      <c r="C230" s="39">
        <v>32004</v>
      </c>
      <c r="D230" s="249" t="s">
        <v>9</v>
      </c>
    </row>
    <row r="231" spans="2:4" s="89" customFormat="1" ht="34.799999999999997" x14ac:dyDescent="0.4">
      <c r="B231" s="11" t="s">
        <v>33</v>
      </c>
      <c r="C231" s="48" t="s">
        <v>248</v>
      </c>
      <c r="D231" s="673"/>
    </row>
    <row r="232" spans="2:4" s="89" customFormat="1" x14ac:dyDescent="0.4">
      <c r="B232" s="11" t="s">
        <v>34</v>
      </c>
      <c r="C232" s="48" t="s">
        <v>249</v>
      </c>
      <c r="D232" s="674"/>
    </row>
    <row r="233" spans="2:4" s="89" customFormat="1" ht="34.799999999999997" x14ac:dyDescent="0.4">
      <c r="B233" s="11" t="s">
        <v>35</v>
      </c>
      <c r="C233" s="110" t="s">
        <v>98</v>
      </c>
      <c r="D233" s="674"/>
    </row>
    <row r="234" spans="2:4" s="89" customFormat="1" ht="72" customHeight="1" x14ac:dyDescent="0.4">
      <c r="B234" s="11" t="s">
        <v>119</v>
      </c>
      <c r="C234" s="110" t="s">
        <v>250</v>
      </c>
      <c r="D234" s="674"/>
    </row>
    <row r="235" spans="2:4" s="89" customFormat="1" x14ac:dyDescent="0.4">
      <c r="B235" s="793" t="s">
        <v>36</v>
      </c>
      <c r="C235" s="793"/>
      <c r="D235" s="664"/>
    </row>
    <row r="236" spans="2:4" s="89" customFormat="1" ht="17.55" customHeight="1" x14ac:dyDescent="0.4">
      <c r="B236" s="794" t="s">
        <v>1217</v>
      </c>
      <c r="C236" s="795"/>
      <c r="D236" s="54">
        <v>-2</v>
      </c>
    </row>
    <row r="237" spans="2:4" s="89" customFormat="1" ht="17.55" customHeight="1" x14ac:dyDescent="0.4">
      <c r="B237" s="794" t="s">
        <v>227</v>
      </c>
      <c r="C237" s="795"/>
      <c r="D237" s="594">
        <v>-2</v>
      </c>
    </row>
    <row r="238" spans="2:4" s="89" customFormat="1" x14ac:dyDescent="0.4">
      <c r="B238" s="19" t="s">
        <v>37</v>
      </c>
      <c r="C238" s="19"/>
      <c r="D238" s="52">
        <f>+'Հավելված N 3'!D181</f>
        <v>-94431.5</v>
      </c>
    </row>
    <row r="239" spans="2:4" ht="9.9" customHeight="1" x14ac:dyDescent="0.4"/>
    <row r="240" spans="2:4" s="89" customFormat="1" x14ac:dyDescent="0.4">
      <c r="B240" s="796" t="s">
        <v>3</v>
      </c>
      <c r="C240" s="797"/>
      <c r="D240" s="785" t="s">
        <v>106</v>
      </c>
    </row>
    <row r="241" spans="2:4" s="8" customFormat="1" ht="51.6" customHeight="1" x14ac:dyDescent="0.4">
      <c r="B241" s="17" t="s">
        <v>32</v>
      </c>
      <c r="C241" s="90">
        <v>1183</v>
      </c>
      <c r="D241" s="785"/>
    </row>
    <row r="242" spans="2:4" s="89" customFormat="1" x14ac:dyDescent="0.4">
      <c r="B242" s="11" t="s">
        <v>120</v>
      </c>
      <c r="C242" s="39">
        <v>32007</v>
      </c>
      <c r="D242" s="249" t="s">
        <v>9</v>
      </c>
    </row>
    <row r="243" spans="2:4" s="89" customFormat="1" ht="34.799999999999997" x14ac:dyDescent="0.4">
      <c r="B243" s="11" t="s">
        <v>33</v>
      </c>
      <c r="C243" s="48" t="s">
        <v>251</v>
      </c>
      <c r="D243" s="673"/>
    </row>
    <row r="244" spans="2:4" s="89" customFormat="1" ht="52.2" x14ac:dyDescent="0.4">
      <c r="B244" s="11" t="s">
        <v>34</v>
      </c>
      <c r="C244" s="48" t="s">
        <v>252</v>
      </c>
      <c r="D244" s="674"/>
    </row>
    <row r="245" spans="2:4" s="89" customFormat="1" ht="34.799999999999997" x14ac:dyDescent="0.4">
      <c r="B245" s="11" t="s">
        <v>35</v>
      </c>
      <c r="C245" s="110" t="s">
        <v>98</v>
      </c>
      <c r="D245" s="674"/>
    </row>
    <row r="246" spans="2:4" s="89" customFormat="1" ht="72" customHeight="1" x14ac:dyDescent="0.4">
      <c r="B246" s="11" t="s">
        <v>119</v>
      </c>
      <c r="C246" s="110" t="s">
        <v>247</v>
      </c>
      <c r="D246" s="674"/>
    </row>
    <row r="247" spans="2:4" s="89" customFormat="1" x14ac:dyDescent="0.4">
      <c r="B247" s="793" t="s">
        <v>36</v>
      </c>
      <c r="C247" s="793"/>
      <c r="D247" s="664"/>
    </row>
    <row r="248" spans="2:4" s="89" customFormat="1" x14ac:dyDescent="0.4">
      <c r="B248" s="794" t="s">
        <v>1218</v>
      </c>
      <c r="C248" s="795"/>
      <c r="D248" s="54">
        <v>-1</v>
      </c>
    </row>
    <row r="249" spans="2:4" s="89" customFormat="1" ht="37.049999999999997" customHeight="1" x14ac:dyDescent="0.4">
      <c r="B249" s="794" t="s">
        <v>227</v>
      </c>
      <c r="C249" s="795"/>
      <c r="D249" s="54">
        <v>-2</v>
      </c>
    </row>
    <row r="250" spans="2:4" s="89" customFormat="1" x14ac:dyDescent="0.4">
      <c r="B250" s="794" t="s">
        <v>230</v>
      </c>
      <c r="C250" s="795"/>
      <c r="D250" s="54">
        <v>-3</v>
      </c>
    </row>
    <row r="251" spans="2:4" s="89" customFormat="1" x14ac:dyDescent="0.4">
      <c r="B251" s="19" t="s">
        <v>37</v>
      </c>
      <c r="C251" s="19"/>
      <c r="D251" s="52">
        <f>+'Հավելված N 3'!D187</f>
        <v>-67555</v>
      </c>
    </row>
    <row r="252" spans="2:4" ht="9.9" customHeight="1" x14ac:dyDescent="0.4"/>
    <row r="253" spans="2:4" s="89" customFormat="1" x14ac:dyDescent="0.4">
      <c r="B253" s="796" t="s">
        <v>3</v>
      </c>
      <c r="C253" s="797"/>
      <c r="D253" s="785" t="s">
        <v>106</v>
      </c>
    </row>
    <row r="254" spans="2:4" s="8" customFormat="1" ht="54.75" customHeight="1" x14ac:dyDescent="0.4">
      <c r="B254" s="17" t="s">
        <v>32</v>
      </c>
      <c r="C254" s="90">
        <v>1183</v>
      </c>
      <c r="D254" s="785"/>
    </row>
    <row r="255" spans="2:4" s="89" customFormat="1" x14ac:dyDescent="0.4">
      <c r="B255" s="11" t="s">
        <v>120</v>
      </c>
      <c r="C255" s="39">
        <v>32009</v>
      </c>
      <c r="D255" s="314" t="s">
        <v>9</v>
      </c>
    </row>
    <row r="256" spans="2:4" s="89" customFormat="1" ht="34.799999999999997" x14ac:dyDescent="0.4">
      <c r="B256" s="11" t="s">
        <v>33</v>
      </c>
      <c r="C256" s="48" t="s">
        <v>385</v>
      </c>
      <c r="D256" s="673"/>
    </row>
    <row r="257" spans="2:4" s="89" customFormat="1" ht="52.2" x14ac:dyDescent="0.4">
      <c r="B257" s="11" t="s">
        <v>34</v>
      </c>
      <c r="C257" s="48" t="s">
        <v>386</v>
      </c>
      <c r="D257" s="674"/>
    </row>
    <row r="258" spans="2:4" s="89" customFormat="1" ht="34.799999999999997" x14ac:dyDescent="0.4">
      <c r="B258" s="11" t="s">
        <v>35</v>
      </c>
      <c r="C258" s="110" t="s">
        <v>98</v>
      </c>
      <c r="D258" s="674"/>
    </row>
    <row r="259" spans="2:4" s="89" customFormat="1" ht="72" customHeight="1" x14ac:dyDescent="0.4">
      <c r="B259" s="11" t="s">
        <v>119</v>
      </c>
      <c r="C259" s="110" t="s">
        <v>247</v>
      </c>
      <c r="D259" s="674"/>
    </row>
    <row r="260" spans="2:4" s="89" customFormat="1" ht="17.7" customHeight="1" x14ac:dyDescent="0.4">
      <c r="B260" s="802" t="s">
        <v>36</v>
      </c>
      <c r="C260" s="803"/>
      <c r="D260" s="664"/>
    </row>
    <row r="261" spans="2:4" s="89" customFormat="1" ht="37.049999999999997" customHeight="1" x14ac:dyDescent="0.4">
      <c r="B261" s="794" t="s">
        <v>227</v>
      </c>
      <c r="C261" s="795"/>
      <c r="D261" s="54">
        <v>-3</v>
      </c>
    </row>
    <row r="262" spans="2:4" s="89" customFormat="1" x14ac:dyDescent="0.4">
      <c r="B262" s="19" t="s">
        <v>37</v>
      </c>
      <c r="C262" s="19"/>
      <c r="D262" s="52">
        <f>+'Հավելված N 3'!D193</f>
        <v>-224588.6</v>
      </c>
    </row>
    <row r="263" spans="2:4" ht="9.9" customHeight="1" x14ac:dyDescent="0.4"/>
    <row r="264" spans="2:4" s="89" customFormat="1" x14ac:dyDescent="0.4">
      <c r="B264" s="796" t="s">
        <v>3</v>
      </c>
      <c r="C264" s="797"/>
      <c r="D264" s="785" t="s">
        <v>106</v>
      </c>
    </row>
    <row r="265" spans="2:4" s="8" customFormat="1" ht="54.75" customHeight="1" x14ac:dyDescent="0.4">
      <c r="B265" s="17" t="s">
        <v>32</v>
      </c>
      <c r="C265" s="90">
        <v>1183</v>
      </c>
      <c r="D265" s="785"/>
    </row>
    <row r="266" spans="2:4" s="89" customFormat="1" x14ac:dyDescent="0.4">
      <c r="B266" s="11" t="s">
        <v>120</v>
      </c>
      <c r="C266" s="39">
        <v>32012</v>
      </c>
      <c r="D266" s="468" t="s">
        <v>9</v>
      </c>
    </row>
    <row r="267" spans="2:4" s="89" customFormat="1" ht="34.799999999999997" x14ac:dyDescent="0.4">
      <c r="B267" s="11" t="s">
        <v>33</v>
      </c>
      <c r="C267" s="48" t="s">
        <v>1219</v>
      </c>
      <c r="D267" s="673"/>
    </row>
    <row r="268" spans="2:4" s="89" customFormat="1" ht="34.799999999999997" x14ac:dyDescent="0.4">
      <c r="B268" s="11" t="s">
        <v>34</v>
      </c>
      <c r="C268" s="48" t="s">
        <v>1220</v>
      </c>
      <c r="D268" s="674"/>
    </row>
    <row r="269" spans="2:4" s="89" customFormat="1" ht="34.799999999999997" x14ac:dyDescent="0.4">
      <c r="B269" s="11" t="s">
        <v>35</v>
      </c>
      <c r="C269" s="110" t="s">
        <v>98</v>
      </c>
      <c r="D269" s="674"/>
    </row>
    <row r="270" spans="2:4" s="89" customFormat="1" ht="72" customHeight="1" x14ac:dyDescent="0.4">
      <c r="B270" s="11" t="s">
        <v>119</v>
      </c>
      <c r="C270" s="110" t="s">
        <v>247</v>
      </c>
      <c r="D270" s="674"/>
    </row>
    <row r="271" spans="2:4" s="89" customFormat="1" ht="17.7" customHeight="1" x14ac:dyDescent="0.4">
      <c r="B271" s="802" t="s">
        <v>36</v>
      </c>
      <c r="C271" s="803"/>
      <c r="D271" s="664"/>
    </row>
    <row r="272" spans="2:4" s="89" customFormat="1" ht="17.7" customHeight="1" x14ac:dyDescent="0.4">
      <c r="B272" s="794" t="s">
        <v>1221</v>
      </c>
      <c r="C272" s="795"/>
      <c r="D272" s="54">
        <v>-2</v>
      </c>
    </row>
    <row r="273" spans="2:4" s="8" customFormat="1" ht="18" customHeight="1" x14ac:dyDescent="0.4">
      <c r="B273" s="805" t="s">
        <v>1222</v>
      </c>
      <c r="C273" s="805"/>
      <c r="D273" s="54">
        <f>-2+2</f>
        <v>0</v>
      </c>
    </row>
    <row r="274" spans="2:4" s="8" customFormat="1" ht="18" customHeight="1" x14ac:dyDescent="0.4">
      <c r="B274" s="805" t="s">
        <v>1245</v>
      </c>
      <c r="C274" s="805"/>
      <c r="D274" s="594">
        <v>-2</v>
      </c>
    </row>
    <row r="275" spans="2:4" s="8" customFormat="1" ht="34.950000000000003" customHeight="1" x14ac:dyDescent="0.4">
      <c r="B275" s="798" t="s">
        <v>1224</v>
      </c>
      <c r="C275" s="799"/>
      <c r="D275" s="54">
        <v>-2</v>
      </c>
    </row>
    <row r="276" spans="2:4" s="8" customFormat="1" ht="34.950000000000003" customHeight="1" x14ac:dyDescent="0.4">
      <c r="B276" s="798" t="s">
        <v>1223</v>
      </c>
      <c r="C276" s="799"/>
      <c r="D276" s="54">
        <v>-5</v>
      </c>
    </row>
    <row r="277" spans="2:4" s="8" customFormat="1" ht="34.35" customHeight="1" x14ac:dyDescent="0.4">
      <c r="B277" s="798" t="s">
        <v>1225</v>
      </c>
      <c r="C277" s="799"/>
      <c r="D277" s="54">
        <v>-1</v>
      </c>
    </row>
    <row r="278" spans="2:4" s="89" customFormat="1" x14ac:dyDescent="0.4">
      <c r="B278" s="19" t="s">
        <v>37</v>
      </c>
      <c r="C278" s="19"/>
      <c r="D278" s="52">
        <f>+'Հավելված N 3'!D199</f>
        <v>-594726.70000000007</v>
      </c>
    </row>
    <row r="279" spans="2:4" ht="9.9" customHeight="1" x14ac:dyDescent="0.4"/>
    <row r="280" spans="2:4" s="89" customFormat="1" x14ac:dyDescent="0.4">
      <c r="B280" s="796" t="s">
        <v>3</v>
      </c>
      <c r="C280" s="797"/>
      <c r="D280" s="785" t="s">
        <v>106</v>
      </c>
    </row>
    <row r="281" spans="2:4" s="8" customFormat="1" ht="54.75" customHeight="1" x14ac:dyDescent="0.4">
      <c r="B281" s="17" t="s">
        <v>32</v>
      </c>
      <c r="C281" s="90">
        <v>1183</v>
      </c>
      <c r="D281" s="785"/>
    </row>
    <row r="282" spans="2:4" s="89" customFormat="1" x14ac:dyDescent="0.4">
      <c r="B282" s="11" t="s">
        <v>120</v>
      </c>
      <c r="C282" s="39">
        <v>32013</v>
      </c>
      <c r="D282" s="468" t="s">
        <v>9</v>
      </c>
    </row>
    <row r="283" spans="2:4" s="89" customFormat="1" ht="52.2" x14ac:dyDescent="0.4">
      <c r="B283" s="11" t="s">
        <v>133</v>
      </c>
      <c r="C283" s="48" t="s">
        <v>573</v>
      </c>
      <c r="D283" s="673"/>
    </row>
    <row r="284" spans="2:4" s="89" customFormat="1" ht="87" x14ac:dyDescent="0.4">
      <c r="B284" s="11" t="s">
        <v>134</v>
      </c>
      <c r="C284" s="48" t="s">
        <v>1158</v>
      </c>
      <c r="D284" s="674"/>
    </row>
    <row r="285" spans="2:4" s="89" customFormat="1" ht="34.799999999999997" x14ac:dyDescent="0.4">
      <c r="B285" s="11" t="s">
        <v>135</v>
      </c>
      <c r="C285" s="110" t="s">
        <v>98</v>
      </c>
      <c r="D285" s="674"/>
    </row>
    <row r="286" spans="2:4" s="89" customFormat="1" ht="72" customHeight="1" x14ac:dyDescent="0.4">
      <c r="B286" s="11" t="s">
        <v>1226</v>
      </c>
      <c r="C286" s="110" t="s">
        <v>1227</v>
      </c>
      <c r="D286" s="674"/>
    </row>
    <row r="287" spans="2:4" s="89" customFormat="1" ht="17.7" customHeight="1" x14ac:dyDescent="0.4">
      <c r="B287" s="802" t="s">
        <v>36</v>
      </c>
      <c r="C287" s="803"/>
      <c r="D287" s="664"/>
    </row>
    <row r="288" spans="2:4" s="89" customFormat="1" ht="17.7" customHeight="1" x14ac:dyDescent="0.4">
      <c r="B288" s="798" t="s">
        <v>230</v>
      </c>
      <c r="C288" s="804"/>
      <c r="D288" s="54">
        <v>-51</v>
      </c>
    </row>
    <row r="289" spans="1:4" s="89" customFormat="1" x14ac:dyDescent="0.4">
      <c r="B289" s="19" t="s">
        <v>37</v>
      </c>
      <c r="C289" s="19"/>
      <c r="D289" s="52">
        <f>+'Հավելված N 3'!D205</f>
        <v>-267300</v>
      </c>
    </row>
    <row r="291" spans="1:4" x14ac:dyDescent="0.4">
      <c r="B291" s="285"/>
      <c r="C291" s="285"/>
      <c r="D291" s="173"/>
    </row>
    <row r="292" spans="1:4" x14ac:dyDescent="0.4">
      <c r="B292" s="285"/>
      <c r="C292" s="285"/>
      <c r="D292" s="173"/>
    </row>
    <row r="293" spans="1:4" x14ac:dyDescent="0.4">
      <c r="B293" s="285"/>
      <c r="C293" s="285"/>
      <c r="D293" s="173"/>
    </row>
    <row r="294" spans="1:4" x14ac:dyDescent="0.4">
      <c r="B294" s="285"/>
      <c r="C294" s="285"/>
      <c r="D294" s="173"/>
    </row>
    <row r="295" spans="1:4" x14ac:dyDescent="0.4">
      <c r="B295" s="285"/>
      <c r="C295" s="285"/>
      <c r="D295" s="173"/>
    </row>
    <row r="296" spans="1:4" ht="21.9" customHeight="1" x14ac:dyDescent="0.4">
      <c r="A296" s="792" t="s">
        <v>253</v>
      </c>
      <c r="B296" s="792"/>
      <c r="C296" s="792"/>
      <c r="D296" s="792"/>
    </row>
    <row r="297" spans="1:4" ht="39" customHeight="1" x14ac:dyDescent="0.4">
      <c r="C297" s="467" t="s">
        <v>139</v>
      </c>
      <c r="D297" s="16"/>
    </row>
    <row r="298" spans="1:4" ht="18" x14ac:dyDescent="0.4">
      <c r="B298" s="789" t="s">
        <v>8</v>
      </c>
      <c r="C298" s="790"/>
      <c r="D298" s="791"/>
    </row>
    <row r="299" spans="1:4" s="32" customFormat="1" x14ac:dyDescent="0.4">
      <c r="B299" s="46"/>
      <c r="C299" s="46"/>
      <c r="D299" s="47"/>
    </row>
    <row r="300" spans="1:4" s="32" customFormat="1" x14ac:dyDescent="0.4">
      <c r="B300" s="46"/>
      <c r="C300" s="46"/>
    </row>
    <row r="301" spans="1:4" ht="18" x14ac:dyDescent="0.4">
      <c r="B301" s="279" t="s">
        <v>1</v>
      </c>
      <c r="C301" s="279" t="s">
        <v>2</v>
      </c>
      <c r="D301" s="237"/>
    </row>
    <row r="302" spans="1:4" x14ac:dyDescent="0.4">
      <c r="B302" s="168">
        <v>1139</v>
      </c>
      <c r="C302" s="203" t="s">
        <v>200</v>
      </c>
      <c r="D302" s="237"/>
    </row>
    <row r="304" spans="1:4" ht="18" x14ac:dyDescent="0.4">
      <c r="B304" s="806" t="s">
        <v>3</v>
      </c>
      <c r="C304" s="807"/>
      <c r="D304" s="785" t="s">
        <v>88</v>
      </c>
    </row>
    <row r="305" spans="2:4" ht="55.35" customHeight="1" x14ac:dyDescent="0.4">
      <c r="B305" s="201" t="s">
        <v>4</v>
      </c>
      <c r="C305" s="257">
        <v>1139</v>
      </c>
      <c r="D305" s="785"/>
    </row>
    <row r="306" spans="2:4" x14ac:dyDescent="0.4">
      <c r="B306" s="221" t="s">
        <v>5</v>
      </c>
      <c r="C306" s="286">
        <v>11001</v>
      </c>
      <c r="D306" s="283" t="s">
        <v>9</v>
      </c>
    </row>
    <row r="307" spans="2:4" ht="34.799999999999997" x14ac:dyDescent="0.4">
      <c r="B307" s="221" t="s">
        <v>133</v>
      </c>
      <c r="C307" s="282" t="s">
        <v>200</v>
      </c>
      <c r="D307" s="237"/>
    </row>
    <row r="308" spans="2:4" ht="69.599999999999994" x14ac:dyDescent="0.4">
      <c r="B308" s="221" t="s">
        <v>134</v>
      </c>
      <c r="C308" s="282" t="s">
        <v>254</v>
      </c>
      <c r="D308" s="237"/>
    </row>
    <row r="309" spans="2:4" ht="34.799999999999997" x14ac:dyDescent="0.4">
      <c r="B309" s="221" t="s">
        <v>135</v>
      </c>
      <c r="C309" s="282" t="s">
        <v>255</v>
      </c>
      <c r="D309" s="237"/>
    </row>
    <row r="310" spans="2:4" ht="52.2" x14ac:dyDescent="0.4">
      <c r="B310" s="284" t="s">
        <v>256</v>
      </c>
      <c r="C310" s="282" t="s">
        <v>139</v>
      </c>
      <c r="D310" s="237"/>
    </row>
    <row r="311" spans="2:4" x14ac:dyDescent="0.4">
      <c r="B311" s="287"/>
      <c r="C311" s="288" t="s">
        <v>0</v>
      </c>
      <c r="D311" s="237"/>
    </row>
    <row r="312" spans="2:4" x14ac:dyDescent="0.4">
      <c r="B312" s="808" t="s">
        <v>6</v>
      </c>
      <c r="C312" s="808"/>
      <c r="D312" s="289">
        <f>+'Հավելված N 3'!D220</f>
        <v>14531201.9</v>
      </c>
    </row>
    <row r="313" spans="2:4" ht="9.15" customHeight="1" x14ac:dyDescent="0.4"/>
    <row r="314" spans="2:4" ht="17.7" customHeight="1" x14ac:dyDescent="0.4">
      <c r="B314" s="806" t="s">
        <v>3</v>
      </c>
      <c r="C314" s="807"/>
      <c r="D314" s="785" t="s">
        <v>106</v>
      </c>
    </row>
    <row r="315" spans="2:4" ht="55.35" customHeight="1" x14ac:dyDescent="0.4">
      <c r="B315" s="201" t="s">
        <v>4</v>
      </c>
      <c r="C315" s="257">
        <v>1139</v>
      </c>
      <c r="D315" s="785"/>
    </row>
    <row r="316" spans="2:4" x14ac:dyDescent="0.4">
      <c r="B316" s="221" t="s">
        <v>5</v>
      </c>
      <c r="C316" s="286">
        <v>11001</v>
      </c>
      <c r="D316" s="468" t="s">
        <v>9</v>
      </c>
    </row>
    <row r="317" spans="2:4" ht="34.799999999999997" x14ac:dyDescent="0.4">
      <c r="B317" s="221" t="s">
        <v>133</v>
      </c>
      <c r="C317" s="282" t="s">
        <v>200</v>
      </c>
      <c r="D317" s="237"/>
    </row>
    <row r="318" spans="2:4" ht="69.599999999999994" x14ac:dyDescent="0.4">
      <c r="B318" s="221" t="s">
        <v>134</v>
      </c>
      <c r="C318" s="282" t="s">
        <v>254</v>
      </c>
      <c r="D318" s="237"/>
    </row>
    <row r="319" spans="2:4" ht="34.799999999999997" x14ac:dyDescent="0.4">
      <c r="B319" s="221" t="s">
        <v>135</v>
      </c>
      <c r="C319" s="282" t="s">
        <v>255</v>
      </c>
      <c r="D319" s="237"/>
    </row>
    <row r="320" spans="2:4" ht="52.2" x14ac:dyDescent="0.4">
      <c r="B320" s="299" t="s">
        <v>256</v>
      </c>
      <c r="C320" s="282" t="s">
        <v>139</v>
      </c>
      <c r="D320" s="237"/>
    </row>
    <row r="321" spans="2:4" x14ac:dyDescent="0.4">
      <c r="B321" s="287"/>
      <c r="C321" s="288" t="s">
        <v>0</v>
      </c>
      <c r="D321" s="237"/>
    </row>
    <row r="322" spans="2:4" x14ac:dyDescent="0.4">
      <c r="B322" s="808" t="s">
        <v>6</v>
      </c>
      <c r="C322" s="808"/>
      <c r="D322" s="289">
        <f>+'Հավելված N 3'!D226</f>
        <v>-49983.7</v>
      </c>
    </row>
  </sheetData>
  <mergeCells count="134">
    <mergeCell ref="B314:C314"/>
    <mergeCell ref="D314:D315"/>
    <mergeCell ref="B322:C322"/>
    <mergeCell ref="A296:D296"/>
    <mergeCell ref="B298:D298"/>
    <mergeCell ref="B304:C304"/>
    <mergeCell ref="B312:C312"/>
    <mergeCell ref="D304:D305"/>
    <mergeCell ref="B288:C288"/>
    <mergeCell ref="B277:C277"/>
    <mergeCell ref="B280:C280"/>
    <mergeCell ref="D280:D281"/>
    <mergeCell ref="D283:D287"/>
    <mergeCell ref="B287:C287"/>
    <mergeCell ref="B272:C272"/>
    <mergeCell ref="B273:C273"/>
    <mergeCell ref="B275:C275"/>
    <mergeCell ref="B276:C276"/>
    <mergeCell ref="B274:C274"/>
    <mergeCell ref="B261:C261"/>
    <mergeCell ref="B249:C249"/>
    <mergeCell ref="B264:C264"/>
    <mergeCell ref="D264:D265"/>
    <mergeCell ref="D267:D271"/>
    <mergeCell ref="B271:C271"/>
    <mergeCell ref="D253:D254"/>
    <mergeCell ref="D256:D260"/>
    <mergeCell ref="B260:C260"/>
    <mergeCell ref="D180:D181"/>
    <mergeCell ref="D183:D187"/>
    <mergeCell ref="B187:C187"/>
    <mergeCell ref="B188:C188"/>
    <mergeCell ref="B162:C162"/>
    <mergeCell ref="B163:C163"/>
    <mergeCell ref="B164:C164"/>
    <mergeCell ref="B180:C180"/>
    <mergeCell ref="B170:C170"/>
    <mergeCell ref="D170:D171"/>
    <mergeCell ref="B177:C177"/>
    <mergeCell ref="D173:D177"/>
    <mergeCell ref="B154:C154"/>
    <mergeCell ref="D154:D155"/>
    <mergeCell ref="D157:D161"/>
    <mergeCell ref="B161:C161"/>
    <mergeCell ref="B137:C137"/>
    <mergeCell ref="B143:C143"/>
    <mergeCell ref="D143:D144"/>
    <mergeCell ref="D146:D150"/>
    <mergeCell ref="B150:C150"/>
    <mergeCell ref="B60:C60"/>
    <mergeCell ref="B95:C95"/>
    <mergeCell ref="B228:C228"/>
    <mergeCell ref="D228:D229"/>
    <mergeCell ref="C191:D191"/>
    <mergeCell ref="B71:C71"/>
    <mergeCell ref="B87:C87"/>
    <mergeCell ref="D87:D88"/>
    <mergeCell ref="D90:D94"/>
    <mergeCell ref="B94:C94"/>
    <mergeCell ref="D66:D70"/>
    <mergeCell ref="B70:C70"/>
    <mergeCell ref="B114:C114"/>
    <mergeCell ref="D114:D115"/>
    <mergeCell ref="D117:D121"/>
    <mergeCell ref="B121:C121"/>
    <mergeCell ref="D101:D102"/>
    <mergeCell ref="B129:C129"/>
    <mergeCell ref="D129:D130"/>
    <mergeCell ref="D132:D136"/>
    <mergeCell ref="B136:C136"/>
    <mergeCell ref="B122:C122"/>
    <mergeCell ref="B123:C123"/>
    <mergeCell ref="B151:C151"/>
    <mergeCell ref="D231:D235"/>
    <mergeCell ref="B235:C235"/>
    <mergeCell ref="B214:C214"/>
    <mergeCell ref="D194:D195"/>
    <mergeCell ref="D217:D218"/>
    <mergeCell ref="B201:C201"/>
    <mergeCell ref="B217:C217"/>
    <mergeCell ref="B213:C213"/>
    <mergeCell ref="B194:C194"/>
    <mergeCell ref="D197:D201"/>
    <mergeCell ref="B202:C202"/>
    <mergeCell ref="B225:C225"/>
    <mergeCell ref="D220:D224"/>
    <mergeCell ref="B224:C224"/>
    <mergeCell ref="B205:C205"/>
    <mergeCell ref="D205:D206"/>
    <mergeCell ref="D208:D212"/>
    <mergeCell ref="B212:C212"/>
    <mergeCell ref="D243:D247"/>
    <mergeCell ref="B247:C247"/>
    <mergeCell ref="B236:C236"/>
    <mergeCell ref="B240:C240"/>
    <mergeCell ref="D240:D241"/>
    <mergeCell ref="B253:C253"/>
    <mergeCell ref="B237:C237"/>
    <mergeCell ref="B248:C248"/>
    <mergeCell ref="B250:C250"/>
    <mergeCell ref="C2:D2"/>
    <mergeCell ref="C1:D1"/>
    <mergeCell ref="B10:D10"/>
    <mergeCell ref="A8:D8"/>
    <mergeCell ref="B6:D6"/>
    <mergeCell ref="C3:D3"/>
    <mergeCell ref="B16:C16"/>
    <mergeCell ref="D19:D23"/>
    <mergeCell ref="B23:C23"/>
    <mergeCell ref="D16:D17"/>
    <mergeCell ref="B24:C24"/>
    <mergeCell ref="B101:C101"/>
    <mergeCell ref="B108:C108"/>
    <mergeCell ref="B27:C27"/>
    <mergeCell ref="D27:D28"/>
    <mergeCell ref="D30:D34"/>
    <mergeCell ref="B34:C34"/>
    <mergeCell ref="B52:C52"/>
    <mergeCell ref="D52:D53"/>
    <mergeCell ref="D55:D59"/>
    <mergeCell ref="B59:C59"/>
    <mergeCell ref="D104:D108"/>
    <mergeCell ref="B49:C49"/>
    <mergeCell ref="B77:C77"/>
    <mergeCell ref="D77:D78"/>
    <mergeCell ref="D80:D84"/>
    <mergeCell ref="B84:C84"/>
    <mergeCell ref="B63:C63"/>
    <mergeCell ref="D63:D64"/>
    <mergeCell ref="B35:C35"/>
    <mergeCell ref="B41:C41"/>
    <mergeCell ref="D41:D42"/>
    <mergeCell ref="D44:D48"/>
    <mergeCell ref="B48:C4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8"/>
  <sheetViews>
    <sheetView topLeftCell="A444" zoomScale="85" zoomScaleNormal="85" zoomScaleSheetLayoutView="100" workbookViewId="0">
      <selection activeCell="C462" sqref="C462"/>
    </sheetView>
  </sheetViews>
  <sheetFormatPr defaultColWidth="9.109375" defaultRowHeight="17.399999999999999" x14ac:dyDescent="0.4"/>
  <cols>
    <col min="1" max="1" width="5.21875" style="6" customWidth="1"/>
    <col min="2" max="2" width="24.5546875" style="6" customWidth="1"/>
    <col min="3" max="3" width="67.88671875" style="6" customWidth="1"/>
    <col min="4" max="4" width="31.6640625" style="6" customWidth="1"/>
    <col min="5" max="5" width="32" style="6" customWidth="1"/>
    <col min="6" max="6" width="49.88671875" style="6" customWidth="1"/>
    <col min="7" max="16384" width="9.109375" style="6"/>
  </cols>
  <sheetData>
    <row r="1" spans="1:4" ht="37.5" customHeight="1" x14ac:dyDescent="0.4">
      <c r="C1" s="788" t="s">
        <v>1236</v>
      </c>
      <c r="D1" s="788"/>
    </row>
    <row r="2" spans="1:4" ht="17.55" customHeight="1" x14ac:dyDescent="0.4">
      <c r="C2" s="757" t="s">
        <v>125</v>
      </c>
      <c r="D2" s="757"/>
    </row>
    <row r="3" spans="1:4" ht="17.55" customHeight="1" x14ac:dyDescent="0.4">
      <c r="C3" s="757" t="s">
        <v>7</v>
      </c>
      <c r="D3" s="757"/>
    </row>
    <row r="6" spans="1:4" ht="59.7" customHeight="1" x14ac:dyDescent="0.4">
      <c r="A6" s="45"/>
      <c r="B6" s="758" t="s">
        <v>1246</v>
      </c>
      <c r="C6" s="758"/>
      <c r="D6" s="758"/>
    </row>
    <row r="7" spans="1:4" ht="23.7" customHeight="1" x14ac:dyDescent="0.4"/>
    <row r="8" spans="1:4" ht="21.9" customHeight="1" x14ac:dyDescent="0.4">
      <c r="A8" s="792" t="s">
        <v>1228</v>
      </c>
      <c r="B8" s="792"/>
      <c r="C8" s="792"/>
      <c r="D8" s="792"/>
    </row>
    <row r="9" spans="1:4" ht="39" customHeight="1" x14ac:dyDescent="0.4">
      <c r="C9" s="467" t="s">
        <v>102</v>
      </c>
      <c r="D9" s="16"/>
    </row>
    <row r="10" spans="1:4" ht="18" x14ac:dyDescent="0.4">
      <c r="B10" s="789" t="s">
        <v>107</v>
      </c>
      <c r="C10" s="790"/>
      <c r="D10" s="791"/>
    </row>
    <row r="11" spans="1:4" s="32" customFormat="1" x14ac:dyDescent="0.4">
      <c r="B11" s="46"/>
      <c r="C11" s="46"/>
      <c r="D11" s="47"/>
    </row>
    <row r="12" spans="1:4" s="32" customFormat="1" x14ac:dyDescent="0.4">
      <c r="B12" s="46"/>
      <c r="C12" s="46"/>
    </row>
    <row r="13" spans="1:4" s="8" customFormat="1" ht="18" x14ac:dyDescent="0.4">
      <c r="B13" s="166" t="s">
        <v>1</v>
      </c>
      <c r="C13" s="166" t="s">
        <v>2</v>
      </c>
      <c r="D13" s="167"/>
    </row>
    <row r="14" spans="1:4" s="8" customFormat="1" ht="34.799999999999997" x14ac:dyDescent="0.4">
      <c r="B14" s="168">
        <v>1045</v>
      </c>
      <c r="C14" s="203" t="s">
        <v>180</v>
      </c>
      <c r="D14" s="166"/>
    </row>
    <row r="15" spans="1:4" s="8" customFormat="1" x14ac:dyDescent="0.4"/>
    <row r="16" spans="1:4" s="8" customFormat="1" ht="18" customHeight="1" x14ac:dyDescent="0.4">
      <c r="B16" s="783" t="s">
        <v>3</v>
      </c>
      <c r="C16" s="784"/>
      <c r="D16" s="785" t="s">
        <v>1189</v>
      </c>
    </row>
    <row r="17" spans="2:5" s="8" customFormat="1" ht="86.55" customHeight="1" x14ac:dyDescent="0.4">
      <c r="B17" s="147" t="s">
        <v>4</v>
      </c>
      <c r="C17" s="159">
        <v>1045</v>
      </c>
      <c r="D17" s="785"/>
    </row>
    <row r="18" spans="2:5" s="8" customFormat="1" x14ac:dyDescent="0.4">
      <c r="B18" s="147" t="s">
        <v>5</v>
      </c>
      <c r="C18" s="159">
        <v>32001</v>
      </c>
      <c r="D18" s="172" t="s">
        <v>12</v>
      </c>
    </row>
    <row r="19" spans="2:5" s="8" customFormat="1" ht="52.2" x14ac:dyDescent="0.4">
      <c r="B19" s="201" t="s">
        <v>133</v>
      </c>
      <c r="C19" s="282" t="s">
        <v>224</v>
      </c>
      <c r="D19" s="673"/>
    </row>
    <row r="20" spans="2:5" s="8" customFormat="1" ht="69.599999999999994" x14ac:dyDescent="0.4">
      <c r="B20" s="201" t="s">
        <v>134</v>
      </c>
      <c r="C20" s="282" t="s">
        <v>225</v>
      </c>
      <c r="D20" s="674"/>
    </row>
    <row r="21" spans="2:5" s="8" customFormat="1" ht="34.799999999999997" x14ac:dyDescent="0.4">
      <c r="B21" s="201" t="s">
        <v>135</v>
      </c>
      <c r="C21" s="282" t="s">
        <v>98</v>
      </c>
      <c r="D21" s="674"/>
    </row>
    <row r="22" spans="2:5" s="8" customFormat="1" ht="69.599999999999994" x14ac:dyDescent="0.4">
      <c r="B22" s="193" t="s">
        <v>119</v>
      </c>
      <c r="C22" s="282" t="s">
        <v>226</v>
      </c>
      <c r="D22" s="674"/>
    </row>
    <row r="23" spans="2:5" s="8" customFormat="1" x14ac:dyDescent="0.4">
      <c r="B23" s="786" t="s">
        <v>0</v>
      </c>
      <c r="C23" s="787"/>
      <c r="D23" s="664"/>
    </row>
    <row r="24" spans="2:5" s="8" customFormat="1" ht="17.7" customHeight="1" x14ac:dyDescent="0.4">
      <c r="B24" s="798" t="s">
        <v>1179</v>
      </c>
      <c r="C24" s="799"/>
      <c r="D24" s="169">
        <v>1</v>
      </c>
    </row>
    <row r="25" spans="2:5" s="31" customFormat="1" x14ac:dyDescent="0.3">
      <c r="B25" s="170" t="s">
        <v>6</v>
      </c>
      <c r="C25" s="170"/>
      <c r="D25" s="171">
        <f>+'Հավելված N 4'!G116</f>
        <v>-321821.60000000003</v>
      </c>
      <c r="E25" s="53"/>
    </row>
    <row r="26" spans="2:5" s="8" customFormat="1" x14ac:dyDescent="0.4"/>
    <row r="27" spans="2:5" s="8" customFormat="1" ht="18" x14ac:dyDescent="0.4">
      <c r="B27" s="166" t="s">
        <v>1</v>
      </c>
      <c r="C27" s="166" t="s">
        <v>2</v>
      </c>
      <c r="D27" s="167"/>
    </row>
    <row r="28" spans="2:5" s="8" customFormat="1" ht="18" x14ac:dyDescent="0.4">
      <c r="B28" s="168">
        <v>1075</v>
      </c>
      <c r="C28" s="201" t="s">
        <v>231</v>
      </c>
      <c r="D28" s="166"/>
    </row>
    <row r="29" spans="2:5" s="8" customFormat="1" x14ac:dyDescent="0.4"/>
    <row r="30" spans="2:5" s="8" customFormat="1" ht="18" customHeight="1" x14ac:dyDescent="0.4">
      <c r="B30" s="783" t="s">
        <v>3</v>
      </c>
      <c r="C30" s="784"/>
      <c r="D30" s="785" t="s">
        <v>106</v>
      </c>
    </row>
    <row r="31" spans="2:5" s="8" customFormat="1" ht="59.7" customHeight="1" x14ac:dyDescent="0.4">
      <c r="B31" s="147" t="s">
        <v>4</v>
      </c>
      <c r="C31" s="159">
        <v>1075</v>
      </c>
      <c r="D31" s="785"/>
    </row>
    <row r="32" spans="2:5" s="8" customFormat="1" ht="34.799999999999997" x14ac:dyDescent="0.4">
      <c r="B32" s="147" t="s">
        <v>1181</v>
      </c>
      <c r="C32" s="159" t="s">
        <v>1182</v>
      </c>
      <c r="D32" s="172" t="s">
        <v>12</v>
      </c>
    </row>
    <row r="33" spans="2:5" s="8" customFormat="1" ht="34.799999999999997" x14ac:dyDescent="0.4">
      <c r="B33" s="201" t="s">
        <v>33</v>
      </c>
      <c r="C33" s="282" t="s">
        <v>1183</v>
      </c>
      <c r="D33" s="673"/>
    </row>
    <row r="34" spans="2:5" s="8" customFormat="1" ht="87" x14ac:dyDescent="0.4">
      <c r="B34" s="201" t="s">
        <v>34</v>
      </c>
      <c r="C34" s="282" t="s">
        <v>1184</v>
      </c>
      <c r="D34" s="674"/>
    </row>
    <row r="35" spans="2:5" s="8" customFormat="1" ht="34.799999999999997" x14ac:dyDescent="0.4">
      <c r="B35" s="201" t="s">
        <v>35</v>
      </c>
      <c r="C35" s="282" t="s">
        <v>1185</v>
      </c>
      <c r="D35" s="674"/>
    </row>
    <row r="36" spans="2:5" s="8" customFormat="1" ht="52.2" x14ac:dyDescent="0.4">
      <c r="B36" s="193" t="s">
        <v>1186</v>
      </c>
      <c r="C36" s="282" t="s">
        <v>1187</v>
      </c>
      <c r="D36" s="674"/>
    </row>
    <row r="37" spans="2:5" s="8" customFormat="1" x14ac:dyDescent="0.4">
      <c r="B37" s="786" t="s">
        <v>0</v>
      </c>
      <c r="C37" s="787"/>
      <c r="D37" s="664"/>
    </row>
    <row r="38" spans="2:5" s="8" customFormat="1" ht="36" customHeight="1" x14ac:dyDescent="0.4">
      <c r="B38" s="777" t="s">
        <v>1188</v>
      </c>
      <c r="C38" s="778"/>
      <c r="D38" s="169">
        <v>-1</v>
      </c>
    </row>
    <row r="39" spans="2:5" s="31" customFormat="1" x14ac:dyDescent="0.3">
      <c r="B39" s="170" t="s">
        <v>6</v>
      </c>
      <c r="C39" s="170"/>
      <c r="D39" s="171">
        <f>+'Հավելված N 4'!G97</f>
        <v>-280378</v>
      </c>
      <c r="E39" s="53"/>
    </row>
    <row r="40" spans="2:5" s="8" customFormat="1" ht="8.1" customHeight="1" x14ac:dyDescent="0.4"/>
    <row r="41" spans="2:5" s="8" customFormat="1" ht="18" customHeight="1" x14ac:dyDescent="0.4">
      <c r="B41" s="783" t="s">
        <v>3</v>
      </c>
      <c r="C41" s="784"/>
      <c r="D41" s="785" t="s">
        <v>1189</v>
      </c>
    </row>
    <row r="42" spans="2:5" s="8" customFormat="1" ht="92.4" customHeight="1" x14ac:dyDescent="0.4">
      <c r="B42" s="147" t="s">
        <v>4</v>
      </c>
      <c r="C42" s="159">
        <v>1075</v>
      </c>
      <c r="D42" s="785"/>
    </row>
    <row r="43" spans="2:5" s="8" customFormat="1" x14ac:dyDescent="0.4">
      <c r="B43" s="147" t="s">
        <v>5</v>
      </c>
      <c r="C43" s="159">
        <v>32001</v>
      </c>
      <c r="D43" s="172" t="s">
        <v>12</v>
      </c>
    </row>
    <row r="44" spans="2:5" s="8" customFormat="1" ht="34.799999999999997" x14ac:dyDescent="0.4">
      <c r="B44" s="201" t="s">
        <v>33</v>
      </c>
      <c r="C44" s="282" t="s">
        <v>232</v>
      </c>
      <c r="D44" s="673"/>
    </row>
    <row r="45" spans="2:5" s="8" customFormat="1" ht="69.599999999999994" x14ac:dyDescent="0.4">
      <c r="B45" s="201" t="s">
        <v>34</v>
      </c>
      <c r="C45" s="282" t="s">
        <v>233</v>
      </c>
      <c r="D45" s="674"/>
    </row>
    <row r="46" spans="2:5" s="8" customFormat="1" ht="34.799999999999997" x14ac:dyDescent="0.4">
      <c r="B46" s="201" t="s">
        <v>35</v>
      </c>
      <c r="C46" s="282" t="s">
        <v>98</v>
      </c>
      <c r="D46" s="674"/>
    </row>
    <row r="47" spans="2:5" s="8" customFormat="1" ht="69.599999999999994" x14ac:dyDescent="0.4">
      <c r="B47" s="193" t="s">
        <v>119</v>
      </c>
      <c r="C47" s="282" t="s">
        <v>234</v>
      </c>
      <c r="D47" s="674"/>
    </row>
    <row r="48" spans="2:5" s="8" customFormat="1" x14ac:dyDescent="0.4">
      <c r="B48" s="786" t="s">
        <v>0</v>
      </c>
      <c r="C48" s="787"/>
      <c r="D48" s="664"/>
    </row>
    <row r="49" spans="2:5" s="8" customFormat="1" x14ac:dyDescent="0.4">
      <c r="B49" s="777" t="s">
        <v>235</v>
      </c>
      <c r="C49" s="778"/>
      <c r="D49" s="169">
        <v>1</v>
      </c>
    </row>
    <row r="50" spans="2:5" s="31" customFormat="1" x14ac:dyDescent="0.3">
      <c r="B50" s="170" t="s">
        <v>6</v>
      </c>
      <c r="C50" s="170"/>
      <c r="D50" s="171">
        <f>+'Հավելված N 4'!G45</f>
        <v>-130536.40000000002</v>
      </c>
      <c r="E50" s="53"/>
    </row>
    <row r="51" spans="2:5" s="8" customFormat="1" ht="8.1" customHeight="1" x14ac:dyDescent="0.4"/>
    <row r="52" spans="2:5" s="8" customFormat="1" ht="18" customHeight="1" x14ac:dyDescent="0.4">
      <c r="B52" s="783" t="s">
        <v>3</v>
      </c>
      <c r="C52" s="784"/>
      <c r="D52" s="785" t="s">
        <v>88</v>
      </c>
    </row>
    <row r="53" spans="2:5" s="8" customFormat="1" ht="52.2" customHeight="1" x14ac:dyDescent="0.4">
      <c r="B53" s="147" t="s">
        <v>4</v>
      </c>
      <c r="C53" s="159">
        <v>1075</v>
      </c>
      <c r="D53" s="785"/>
    </row>
    <row r="54" spans="2:5" s="8" customFormat="1" x14ac:dyDescent="0.4">
      <c r="B54" s="530" t="s">
        <v>5</v>
      </c>
      <c r="C54" s="539">
        <v>32008</v>
      </c>
      <c r="D54" s="172" t="s">
        <v>12</v>
      </c>
    </row>
    <row r="55" spans="2:5" s="8" customFormat="1" ht="34.799999999999997" x14ac:dyDescent="0.4">
      <c r="B55" s="587" t="s">
        <v>133</v>
      </c>
      <c r="C55" s="588" t="s">
        <v>1098</v>
      </c>
      <c r="D55" s="673"/>
    </row>
    <row r="56" spans="2:5" s="8" customFormat="1" ht="34.799999999999997" x14ac:dyDescent="0.4">
      <c r="B56" s="530" t="s">
        <v>134</v>
      </c>
      <c r="C56" s="588" t="s">
        <v>1137</v>
      </c>
      <c r="D56" s="674"/>
    </row>
    <row r="57" spans="2:5" s="8" customFormat="1" ht="34.799999999999997" x14ac:dyDescent="0.4">
      <c r="B57" s="506" t="s">
        <v>135</v>
      </c>
      <c r="C57" s="588" t="s">
        <v>1190</v>
      </c>
      <c r="D57" s="674"/>
    </row>
    <row r="58" spans="2:5" s="8" customFormat="1" ht="69.599999999999994" x14ac:dyDescent="0.4">
      <c r="B58" s="518" t="s">
        <v>119</v>
      </c>
      <c r="C58" s="588" t="s">
        <v>1191</v>
      </c>
      <c r="D58" s="674"/>
    </row>
    <row r="59" spans="2:5" s="8" customFormat="1" x14ac:dyDescent="0.4">
      <c r="B59" s="786" t="s">
        <v>0</v>
      </c>
      <c r="C59" s="787"/>
      <c r="D59" s="664"/>
    </row>
    <row r="60" spans="2:5" s="8" customFormat="1" ht="17.7" customHeight="1" x14ac:dyDescent="0.4">
      <c r="B60" s="798" t="s">
        <v>1192</v>
      </c>
      <c r="C60" s="799"/>
      <c r="D60" s="169">
        <v>2</v>
      </c>
    </row>
    <row r="61" spans="2:5" s="31" customFormat="1" x14ac:dyDescent="0.3">
      <c r="B61" s="170" t="s">
        <v>6</v>
      </c>
      <c r="C61" s="170"/>
      <c r="D61" s="171">
        <f>+'Հավելված N 4'!G58</f>
        <v>2968</v>
      </c>
      <c r="E61" s="53"/>
    </row>
    <row r="62" spans="2:5" s="8" customFormat="1" x14ac:dyDescent="0.4"/>
    <row r="63" spans="2:5" s="8" customFormat="1" ht="18" x14ac:dyDescent="0.4">
      <c r="B63" s="166" t="s">
        <v>1</v>
      </c>
      <c r="C63" s="166" t="s">
        <v>2</v>
      </c>
      <c r="D63" s="167"/>
    </row>
    <row r="64" spans="2:5" s="8" customFormat="1" ht="34.799999999999997" x14ac:dyDescent="0.4">
      <c r="B64" s="168">
        <v>1111</v>
      </c>
      <c r="C64" s="201" t="s">
        <v>379</v>
      </c>
      <c r="D64" s="166"/>
    </row>
    <row r="65" spans="2:5" s="8" customFormat="1" x14ac:dyDescent="0.4"/>
    <row r="66" spans="2:5" s="8" customFormat="1" ht="18" customHeight="1" x14ac:dyDescent="0.4">
      <c r="B66" s="783" t="s">
        <v>3</v>
      </c>
      <c r="C66" s="784"/>
      <c r="D66" s="785" t="s">
        <v>88</v>
      </c>
    </row>
    <row r="67" spans="2:5" s="8" customFormat="1" ht="54.3" customHeight="1" x14ac:dyDescent="0.4">
      <c r="B67" s="147" t="s">
        <v>4</v>
      </c>
      <c r="C67" s="159">
        <v>1111</v>
      </c>
      <c r="D67" s="785"/>
    </row>
    <row r="68" spans="2:5" s="8" customFormat="1" x14ac:dyDescent="0.4">
      <c r="B68" s="147" t="s">
        <v>5</v>
      </c>
      <c r="C68" s="159">
        <v>32003</v>
      </c>
      <c r="D68" s="172" t="s">
        <v>12</v>
      </c>
    </row>
    <row r="69" spans="2:5" s="8" customFormat="1" ht="52.2" x14ac:dyDescent="0.4">
      <c r="B69" s="201" t="s">
        <v>33</v>
      </c>
      <c r="C69" s="282" t="s">
        <v>1140</v>
      </c>
      <c r="D69" s="673"/>
    </row>
    <row r="70" spans="2:5" s="8" customFormat="1" ht="69.599999999999994" x14ac:dyDescent="0.4">
      <c r="B70" s="201" t="s">
        <v>34</v>
      </c>
      <c r="C70" s="282" t="s">
        <v>1141</v>
      </c>
      <c r="D70" s="674"/>
    </row>
    <row r="71" spans="2:5" s="8" customFormat="1" ht="34.799999999999997" x14ac:dyDescent="0.4">
      <c r="B71" s="201" t="s">
        <v>35</v>
      </c>
      <c r="C71" s="282" t="s">
        <v>98</v>
      </c>
      <c r="D71" s="674"/>
    </row>
    <row r="72" spans="2:5" s="8" customFormat="1" ht="69.599999999999994" x14ac:dyDescent="0.4">
      <c r="B72" s="193" t="s">
        <v>1193</v>
      </c>
      <c r="C72" s="282" t="s">
        <v>1194</v>
      </c>
      <c r="D72" s="674"/>
    </row>
    <row r="73" spans="2:5" s="8" customFormat="1" x14ac:dyDescent="0.4">
      <c r="B73" s="786" t="s">
        <v>0</v>
      </c>
      <c r="C73" s="787"/>
      <c r="D73" s="664"/>
    </row>
    <row r="74" spans="2:5" s="8" customFormat="1" ht="17.7" customHeight="1" x14ac:dyDescent="0.4">
      <c r="B74" s="798" t="s">
        <v>1195</v>
      </c>
      <c r="C74" s="799"/>
      <c r="D74" s="169">
        <v>1</v>
      </c>
    </row>
    <row r="75" spans="2:5" s="31" customFormat="1" x14ac:dyDescent="0.3">
      <c r="B75" s="170" t="s">
        <v>6</v>
      </c>
      <c r="C75" s="170"/>
      <c r="D75" s="171">
        <f>+'Հավելված N 4'!G160</f>
        <v>49983.7</v>
      </c>
      <c r="E75" s="53"/>
    </row>
    <row r="76" spans="2:5" s="8" customFormat="1" x14ac:dyDescent="0.4"/>
    <row r="77" spans="2:5" s="8" customFormat="1" ht="18" x14ac:dyDescent="0.4">
      <c r="B77" s="18" t="s">
        <v>1</v>
      </c>
      <c r="C77" s="18" t="s">
        <v>2</v>
      </c>
      <c r="D77" s="50"/>
    </row>
    <row r="78" spans="2:5" s="8" customFormat="1" ht="18" x14ac:dyDescent="0.4">
      <c r="B78" s="51">
        <v>1148</v>
      </c>
      <c r="C78" s="95" t="s">
        <v>1145</v>
      </c>
      <c r="D78" s="18"/>
    </row>
    <row r="79" spans="2:5" s="8" customFormat="1" x14ac:dyDescent="0.4"/>
    <row r="80" spans="2:5" s="8" customFormat="1" ht="18" customHeight="1" x14ac:dyDescent="0.4">
      <c r="B80" s="779" t="s">
        <v>3</v>
      </c>
      <c r="C80" s="780"/>
      <c r="D80" s="785" t="s">
        <v>106</v>
      </c>
    </row>
    <row r="81" spans="2:5" s="8" customFormat="1" ht="58.05" customHeight="1" x14ac:dyDescent="0.4">
      <c r="B81" s="17" t="s">
        <v>4</v>
      </c>
      <c r="C81" s="90">
        <v>1148</v>
      </c>
      <c r="D81" s="785"/>
    </row>
    <row r="82" spans="2:5" s="8" customFormat="1" x14ac:dyDescent="0.4">
      <c r="B82" s="81" t="s">
        <v>5</v>
      </c>
      <c r="C82" s="90">
        <v>32003</v>
      </c>
      <c r="D82" s="468" t="s">
        <v>9</v>
      </c>
    </row>
    <row r="83" spans="2:5" s="8" customFormat="1" ht="52.2" x14ac:dyDescent="0.4">
      <c r="B83" s="96" t="s">
        <v>33</v>
      </c>
      <c r="C83" s="315" t="s">
        <v>1196</v>
      </c>
      <c r="D83" s="673"/>
    </row>
    <row r="84" spans="2:5" s="8" customFormat="1" ht="69.599999999999994" x14ac:dyDescent="0.4">
      <c r="B84" s="96" t="s">
        <v>34</v>
      </c>
      <c r="C84" s="315" t="s">
        <v>1197</v>
      </c>
      <c r="D84" s="674"/>
    </row>
    <row r="85" spans="2:5" s="8" customFormat="1" ht="34.799999999999997" x14ac:dyDescent="0.4">
      <c r="B85" s="96" t="s">
        <v>35</v>
      </c>
      <c r="C85" s="97" t="s">
        <v>98</v>
      </c>
      <c r="D85" s="674"/>
    </row>
    <row r="86" spans="2:5" s="8" customFormat="1" ht="69.599999999999994" x14ac:dyDescent="0.4">
      <c r="B86" s="96" t="s">
        <v>119</v>
      </c>
      <c r="C86" s="97" t="s">
        <v>1198</v>
      </c>
      <c r="D86" s="674"/>
    </row>
    <row r="87" spans="2:5" s="8" customFormat="1" ht="18" customHeight="1" x14ac:dyDescent="0.4">
      <c r="B87" s="781" t="s">
        <v>0</v>
      </c>
      <c r="C87" s="782"/>
      <c r="D87" s="664"/>
    </row>
    <row r="88" spans="2:5" s="8" customFormat="1" ht="18" customHeight="1" x14ac:dyDescent="0.4">
      <c r="B88" s="798" t="s">
        <v>109</v>
      </c>
      <c r="C88" s="799"/>
      <c r="D88" s="297">
        <v>-1</v>
      </c>
    </row>
    <row r="89" spans="2:5" s="8" customFormat="1" ht="35.549999999999997" customHeight="1" x14ac:dyDescent="0.4">
      <c r="B89" s="798" t="s">
        <v>1199</v>
      </c>
      <c r="C89" s="799"/>
      <c r="D89" s="297">
        <v>-1</v>
      </c>
    </row>
    <row r="90" spans="2:5" s="31" customFormat="1" x14ac:dyDescent="0.3">
      <c r="B90" s="19" t="s">
        <v>6</v>
      </c>
      <c r="C90" s="19"/>
      <c r="D90" s="52">
        <f>+'Հավելված N 4'!G184</f>
        <v>-113596.4</v>
      </c>
      <c r="E90" s="53"/>
    </row>
    <row r="92" spans="2:5" s="8" customFormat="1" ht="18" x14ac:dyDescent="0.4">
      <c r="B92" s="18" t="s">
        <v>1</v>
      </c>
      <c r="C92" s="18" t="s">
        <v>2</v>
      </c>
      <c r="D92" s="50"/>
    </row>
    <row r="93" spans="2:5" s="8" customFormat="1" ht="18" x14ac:dyDescent="0.4">
      <c r="B93" s="51">
        <v>1163</v>
      </c>
      <c r="C93" s="81" t="s">
        <v>1115</v>
      </c>
      <c r="D93" s="18"/>
    </row>
    <row r="94" spans="2:5" s="8" customFormat="1" x14ac:dyDescent="0.4"/>
    <row r="95" spans="2:5" s="89" customFormat="1" ht="18" customHeight="1" x14ac:dyDescent="0.4">
      <c r="B95" s="779" t="s">
        <v>3</v>
      </c>
      <c r="C95" s="780"/>
      <c r="D95" s="785" t="s">
        <v>106</v>
      </c>
    </row>
    <row r="96" spans="2:5" s="89" customFormat="1" ht="58.05" customHeight="1" x14ac:dyDescent="0.4">
      <c r="B96" s="17" t="s">
        <v>4</v>
      </c>
      <c r="C96" s="591">
        <v>1163</v>
      </c>
      <c r="D96" s="785"/>
    </row>
    <row r="97" spans="2:5" s="89" customFormat="1" x14ac:dyDescent="0.4">
      <c r="B97" s="81" t="s">
        <v>5</v>
      </c>
      <c r="C97" s="591">
        <v>32002</v>
      </c>
      <c r="D97" s="468" t="s">
        <v>9</v>
      </c>
    </row>
    <row r="98" spans="2:5" s="89" customFormat="1" ht="34.799999999999997" x14ac:dyDescent="0.4">
      <c r="B98" s="127" t="s">
        <v>33</v>
      </c>
      <c r="C98" s="591" t="s">
        <v>1210</v>
      </c>
      <c r="D98" s="673"/>
    </row>
    <row r="99" spans="2:5" s="89" customFormat="1" ht="69.599999999999994" x14ac:dyDescent="0.4">
      <c r="B99" s="127" t="s">
        <v>34</v>
      </c>
      <c r="C99" s="591" t="s">
        <v>1211</v>
      </c>
      <c r="D99" s="674"/>
    </row>
    <row r="100" spans="2:5" s="89" customFormat="1" ht="34.799999999999997" x14ac:dyDescent="0.4">
      <c r="B100" s="127" t="s">
        <v>35</v>
      </c>
      <c r="C100" s="592" t="s">
        <v>98</v>
      </c>
      <c r="D100" s="674"/>
    </row>
    <row r="101" spans="2:5" s="89" customFormat="1" ht="69.599999999999994" x14ac:dyDescent="0.4">
      <c r="B101" s="127" t="s">
        <v>119</v>
      </c>
      <c r="C101" s="592" t="s">
        <v>1208</v>
      </c>
      <c r="D101" s="674"/>
    </row>
    <row r="102" spans="2:5" s="89" customFormat="1" ht="18" customHeight="1" x14ac:dyDescent="0.4">
      <c r="B102" s="781" t="s">
        <v>0</v>
      </c>
      <c r="C102" s="782"/>
      <c r="D102" s="664"/>
    </row>
    <row r="103" spans="2:5" s="89" customFormat="1" ht="18" customHeight="1" x14ac:dyDescent="0.4">
      <c r="B103" s="798" t="s">
        <v>1212</v>
      </c>
      <c r="C103" s="799"/>
      <c r="D103" s="297">
        <v>-1</v>
      </c>
    </row>
    <row r="104" spans="2:5" s="89" customFormat="1" ht="18" customHeight="1" x14ac:dyDescent="0.4">
      <c r="B104" s="798" t="s">
        <v>227</v>
      </c>
      <c r="C104" s="799"/>
      <c r="D104" s="297">
        <v>-1</v>
      </c>
    </row>
    <row r="105" spans="2:5" s="589" customFormat="1" x14ac:dyDescent="0.3">
      <c r="B105" s="19" t="s">
        <v>6</v>
      </c>
      <c r="C105" s="19"/>
      <c r="D105" s="52">
        <f>+'Հավելված N 4'!G206</f>
        <v>-119869.1</v>
      </c>
      <c r="E105" s="590"/>
    </row>
    <row r="106" spans="2:5" s="89" customFormat="1" x14ac:dyDescent="0.4"/>
    <row r="107" spans="2:5" s="8" customFormat="1" ht="18" x14ac:dyDescent="0.4">
      <c r="B107" s="166" t="s">
        <v>1</v>
      </c>
      <c r="C107" s="166" t="s">
        <v>2</v>
      </c>
      <c r="D107" s="167"/>
    </row>
    <row r="108" spans="2:5" s="8" customFormat="1" ht="18" x14ac:dyDescent="0.4">
      <c r="B108" s="168">
        <v>1168</v>
      </c>
      <c r="C108" s="203" t="s">
        <v>241</v>
      </c>
      <c r="D108" s="166"/>
    </row>
    <row r="109" spans="2:5" s="8" customFormat="1" x14ac:dyDescent="0.4"/>
    <row r="110" spans="2:5" s="8" customFormat="1" ht="17.7" customHeight="1" x14ac:dyDescent="0.4">
      <c r="B110" s="783" t="s">
        <v>3</v>
      </c>
      <c r="C110" s="784"/>
      <c r="D110" s="785" t="s">
        <v>88</v>
      </c>
    </row>
    <row r="111" spans="2:5" s="8" customFormat="1" ht="59.1" customHeight="1" x14ac:dyDescent="0.4">
      <c r="B111" s="147" t="s">
        <v>4</v>
      </c>
      <c r="C111" s="159">
        <v>1168</v>
      </c>
      <c r="D111" s="785"/>
    </row>
    <row r="112" spans="2:5" s="8" customFormat="1" x14ac:dyDescent="0.4">
      <c r="B112" s="147" t="s">
        <v>5</v>
      </c>
      <c r="C112" s="159">
        <v>32007</v>
      </c>
      <c r="D112" s="172" t="s">
        <v>12</v>
      </c>
    </row>
    <row r="113" spans="2:5" s="8" customFormat="1" ht="34.799999999999997" x14ac:dyDescent="0.4">
      <c r="B113" s="201" t="s">
        <v>133</v>
      </c>
      <c r="C113" s="282" t="s">
        <v>1213</v>
      </c>
      <c r="D113" s="673"/>
    </row>
    <row r="114" spans="2:5" s="8" customFormat="1" ht="34.799999999999997" x14ac:dyDescent="0.4">
      <c r="B114" s="201" t="s">
        <v>134</v>
      </c>
      <c r="C114" s="282" t="s">
        <v>1214</v>
      </c>
      <c r="D114" s="674"/>
    </row>
    <row r="115" spans="2:5" s="8" customFormat="1" ht="34.799999999999997" x14ac:dyDescent="0.4">
      <c r="B115" s="201" t="s">
        <v>135</v>
      </c>
      <c r="C115" s="282" t="s">
        <v>98</v>
      </c>
      <c r="D115" s="674"/>
    </row>
    <row r="116" spans="2:5" s="8" customFormat="1" ht="69.599999999999994" x14ac:dyDescent="0.4">
      <c r="B116" s="193" t="s">
        <v>1193</v>
      </c>
      <c r="C116" s="282" t="s">
        <v>1215</v>
      </c>
      <c r="D116" s="674"/>
    </row>
    <row r="117" spans="2:5" s="8" customFormat="1" x14ac:dyDescent="0.4">
      <c r="B117" s="786" t="s">
        <v>0</v>
      </c>
      <c r="C117" s="787"/>
      <c r="D117" s="664"/>
    </row>
    <row r="118" spans="2:5" s="8" customFormat="1" ht="37.65" customHeight="1" x14ac:dyDescent="0.4">
      <c r="B118" s="798" t="s">
        <v>1216</v>
      </c>
      <c r="C118" s="799"/>
      <c r="D118" s="593">
        <v>2</v>
      </c>
    </row>
    <row r="119" spans="2:5" s="31" customFormat="1" x14ac:dyDescent="0.3">
      <c r="B119" s="170" t="s">
        <v>6</v>
      </c>
      <c r="C119" s="170"/>
      <c r="D119" s="171">
        <f>+'Հավելված N 4'!G82</f>
        <v>19805</v>
      </c>
      <c r="E119" s="53"/>
    </row>
    <row r="121" spans="2:5" s="8" customFormat="1" ht="18" x14ac:dyDescent="0.4">
      <c r="B121" s="531" t="s">
        <v>1</v>
      </c>
      <c r="C121" s="810" t="s">
        <v>2</v>
      </c>
      <c r="D121" s="811"/>
    </row>
    <row r="122" spans="2:5" s="8" customFormat="1" x14ac:dyDescent="0.4">
      <c r="B122" s="51">
        <v>1183</v>
      </c>
      <c r="C122" s="17" t="s">
        <v>99</v>
      </c>
      <c r="D122" s="17"/>
    </row>
    <row r="123" spans="2:5" s="8" customFormat="1" x14ac:dyDescent="0.4"/>
    <row r="124" spans="2:5" s="89" customFormat="1" x14ac:dyDescent="0.4">
      <c r="B124" s="796" t="s">
        <v>3</v>
      </c>
      <c r="C124" s="797"/>
      <c r="D124" s="785" t="s">
        <v>106</v>
      </c>
    </row>
    <row r="125" spans="2:5" s="8" customFormat="1" ht="57" customHeight="1" x14ac:dyDescent="0.4">
      <c r="B125" s="17" t="s">
        <v>32</v>
      </c>
      <c r="C125" s="90">
        <v>1183</v>
      </c>
      <c r="D125" s="785"/>
    </row>
    <row r="126" spans="2:5" s="89" customFormat="1" x14ac:dyDescent="0.4">
      <c r="B126" s="11" t="s">
        <v>120</v>
      </c>
      <c r="C126" s="39">
        <v>32004</v>
      </c>
      <c r="D126" s="468" t="s">
        <v>9</v>
      </c>
    </row>
    <row r="127" spans="2:5" s="89" customFormat="1" ht="34.799999999999997" x14ac:dyDescent="0.4">
      <c r="B127" s="11" t="s">
        <v>33</v>
      </c>
      <c r="C127" s="48" t="s">
        <v>248</v>
      </c>
      <c r="D127" s="673"/>
    </row>
    <row r="128" spans="2:5" s="89" customFormat="1" x14ac:dyDescent="0.4">
      <c r="B128" s="11" t="s">
        <v>34</v>
      </c>
      <c r="C128" s="48" t="s">
        <v>249</v>
      </c>
      <c r="D128" s="674"/>
    </row>
    <row r="129" spans="2:4" s="89" customFormat="1" ht="34.799999999999997" x14ac:dyDescent="0.4">
      <c r="B129" s="11" t="s">
        <v>35</v>
      </c>
      <c r="C129" s="110" t="s">
        <v>98</v>
      </c>
      <c r="D129" s="674"/>
    </row>
    <row r="130" spans="2:4" s="89" customFormat="1" ht="72" customHeight="1" x14ac:dyDescent="0.4">
      <c r="B130" s="11" t="s">
        <v>119</v>
      </c>
      <c r="C130" s="110" t="s">
        <v>250</v>
      </c>
      <c r="D130" s="674"/>
    </row>
    <row r="131" spans="2:4" s="89" customFormat="1" x14ac:dyDescent="0.4">
      <c r="B131" s="793" t="s">
        <v>36</v>
      </c>
      <c r="C131" s="793"/>
      <c r="D131" s="664"/>
    </row>
    <row r="132" spans="2:4" s="89" customFormat="1" ht="17.55" customHeight="1" x14ac:dyDescent="0.4">
      <c r="B132" s="794" t="s">
        <v>1217</v>
      </c>
      <c r="C132" s="795"/>
      <c r="D132" s="54">
        <v>-2</v>
      </c>
    </row>
    <row r="133" spans="2:4" s="89" customFormat="1" ht="17.55" customHeight="1" x14ac:dyDescent="0.4">
      <c r="B133" s="794" t="s">
        <v>227</v>
      </c>
      <c r="C133" s="795"/>
      <c r="D133" s="594">
        <v>-2</v>
      </c>
    </row>
    <row r="134" spans="2:4" s="89" customFormat="1" x14ac:dyDescent="0.4">
      <c r="B134" s="19" t="s">
        <v>37</v>
      </c>
      <c r="C134" s="19"/>
      <c r="D134" s="52">
        <f>+'Հավելված N 4'!G285</f>
        <v>-94431.5</v>
      </c>
    </row>
    <row r="135" spans="2:4" ht="9.9" customHeight="1" x14ac:dyDescent="0.4"/>
    <row r="136" spans="2:4" s="89" customFormat="1" x14ac:dyDescent="0.4">
      <c r="B136" s="796" t="s">
        <v>3</v>
      </c>
      <c r="C136" s="797"/>
      <c r="D136" s="785" t="s">
        <v>106</v>
      </c>
    </row>
    <row r="137" spans="2:4" s="8" customFormat="1" ht="54.75" customHeight="1" x14ac:dyDescent="0.4">
      <c r="B137" s="17" t="s">
        <v>32</v>
      </c>
      <c r="C137" s="90">
        <v>1183</v>
      </c>
      <c r="D137" s="785"/>
    </row>
    <row r="138" spans="2:4" s="89" customFormat="1" x14ac:dyDescent="0.4">
      <c r="B138" s="11" t="s">
        <v>120</v>
      </c>
      <c r="C138" s="39">
        <v>32012</v>
      </c>
      <c r="D138" s="468" t="s">
        <v>9</v>
      </c>
    </row>
    <row r="139" spans="2:4" s="89" customFormat="1" ht="34.799999999999997" x14ac:dyDescent="0.4">
      <c r="B139" s="11" t="s">
        <v>33</v>
      </c>
      <c r="C139" s="48" t="s">
        <v>1219</v>
      </c>
      <c r="D139" s="673"/>
    </row>
    <row r="140" spans="2:4" s="89" customFormat="1" ht="34.799999999999997" x14ac:dyDescent="0.4">
      <c r="B140" s="11" t="s">
        <v>34</v>
      </c>
      <c r="C140" s="48" t="s">
        <v>1220</v>
      </c>
      <c r="D140" s="674"/>
    </row>
    <row r="141" spans="2:4" s="89" customFormat="1" ht="34.799999999999997" x14ac:dyDescent="0.4">
      <c r="B141" s="11" t="s">
        <v>35</v>
      </c>
      <c r="C141" s="110" t="s">
        <v>98</v>
      </c>
      <c r="D141" s="674"/>
    </row>
    <row r="142" spans="2:4" s="89" customFormat="1" ht="72" customHeight="1" x14ac:dyDescent="0.4">
      <c r="B142" s="11" t="s">
        <v>119</v>
      </c>
      <c r="C142" s="110" t="s">
        <v>247</v>
      </c>
      <c r="D142" s="674"/>
    </row>
    <row r="143" spans="2:4" s="89" customFormat="1" ht="17.7" customHeight="1" x14ac:dyDescent="0.4">
      <c r="B143" s="802" t="s">
        <v>36</v>
      </c>
      <c r="C143" s="803"/>
      <c r="D143" s="664"/>
    </row>
    <row r="144" spans="2:4" s="89" customFormat="1" ht="17.7" customHeight="1" x14ac:dyDescent="0.4">
      <c r="B144" s="794" t="s">
        <v>1221</v>
      </c>
      <c r="C144" s="795"/>
      <c r="D144" s="54">
        <v>-2</v>
      </c>
    </row>
    <row r="145" spans="1:4" s="8" customFormat="1" ht="18" customHeight="1" x14ac:dyDescent="0.4">
      <c r="B145" s="805" t="s">
        <v>1222</v>
      </c>
      <c r="C145" s="805"/>
      <c r="D145" s="54">
        <f>-2+1</f>
        <v>-1</v>
      </c>
    </row>
    <row r="146" spans="1:4" s="8" customFormat="1" ht="18" customHeight="1" x14ac:dyDescent="0.4">
      <c r="B146" s="805" t="s">
        <v>1245</v>
      </c>
      <c r="C146" s="805"/>
      <c r="D146" s="594">
        <v>-2</v>
      </c>
    </row>
    <row r="147" spans="1:4" s="8" customFormat="1" ht="34.950000000000003" customHeight="1" x14ac:dyDescent="0.4">
      <c r="B147" s="798" t="s">
        <v>1224</v>
      </c>
      <c r="C147" s="799"/>
      <c r="D147" s="54">
        <v>-2</v>
      </c>
    </row>
    <row r="148" spans="1:4" s="8" customFormat="1" ht="34.950000000000003" customHeight="1" x14ac:dyDescent="0.4">
      <c r="B148" s="798" t="s">
        <v>1223</v>
      </c>
      <c r="C148" s="799"/>
      <c r="D148" s="54">
        <v>-5</v>
      </c>
    </row>
    <row r="149" spans="1:4" s="8" customFormat="1" ht="34.35" customHeight="1" x14ac:dyDescent="0.4">
      <c r="B149" s="798" t="s">
        <v>1225</v>
      </c>
      <c r="C149" s="799"/>
      <c r="D149" s="54">
        <v>-1</v>
      </c>
    </row>
    <row r="150" spans="1:4" s="89" customFormat="1" x14ac:dyDescent="0.4">
      <c r="B150" s="19" t="s">
        <v>37</v>
      </c>
      <c r="C150" s="19"/>
      <c r="D150" s="52">
        <f>+'Հավելված N 3'!D199</f>
        <v>-594726.70000000007</v>
      </c>
    </row>
    <row r="152" spans="1:4" x14ac:dyDescent="0.4">
      <c r="B152" s="285"/>
      <c r="C152" s="285"/>
      <c r="D152" s="173"/>
    </row>
    <row r="153" spans="1:4" x14ac:dyDescent="0.4">
      <c r="B153" s="285"/>
      <c r="C153" s="285"/>
      <c r="D153" s="173"/>
    </row>
    <row r="154" spans="1:4" x14ac:dyDescent="0.4">
      <c r="B154" s="285"/>
      <c r="C154" s="285"/>
      <c r="D154" s="173"/>
    </row>
    <row r="155" spans="1:4" x14ac:dyDescent="0.4">
      <c r="B155" s="285"/>
      <c r="C155" s="285"/>
      <c r="D155" s="173"/>
    </row>
    <row r="156" spans="1:4" x14ac:dyDescent="0.4">
      <c r="B156" s="285"/>
      <c r="C156" s="285"/>
      <c r="D156" s="173"/>
    </row>
    <row r="157" spans="1:4" ht="21.9" customHeight="1" x14ac:dyDescent="0.4">
      <c r="A157" s="792" t="s">
        <v>1234</v>
      </c>
      <c r="B157" s="792"/>
      <c r="C157" s="792"/>
      <c r="D157" s="792"/>
    </row>
    <row r="158" spans="1:4" ht="54" x14ac:dyDescent="0.4">
      <c r="B158" s="8"/>
      <c r="C158" s="599" t="s">
        <v>1090</v>
      </c>
      <c r="D158" s="600"/>
    </row>
    <row r="159" spans="1:4" ht="18" x14ac:dyDescent="0.4">
      <c r="B159" s="789" t="s">
        <v>107</v>
      </c>
      <c r="C159" s="790"/>
      <c r="D159" s="791"/>
    </row>
    <row r="160" spans="1:4" s="8" customFormat="1" x14ac:dyDescent="0.4"/>
    <row r="161" spans="2:5" s="8" customFormat="1" x14ac:dyDescent="0.4"/>
    <row r="162" spans="2:5" s="89" customFormat="1" ht="18" x14ac:dyDescent="0.4">
      <c r="B162" s="18" t="s">
        <v>1</v>
      </c>
      <c r="C162" s="18" t="s">
        <v>2</v>
      </c>
      <c r="D162" s="50"/>
    </row>
    <row r="163" spans="2:5" s="89" customFormat="1" ht="34.799999999999997" x14ac:dyDescent="0.4">
      <c r="B163" s="51">
        <v>1162</v>
      </c>
      <c r="C163" s="596" t="s">
        <v>1200</v>
      </c>
      <c r="D163" s="18"/>
    </row>
    <row r="164" spans="2:5" s="89" customFormat="1" x14ac:dyDescent="0.4">
      <c r="B164" s="8"/>
      <c r="C164" s="8"/>
      <c r="D164" s="8"/>
    </row>
    <row r="165" spans="2:5" s="89" customFormat="1" ht="18" customHeight="1" x14ac:dyDescent="0.4">
      <c r="B165" s="779" t="s">
        <v>3</v>
      </c>
      <c r="C165" s="780"/>
      <c r="D165" s="785" t="s">
        <v>106</v>
      </c>
    </row>
    <row r="166" spans="2:5" s="89" customFormat="1" ht="58.05" customHeight="1" x14ac:dyDescent="0.4">
      <c r="B166" s="17" t="s">
        <v>4</v>
      </c>
      <c r="C166" s="90">
        <v>1162</v>
      </c>
      <c r="D166" s="785"/>
    </row>
    <row r="167" spans="2:5" s="89" customFormat="1" x14ac:dyDescent="0.4">
      <c r="B167" s="81" t="s">
        <v>5</v>
      </c>
      <c r="C167" s="90">
        <v>32004</v>
      </c>
      <c r="D167" s="468" t="s">
        <v>9</v>
      </c>
    </row>
    <row r="168" spans="2:5" s="89" customFormat="1" ht="52.2" x14ac:dyDescent="0.4">
      <c r="B168" s="597" t="s">
        <v>33</v>
      </c>
      <c r="C168" s="90" t="s">
        <v>1201</v>
      </c>
      <c r="D168" s="673"/>
    </row>
    <row r="169" spans="2:5" s="89" customFormat="1" ht="52.2" x14ac:dyDescent="0.4">
      <c r="B169" s="597" t="s">
        <v>34</v>
      </c>
      <c r="C169" s="90" t="s">
        <v>1202</v>
      </c>
      <c r="D169" s="674"/>
    </row>
    <row r="170" spans="2:5" s="89" customFormat="1" ht="34.799999999999997" x14ac:dyDescent="0.4">
      <c r="B170" s="597" t="s">
        <v>35</v>
      </c>
      <c r="C170" s="97" t="s">
        <v>98</v>
      </c>
      <c r="D170" s="674"/>
    </row>
    <row r="171" spans="2:5" s="89" customFormat="1" ht="69.599999999999994" x14ac:dyDescent="0.4">
      <c r="B171" s="597" t="s">
        <v>1203</v>
      </c>
      <c r="C171" s="97" t="s">
        <v>1204</v>
      </c>
      <c r="D171" s="674"/>
    </row>
    <row r="172" spans="2:5" s="89" customFormat="1" ht="18" customHeight="1" x14ac:dyDescent="0.4">
      <c r="B172" s="781" t="s">
        <v>0</v>
      </c>
      <c r="C172" s="782"/>
      <c r="D172" s="664"/>
    </row>
    <row r="173" spans="2:5" s="89" customFormat="1" ht="18" customHeight="1" x14ac:dyDescent="0.4">
      <c r="B173" s="798" t="s">
        <v>1205</v>
      </c>
      <c r="C173" s="799"/>
      <c r="D173" s="297">
        <v>-14</v>
      </c>
    </row>
    <row r="174" spans="2:5" s="589" customFormat="1" x14ac:dyDescent="0.3">
      <c r="B174" s="19" t="s">
        <v>6</v>
      </c>
      <c r="C174" s="19"/>
      <c r="D174" s="52">
        <f>+'Հավելված N 4'!G26</f>
        <v>-3200000</v>
      </c>
      <c r="E174" s="590"/>
    </row>
    <row r="175" spans="2:5" s="89" customFormat="1" x14ac:dyDescent="0.4"/>
    <row r="177" spans="1:4" x14ac:dyDescent="0.4">
      <c r="B177" s="285"/>
      <c r="C177" s="285"/>
      <c r="D177" s="173"/>
    </row>
    <row r="178" spans="1:4" x14ac:dyDescent="0.4">
      <c r="B178" s="285"/>
      <c r="C178" s="285"/>
      <c r="D178" s="173"/>
    </row>
    <row r="179" spans="1:4" x14ac:dyDescent="0.4">
      <c r="B179" s="285"/>
      <c r="C179" s="285"/>
      <c r="D179" s="173"/>
    </row>
    <row r="180" spans="1:4" x14ac:dyDescent="0.4">
      <c r="B180" s="285"/>
      <c r="C180" s="285"/>
      <c r="D180" s="173"/>
    </row>
    <row r="181" spans="1:4" x14ac:dyDescent="0.4">
      <c r="B181" s="285"/>
      <c r="C181" s="285"/>
      <c r="D181" s="173"/>
    </row>
    <row r="182" spans="1:4" ht="21.9" customHeight="1" x14ac:dyDescent="0.4">
      <c r="A182" s="792" t="s">
        <v>1229</v>
      </c>
      <c r="B182" s="792"/>
      <c r="C182" s="792"/>
      <c r="D182" s="792"/>
    </row>
    <row r="183" spans="1:4" ht="39" customHeight="1" x14ac:dyDescent="0.4">
      <c r="C183" s="467" t="s">
        <v>137</v>
      </c>
      <c r="D183" s="16"/>
    </row>
    <row r="184" spans="1:4" ht="18" x14ac:dyDescent="0.4">
      <c r="B184" s="789" t="s">
        <v>107</v>
      </c>
      <c r="C184" s="790"/>
      <c r="D184" s="791"/>
    </row>
    <row r="185" spans="1:4" s="8" customFormat="1" x14ac:dyDescent="0.4"/>
    <row r="186" spans="1:4" s="8" customFormat="1" x14ac:dyDescent="0.4"/>
    <row r="187" spans="1:4" s="8" customFormat="1" ht="18" x14ac:dyDescent="0.4">
      <c r="B187" s="166" t="s">
        <v>1</v>
      </c>
      <c r="C187" s="166" t="s">
        <v>2</v>
      </c>
      <c r="D187" s="167"/>
    </row>
    <row r="188" spans="1:4" s="8" customFormat="1" ht="34.799999999999997" x14ac:dyDescent="0.4">
      <c r="B188" s="168">
        <v>1045</v>
      </c>
      <c r="C188" s="203" t="s">
        <v>180</v>
      </c>
      <c r="D188" s="166"/>
    </row>
    <row r="189" spans="1:4" s="8" customFormat="1" x14ac:dyDescent="0.4"/>
    <row r="190" spans="1:4" s="8" customFormat="1" ht="18" customHeight="1" x14ac:dyDescent="0.4">
      <c r="B190" s="783" t="s">
        <v>3</v>
      </c>
      <c r="C190" s="784"/>
      <c r="D190" s="785" t="s">
        <v>106</v>
      </c>
    </row>
    <row r="191" spans="1:4" s="8" customFormat="1" ht="63.45" customHeight="1" x14ac:dyDescent="0.4">
      <c r="B191" s="147" t="s">
        <v>4</v>
      </c>
      <c r="C191" s="159">
        <v>1045</v>
      </c>
      <c r="D191" s="785"/>
    </row>
    <row r="192" spans="1:4" s="8" customFormat="1" x14ac:dyDescent="0.4">
      <c r="B192" s="147" t="s">
        <v>5</v>
      </c>
      <c r="C192" s="159">
        <v>32001</v>
      </c>
      <c r="D192" s="172" t="s">
        <v>12</v>
      </c>
    </row>
    <row r="193" spans="2:5" s="8" customFormat="1" ht="52.2" x14ac:dyDescent="0.4">
      <c r="B193" s="201" t="s">
        <v>133</v>
      </c>
      <c r="C193" s="282" t="s">
        <v>224</v>
      </c>
      <c r="D193" s="673"/>
    </row>
    <row r="194" spans="2:5" s="8" customFormat="1" ht="69.599999999999994" x14ac:dyDescent="0.4">
      <c r="B194" s="201" t="s">
        <v>134</v>
      </c>
      <c r="C194" s="282" t="s">
        <v>225</v>
      </c>
      <c r="D194" s="674"/>
    </row>
    <row r="195" spans="2:5" s="8" customFormat="1" ht="34.799999999999997" x14ac:dyDescent="0.4">
      <c r="B195" s="201" t="s">
        <v>135</v>
      </c>
      <c r="C195" s="282" t="s">
        <v>98</v>
      </c>
      <c r="D195" s="674"/>
    </row>
    <row r="196" spans="2:5" s="8" customFormat="1" ht="69.599999999999994" x14ac:dyDescent="0.4">
      <c r="B196" s="193" t="s">
        <v>119</v>
      </c>
      <c r="C196" s="282" t="s">
        <v>226</v>
      </c>
      <c r="D196" s="674"/>
    </row>
    <row r="197" spans="2:5" s="8" customFormat="1" x14ac:dyDescent="0.4">
      <c r="B197" s="786" t="s">
        <v>0</v>
      </c>
      <c r="C197" s="787"/>
      <c r="D197" s="664"/>
    </row>
    <row r="198" spans="2:5" s="8" customFormat="1" ht="17.7" customHeight="1" x14ac:dyDescent="0.4">
      <c r="B198" s="798" t="s">
        <v>1179</v>
      </c>
      <c r="C198" s="799"/>
      <c r="D198" s="169">
        <v>-1</v>
      </c>
    </row>
    <row r="199" spans="2:5" s="8" customFormat="1" x14ac:dyDescent="0.4">
      <c r="B199" s="777" t="s">
        <v>230</v>
      </c>
      <c r="C199" s="778"/>
      <c r="D199" s="169">
        <v>-1</v>
      </c>
    </row>
    <row r="200" spans="2:5" s="31" customFormat="1" x14ac:dyDescent="0.3">
      <c r="B200" s="170" t="s">
        <v>6</v>
      </c>
      <c r="C200" s="170"/>
      <c r="D200" s="171">
        <f>+'Հավելված N 4'!G129</f>
        <v>-385126</v>
      </c>
      <c r="E200" s="53"/>
    </row>
    <row r="201" spans="2:5" s="89" customFormat="1" ht="8.5500000000000007" customHeight="1" x14ac:dyDescent="0.4"/>
    <row r="202" spans="2:5" s="8" customFormat="1" x14ac:dyDescent="0.4">
      <c r="B202" s="783" t="s">
        <v>3</v>
      </c>
      <c r="C202" s="784"/>
      <c r="D202" s="785" t="s">
        <v>106</v>
      </c>
    </row>
    <row r="203" spans="2:5" s="8" customFormat="1" ht="56.4" customHeight="1" x14ac:dyDescent="0.4">
      <c r="B203" s="147" t="s">
        <v>4</v>
      </c>
      <c r="C203" s="159">
        <v>1045</v>
      </c>
      <c r="D203" s="785"/>
    </row>
    <row r="204" spans="2:5" s="8" customFormat="1" x14ac:dyDescent="0.4">
      <c r="B204" s="147" t="s">
        <v>5</v>
      </c>
      <c r="C204" s="159">
        <v>32005</v>
      </c>
      <c r="D204" s="172" t="s">
        <v>12</v>
      </c>
    </row>
    <row r="205" spans="2:5" s="8" customFormat="1" ht="52.2" x14ac:dyDescent="0.4">
      <c r="B205" s="201" t="s">
        <v>33</v>
      </c>
      <c r="C205" s="282" t="s">
        <v>228</v>
      </c>
      <c r="D205" s="673"/>
    </row>
    <row r="206" spans="2:5" s="8" customFormat="1" ht="34.799999999999997" x14ac:dyDescent="0.4">
      <c r="B206" s="201" t="s">
        <v>34</v>
      </c>
      <c r="C206" s="282" t="s">
        <v>229</v>
      </c>
      <c r="D206" s="674"/>
    </row>
    <row r="207" spans="2:5" s="8" customFormat="1" ht="34.799999999999997" x14ac:dyDescent="0.4">
      <c r="B207" s="201" t="s">
        <v>35</v>
      </c>
      <c r="C207" s="282" t="s">
        <v>98</v>
      </c>
      <c r="D207" s="674"/>
    </row>
    <row r="208" spans="2:5" s="8" customFormat="1" ht="69.599999999999994" x14ac:dyDescent="0.4">
      <c r="B208" s="193" t="s">
        <v>119</v>
      </c>
      <c r="C208" s="282" t="s">
        <v>226</v>
      </c>
      <c r="D208" s="674"/>
    </row>
    <row r="209" spans="2:5" s="8" customFormat="1" x14ac:dyDescent="0.4">
      <c r="B209" s="786" t="s">
        <v>0</v>
      </c>
      <c r="C209" s="787"/>
      <c r="D209" s="664"/>
    </row>
    <row r="210" spans="2:5" s="8" customFormat="1" x14ac:dyDescent="0.4">
      <c r="B210" s="777" t="s">
        <v>1180</v>
      </c>
      <c r="C210" s="813"/>
      <c r="D210" s="169">
        <v>-2</v>
      </c>
    </row>
    <row r="211" spans="2:5" s="31" customFormat="1" x14ac:dyDescent="0.3">
      <c r="B211" s="170" t="s">
        <v>6</v>
      </c>
      <c r="C211" s="170"/>
      <c r="D211" s="171">
        <f>+'Հավելված N 4'!G140</f>
        <v>-955465.70000000007</v>
      </c>
      <c r="E211" s="53"/>
    </row>
    <row r="212" spans="2:5" s="8" customFormat="1" x14ac:dyDescent="0.4"/>
    <row r="213" spans="2:5" s="8" customFormat="1" ht="18" x14ac:dyDescent="0.4">
      <c r="B213" s="166" t="s">
        <v>1</v>
      </c>
      <c r="C213" s="166" t="s">
        <v>2</v>
      </c>
      <c r="D213" s="167"/>
    </row>
    <row r="214" spans="2:5" s="8" customFormat="1" ht="34.799999999999997" x14ac:dyDescent="0.4">
      <c r="B214" s="168">
        <v>1111</v>
      </c>
      <c r="C214" s="201" t="s">
        <v>379</v>
      </c>
      <c r="D214" s="166"/>
    </row>
    <row r="215" spans="2:5" s="8" customFormat="1" x14ac:dyDescent="0.4"/>
    <row r="216" spans="2:5" s="8" customFormat="1" ht="18" customHeight="1" x14ac:dyDescent="0.4">
      <c r="B216" s="783" t="s">
        <v>3</v>
      </c>
      <c r="C216" s="784"/>
      <c r="D216" s="785" t="s">
        <v>106</v>
      </c>
    </row>
    <row r="217" spans="2:5" s="8" customFormat="1" ht="54.3" customHeight="1" x14ac:dyDescent="0.4">
      <c r="B217" s="147" t="s">
        <v>4</v>
      </c>
      <c r="C217" s="159">
        <v>1111</v>
      </c>
      <c r="D217" s="785"/>
    </row>
    <row r="218" spans="2:5" s="8" customFormat="1" x14ac:dyDescent="0.4">
      <c r="B218" s="147" t="s">
        <v>5</v>
      </c>
      <c r="C218" s="159">
        <v>32001</v>
      </c>
      <c r="D218" s="172" t="s">
        <v>12</v>
      </c>
    </row>
    <row r="219" spans="2:5" s="8" customFormat="1" ht="52.2" x14ac:dyDescent="0.4">
      <c r="B219" s="201" t="s">
        <v>33</v>
      </c>
      <c r="C219" s="282" t="s">
        <v>380</v>
      </c>
      <c r="D219" s="673"/>
    </row>
    <row r="220" spans="2:5" s="8" customFormat="1" ht="52.2" x14ac:dyDescent="0.4">
      <c r="B220" s="201" t="s">
        <v>34</v>
      </c>
      <c r="C220" s="282" t="s">
        <v>381</v>
      </c>
      <c r="D220" s="674"/>
    </row>
    <row r="221" spans="2:5" s="8" customFormat="1" ht="34.799999999999997" x14ac:dyDescent="0.4">
      <c r="B221" s="201" t="s">
        <v>35</v>
      </c>
      <c r="C221" s="282" t="s">
        <v>98</v>
      </c>
      <c r="D221" s="674"/>
    </row>
    <row r="222" spans="2:5" s="8" customFormat="1" ht="69.599999999999994" x14ac:dyDescent="0.4">
      <c r="B222" s="193" t="s">
        <v>119</v>
      </c>
      <c r="C222" s="282" t="s">
        <v>382</v>
      </c>
      <c r="D222" s="674"/>
    </row>
    <row r="223" spans="2:5" s="8" customFormat="1" x14ac:dyDescent="0.4">
      <c r="B223" s="786" t="s">
        <v>0</v>
      </c>
      <c r="C223" s="787"/>
      <c r="D223" s="664"/>
    </row>
    <row r="224" spans="2:5" s="31" customFormat="1" x14ac:dyDescent="0.3">
      <c r="B224" s="170" t="s">
        <v>6</v>
      </c>
      <c r="C224" s="170"/>
      <c r="D224" s="171">
        <f>+'Հավելված N 4'!G151</f>
        <v>-374821.87</v>
      </c>
      <c r="E224" s="53"/>
    </row>
    <row r="225" spans="2:5" s="8" customFormat="1" x14ac:dyDescent="0.4"/>
    <row r="226" spans="2:5" s="8" customFormat="1" ht="18" x14ac:dyDescent="0.4">
      <c r="B226" s="18" t="s">
        <v>1</v>
      </c>
      <c r="C226" s="18" t="s">
        <v>2</v>
      </c>
      <c r="D226" s="50"/>
    </row>
    <row r="227" spans="2:5" s="8" customFormat="1" ht="18" x14ac:dyDescent="0.4">
      <c r="B227" s="51">
        <v>1146</v>
      </c>
      <c r="C227" s="596" t="s">
        <v>115</v>
      </c>
      <c r="D227" s="18"/>
    </row>
    <row r="228" spans="2:5" s="8" customFormat="1" x14ac:dyDescent="0.4"/>
    <row r="229" spans="2:5" s="8" customFormat="1" ht="18" customHeight="1" x14ac:dyDescent="0.4">
      <c r="B229" s="779" t="s">
        <v>3</v>
      </c>
      <c r="C229" s="780"/>
      <c r="D229" s="785" t="s">
        <v>106</v>
      </c>
    </row>
    <row r="230" spans="2:5" s="8" customFormat="1" ht="58.05" customHeight="1" x14ac:dyDescent="0.4">
      <c r="B230" s="17" t="s">
        <v>4</v>
      </c>
      <c r="C230" s="90">
        <v>1146</v>
      </c>
      <c r="D230" s="785"/>
    </row>
    <row r="231" spans="2:5" s="8" customFormat="1" x14ac:dyDescent="0.4">
      <c r="B231" s="81" t="s">
        <v>5</v>
      </c>
      <c r="C231" s="90">
        <v>12010</v>
      </c>
      <c r="D231" s="468" t="s">
        <v>9</v>
      </c>
    </row>
    <row r="232" spans="2:5" s="8" customFormat="1" ht="34.799999999999997" x14ac:dyDescent="0.4">
      <c r="B232" s="597" t="s">
        <v>33</v>
      </c>
      <c r="C232" s="90" t="s">
        <v>236</v>
      </c>
      <c r="D232" s="673"/>
    </row>
    <row r="233" spans="2:5" s="8" customFormat="1" ht="34.799999999999997" x14ac:dyDescent="0.4">
      <c r="B233" s="597" t="s">
        <v>34</v>
      </c>
      <c r="C233" s="90" t="s">
        <v>237</v>
      </c>
      <c r="D233" s="674"/>
    </row>
    <row r="234" spans="2:5" s="8" customFormat="1" ht="34.799999999999997" x14ac:dyDescent="0.4">
      <c r="B234" s="597" t="s">
        <v>35</v>
      </c>
      <c r="C234" s="97" t="s">
        <v>238</v>
      </c>
      <c r="D234" s="674"/>
    </row>
    <row r="235" spans="2:5" s="8" customFormat="1" ht="52.2" x14ac:dyDescent="0.4">
      <c r="B235" s="597" t="s">
        <v>239</v>
      </c>
      <c r="C235" s="97" t="s">
        <v>240</v>
      </c>
      <c r="D235" s="674"/>
    </row>
    <row r="236" spans="2:5" s="8" customFormat="1" ht="18" customHeight="1" x14ac:dyDescent="0.4">
      <c r="B236" s="781" t="s">
        <v>0</v>
      </c>
      <c r="C236" s="782"/>
      <c r="D236" s="664"/>
    </row>
    <row r="237" spans="2:5" s="31" customFormat="1" x14ac:dyDescent="0.3">
      <c r="B237" s="19" t="s">
        <v>6</v>
      </c>
      <c r="C237" s="19"/>
      <c r="D237" s="52">
        <f>+'Հավելված N 4'!G171</f>
        <v>-2928071.5999999996</v>
      </c>
      <c r="E237" s="53"/>
    </row>
    <row r="238" spans="2:5" s="8" customFormat="1" x14ac:dyDescent="0.4"/>
    <row r="239" spans="2:5" s="89" customFormat="1" ht="18" x14ac:dyDescent="0.4">
      <c r="B239" s="18" t="s">
        <v>1</v>
      </c>
      <c r="C239" s="18" t="s">
        <v>2</v>
      </c>
      <c r="D239" s="50"/>
    </row>
    <row r="240" spans="2:5" s="89" customFormat="1" ht="18" x14ac:dyDescent="0.4">
      <c r="B240" s="51">
        <v>1163</v>
      </c>
      <c r="C240" s="81" t="s">
        <v>1115</v>
      </c>
      <c r="D240" s="18"/>
    </row>
    <row r="241" spans="2:5" s="89" customFormat="1" x14ac:dyDescent="0.4">
      <c r="B241" s="8"/>
      <c r="C241" s="8"/>
      <c r="D241" s="8"/>
    </row>
    <row r="242" spans="2:5" s="89" customFormat="1" ht="18" customHeight="1" x14ac:dyDescent="0.4">
      <c r="B242" s="779" t="s">
        <v>3</v>
      </c>
      <c r="C242" s="780"/>
      <c r="D242" s="785" t="s">
        <v>106</v>
      </c>
    </row>
    <row r="243" spans="2:5" s="89" customFormat="1" ht="58.05" customHeight="1" x14ac:dyDescent="0.4">
      <c r="B243" s="17" t="s">
        <v>4</v>
      </c>
      <c r="C243" s="591">
        <v>1163</v>
      </c>
      <c r="D243" s="785"/>
    </row>
    <row r="244" spans="2:5" s="89" customFormat="1" x14ac:dyDescent="0.4">
      <c r="B244" s="81" t="s">
        <v>5</v>
      </c>
      <c r="C244" s="591">
        <v>32001</v>
      </c>
      <c r="D244" s="468" t="s">
        <v>9</v>
      </c>
    </row>
    <row r="245" spans="2:5" s="89" customFormat="1" ht="34.799999999999997" x14ac:dyDescent="0.4">
      <c r="B245" s="127" t="s">
        <v>33</v>
      </c>
      <c r="C245" s="591" t="s">
        <v>1206</v>
      </c>
      <c r="D245" s="673"/>
    </row>
    <row r="246" spans="2:5" s="89" customFormat="1" ht="69.599999999999994" x14ac:dyDescent="0.4">
      <c r="B246" s="127" t="s">
        <v>34</v>
      </c>
      <c r="C246" s="591" t="s">
        <v>1207</v>
      </c>
      <c r="D246" s="674"/>
    </row>
    <row r="247" spans="2:5" s="89" customFormat="1" ht="34.799999999999997" x14ac:dyDescent="0.4">
      <c r="B247" s="127" t="s">
        <v>35</v>
      </c>
      <c r="C247" s="592" t="s">
        <v>98</v>
      </c>
      <c r="D247" s="674"/>
    </row>
    <row r="248" spans="2:5" s="89" customFormat="1" ht="69.599999999999994" x14ac:dyDescent="0.4">
      <c r="B248" s="127" t="s">
        <v>119</v>
      </c>
      <c r="C248" s="592" t="s">
        <v>1208</v>
      </c>
      <c r="D248" s="674"/>
    </row>
    <row r="249" spans="2:5" s="89" customFormat="1" ht="18" customHeight="1" x14ac:dyDescent="0.4">
      <c r="B249" s="781" t="s">
        <v>0</v>
      </c>
      <c r="C249" s="782"/>
      <c r="D249" s="664"/>
    </row>
    <row r="250" spans="2:5" s="89" customFormat="1" ht="18" customHeight="1" x14ac:dyDescent="0.4">
      <c r="B250" s="798" t="s">
        <v>1209</v>
      </c>
      <c r="C250" s="799"/>
      <c r="D250" s="297">
        <v>-1</v>
      </c>
    </row>
    <row r="251" spans="2:5" s="589" customFormat="1" x14ac:dyDescent="0.3">
      <c r="B251" s="19" t="s">
        <v>6</v>
      </c>
      <c r="C251" s="19"/>
      <c r="D251" s="52">
        <f>+'Հավելված N 4'!G195</f>
        <v>-160815.1</v>
      </c>
      <c r="E251" s="590"/>
    </row>
    <row r="252" spans="2:5" s="89" customFormat="1" ht="8.1" customHeight="1" x14ac:dyDescent="0.4">
      <c r="B252" s="8"/>
      <c r="C252" s="8"/>
      <c r="D252" s="8"/>
    </row>
    <row r="253" spans="2:5" s="89" customFormat="1" ht="18" customHeight="1" x14ac:dyDescent="0.4">
      <c r="B253" s="779" t="s">
        <v>3</v>
      </c>
      <c r="C253" s="780"/>
      <c r="D253" s="785" t="s">
        <v>106</v>
      </c>
    </row>
    <row r="254" spans="2:5" s="89" customFormat="1" ht="58.05" customHeight="1" x14ac:dyDescent="0.4">
      <c r="B254" s="17" t="s">
        <v>4</v>
      </c>
      <c r="C254" s="591">
        <v>1163</v>
      </c>
      <c r="D254" s="785"/>
    </row>
    <row r="255" spans="2:5" s="89" customFormat="1" x14ac:dyDescent="0.4">
      <c r="B255" s="81" t="s">
        <v>5</v>
      </c>
      <c r="C255" s="591">
        <v>32002</v>
      </c>
      <c r="D255" s="468" t="s">
        <v>9</v>
      </c>
    </row>
    <row r="256" spans="2:5" s="89" customFormat="1" ht="34.799999999999997" x14ac:dyDescent="0.4">
      <c r="B256" s="127" t="s">
        <v>33</v>
      </c>
      <c r="C256" s="591" t="s">
        <v>1210</v>
      </c>
      <c r="D256" s="673"/>
    </row>
    <row r="257" spans="2:5" s="89" customFormat="1" ht="69.599999999999994" x14ac:dyDescent="0.4">
      <c r="B257" s="127" t="s">
        <v>34</v>
      </c>
      <c r="C257" s="591" t="s">
        <v>1211</v>
      </c>
      <c r="D257" s="674"/>
    </row>
    <row r="258" spans="2:5" s="89" customFormat="1" ht="34.799999999999997" x14ac:dyDescent="0.4">
      <c r="B258" s="127" t="s">
        <v>35</v>
      </c>
      <c r="C258" s="592" t="s">
        <v>98</v>
      </c>
      <c r="D258" s="674"/>
    </row>
    <row r="259" spans="2:5" s="89" customFormat="1" ht="69.599999999999994" x14ac:dyDescent="0.4">
      <c r="B259" s="127" t="s">
        <v>119</v>
      </c>
      <c r="C259" s="592" t="s">
        <v>1208</v>
      </c>
      <c r="D259" s="674"/>
    </row>
    <row r="260" spans="2:5" s="89" customFormat="1" ht="18" customHeight="1" x14ac:dyDescent="0.4">
      <c r="B260" s="781" t="s">
        <v>0</v>
      </c>
      <c r="C260" s="782"/>
      <c r="D260" s="664"/>
    </row>
    <row r="261" spans="2:5" s="89" customFormat="1" ht="18" customHeight="1" x14ac:dyDescent="0.4">
      <c r="B261" s="798" t="s">
        <v>1209</v>
      </c>
      <c r="C261" s="799"/>
      <c r="D261" s="297">
        <v>-2</v>
      </c>
    </row>
    <row r="262" spans="2:5" s="589" customFormat="1" x14ac:dyDescent="0.3">
      <c r="B262" s="19" t="s">
        <v>6</v>
      </c>
      <c r="C262" s="19"/>
      <c r="D262" s="52">
        <f>+'Հավելված N 4'!G213</f>
        <v>-158105.9</v>
      </c>
      <c r="E262" s="590"/>
    </row>
    <row r="263" spans="2:5" s="8" customFormat="1" x14ac:dyDescent="0.4"/>
    <row r="264" spans="2:5" s="8" customFormat="1" ht="18" x14ac:dyDescent="0.4">
      <c r="B264" s="531" t="s">
        <v>1</v>
      </c>
      <c r="C264" s="810" t="s">
        <v>2</v>
      </c>
      <c r="D264" s="811"/>
    </row>
    <row r="265" spans="2:5" s="8" customFormat="1" x14ac:dyDescent="0.4">
      <c r="B265" s="51">
        <v>1183</v>
      </c>
      <c r="C265" s="17" t="s">
        <v>99</v>
      </c>
      <c r="D265" s="17"/>
    </row>
    <row r="266" spans="2:5" s="8" customFormat="1" x14ac:dyDescent="0.4"/>
    <row r="267" spans="2:5" s="89" customFormat="1" ht="18" customHeight="1" x14ac:dyDescent="0.4">
      <c r="B267" s="796" t="s">
        <v>3</v>
      </c>
      <c r="C267" s="797"/>
      <c r="D267" s="785" t="s">
        <v>106</v>
      </c>
    </row>
    <row r="268" spans="2:5" s="89" customFormat="1" ht="53.7" customHeight="1" x14ac:dyDescent="0.4">
      <c r="B268" s="17" t="s">
        <v>32</v>
      </c>
      <c r="C268" s="90">
        <v>1183</v>
      </c>
      <c r="D268" s="785"/>
    </row>
    <row r="269" spans="2:5" s="89" customFormat="1" x14ac:dyDescent="0.4">
      <c r="B269" s="11" t="s">
        <v>120</v>
      </c>
      <c r="C269" s="39">
        <v>32002</v>
      </c>
      <c r="D269" s="468" t="s">
        <v>9</v>
      </c>
    </row>
    <row r="270" spans="2:5" s="89" customFormat="1" ht="34.799999999999997" x14ac:dyDescent="0.4">
      <c r="B270" s="11" t="s">
        <v>33</v>
      </c>
      <c r="C270" s="48" t="s">
        <v>383</v>
      </c>
      <c r="D270" s="673"/>
    </row>
    <row r="271" spans="2:5" s="89" customFormat="1" ht="75" customHeight="1" x14ac:dyDescent="0.4">
      <c r="B271" s="11" t="s">
        <v>34</v>
      </c>
      <c r="C271" s="48" t="s">
        <v>384</v>
      </c>
      <c r="D271" s="674"/>
    </row>
    <row r="272" spans="2:5" s="89" customFormat="1" ht="34.799999999999997" x14ac:dyDescent="0.4">
      <c r="B272" s="11" t="s">
        <v>35</v>
      </c>
      <c r="C272" s="110" t="s">
        <v>98</v>
      </c>
      <c r="D272" s="674"/>
    </row>
    <row r="273" spans="2:4" s="89" customFormat="1" ht="72" customHeight="1" x14ac:dyDescent="0.4">
      <c r="B273" s="11" t="s">
        <v>119</v>
      </c>
      <c r="C273" s="110" t="s">
        <v>100</v>
      </c>
      <c r="D273" s="674"/>
    </row>
    <row r="274" spans="2:4" s="89" customFormat="1" x14ac:dyDescent="0.4">
      <c r="B274" s="793" t="s">
        <v>36</v>
      </c>
      <c r="C274" s="793"/>
      <c r="D274" s="664"/>
    </row>
    <row r="275" spans="2:4" s="89" customFormat="1" ht="17.55" customHeight="1" x14ac:dyDescent="0.4">
      <c r="B275" s="794" t="s">
        <v>109</v>
      </c>
      <c r="C275" s="795"/>
      <c r="D275" s="54">
        <v>-6</v>
      </c>
    </row>
    <row r="276" spans="2:4" s="89" customFormat="1" ht="17.55" customHeight="1" x14ac:dyDescent="0.4">
      <c r="B276" s="794" t="s">
        <v>230</v>
      </c>
      <c r="C276" s="795"/>
      <c r="D276" s="54">
        <v>-57</v>
      </c>
    </row>
    <row r="277" spans="2:4" s="89" customFormat="1" x14ac:dyDescent="0.4">
      <c r="B277" s="19" t="s">
        <v>37</v>
      </c>
      <c r="C277" s="19"/>
      <c r="D277" s="52">
        <f>+'Հավելված N 4'!G256</f>
        <v>-2800355</v>
      </c>
    </row>
    <row r="278" spans="2:4" s="89" customFormat="1" ht="9.9" customHeight="1" x14ac:dyDescent="0.4">
      <c r="B278" s="8"/>
      <c r="C278" s="8"/>
      <c r="D278" s="8"/>
    </row>
    <row r="279" spans="2:4" s="89" customFormat="1" ht="18" customHeight="1" x14ac:dyDescent="0.4">
      <c r="B279" s="796" t="s">
        <v>3</v>
      </c>
      <c r="C279" s="797"/>
      <c r="D279" s="785" t="s">
        <v>106</v>
      </c>
    </row>
    <row r="280" spans="2:4" s="89" customFormat="1" ht="51" customHeight="1" x14ac:dyDescent="0.4">
      <c r="B280" s="17" t="s">
        <v>32</v>
      </c>
      <c r="C280" s="90">
        <v>1183</v>
      </c>
      <c r="D280" s="785"/>
    </row>
    <row r="281" spans="2:4" s="89" customFormat="1" x14ac:dyDescent="0.4">
      <c r="B281" s="11" t="s">
        <v>120</v>
      </c>
      <c r="C281" s="39">
        <v>32003</v>
      </c>
      <c r="D281" s="468" t="s">
        <v>9</v>
      </c>
    </row>
    <row r="282" spans="2:4" s="89" customFormat="1" ht="34.799999999999997" x14ac:dyDescent="0.4">
      <c r="B282" s="601" t="s">
        <v>33</v>
      </c>
      <c r="C282" s="204" t="s">
        <v>144</v>
      </c>
      <c r="D282" s="673"/>
    </row>
    <row r="283" spans="2:4" s="89" customFormat="1" ht="75" customHeight="1" x14ac:dyDescent="0.4">
      <c r="B283" s="601" t="s">
        <v>34</v>
      </c>
      <c r="C283" s="204" t="s">
        <v>145</v>
      </c>
      <c r="D283" s="674"/>
    </row>
    <row r="284" spans="2:4" s="89" customFormat="1" ht="34.799999999999997" x14ac:dyDescent="0.4">
      <c r="B284" s="601" t="s">
        <v>35</v>
      </c>
      <c r="C284" s="213" t="s">
        <v>98</v>
      </c>
      <c r="D284" s="674"/>
    </row>
    <row r="285" spans="2:4" s="89" customFormat="1" ht="72" customHeight="1" x14ac:dyDescent="0.4">
      <c r="B285" s="601" t="s">
        <v>101</v>
      </c>
      <c r="C285" s="213" t="s">
        <v>146</v>
      </c>
      <c r="D285" s="674"/>
    </row>
    <row r="286" spans="2:4" s="89" customFormat="1" x14ac:dyDescent="0.4">
      <c r="B286" s="793" t="s">
        <v>36</v>
      </c>
      <c r="C286" s="793"/>
      <c r="D286" s="664"/>
    </row>
    <row r="287" spans="2:4" s="89" customFormat="1" x14ac:dyDescent="0.4">
      <c r="B287" s="794" t="s">
        <v>230</v>
      </c>
      <c r="C287" s="795"/>
      <c r="D287" s="54">
        <v>-1</v>
      </c>
    </row>
    <row r="288" spans="2:4" s="89" customFormat="1" x14ac:dyDescent="0.4">
      <c r="B288" s="19" t="s">
        <v>37</v>
      </c>
      <c r="C288" s="19"/>
      <c r="D288" s="52">
        <f>+'Հավելված N 4'!G274</f>
        <v>-1368042.7</v>
      </c>
    </row>
    <row r="289" spans="2:4" ht="9.9" customHeight="1" x14ac:dyDescent="0.4">
      <c r="B289" s="8"/>
      <c r="C289" s="8"/>
      <c r="D289" s="8"/>
    </row>
    <row r="290" spans="2:4" s="89" customFormat="1" x14ac:dyDescent="0.4">
      <c r="B290" s="796" t="s">
        <v>3</v>
      </c>
      <c r="C290" s="797"/>
      <c r="D290" s="785" t="s">
        <v>106</v>
      </c>
    </row>
    <row r="291" spans="2:4" s="89" customFormat="1" ht="51.6" customHeight="1" x14ac:dyDescent="0.4">
      <c r="B291" s="17" t="s">
        <v>32</v>
      </c>
      <c r="C291" s="90">
        <v>1183</v>
      </c>
      <c r="D291" s="785"/>
    </row>
    <row r="292" spans="2:4" s="89" customFormat="1" x14ac:dyDescent="0.4">
      <c r="B292" s="11" t="s">
        <v>120</v>
      </c>
      <c r="C292" s="39">
        <v>32007</v>
      </c>
      <c r="D292" s="468" t="s">
        <v>9</v>
      </c>
    </row>
    <row r="293" spans="2:4" s="89" customFormat="1" ht="34.799999999999997" x14ac:dyDescent="0.4">
      <c r="B293" s="11" t="s">
        <v>33</v>
      </c>
      <c r="C293" s="48" t="s">
        <v>251</v>
      </c>
      <c r="D293" s="673"/>
    </row>
    <row r="294" spans="2:4" s="89" customFormat="1" ht="52.2" x14ac:dyDescent="0.4">
      <c r="B294" s="11" t="s">
        <v>34</v>
      </c>
      <c r="C294" s="48" t="s">
        <v>252</v>
      </c>
      <c r="D294" s="674"/>
    </row>
    <row r="295" spans="2:4" s="89" customFormat="1" ht="34.799999999999997" x14ac:dyDescent="0.4">
      <c r="B295" s="11" t="s">
        <v>35</v>
      </c>
      <c r="C295" s="110" t="s">
        <v>98</v>
      </c>
      <c r="D295" s="674"/>
    </row>
    <row r="296" spans="2:4" s="89" customFormat="1" ht="72" customHeight="1" x14ac:dyDescent="0.4">
      <c r="B296" s="11" t="s">
        <v>119</v>
      </c>
      <c r="C296" s="110" t="s">
        <v>247</v>
      </c>
      <c r="D296" s="674"/>
    </row>
    <row r="297" spans="2:4" s="89" customFormat="1" x14ac:dyDescent="0.4">
      <c r="B297" s="793" t="s">
        <v>36</v>
      </c>
      <c r="C297" s="793"/>
      <c r="D297" s="664"/>
    </row>
    <row r="298" spans="2:4" s="89" customFormat="1" x14ac:dyDescent="0.4">
      <c r="B298" s="794" t="s">
        <v>1218</v>
      </c>
      <c r="C298" s="795"/>
      <c r="D298" s="54">
        <v>-1</v>
      </c>
    </row>
    <row r="299" spans="2:4" s="89" customFormat="1" ht="17.7" customHeight="1" x14ac:dyDescent="0.4">
      <c r="B299" s="794" t="s">
        <v>227</v>
      </c>
      <c r="C299" s="795"/>
      <c r="D299" s="54">
        <v>-2</v>
      </c>
    </row>
    <row r="300" spans="2:4" s="89" customFormat="1" x14ac:dyDescent="0.4">
      <c r="B300" s="794" t="s">
        <v>230</v>
      </c>
      <c r="C300" s="795"/>
      <c r="D300" s="54">
        <v>-3</v>
      </c>
    </row>
    <row r="301" spans="2:4" s="89" customFormat="1" x14ac:dyDescent="0.4">
      <c r="B301" s="19" t="s">
        <v>37</v>
      </c>
      <c r="C301" s="19"/>
      <c r="D301" s="52">
        <f>+'Հավելված N 4'!G296</f>
        <v>-67555</v>
      </c>
    </row>
    <row r="302" spans="2:4" s="89" customFormat="1" ht="9.9" customHeight="1" x14ac:dyDescent="0.4">
      <c r="B302" s="8"/>
      <c r="C302" s="8"/>
      <c r="D302" s="8"/>
    </row>
    <row r="303" spans="2:4" s="89" customFormat="1" x14ac:dyDescent="0.4">
      <c r="B303" s="796" t="s">
        <v>3</v>
      </c>
      <c r="C303" s="797"/>
      <c r="D303" s="785" t="s">
        <v>106</v>
      </c>
    </row>
    <row r="304" spans="2:4" s="89" customFormat="1" ht="54.75" customHeight="1" x14ac:dyDescent="0.4">
      <c r="B304" s="17" t="s">
        <v>32</v>
      </c>
      <c r="C304" s="90">
        <v>1183</v>
      </c>
      <c r="D304" s="785"/>
    </row>
    <row r="305" spans="2:4" s="89" customFormat="1" x14ac:dyDescent="0.4">
      <c r="B305" s="11" t="s">
        <v>120</v>
      </c>
      <c r="C305" s="39">
        <v>32009</v>
      </c>
      <c r="D305" s="468" t="s">
        <v>9</v>
      </c>
    </row>
    <row r="306" spans="2:4" s="89" customFormat="1" ht="34.799999999999997" x14ac:dyDescent="0.4">
      <c r="B306" s="11" t="s">
        <v>33</v>
      </c>
      <c r="C306" s="48" t="s">
        <v>385</v>
      </c>
      <c r="D306" s="673"/>
    </row>
    <row r="307" spans="2:4" s="89" customFormat="1" ht="52.2" x14ac:dyDescent="0.4">
      <c r="B307" s="11" t="s">
        <v>34</v>
      </c>
      <c r="C307" s="48" t="s">
        <v>386</v>
      </c>
      <c r="D307" s="674"/>
    </row>
    <row r="308" spans="2:4" s="89" customFormat="1" ht="34.799999999999997" x14ac:dyDescent="0.4">
      <c r="B308" s="11" t="s">
        <v>35</v>
      </c>
      <c r="C308" s="110" t="s">
        <v>98</v>
      </c>
      <c r="D308" s="674"/>
    </row>
    <row r="309" spans="2:4" s="89" customFormat="1" ht="72" customHeight="1" x14ac:dyDescent="0.4">
      <c r="B309" s="11" t="s">
        <v>119</v>
      </c>
      <c r="C309" s="110" t="s">
        <v>247</v>
      </c>
      <c r="D309" s="674"/>
    </row>
    <row r="310" spans="2:4" s="89" customFormat="1" ht="17.7" customHeight="1" x14ac:dyDescent="0.4">
      <c r="B310" s="802" t="s">
        <v>36</v>
      </c>
      <c r="C310" s="803"/>
      <c r="D310" s="664"/>
    </row>
    <row r="311" spans="2:4" s="89" customFormat="1" ht="17.7" customHeight="1" x14ac:dyDescent="0.4">
      <c r="B311" s="794" t="s">
        <v>227</v>
      </c>
      <c r="C311" s="795"/>
      <c r="D311" s="54">
        <v>-3</v>
      </c>
    </row>
    <row r="312" spans="2:4" s="89" customFormat="1" x14ac:dyDescent="0.4">
      <c r="B312" s="19" t="s">
        <v>37</v>
      </c>
      <c r="C312" s="19"/>
      <c r="D312" s="52">
        <f>+'Հավելված N 4'!G307</f>
        <v>-224588.6</v>
      </c>
    </row>
    <row r="313" spans="2:4" ht="9.9" customHeight="1" x14ac:dyDescent="0.4">
      <c r="B313" s="8"/>
      <c r="C313" s="8"/>
      <c r="D313" s="8"/>
    </row>
    <row r="314" spans="2:4" s="89" customFormat="1" x14ac:dyDescent="0.4">
      <c r="B314" s="796" t="s">
        <v>3</v>
      </c>
      <c r="C314" s="797"/>
      <c r="D314" s="785" t="s">
        <v>106</v>
      </c>
    </row>
    <row r="315" spans="2:4" s="89" customFormat="1" ht="54.75" customHeight="1" x14ac:dyDescent="0.4">
      <c r="B315" s="17" t="s">
        <v>32</v>
      </c>
      <c r="C315" s="90">
        <v>1183</v>
      </c>
      <c r="D315" s="785"/>
    </row>
    <row r="316" spans="2:4" s="89" customFormat="1" x14ac:dyDescent="0.4">
      <c r="B316" s="11" t="s">
        <v>120</v>
      </c>
      <c r="C316" s="39">
        <v>32013</v>
      </c>
      <c r="D316" s="468" t="s">
        <v>9</v>
      </c>
    </row>
    <row r="317" spans="2:4" s="89" customFormat="1" ht="52.2" x14ac:dyDescent="0.4">
      <c r="B317" s="11" t="s">
        <v>133</v>
      </c>
      <c r="C317" s="48" t="s">
        <v>573</v>
      </c>
      <c r="D317" s="673"/>
    </row>
    <row r="318" spans="2:4" s="89" customFormat="1" ht="87" x14ac:dyDescent="0.4">
      <c r="B318" s="11" t="s">
        <v>134</v>
      </c>
      <c r="C318" s="48" t="s">
        <v>1158</v>
      </c>
      <c r="D318" s="674"/>
    </row>
    <row r="319" spans="2:4" s="89" customFormat="1" ht="34.799999999999997" x14ac:dyDescent="0.4">
      <c r="B319" s="11" t="s">
        <v>135</v>
      </c>
      <c r="C319" s="110" t="s">
        <v>98</v>
      </c>
      <c r="D319" s="674"/>
    </row>
    <row r="320" spans="2:4" s="89" customFormat="1" ht="72" customHeight="1" x14ac:dyDescent="0.4">
      <c r="B320" s="11" t="s">
        <v>1226</v>
      </c>
      <c r="C320" s="110" t="s">
        <v>1227</v>
      </c>
      <c r="D320" s="674"/>
    </row>
    <row r="321" spans="1:4" s="89" customFormat="1" ht="17.7" customHeight="1" x14ac:dyDescent="0.4">
      <c r="B321" s="802" t="s">
        <v>36</v>
      </c>
      <c r="C321" s="803"/>
      <c r="D321" s="664"/>
    </row>
    <row r="322" spans="1:4" s="89" customFormat="1" ht="17.7" customHeight="1" x14ac:dyDescent="0.4">
      <c r="B322" s="798" t="s">
        <v>230</v>
      </c>
      <c r="C322" s="812"/>
      <c r="D322" s="54">
        <v>-51</v>
      </c>
    </row>
    <row r="323" spans="1:4" s="89" customFormat="1" x14ac:dyDescent="0.4">
      <c r="B323" s="19" t="s">
        <v>37</v>
      </c>
      <c r="C323" s="19"/>
      <c r="D323" s="52">
        <f>+'Հավելված N 4'!G336</f>
        <v>-267300</v>
      </c>
    </row>
    <row r="325" spans="1:4" x14ac:dyDescent="0.4">
      <c r="B325" s="285"/>
      <c r="C325" s="285"/>
      <c r="D325" s="173"/>
    </row>
    <row r="326" spans="1:4" x14ac:dyDescent="0.4">
      <c r="B326" s="285"/>
      <c r="C326" s="285"/>
      <c r="D326" s="173"/>
    </row>
    <row r="327" spans="1:4" x14ac:dyDescent="0.4">
      <c r="B327" s="285"/>
      <c r="C327" s="285"/>
      <c r="D327" s="173"/>
    </row>
    <row r="328" spans="1:4" x14ac:dyDescent="0.4">
      <c r="B328" s="285"/>
      <c r="C328" s="285"/>
      <c r="D328" s="173"/>
    </row>
    <row r="329" spans="1:4" x14ac:dyDescent="0.4">
      <c r="B329" s="285"/>
      <c r="C329" s="285"/>
      <c r="D329" s="173"/>
    </row>
    <row r="330" spans="1:4" ht="21.9" customHeight="1" x14ac:dyDescent="0.4">
      <c r="A330" s="792" t="s">
        <v>1230</v>
      </c>
      <c r="B330" s="792"/>
      <c r="C330" s="792"/>
      <c r="D330" s="792"/>
    </row>
    <row r="331" spans="1:4" ht="39" customHeight="1" x14ac:dyDescent="0.4">
      <c r="C331" s="467" t="s">
        <v>1118</v>
      </c>
      <c r="D331" s="16"/>
    </row>
    <row r="332" spans="1:4" ht="18" x14ac:dyDescent="0.4">
      <c r="B332" s="789" t="s">
        <v>107</v>
      </c>
      <c r="C332" s="790"/>
      <c r="D332" s="791"/>
    </row>
    <row r="333" spans="1:4" s="8" customFormat="1" x14ac:dyDescent="0.4"/>
    <row r="334" spans="1:4" s="8" customFormat="1" x14ac:dyDescent="0.4"/>
    <row r="335" spans="1:4" s="8" customFormat="1" ht="18" x14ac:dyDescent="0.4">
      <c r="B335" s="531" t="s">
        <v>1</v>
      </c>
      <c r="C335" s="810" t="s">
        <v>2</v>
      </c>
      <c r="D335" s="811"/>
    </row>
    <row r="336" spans="1:4" s="8" customFormat="1" x14ac:dyDescent="0.4">
      <c r="B336" s="51">
        <v>1183</v>
      </c>
      <c r="C336" s="17" t="s">
        <v>99</v>
      </c>
      <c r="D336" s="17"/>
    </row>
    <row r="337" spans="2:4" s="8" customFormat="1" x14ac:dyDescent="0.4"/>
    <row r="338" spans="2:4" s="89" customFormat="1" ht="17.7" customHeight="1" x14ac:dyDescent="0.4">
      <c r="B338" s="796" t="s">
        <v>3</v>
      </c>
      <c r="C338" s="797"/>
      <c r="D338" s="785" t="s">
        <v>88</v>
      </c>
    </row>
    <row r="339" spans="2:4" s="8" customFormat="1" ht="54.75" customHeight="1" x14ac:dyDescent="0.4">
      <c r="B339" s="17" t="s">
        <v>32</v>
      </c>
      <c r="C339" s="90">
        <v>1183</v>
      </c>
      <c r="D339" s="785"/>
    </row>
    <row r="340" spans="2:4" s="89" customFormat="1" x14ac:dyDescent="0.4">
      <c r="B340" s="11" t="s">
        <v>120</v>
      </c>
      <c r="C340" s="39">
        <v>32012</v>
      </c>
      <c r="D340" s="468" t="s">
        <v>9</v>
      </c>
    </row>
    <row r="341" spans="2:4" s="89" customFormat="1" ht="34.799999999999997" x14ac:dyDescent="0.4">
      <c r="B341" s="11" t="s">
        <v>33</v>
      </c>
      <c r="C341" s="48" t="s">
        <v>1219</v>
      </c>
      <c r="D341" s="673"/>
    </row>
    <row r="342" spans="2:4" s="89" customFormat="1" ht="34.799999999999997" x14ac:dyDescent="0.4">
      <c r="B342" s="11" t="s">
        <v>34</v>
      </c>
      <c r="C342" s="48" t="s">
        <v>1220</v>
      </c>
      <c r="D342" s="674"/>
    </row>
    <row r="343" spans="2:4" s="89" customFormat="1" ht="34.799999999999997" x14ac:dyDescent="0.4">
      <c r="B343" s="11" t="s">
        <v>35</v>
      </c>
      <c r="C343" s="110" t="s">
        <v>98</v>
      </c>
      <c r="D343" s="674"/>
    </row>
    <row r="344" spans="2:4" s="89" customFormat="1" ht="72" customHeight="1" x14ac:dyDescent="0.4">
      <c r="B344" s="11" t="s">
        <v>119</v>
      </c>
      <c r="C344" s="110" t="s">
        <v>247</v>
      </c>
      <c r="D344" s="674"/>
    </row>
    <row r="345" spans="2:4" s="89" customFormat="1" ht="17.7" customHeight="1" x14ac:dyDescent="0.4">
      <c r="B345" s="802" t="s">
        <v>36</v>
      </c>
      <c r="C345" s="803"/>
      <c r="D345" s="664"/>
    </row>
    <row r="346" spans="2:4" s="8" customFormat="1" ht="18" customHeight="1" x14ac:dyDescent="0.4">
      <c r="B346" s="805" t="s">
        <v>1222</v>
      </c>
      <c r="C346" s="805"/>
      <c r="D346" s="54">
        <v>1</v>
      </c>
    </row>
    <row r="347" spans="2:4" s="89" customFormat="1" x14ac:dyDescent="0.4">
      <c r="B347" s="19" t="s">
        <v>37</v>
      </c>
      <c r="C347" s="19"/>
      <c r="D347" s="52">
        <f>+'Հավելված N 4'!G327</f>
        <v>2546</v>
      </c>
    </row>
    <row r="349" spans="2:4" x14ac:dyDescent="0.4">
      <c r="B349" s="285"/>
      <c r="C349" s="285"/>
      <c r="D349" s="173"/>
    </row>
    <row r="350" spans="2:4" x14ac:dyDescent="0.4">
      <c r="B350" s="285"/>
      <c r="C350" s="285"/>
      <c r="D350" s="173"/>
    </row>
    <row r="351" spans="2:4" x14ac:dyDescent="0.4">
      <c r="B351" s="285"/>
      <c r="C351" s="285"/>
      <c r="D351" s="173"/>
    </row>
    <row r="352" spans="2:4" x14ac:dyDescent="0.4">
      <c r="B352" s="285"/>
      <c r="C352" s="285"/>
      <c r="D352" s="173"/>
    </row>
    <row r="353" spans="1:4" x14ac:dyDescent="0.4">
      <c r="B353" s="285"/>
      <c r="C353" s="285"/>
      <c r="D353" s="173"/>
    </row>
    <row r="354" spans="1:4" ht="21.9" customHeight="1" x14ac:dyDescent="0.4">
      <c r="A354" s="792" t="s">
        <v>1231</v>
      </c>
      <c r="B354" s="792"/>
      <c r="C354" s="792"/>
      <c r="D354" s="792"/>
    </row>
    <row r="355" spans="1:4" ht="39" customHeight="1" x14ac:dyDescent="0.4">
      <c r="C355" s="467" t="s">
        <v>1108</v>
      </c>
      <c r="D355" s="16"/>
    </row>
    <row r="356" spans="1:4" ht="18" x14ac:dyDescent="0.4">
      <c r="B356" s="789" t="s">
        <v>107</v>
      </c>
      <c r="C356" s="790"/>
      <c r="D356" s="791"/>
    </row>
    <row r="357" spans="1:4" s="8" customFormat="1" x14ac:dyDescent="0.4"/>
    <row r="358" spans="1:4" s="8" customFormat="1" x14ac:dyDescent="0.4"/>
    <row r="359" spans="1:4" s="8" customFormat="1" ht="18" x14ac:dyDescent="0.4">
      <c r="B359" s="531" t="s">
        <v>1</v>
      </c>
      <c r="C359" s="810" t="s">
        <v>2</v>
      </c>
      <c r="D359" s="811"/>
    </row>
    <row r="360" spans="1:4" s="8" customFormat="1" x14ac:dyDescent="0.4">
      <c r="B360" s="51">
        <v>1183</v>
      </c>
      <c r="C360" s="17" t="s">
        <v>99</v>
      </c>
      <c r="D360" s="17"/>
    </row>
    <row r="361" spans="1:4" s="8" customFormat="1" x14ac:dyDescent="0.4"/>
    <row r="362" spans="1:4" s="8" customFormat="1" ht="18" customHeight="1" x14ac:dyDescent="0.4">
      <c r="B362" s="796" t="s">
        <v>3</v>
      </c>
      <c r="C362" s="797"/>
      <c r="D362" s="785" t="s">
        <v>88</v>
      </c>
    </row>
    <row r="363" spans="1:4" s="8" customFormat="1" ht="54.75" customHeight="1" x14ac:dyDescent="0.4">
      <c r="B363" s="17" t="s">
        <v>32</v>
      </c>
      <c r="C363" s="90">
        <v>1183</v>
      </c>
      <c r="D363" s="785"/>
    </row>
    <row r="364" spans="1:4" s="8" customFormat="1" x14ac:dyDescent="0.4">
      <c r="B364" s="11" t="s">
        <v>120</v>
      </c>
      <c r="C364" s="39">
        <v>32001</v>
      </c>
      <c r="D364" s="468" t="s">
        <v>9</v>
      </c>
    </row>
    <row r="365" spans="1:4" s="8" customFormat="1" ht="34.799999999999997" x14ac:dyDescent="0.4">
      <c r="B365" s="11" t="s">
        <v>33</v>
      </c>
      <c r="C365" s="48" t="s">
        <v>245</v>
      </c>
      <c r="D365" s="673"/>
    </row>
    <row r="366" spans="1:4" s="8" customFormat="1" ht="75" customHeight="1" x14ac:dyDescent="0.4">
      <c r="B366" s="11" t="s">
        <v>34</v>
      </c>
      <c r="C366" s="48" t="s">
        <v>246</v>
      </c>
      <c r="D366" s="674"/>
    </row>
    <row r="367" spans="1:4" s="8" customFormat="1" ht="34.799999999999997" x14ac:dyDescent="0.4">
      <c r="B367" s="11" t="s">
        <v>35</v>
      </c>
      <c r="C367" s="110" t="s">
        <v>98</v>
      </c>
      <c r="D367" s="674"/>
    </row>
    <row r="368" spans="1:4" s="8" customFormat="1" ht="72" customHeight="1" x14ac:dyDescent="0.4">
      <c r="B368" s="11" t="s">
        <v>119</v>
      </c>
      <c r="C368" s="110" t="s">
        <v>247</v>
      </c>
      <c r="D368" s="674"/>
    </row>
    <row r="369" spans="1:4" s="8" customFormat="1" x14ac:dyDescent="0.4">
      <c r="B369" s="793" t="s">
        <v>36</v>
      </c>
      <c r="C369" s="793"/>
      <c r="D369" s="664"/>
    </row>
    <row r="370" spans="1:4" s="8" customFormat="1" ht="17.55" customHeight="1" x14ac:dyDescent="0.4">
      <c r="B370" s="794" t="s">
        <v>109</v>
      </c>
      <c r="C370" s="795"/>
      <c r="D370" s="54">
        <v>2</v>
      </c>
    </row>
    <row r="371" spans="1:4" s="8" customFormat="1" x14ac:dyDescent="0.4">
      <c r="B371" s="19" t="s">
        <v>37</v>
      </c>
      <c r="C371" s="19"/>
      <c r="D371" s="52">
        <f>+'Հավելված N 4'!G233</f>
        <v>42336.9</v>
      </c>
    </row>
    <row r="373" spans="1:4" x14ac:dyDescent="0.4">
      <c r="B373" s="285"/>
      <c r="C373" s="285"/>
      <c r="D373" s="173"/>
    </row>
    <row r="374" spans="1:4" x14ac:dyDescent="0.4">
      <c r="B374" s="285"/>
      <c r="C374" s="285"/>
      <c r="D374" s="173"/>
    </row>
    <row r="375" spans="1:4" x14ac:dyDescent="0.4">
      <c r="B375" s="285"/>
      <c r="C375" s="285"/>
      <c r="D375" s="173"/>
    </row>
    <row r="376" spans="1:4" x14ac:dyDescent="0.4">
      <c r="B376" s="285"/>
      <c r="C376" s="285"/>
      <c r="D376" s="173"/>
    </row>
    <row r="377" spans="1:4" x14ac:dyDescent="0.4">
      <c r="B377" s="285"/>
      <c r="C377" s="285"/>
      <c r="D377" s="173"/>
    </row>
    <row r="378" spans="1:4" ht="21.9" customHeight="1" x14ac:dyDescent="0.4">
      <c r="A378" s="792" t="s">
        <v>1232</v>
      </c>
      <c r="B378" s="792"/>
      <c r="C378" s="792"/>
      <c r="D378" s="792"/>
    </row>
    <row r="379" spans="1:4" ht="39" customHeight="1" x14ac:dyDescent="0.4">
      <c r="C379" s="467" t="s">
        <v>1136</v>
      </c>
      <c r="D379" s="16"/>
    </row>
    <row r="380" spans="1:4" ht="18" x14ac:dyDescent="0.4">
      <c r="B380" s="789" t="s">
        <v>107</v>
      </c>
      <c r="C380" s="790"/>
      <c r="D380" s="791"/>
    </row>
    <row r="381" spans="1:4" s="8" customFormat="1" x14ac:dyDescent="0.4"/>
    <row r="382" spans="1:4" s="8" customFormat="1" x14ac:dyDescent="0.4"/>
    <row r="383" spans="1:4" s="8" customFormat="1" ht="18" x14ac:dyDescent="0.4">
      <c r="B383" s="531" t="s">
        <v>1</v>
      </c>
      <c r="C383" s="810" t="s">
        <v>2</v>
      </c>
      <c r="D383" s="811"/>
    </row>
    <row r="384" spans="1:4" s="8" customFormat="1" x14ac:dyDescent="0.4">
      <c r="B384" s="51">
        <v>1183</v>
      </c>
      <c r="C384" s="17" t="s">
        <v>99</v>
      </c>
      <c r="D384" s="17"/>
    </row>
    <row r="385" spans="2:4" s="8" customFormat="1" x14ac:dyDescent="0.4"/>
    <row r="386" spans="2:4" s="8" customFormat="1" ht="18" customHeight="1" x14ac:dyDescent="0.4">
      <c r="B386" s="796" t="s">
        <v>3</v>
      </c>
      <c r="C386" s="797"/>
      <c r="D386" s="785" t="s">
        <v>88</v>
      </c>
    </row>
    <row r="387" spans="2:4" s="8" customFormat="1" ht="54.75" customHeight="1" x14ac:dyDescent="0.4">
      <c r="B387" s="17" t="s">
        <v>32</v>
      </c>
      <c r="C387" s="90">
        <v>1183</v>
      </c>
      <c r="D387" s="785"/>
    </row>
    <row r="388" spans="2:4" s="8" customFormat="1" x14ac:dyDescent="0.4">
      <c r="B388" s="11" t="s">
        <v>120</v>
      </c>
      <c r="C388" s="39">
        <v>32001</v>
      </c>
      <c r="D388" s="468" t="s">
        <v>9</v>
      </c>
    </row>
    <row r="389" spans="2:4" s="8" customFormat="1" ht="34.799999999999997" x14ac:dyDescent="0.4">
      <c r="B389" s="11" t="s">
        <v>33</v>
      </c>
      <c r="C389" s="48" t="s">
        <v>245</v>
      </c>
      <c r="D389" s="673"/>
    </row>
    <row r="390" spans="2:4" s="8" customFormat="1" ht="75" customHeight="1" x14ac:dyDescent="0.4">
      <c r="B390" s="11" t="s">
        <v>34</v>
      </c>
      <c r="C390" s="48" t="s">
        <v>246</v>
      </c>
      <c r="D390" s="674"/>
    </row>
    <row r="391" spans="2:4" s="8" customFormat="1" ht="34.799999999999997" x14ac:dyDescent="0.4">
      <c r="B391" s="11" t="s">
        <v>35</v>
      </c>
      <c r="C391" s="110" t="s">
        <v>98</v>
      </c>
      <c r="D391" s="674"/>
    </row>
    <row r="392" spans="2:4" s="8" customFormat="1" ht="72" customHeight="1" x14ac:dyDescent="0.4">
      <c r="B392" s="11" t="s">
        <v>119</v>
      </c>
      <c r="C392" s="110" t="s">
        <v>247</v>
      </c>
      <c r="D392" s="674"/>
    </row>
    <row r="393" spans="2:4" s="8" customFormat="1" x14ac:dyDescent="0.4">
      <c r="B393" s="793" t="s">
        <v>36</v>
      </c>
      <c r="C393" s="793"/>
      <c r="D393" s="664"/>
    </row>
    <row r="394" spans="2:4" s="8" customFormat="1" ht="17.55" customHeight="1" x14ac:dyDescent="0.4">
      <c r="B394" s="794" t="s">
        <v>109</v>
      </c>
      <c r="C394" s="795"/>
      <c r="D394" s="54">
        <v>1</v>
      </c>
    </row>
    <row r="395" spans="2:4" s="8" customFormat="1" x14ac:dyDescent="0.4">
      <c r="B395" s="19" t="s">
        <v>37</v>
      </c>
      <c r="C395" s="19"/>
      <c r="D395" s="52">
        <f>+'Հավելված N 4'!G240</f>
        <v>7503.5</v>
      </c>
    </row>
    <row r="396" spans="2:4" s="8" customFormat="1" x14ac:dyDescent="0.4"/>
    <row r="397" spans="2:4" s="8" customFormat="1" x14ac:dyDescent="0.4"/>
    <row r="399" spans="2:4" x14ac:dyDescent="0.4">
      <c r="B399" s="285"/>
      <c r="C399" s="285"/>
      <c r="D399" s="173"/>
    </row>
    <row r="400" spans="2:4" x14ac:dyDescent="0.4">
      <c r="B400" s="285"/>
      <c r="C400" s="285"/>
      <c r="D400" s="173"/>
    </row>
    <row r="401" spans="1:4" x14ac:dyDescent="0.4">
      <c r="B401" s="285"/>
      <c r="C401" s="285"/>
      <c r="D401" s="173"/>
    </row>
    <row r="402" spans="1:4" x14ac:dyDescent="0.4">
      <c r="B402" s="285"/>
      <c r="C402" s="285"/>
      <c r="D402" s="173"/>
    </row>
    <row r="403" spans="1:4" x14ac:dyDescent="0.4">
      <c r="B403" s="285"/>
      <c r="C403" s="285"/>
      <c r="D403" s="173"/>
    </row>
    <row r="404" spans="1:4" ht="21.9" customHeight="1" x14ac:dyDescent="0.4">
      <c r="A404" s="792" t="s">
        <v>1233</v>
      </c>
      <c r="B404" s="792"/>
      <c r="C404" s="792"/>
      <c r="D404" s="792"/>
    </row>
    <row r="405" spans="1:4" ht="39" customHeight="1" x14ac:dyDescent="0.4">
      <c r="C405" s="467" t="s">
        <v>1111</v>
      </c>
      <c r="D405" s="16"/>
    </row>
    <row r="406" spans="1:4" ht="18" x14ac:dyDescent="0.4">
      <c r="B406" s="789" t="s">
        <v>107</v>
      </c>
      <c r="C406" s="790"/>
      <c r="D406" s="791"/>
    </row>
    <row r="407" spans="1:4" s="8" customFormat="1" x14ac:dyDescent="0.4"/>
    <row r="408" spans="1:4" s="8" customFormat="1" x14ac:dyDescent="0.4"/>
    <row r="409" spans="1:4" s="8" customFormat="1" ht="18" x14ac:dyDescent="0.4">
      <c r="B409" s="531" t="s">
        <v>1</v>
      </c>
      <c r="C409" s="810" t="s">
        <v>2</v>
      </c>
      <c r="D409" s="811"/>
    </row>
    <row r="410" spans="1:4" s="8" customFormat="1" x14ac:dyDescent="0.4">
      <c r="B410" s="51">
        <v>1183</v>
      </c>
      <c r="C410" s="17" t="s">
        <v>99</v>
      </c>
      <c r="D410" s="17"/>
    </row>
    <row r="411" spans="1:4" s="8" customFormat="1" x14ac:dyDescent="0.4"/>
    <row r="412" spans="1:4" s="8" customFormat="1" ht="18" customHeight="1" x14ac:dyDescent="0.4">
      <c r="B412" s="796" t="s">
        <v>3</v>
      </c>
      <c r="C412" s="797"/>
      <c r="D412" s="785" t="s">
        <v>88</v>
      </c>
    </row>
    <row r="413" spans="1:4" s="8" customFormat="1" ht="54.75" customHeight="1" x14ac:dyDescent="0.4">
      <c r="B413" s="17" t="s">
        <v>32</v>
      </c>
      <c r="C413" s="90">
        <v>1183</v>
      </c>
      <c r="D413" s="785"/>
    </row>
    <row r="414" spans="1:4" s="8" customFormat="1" x14ac:dyDescent="0.4">
      <c r="B414" s="11" t="s">
        <v>120</v>
      </c>
      <c r="C414" s="39">
        <v>32001</v>
      </c>
      <c r="D414" s="468" t="s">
        <v>9</v>
      </c>
    </row>
    <row r="415" spans="1:4" s="8" customFormat="1" ht="34.799999999999997" x14ac:dyDescent="0.4">
      <c r="B415" s="11" t="s">
        <v>33</v>
      </c>
      <c r="C415" s="48" t="s">
        <v>245</v>
      </c>
      <c r="D415" s="673"/>
    </row>
    <row r="416" spans="1:4" s="8" customFormat="1" ht="75" customHeight="1" x14ac:dyDescent="0.4">
      <c r="B416" s="11" t="s">
        <v>34</v>
      </c>
      <c r="C416" s="48" t="s">
        <v>246</v>
      </c>
      <c r="D416" s="674"/>
    </row>
    <row r="417" spans="1:4" s="8" customFormat="1" ht="34.799999999999997" x14ac:dyDescent="0.4">
      <c r="B417" s="11" t="s">
        <v>35</v>
      </c>
      <c r="C417" s="110" t="s">
        <v>98</v>
      </c>
      <c r="D417" s="674"/>
    </row>
    <row r="418" spans="1:4" s="8" customFormat="1" ht="72" customHeight="1" x14ac:dyDescent="0.4">
      <c r="B418" s="11" t="s">
        <v>119</v>
      </c>
      <c r="C418" s="110" t="s">
        <v>247</v>
      </c>
      <c r="D418" s="674"/>
    </row>
    <row r="419" spans="1:4" s="8" customFormat="1" x14ac:dyDescent="0.4">
      <c r="B419" s="793" t="s">
        <v>36</v>
      </c>
      <c r="C419" s="793"/>
      <c r="D419" s="664"/>
    </row>
    <row r="420" spans="1:4" s="8" customFormat="1" ht="17.55" customHeight="1" x14ac:dyDescent="0.4">
      <c r="B420" s="794" t="s">
        <v>109</v>
      </c>
      <c r="C420" s="795"/>
      <c r="D420" s="54">
        <v>3</v>
      </c>
    </row>
    <row r="421" spans="1:4" s="8" customFormat="1" x14ac:dyDescent="0.4">
      <c r="B421" s="19" t="s">
        <v>37</v>
      </c>
      <c r="C421" s="19"/>
      <c r="D421" s="52">
        <f>+'Հավելված N 4'!G247</f>
        <v>82630.7</v>
      </c>
    </row>
    <row r="422" spans="1:4" s="8" customFormat="1" x14ac:dyDescent="0.4"/>
    <row r="423" spans="1:4" s="46" customFormat="1" x14ac:dyDescent="0.4">
      <c r="D423" s="598"/>
    </row>
    <row r="424" spans="1:4" s="46" customFormat="1" x14ac:dyDescent="0.4"/>
    <row r="425" spans="1:4" s="8" customFormat="1" x14ac:dyDescent="0.4"/>
    <row r="426" spans="1:4" s="8" customFormat="1" x14ac:dyDescent="0.4">
      <c r="B426" s="586"/>
      <c r="C426" s="586"/>
      <c r="D426" s="173"/>
    </row>
    <row r="427" spans="1:4" s="8" customFormat="1" x14ac:dyDescent="0.4">
      <c r="B427" s="586"/>
      <c r="C427" s="586"/>
      <c r="D427" s="173"/>
    </row>
    <row r="428" spans="1:4" s="8" customFormat="1" x14ac:dyDescent="0.4">
      <c r="B428" s="586"/>
      <c r="C428" s="586"/>
      <c r="D428" s="173"/>
    </row>
    <row r="429" spans="1:4" s="8" customFormat="1" x14ac:dyDescent="0.4">
      <c r="B429" s="586"/>
      <c r="C429" s="586"/>
      <c r="D429" s="173"/>
    </row>
    <row r="430" spans="1:4" s="8" customFormat="1" x14ac:dyDescent="0.4">
      <c r="B430" s="586"/>
      <c r="C430" s="586"/>
      <c r="D430" s="173"/>
    </row>
    <row r="431" spans="1:4" s="8" customFormat="1" ht="21.9" customHeight="1" x14ac:dyDescent="0.4">
      <c r="A431" s="809" t="s">
        <v>147</v>
      </c>
      <c r="B431" s="809"/>
      <c r="C431" s="809"/>
      <c r="D431" s="809"/>
    </row>
    <row r="432" spans="1:4" s="8" customFormat="1" ht="39" customHeight="1" x14ac:dyDescent="0.4">
      <c r="C432" s="599" t="s">
        <v>139</v>
      </c>
      <c r="D432" s="600"/>
    </row>
    <row r="433" spans="2:4" s="8" customFormat="1" ht="18" x14ac:dyDescent="0.4">
      <c r="B433" s="789" t="s">
        <v>8</v>
      </c>
      <c r="C433" s="790"/>
      <c r="D433" s="791"/>
    </row>
    <row r="434" spans="2:4" s="46" customFormat="1" x14ac:dyDescent="0.4">
      <c r="D434" s="598"/>
    </row>
    <row r="435" spans="2:4" s="46" customFormat="1" x14ac:dyDescent="0.4"/>
    <row r="436" spans="2:4" s="8" customFormat="1" ht="18" x14ac:dyDescent="0.4">
      <c r="B436" s="279" t="s">
        <v>1</v>
      </c>
      <c r="C436" s="279" t="s">
        <v>2</v>
      </c>
      <c r="D436" s="231"/>
    </row>
    <row r="437" spans="2:4" s="8" customFormat="1" x14ac:dyDescent="0.4">
      <c r="B437" s="168">
        <v>1139</v>
      </c>
      <c r="C437" s="201" t="s">
        <v>200</v>
      </c>
      <c r="D437" s="231"/>
    </row>
    <row r="438" spans="2:4" s="8" customFormat="1" x14ac:dyDescent="0.4"/>
    <row r="439" spans="2:4" s="8" customFormat="1" ht="18" x14ac:dyDescent="0.4">
      <c r="B439" s="806" t="s">
        <v>3</v>
      </c>
      <c r="C439" s="807"/>
      <c r="D439" s="785" t="s">
        <v>88</v>
      </c>
    </row>
    <row r="440" spans="2:4" s="8" customFormat="1" ht="55.35" customHeight="1" x14ac:dyDescent="0.4">
      <c r="B440" s="201" t="s">
        <v>4</v>
      </c>
      <c r="C440" s="257">
        <v>1139</v>
      </c>
      <c r="D440" s="785"/>
    </row>
    <row r="441" spans="2:4" s="8" customFormat="1" x14ac:dyDescent="0.4">
      <c r="B441" s="221" t="s">
        <v>5</v>
      </c>
      <c r="C441" s="286">
        <v>11001</v>
      </c>
      <c r="D441" s="468" t="s">
        <v>9</v>
      </c>
    </row>
    <row r="442" spans="2:4" s="8" customFormat="1" ht="34.799999999999997" x14ac:dyDescent="0.4">
      <c r="B442" s="221" t="s">
        <v>133</v>
      </c>
      <c r="C442" s="257" t="s">
        <v>200</v>
      </c>
      <c r="D442" s="231"/>
    </row>
    <row r="443" spans="2:4" s="8" customFormat="1" ht="69.599999999999994" x14ac:dyDescent="0.4">
      <c r="B443" s="221" t="s">
        <v>134</v>
      </c>
      <c r="C443" s="257" t="s">
        <v>254</v>
      </c>
      <c r="D443" s="231"/>
    </row>
    <row r="444" spans="2:4" ht="34.799999999999997" x14ac:dyDescent="0.4">
      <c r="B444" s="221" t="s">
        <v>135</v>
      </c>
      <c r="C444" s="282" t="s">
        <v>255</v>
      </c>
      <c r="D444" s="237"/>
    </row>
    <row r="445" spans="2:4" ht="52.2" x14ac:dyDescent="0.4">
      <c r="B445" s="299" t="s">
        <v>256</v>
      </c>
      <c r="C445" s="282" t="s">
        <v>139</v>
      </c>
      <c r="D445" s="237"/>
    </row>
    <row r="446" spans="2:4" x14ac:dyDescent="0.4">
      <c r="B446" s="287"/>
      <c r="C446" s="288" t="s">
        <v>0</v>
      </c>
      <c r="D446" s="237"/>
    </row>
    <row r="447" spans="2:4" x14ac:dyDescent="0.4">
      <c r="B447" s="808" t="s">
        <v>6</v>
      </c>
      <c r="C447" s="808"/>
      <c r="D447" s="289">
        <f>+'Հավելված N 3'!D220</f>
        <v>14531201.9</v>
      </c>
    </row>
    <row r="448" spans="2:4" ht="9.15" customHeight="1" x14ac:dyDescent="0.4"/>
    <row r="449" spans="2:4" ht="17.7" customHeight="1" x14ac:dyDescent="0.4">
      <c r="B449" s="806" t="s">
        <v>3</v>
      </c>
      <c r="C449" s="807"/>
      <c r="D449" s="785" t="s">
        <v>106</v>
      </c>
    </row>
    <row r="450" spans="2:4" ht="55.35" customHeight="1" x14ac:dyDescent="0.4">
      <c r="B450" s="201" t="s">
        <v>4</v>
      </c>
      <c r="C450" s="257">
        <v>1139</v>
      </c>
      <c r="D450" s="785"/>
    </row>
    <row r="451" spans="2:4" x14ac:dyDescent="0.4">
      <c r="B451" s="221" t="s">
        <v>5</v>
      </c>
      <c r="C451" s="286">
        <v>11001</v>
      </c>
      <c r="D451" s="468" t="s">
        <v>9</v>
      </c>
    </row>
    <row r="452" spans="2:4" ht="34.799999999999997" x14ac:dyDescent="0.4">
      <c r="B452" s="221" t="s">
        <v>133</v>
      </c>
      <c r="C452" s="282" t="s">
        <v>200</v>
      </c>
      <c r="D452" s="237"/>
    </row>
    <row r="453" spans="2:4" ht="69.599999999999994" x14ac:dyDescent="0.4">
      <c r="B453" s="221" t="s">
        <v>134</v>
      </c>
      <c r="C453" s="282" t="s">
        <v>254</v>
      </c>
      <c r="D453" s="237"/>
    </row>
    <row r="454" spans="2:4" ht="34.799999999999997" x14ac:dyDescent="0.4">
      <c r="B454" s="221" t="s">
        <v>135</v>
      </c>
      <c r="C454" s="282" t="s">
        <v>255</v>
      </c>
      <c r="D454" s="237"/>
    </row>
    <row r="455" spans="2:4" ht="52.2" x14ac:dyDescent="0.4">
      <c r="B455" s="299" t="s">
        <v>256</v>
      </c>
      <c r="C455" s="282" t="s">
        <v>139</v>
      </c>
      <c r="D455" s="237"/>
    </row>
    <row r="456" spans="2:4" x14ac:dyDescent="0.4">
      <c r="B456" s="287"/>
      <c r="C456" s="288" t="s">
        <v>0</v>
      </c>
      <c r="D456" s="237"/>
    </row>
    <row r="457" spans="2:4" x14ac:dyDescent="0.4">
      <c r="B457" s="808" t="s">
        <v>6</v>
      </c>
      <c r="C457" s="808"/>
      <c r="D457" s="289">
        <f>+'Հավելված N 4'!G365</f>
        <v>-49983.7</v>
      </c>
    </row>
    <row r="458" spans="2:4" s="89" customFormat="1" ht="8.1" customHeight="1" x14ac:dyDescent="0.4"/>
  </sheetData>
  <mergeCells count="172">
    <mergeCell ref="A404:D404"/>
    <mergeCell ref="B406:D406"/>
    <mergeCell ref="C409:D409"/>
    <mergeCell ref="B412:C412"/>
    <mergeCell ref="D412:D413"/>
    <mergeCell ref="D415:D419"/>
    <mergeCell ref="B419:C419"/>
    <mergeCell ref="B420:C420"/>
    <mergeCell ref="A378:D378"/>
    <mergeCell ref="B380:D380"/>
    <mergeCell ref="C383:D383"/>
    <mergeCell ref="B386:C386"/>
    <mergeCell ref="D386:D387"/>
    <mergeCell ref="D389:D393"/>
    <mergeCell ref="B393:C393"/>
    <mergeCell ref="B394:C394"/>
    <mergeCell ref="C359:D359"/>
    <mergeCell ref="C121:D121"/>
    <mergeCell ref="A157:D157"/>
    <mergeCell ref="B159:D159"/>
    <mergeCell ref="D341:D345"/>
    <mergeCell ref="B345:C345"/>
    <mergeCell ref="B346:C346"/>
    <mergeCell ref="B261:C261"/>
    <mergeCell ref="A330:D330"/>
    <mergeCell ref="B332:D332"/>
    <mergeCell ref="B338:C338"/>
    <mergeCell ref="D338:D339"/>
    <mergeCell ref="D245:D249"/>
    <mergeCell ref="B249:C249"/>
    <mergeCell ref="B250:C250"/>
    <mergeCell ref="B253:C253"/>
    <mergeCell ref="D253:D254"/>
    <mergeCell ref="D256:D260"/>
    <mergeCell ref="B260:C260"/>
    <mergeCell ref="D205:D209"/>
    <mergeCell ref="B209:C209"/>
    <mergeCell ref="B290:C290"/>
    <mergeCell ref="D290:D291"/>
    <mergeCell ref="D293:D297"/>
    <mergeCell ref="B297:C297"/>
    <mergeCell ref="B298:C298"/>
    <mergeCell ref="B287:C287"/>
    <mergeCell ref="C335:D335"/>
    <mergeCell ref="A354:D354"/>
    <mergeCell ref="B356:D356"/>
    <mergeCell ref="B275:C275"/>
    <mergeCell ref="B276:C276"/>
    <mergeCell ref="B279:C279"/>
    <mergeCell ref="B133:C133"/>
    <mergeCell ref="D282:D286"/>
    <mergeCell ref="B286:C286"/>
    <mergeCell ref="B136:C136"/>
    <mergeCell ref="D136:D137"/>
    <mergeCell ref="D139:D143"/>
    <mergeCell ref="B143:C143"/>
    <mergeCell ref="B144:C144"/>
    <mergeCell ref="C264:D264"/>
    <mergeCell ref="A182:D182"/>
    <mergeCell ref="B184:D184"/>
    <mergeCell ref="B190:C190"/>
    <mergeCell ref="B146:C146"/>
    <mergeCell ref="B145:C145"/>
    <mergeCell ref="B147:C147"/>
    <mergeCell ref="B148:C148"/>
    <mergeCell ref="B149:C149"/>
    <mergeCell ref="B210:C210"/>
    <mergeCell ref="B199:C199"/>
    <mergeCell ref="B242:C242"/>
    <mergeCell ref="D242:D243"/>
    <mergeCell ref="B457:C457"/>
    <mergeCell ref="D279:D280"/>
    <mergeCell ref="D306:D310"/>
    <mergeCell ref="B310:C310"/>
    <mergeCell ref="B299:C299"/>
    <mergeCell ref="B300:C300"/>
    <mergeCell ref="B303:C303"/>
    <mergeCell ref="D303:D304"/>
    <mergeCell ref="A431:D431"/>
    <mergeCell ref="B433:D433"/>
    <mergeCell ref="B439:C439"/>
    <mergeCell ref="D439:D440"/>
    <mergeCell ref="B447:C447"/>
    <mergeCell ref="D317:D321"/>
    <mergeCell ref="B321:C321"/>
    <mergeCell ref="D365:D369"/>
    <mergeCell ref="B369:C369"/>
    <mergeCell ref="B370:C370"/>
    <mergeCell ref="B362:C362"/>
    <mergeCell ref="D362:D363"/>
    <mergeCell ref="B322:C322"/>
    <mergeCell ref="B314:C314"/>
    <mergeCell ref="D314:D315"/>
    <mergeCell ref="B311:C311"/>
    <mergeCell ref="B95:C95"/>
    <mergeCell ref="D95:D96"/>
    <mergeCell ref="D98:D102"/>
    <mergeCell ref="B165:C165"/>
    <mergeCell ref="D165:D166"/>
    <mergeCell ref="D168:D172"/>
    <mergeCell ref="B172:C172"/>
    <mergeCell ref="B449:C449"/>
    <mergeCell ref="D449:D450"/>
    <mergeCell ref="B102:C102"/>
    <mergeCell ref="B103:C103"/>
    <mergeCell ref="B267:C267"/>
    <mergeCell ref="D267:D268"/>
    <mergeCell ref="D270:D274"/>
    <mergeCell ref="B274:C274"/>
    <mergeCell ref="D113:D117"/>
    <mergeCell ref="B117:C117"/>
    <mergeCell ref="B118:C118"/>
    <mergeCell ref="B173:C173"/>
    <mergeCell ref="B124:C124"/>
    <mergeCell ref="D124:D125"/>
    <mergeCell ref="D127:D131"/>
    <mergeCell ref="B131:C131"/>
    <mergeCell ref="B132:C132"/>
    <mergeCell ref="B229:C229"/>
    <mergeCell ref="D229:D230"/>
    <mergeCell ref="D232:D236"/>
    <mergeCell ref="B236:C236"/>
    <mergeCell ref="B216:C216"/>
    <mergeCell ref="D216:D217"/>
    <mergeCell ref="D219:D223"/>
    <mergeCell ref="B223:C223"/>
    <mergeCell ref="B104:C104"/>
    <mergeCell ref="B110:C110"/>
    <mergeCell ref="D110:D111"/>
    <mergeCell ref="D190:D191"/>
    <mergeCell ref="D193:D197"/>
    <mergeCell ref="B197:C197"/>
    <mergeCell ref="B198:C198"/>
    <mergeCell ref="B202:C202"/>
    <mergeCell ref="D202:D203"/>
    <mergeCell ref="B80:C80"/>
    <mergeCell ref="D80:D81"/>
    <mergeCell ref="D69:D73"/>
    <mergeCell ref="B73:C73"/>
    <mergeCell ref="B74:C74"/>
    <mergeCell ref="D83:D87"/>
    <mergeCell ref="B87:C87"/>
    <mergeCell ref="B88:C88"/>
    <mergeCell ref="B89:C89"/>
    <mergeCell ref="B66:C66"/>
    <mergeCell ref="D66:D67"/>
    <mergeCell ref="B49:C49"/>
    <mergeCell ref="B52:C52"/>
    <mergeCell ref="D52:D53"/>
    <mergeCell ref="D55:D59"/>
    <mergeCell ref="B59:C59"/>
    <mergeCell ref="B60:C60"/>
    <mergeCell ref="D33:D37"/>
    <mergeCell ref="B37:C37"/>
    <mergeCell ref="B38:C38"/>
    <mergeCell ref="B41:C41"/>
    <mergeCell ref="D41:D42"/>
    <mergeCell ref="D44:D48"/>
    <mergeCell ref="B48:C48"/>
    <mergeCell ref="B30:C30"/>
    <mergeCell ref="D30:D31"/>
    <mergeCell ref="B16:C16"/>
    <mergeCell ref="D16:D17"/>
    <mergeCell ref="D19:D23"/>
    <mergeCell ref="B23:C23"/>
    <mergeCell ref="C1:D1"/>
    <mergeCell ref="C2:D2"/>
    <mergeCell ref="C3:D3"/>
    <mergeCell ref="B6:D6"/>
    <mergeCell ref="A8:D8"/>
    <mergeCell ref="B10:D10"/>
    <mergeCell ref="B24:C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8"/>
  <sheetViews>
    <sheetView zoomScale="85" zoomScaleNormal="85" workbookViewId="0">
      <selection activeCell="A10" sqref="A10:H10"/>
    </sheetView>
  </sheetViews>
  <sheetFormatPr defaultColWidth="9.21875" defaultRowHeight="17.399999999999999" x14ac:dyDescent="0.4"/>
  <cols>
    <col min="1" max="4" width="18.21875" style="8" customWidth="1"/>
    <col min="5" max="6" width="14.21875" style="8" customWidth="1"/>
    <col min="7" max="7" width="19.88671875" style="319" bestFit="1" customWidth="1"/>
    <col min="8" max="8" width="14.21875" style="8" customWidth="1"/>
    <col min="9" max="9" width="30.21875" style="8" customWidth="1"/>
    <col min="10" max="10" width="19.5546875" style="8" customWidth="1"/>
    <col min="11" max="11" width="9.21875" style="8"/>
    <col min="12" max="13" width="11" style="8" bestFit="1" customWidth="1"/>
    <col min="14" max="16384" width="9.21875" style="8"/>
  </cols>
  <sheetData>
    <row r="1" spans="1:11" ht="37.5" customHeight="1" x14ac:dyDescent="0.4">
      <c r="H1" s="646" t="s">
        <v>1235</v>
      </c>
      <c r="I1" s="646"/>
    </row>
    <row r="2" spans="1:11" ht="17.55" customHeight="1" x14ac:dyDescent="0.4">
      <c r="H2" s="647" t="s">
        <v>125</v>
      </c>
      <c r="I2" s="647"/>
    </row>
    <row r="3" spans="1:11" ht="17.55" customHeight="1" x14ac:dyDescent="0.4">
      <c r="H3" s="647" t="s">
        <v>7</v>
      </c>
      <c r="I3" s="647"/>
    </row>
    <row r="4" spans="1:11" ht="13.65" customHeight="1" x14ac:dyDescent="0.4">
      <c r="I4" s="462"/>
      <c r="J4" s="319"/>
      <c r="K4" s="319"/>
    </row>
    <row r="5" spans="1:11" ht="43.05" customHeight="1" x14ac:dyDescent="0.4">
      <c r="A5" s="650" t="s">
        <v>127</v>
      </c>
      <c r="B5" s="650"/>
      <c r="C5" s="650"/>
      <c r="D5" s="650"/>
      <c r="E5" s="650"/>
      <c r="F5" s="650"/>
      <c r="G5" s="650"/>
      <c r="H5" s="650"/>
      <c r="I5" s="650"/>
    </row>
    <row r="6" spans="1:11" ht="16.05" customHeight="1" x14ac:dyDescent="0.4">
      <c r="A6" s="837"/>
      <c r="B6" s="837"/>
      <c r="C6" s="837"/>
      <c r="D6" s="837"/>
      <c r="E6" s="837"/>
      <c r="F6" s="837"/>
      <c r="G6" s="837"/>
      <c r="H6" s="837"/>
      <c r="I6" s="837"/>
    </row>
    <row r="7" spans="1:11" ht="101.4" customHeight="1" x14ac:dyDescent="0.4">
      <c r="A7" s="671" t="s">
        <v>67</v>
      </c>
      <c r="B7" s="828" t="s">
        <v>68</v>
      </c>
      <c r="C7" s="829"/>
      <c r="D7" s="830"/>
      <c r="E7" s="671" t="s">
        <v>69</v>
      </c>
      <c r="F7" s="671" t="s">
        <v>70</v>
      </c>
      <c r="G7" s="840" t="s">
        <v>71</v>
      </c>
      <c r="H7" s="838" t="s">
        <v>113</v>
      </c>
      <c r="I7" s="839"/>
    </row>
    <row r="8" spans="1:11" ht="35.549999999999997" customHeight="1" x14ac:dyDescent="0.4">
      <c r="A8" s="671"/>
      <c r="B8" s="831"/>
      <c r="C8" s="832"/>
      <c r="D8" s="833"/>
      <c r="E8" s="671"/>
      <c r="F8" s="671"/>
      <c r="G8" s="840"/>
      <c r="H8" s="320" t="s">
        <v>72</v>
      </c>
      <c r="I8" s="321" t="s">
        <v>73</v>
      </c>
    </row>
    <row r="9" spans="1:11" x14ac:dyDescent="0.4">
      <c r="A9" s="322">
        <v>1</v>
      </c>
      <c r="B9" s="834">
        <v>2</v>
      </c>
      <c r="C9" s="835"/>
      <c r="D9" s="836"/>
      <c r="E9" s="323">
        <v>3</v>
      </c>
      <c r="F9" s="323">
        <v>4</v>
      </c>
      <c r="G9" s="460">
        <v>5</v>
      </c>
      <c r="H9" s="323">
        <v>6</v>
      </c>
      <c r="I9" s="322">
        <v>7</v>
      </c>
    </row>
    <row r="10" spans="1:11" ht="45" customHeight="1" x14ac:dyDescent="0.4">
      <c r="A10" s="845" t="s">
        <v>39</v>
      </c>
      <c r="B10" s="845"/>
      <c r="C10" s="845"/>
      <c r="D10" s="845"/>
      <c r="E10" s="845"/>
      <c r="F10" s="845"/>
      <c r="G10" s="845"/>
      <c r="H10" s="845"/>
      <c r="I10" s="324">
        <f>+I11+I18+I35</f>
        <v>-1535064.4</v>
      </c>
      <c r="J10" s="325"/>
    </row>
    <row r="11" spans="1:11" x14ac:dyDescent="0.4">
      <c r="A11" s="326" t="s">
        <v>151</v>
      </c>
      <c r="B11" s="326" t="s">
        <v>152</v>
      </c>
      <c r="C11" s="326" t="s">
        <v>164</v>
      </c>
      <c r="D11" s="842" t="s">
        <v>165</v>
      </c>
      <c r="E11" s="843"/>
      <c r="F11" s="843"/>
      <c r="G11" s="843"/>
      <c r="H11" s="844"/>
      <c r="I11" s="327">
        <f>+I12</f>
        <v>-180536.40000000002</v>
      </c>
    </row>
    <row r="12" spans="1:11" s="329" customFormat="1" ht="54.9" customHeight="1" x14ac:dyDescent="0.3">
      <c r="A12" s="67" t="s">
        <v>163</v>
      </c>
      <c r="B12" s="825" t="s">
        <v>166</v>
      </c>
      <c r="C12" s="825"/>
      <c r="D12" s="825"/>
      <c r="E12" s="825"/>
      <c r="F12" s="825"/>
      <c r="G12" s="825"/>
      <c r="H12" s="825"/>
      <c r="I12" s="328">
        <f>+I13+I15</f>
        <v>-180536.40000000002</v>
      </c>
    </row>
    <row r="13" spans="1:11" s="31" customFormat="1" ht="21" customHeight="1" x14ac:dyDescent="0.3">
      <c r="A13" s="330"/>
      <c r="B13" s="819" t="s">
        <v>75</v>
      </c>
      <c r="C13" s="820"/>
      <c r="D13" s="821"/>
      <c r="E13" s="331"/>
      <c r="F13" s="331"/>
      <c r="G13" s="331"/>
      <c r="H13" s="332"/>
      <c r="I13" s="333">
        <f>+I14</f>
        <v>-173715.20000000001</v>
      </c>
    </row>
    <row r="14" spans="1:11" s="339" customFormat="1" ht="18" customHeight="1" x14ac:dyDescent="0.3">
      <c r="A14" s="471" t="s">
        <v>155</v>
      </c>
      <c r="B14" s="841" t="s">
        <v>156</v>
      </c>
      <c r="C14" s="841"/>
      <c r="D14" s="841"/>
      <c r="E14" s="334" t="s">
        <v>157</v>
      </c>
      <c r="F14" s="335" t="s">
        <v>76</v>
      </c>
      <c r="G14" s="336"/>
      <c r="H14" s="337"/>
      <c r="I14" s="338">
        <v>-173715.20000000001</v>
      </c>
    </row>
    <row r="15" spans="1:11" s="339" customFormat="1" ht="21" customHeight="1" x14ac:dyDescent="0.3">
      <c r="A15" s="472"/>
      <c r="B15" s="819" t="s">
        <v>78</v>
      </c>
      <c r="C15" s="820"/>
      <c r="D15" s="821"/>
      <c r="E15" s="331" t="s">
        <v>77</v>
      </c>
      <c r="F15" s="331" t="s">
        <v>77</v>
      </c>
      <c r="G15" s="331" t="s">
        <v>77</v>
      </c>
      <c r="H15" s="340"/>
      <c r="I15" s="333">
        <f>SUM(I16:I17)</f>
        <v>-6821.2</v>
      </c>
    </row>
    <row r="16" spans="1:11" s="339" customFormat="1" x14ac:dyDescent="0.3">
      <c r="A16" s="472" t="s">
        <v>1243</v>
      </c>
      <c r="B16" s="817" t="s">
        <v>161</v>
      </c>
      <c r="C16" s="817"/>
      <c r="D16" s="817"/>
      <c r="E16" s="465" t="s">
        <v>74</v>
      </c>
      <c r="F16" s="465" t="s">
        <v>86</v>
      </c>
      <c r="G16" s="341"/>
      <c r="H16" s="342"/>
      <c r="I16" s="338">
        <v>-5780.2</v>
      </c>
    </row>
    <row r="17" spans="1:9" s="339" customFormat="1" x14ac:dyDescent="0.3">
      <c r="A17" s="472" t="s">
        <v>159</v>
      </c>
      <c r="B17" s="817" t="s">
        <v>162</v>
      </c>
      <c r="C17" s="817"/>
      <c r="D17" s="817"/>
      <c r="E17" s="465" t="s">
        <v>87</v>
      </c>
      <c r="F17" s="465" t="s">
        <v>86</v>
      </c>
      <c r="G17" s="343"/>
      <c r="H17" s="344"/>
      <c r="I17" s="338">
        <v>-1041</v>
      </c>
    </row>
    <row r="18" spans="1:9" s="31" customFormat="1" ht="35.549999999999997" customHeight="1" x14ac:dyDescent="0.3">
      <c r="A18" s="367" t="s">
        <v>151</v>
      </c>
      <c r="B18" s="367" t="s">
        <v>152</v>
      </c>
      <c r="C18" s="367" t="s">
        <v>412</v>
      </c>
      <c r="D18" s="822" t="s">
        <v>413</v>
      </c>
      <c r="E18" s="823"/>
      <c r="F18" s="823"/>
      <c r="G18" s="823"/>
      <c r="H18" s="824"/>
      <c r="I18" s="327">
        <f>+I19</f>
        <v>-280378</v>
      </c>
    </row>
    <row r="19" spans="1:9" s="329" customFormat="1" ht="54.9" customHeight="1" x14ac:dyDescent="0.3">
      <c r="A19" s="67" t="s">
        <v>414</v>
      </c>
      <c r="B19" s="825" t="s">
        <v>406</v>
      </c>
      <c r="C19" s="825"/>
      <c r="D19" s="825"/>
      <c r="E19" s="825"/>
      <c r="F19" s="825"/>
      <c r="G19" s="825"/>
      <c r="H19" s="825"/>
      <c r="I19" s="328">
        <f>+I20+I26</f>
        <v>-280378</v>
      </c>
    </row>
    <row r="20" spans="1:9" s="31" customFormat="1" ht="21" customHeight="1" x14ac:dyDescent="0.3">
      <c r="A20" s="330"/>
      <c r="B20" s="819" t="s">
        <v>75</v>
      </c>
      <c r="C20" s="820"/>
      <c r="D20" s="821"/>
      <c r="E20" s="331"/>
      <c r="F20" s="331"/>
      <c r="G20" s="331"/>
      <c r="H20" s="332"/>
      <c r="I20" s="333">
        <f>SUM(I21:I25)</f>
        <v>-272807.8</v>
      </c>
    </row>
    <row r="21" spans="1:9" s="339" customFormat="1" ht="18" customHeight="1" x14ac:dyDescent="0.3">
      <c r="A21" s="565" t="s">
        <v>415</v>
      </c>
      <c r="B21" s="826" t="s">
        <v>416</v>
      </c>
      <c r="C21" s="826"/>
      <c r="D21" s="826"/>
      <c r="E21" s="334" t="s">
        <v>157</v>
      </c>
      <c r="F21" s="335" t="s">
        <v>76</v>
      </c>
      <c r="G21" s="336">
        <v>192025300</v>
      </c>
      <c r="H21" s="337">
        <v>-1</v>
      </c>
      <c r="I21" s="338">
        <f>+ROUND(H21*G21/1000,1)</f>
        <v>-192025.3</v>
      </c>
    </row>
    <row r="22" spans="1:9" s="339" customFormat="1" ht="18" customHeight="1" x14ac:dyDescent="0.3">
      <c r="A22" s="565" t="s">
        <v>420</v>
      </c>
      <c r="B22" s="826" t="s">
        <v>416</v>
      </c>
      <c r="C22" s="826"/>
      <c r="D22" s="826"/>
      <c r="E22" s="334" t="s">
        <v>157</v>
      </c>
      <c r="F22" s="335" t="s">
        <v>76</v>
      </c>
      <c r="G22" s="336">
        <v>7784512</v>
      </c>
      <c r="H22" s="337">
        <v>-1</v>
      </c>
      <c r="I22" s="338">
        <f>+ROUND(H22*G22/1000,1)</f>
        <v>-7784.5</v>
      </c>
    </row>
    <row r="23" spans="1:9" s="339" customFormat="1" ht="18" customHeight="1" x14ac:dyDescent="0.3">
      <c r="A23" s="565" t="s">
        <v>422</v>
      </c>
      <c r="B23" s="826" t="s">
        <v>416</v>
      </c>
      <c r="C23" s="826"/>
      <c r="D23" s="826"/>
      <c r="E23" s="334" t="s">
        <v>157</v>
      </c>
      <c r="F23" s="335" t="s">
        <v>76</v>
      </c>
      <c r="G23" s="336">
        <v>4921140</v>
      </c>
      <c r="H23" s="337">
        <v>-1</v>
      </c>
      <c r="I23" s="338">
        <f>+ROUND(H23*G23/1000,1)</f>
        <v>-4921.1000000000004</v>
      </c>
    </row>
    <row r="24" spans="1:9" s="339" customFormat="1" ht="18" customHeight="1" x14ac:dyDescent="0.3">
      <c r="A24" s="565" t="s">
        <v>419</v>
      </c>
      <c r="B24" s="826" t="s">
        <v>416</v>
      </c>
      <c r="C24" s="826"/>
      <c r="D24" s="826"/>
      <c r="E24" s="334" t="s">
        <v>257</v>
      </c>
      <c r="F24" s="335" t="s">
        <v>76</v>
      </c>
      <c r="G24" s="336"/>
      <c r="H24" s="337"/>
      <c r="I24" s="338">
        <v>-13.1</v>
      </c>
    </row>
    <row r="25" spans="1:9" s="339" customFormat="1" ht="18" customHeight="1" x14ac:dyDescent="0.3">
      <c r="A25" s="565" t="s">
        <v>418</v>
      </c>
      <c r="B25" s="826" t="s">
        <v>416</v>
      </c>
      <c r="C25" s="826"/>
      <c r="D25" s="826"/>
      <c r="E25" s="334" t="s">
        <v>74</v>
      </c>
      <c r="F25" s="335" t="s">
        <v>76</v>
      </c>
      <c r="G25" s="336">
        <v>68063825</v>
      </c>
      <c r="H25" s="337">
        <v>-1</v>
      </c>
      <c r="I25" s="338">
        <f>+ROUND(H25*G25/1000,1)</f>
        <v>-68063.8</v>
      </c>
    </row>
    <row r="26" spans="1:9" s="339" customFormat="1" ht="21" customHeight="1" x14ac:dyDescent="0.3">
      <c r="A26" s="472"/>
      <c r="B26" s="819" t="s">
        <v>78</v>
      </c>
      <c r="C26" s="820"/>
      <c r="D26" s="821"/>
      <c r="E26" s="331" t="s">
        <v>77</v>
      </c>
      <c r="F26" s="331" t="s">
        <v>77</v>
      </c>
      <c r="G26" s="331" t="s">
        <v>77</v>
      </c>
      <c r="H26" s="340"/>
      <c r="I26" s="333">
        <f>SUM(I27:I34)</f>
        <v>-7570.2000000000007</v>
      </c>
    </row>
    <row r="27" spans="1:9" s="339" customFormat="1" ht="17.850000000000001" customHeight="1" x14ac:dyDescent="0.3">
      <c r="A27" s="472" t="s">
        <v>271</v>
      </c>
      <c r="B27" s="814" t="s">
        <v>161</v>
      </c>
      <c r="C27" s="815"/>
      <c r="D27" s="827"/>
      <c r="E27" s="465" t="s">
        <v>74</v>
      </c>
      <c r="F27" s="465" t="s">
        <v>86</v>
      </c>
      <c r="G27" s="341">
        <v>74800</v>
      </c>
      <c r="H27" s="342">
        <v>-1</v>
      </c>
      <c r="I27" s="338">
        <f t="shared" ref="I27" si="0">+ROUND(H27*G27/1000,1)</f>
        <v>-74.8</v>
      </c>
    </row>
    <row r="28" spans="1:9" s="339" customFormat="1" ht="17.850000000000001" customHeight="1" x14ac:dyDescent="0.3">
      <c r="A28" s="472" t="s">
        <v>314</v>
      </c>
      <c r="B28" s="814" t="s">
        <v>161</v>
      </c>
      <c r="C28" s="815"/>
      <c r="D28" s="827"/>
      <c r="E28" s="465" t="s">
        <v>74</v>
      </c>
      <c r="F28" s="465" t="s">
        <v>86</v>
      </c>
      <c r="G28" s="341">
        <v>60000</v>
      </c>
      <c r="H28" s="342">
        <v>-1</v>
      </c>
      <c r="I28" s="338">
        <f t="shared" ref="I28" si="1">+ROUND(H28*G28/1000,1)</f>
        <v>-60</v>
      </c>
    </row>
    <row r="29" spans="1:9" s="339" customFormat="1" x14ac:dyDescent="0.3">
      <c r="A29" s="472" t="s">
        <v>322</v>
      </c>
      <c r="B29" s="817" t="s">
        <v>161</v>
      </c>
      <c r="C29" s="817"/>
      <c r="D29" s="817"/>
      <c r="E29" s="465" t="s">
        <v>74</v>
      </c>
      <c r="F29" s="465" t="s">
        <v>86</v>
      </c>
      <c r="G29" s="341">
        <v>5123600</v>
      </c>
      <c r="H29" s="342">
        <v>-1</v>
      </c>
      <c r="I29" s="338">
        <f t="shared" ref="I29:I31" si="2">+ROUND(H29*G29/1000,1)</f>
        <v>-5123.6000000000004</v>
      </c>
    </row>
    <row r="30" spans="1:9" s="339" customFormat="1" x14ac:dyDescent="0.3">
      <c r="A30" s="472" t="s">
        <v>417</v>
      </c>
      <c r="B30" s="817" t="s">
        <v>161</v>
      </c>
      <c r="C30" s="817"/>
      <c r="D30" s="817"/>
      <c r="E30" s="465" t="s">
        <v>74</v>
      </c>
      <c r="F30" s="465" t="s">
        <v>86</v>
      </c>
      <c r="G30" s="341"/>
      <c r="H30" s="342"/>
      <c r="I30" s="338">
        <v>-398.8</v>
      </c>
    </row>
    <row r="31" spans="1:9" s="339" customFormat="1" x14ac:dyDescent="0.3">
      <c r="A31" s="472" t="s">
        <v>159</v>
      </c>
      <c r="B31" s="817" t="s">
        <v>162</v>
      </c>
      <c r="C31" s="817"/>
      <c r="D31" s="817"/>
      <c r="E31" s="465" t="s">
        <v>87</v>
      </c>
      <c r="F31" s="465" t="s">
        <v>86</v>
      </c>
      <c r="G31" s="343">
        <v>1537100</v>
      </c>
      <c r="H31" s="344">
        <v>-1</v>
      </c>
      <c r="I31" s="338">
        <f t="shared" si="2"/>
        <v>-1537.1</v>
      </c>
    </row>
    <row r="32" spans="1:9" s="339" customFormat="1" x14ac:dyDescent="0.3">
      <c r="A32" s="472" t="s">
        <v>272</v>
      </c>
      <c r="B32" s="817" t="s">
        <v>162</v>
      </c>
      <c r="C32" s="817"/>
      <c r="D32" s="817"/>
      <c r="E32" s="465" t="s">
        <v>87</v>
      </c>
      <c r="F32" s="465" t="s">
        <v>86</v>
      </c>
      <c r="G32" s="343"/>
      <c r="H32" s="344"/>
      <c r="I32" s="338">
        <v>-255.8</v>
      </c>
    </row>
    <row r="33" spans="1:9" s="339" customFormat="1" x14ac:dyDescent="0.3">
      <c r="A33" s="472" t="s">
        <v>315</v>
      </c>
      <c r="B33" s="817" t="s">
        <v>162</v>
      </c>
      <c r="C33" s="817"/>
      <c r="D33" s="817"/>
      <c r="E33" s="465" t="s">
        <v>87</v>
      </c>
      <c r="F33" s="465" t="s">
        <v>86</v>
      </c>
      <c r="G33" s="343"/>
      <c r="H33" s="344"/>
      <c r="I33" s="338">
        <v>-82.2</v>
      </c>
    </row>
    <row r="34" spans="1:9" s="339" customFormat="1" x14ac:dyDescent="0.3">
      <c r="A34" s="472" t="s">
        <v>318</v>
      </c>
      <c r="B34" s="817" t="s">
        <v>162</v>
      </c>
      <c r="C34" s="817"/>
      <c r="D34" s="817"/>
      <c r="E34" s="465" t="s">
        <v>87</v>
      </c>
      <c r="F34" s="465" t="s">
        <v>86</v>
      </c>
      <c r="G34" s="343"/>
      <c r="H34" s="344"/>
      <c r="I34" s="338">
        <v>-37.9</v>
      </c>
    </row>
    <row r="35" spans="1:9" x14ac:dyDescent="0.4">
      <c r="A35" s="326" t="s">
        <v>171</v>
      </c>
      <c r="B35" s="326" t="s">
        <v>172</v>
      </c>
      <c r="C35" s="326" t="s">
        <v>168</v>
      </c>
      <c r="D35" s="842" t="s">
        <v>173</v>
      </c>
      <c r="E35" s="843"/>
      <c r="F35" s="843"/>
      <c r="G35" s="843"/>
      <c r="H35" s="844"/>
      <c r="I35" s="327">
        <f>+I36+I50+I62+I73</f>
        <v>-1074150</v>
      </c>
    </row>
    <row r="36" spans="1:9" s="329" customFormat="1" ht="54.9" customHeight="1" x14ac:dyDescent="0.3">
      <c r="A36" s="67" t="s">
        <v>177</v>
      </c>
      <c r="B36" s="825" t="s">
        <v>206</v>
      </c>
      <c r="C36" s="825"/>
      <c r="D36" s="825"/>
      <c r="E36" s="825"/>
      <c r="F36" s="825"/>
      <c r="G36" s="825"/>
      <c r="H36" s="825"/>
      <c r="I36" s="328">
        <f>+I37+I40</f>
        <v>-308677.59999999998</v>
      </c>
    </row>
    <row r="37" spans="1:9" s="31" customFormat="1" ht="21" customHeight="1" x14ac:dyDescent="0.3">
      <c r="A37" s="330"/>
      <c r="B37" s="819" t="s">
        <v>75</v>
      </c>
      <c r="C37" s="820"/>
      <c r="D37" s="821"/>
      <c r="E37" s="331"/>
      <c r="F37" s="331"/>
      <c r="G37" s="331"/>
      <c r="H37" s="332"/>
      <c r="I37" s="333">
        <f>+I38</f>
        <v>-278584.8</v>
      </c>
    </row>
    <row r="38" spans="1:9" s="339" customFormat="1" ht="17.850000000000001" customHeight="1" x14ac:dyDescent="0.3">
      <c r="A38" s="566" t="s">
        <v>394</v>
      </c>
      <c r="B38" s="846" t="s">
        <v>308</v>
      </c>
      <c r="C38" s="846"/>
      <c r="D38" s="846"/>
      <c r="E38" s="465" t="s">
        <v>261</v>
      </c>
      <c r="F38" s="465" t="s">
        <v>76</v>
      </c>
      <c r="G38" s="341"/>
      <c r="H38" s="342"/>
      <c r="I38" s="338">
        <v>-278584.8</v>
      </c>
    </row>
    <row r="39" spans="1:9" s="339" customFormat="1" ht="17.850000000000001" customHeight="1" x14ac:dyDescent="0.3">
      <c r="A39" s="616" t="s">
        <v>1242</v>
      </c>
      <c r="B39" s="846" t="s">
        <v>308</v>
      </c>
      <c r="C39" s="846"/>
      <c r="D39" s="846"/>
      <c r="E39" s="465" t="s">
        <v>261</v>
      </c>
      <c r="F39" s="465" t="s">
        <v>76</v>
      </c>
      <c r="G39" s="341"/>
      <c r="H39" s="342"/>
      <c r="I39" s="338">
        <f>-1389.81-15345.69</f>
        <v>-16735.5</v>
      </c>
    </row>
    <row r="40" spans="1:9" s="339" customFormat="1" ht="21" customHeight="1" x14ac:dyDescent="0.3">
      <c r="A40" s="472"/>
      <c r="B40" s="819" t="s">
        <v>78</v>
      </c>
      <c r="C40" s="820"/>
      <c r="D40" s="821"/>
      <c r="E40" s="331" t="s">
        <v>77</v>
      </c>
      <c r="F40" s="331" t="s">
        <v>77</v>
      </c>
      <c r="G40" s="331" t="s">
        <v>77</v>
      </c>
      <c r="H40" s="340"/>
      <c r="I40" s="333">
        <f>SUM(I41:I49)</f>
        <v>-30092.799999999999</v>
      </c>
    </row>
    <row r="41" spans="1:9" s="339" customFormat="1" ht="35.549999999999997" customHeight="1" x14ac:dyDescent="0.3">
      <c r="A41" s="472" t="s">
        <v>397</v>
      </c>
      <c r="B41" s="817" t="s">
        <v>387</v>
      </c>
      <c r="C41" s="817"/>
      <c r="D41" s="817"/>
      <c r="E41" s="465" t="s">
        <v>74</v>
      </c>
      <c r="F41" s="465" t="s">
        <v>86</v>
      </c>
      <c r="G41" s="341"/>
      <c r="H41" s="342"/>
      <c r="I41" s="338">
        <v>-6219.3</v>
      </c>
    </row>
    <row r="42" spans="1:9" s="339" customFormat="1" ht="35.549999999999997" customHeight="1" x14ac:dyDescent="0.3">
      <c r="A42" s="472" t="s">
        <v>399</v>
      </c>
      <c r="B42" s="817" t="s">
        <v>387</v>
      </c>
      <c r="C42" s="817"/>
      <c r="D42" s="817"/>
      <c r="E42" s="465" t="s">
        <v>74</v>
      </c>
      <c r="F42" s="465" t="s">
        <v>86</v>
      </c>
      <c r="G42" s="341"/>
      <c r="H42" s="342"/>
      <c r="I42" s="338">
        <v>-6744.5</v>
      </c>
    </row>
    <row r="43" spans="1:9" s="339" customFormat="1" ht="35.549999999999997" customHeight="1" x14ac:dyDescent="0.3">
      <c r="A43" s="472" t="s">
        <v>402</v>
      </c>
      <c r="B43" s="817" t="s">
        <v>387</v>
      </c>
      <c r="C43" s="817"/>
      <c r="D43" s="817"/>
      <c r="E43" s="465" t="s">
        <v>74</v>
      </c>
      <c r="F43" s="465" t="s">
        <v>86</v>
      </c>
      <c r="G43" s="341"/>
      <c r="H43" s="342"/>
      <c r="I43" s="338">
        <v>-1307.5999999999999</v>
      </c>
    </row>
    <row r="44" spans="1:9" s="339" customFormat="1" ht="18" customHeight="1" x14ac:dyDescent="0.3">
      <c r="A44" s="472" t="s">
        <v>398</v>
      </c>
      <c r="B44" s="817" t="s">
        <v>160</v>
      </c>
      <c r="C44" s="817"/>
      <c r="D44" s="817"/>
      <c r="E44" s="465" t="s">
        <v>74</v>
      </c>
      <c r="F44" s="465" t="s">
        <v>86</v>
      </c>
      <c r="G44" s="341"/>
      <c r="H44" s="342"/>
      <c r="I44" s="338">
        <v>-417.2</v>
      </c>
    </row>
    <row r="45" spans="1:9" s="339" customFormat="1" ht="18" customHeight="1" x14ac:dyDescent="0.3">
      <c r="A45" s="472" t="s">
        <v>400</v>
      </c>
      <c r="B45" s="817" t="s">
        <v>160</v>
      </c>
      <c r="C45" s="817"/>
      <c r="D45" s="817"/>
      <c r="E45" s="465" t="s">
        <v>74</v>
      </c>
      <c r="F45" s="465" t="s">
        <v>86</v>
      </c>
      <c r="G45" s="341"/>
      <c r="H45" s="342"/>
      <c r="I45" s="338">
        <v>-338.8</v>
      </c>
    </row>
    <row r="46" spans="1:9" s="339" customFormat="1" ht="18" customHeight="1" x14ac:dyDescent="0.3">
      <c r="A46" s="472" t="s">
        <v>403</v>
      </c>
      <c r="B46" s="817" t="s">
        <v>160</v>
      </c>
      <c r="C46" s="817"/>
      <c r="D46" s="817"/>
      <c r="E46" s="465" t="s">
        <v>74</v>
      </c>
      <c r="F46" s="465" t="s">
        <v>86</v>
      </c>
      <c r="G46" s="341"/>
      <c r="H46" s="342"/>
      <c r="I46" s="338">
        <v>-66.8</v>
      </c>
    </row>
    <row r="47" spans="1:9" s="339" customFormat="1" x14ac:dyDescent="0.3">
      <c r="A47" s="472" t="s">
        <v>395</v>
      </c>
      <c r="B47" s="817" t="s">
        <v>161</v>
      </c>
      <c r="C47" s="817"/>
      <c r="D47" s="817"/>
      <c r="E47" s="465" t="s">
        <v>74</v>
      </c>
      <c r="F47" s="465" t="s">
        <v>86</v>
      </c>
      <c r="G47" s="341"/>
      <c r="H47" s="342"/>
      <c r="I47" s="338">
        <v>-12080</v>
      </c>
    </row>
    <row r="48" spans="1:9" s="339" customFormat="1" x14ac:dyDescent="0.3">
      <c r="A48" s="472" t="s">
        <v>396</v>
      </c>
      <c r="B48" s="817" t="s">
        <v>161</v>
      </c>
      <c r="C48" s="817"/>
      <c r="D48" s="817"/>
      <c r="E48" s="465" t="s">
        <v>74</v>
      </c>
      <c r="F48" s="465" t="s">
        <v>86</v>
      </c>
      <c r="G48" s="341"/>
      <c r="H48" s="342"/>
      <c r="I48" s="338">
        <v>-732.7</v>
      </c>
    </row>
    <row r="49" spans="1:9" s="339" customFormat="1" x14ac:dyDescent="0.3">
      <c r="A49" s="472" t="s">
        <v>159</v>
      </c>
      <c r="B49" s="817" t="s">
        <v>162</v>
      </c>
      <c r="C49" s="817"/>
      <c r="D49" s="817"/>
      <c r="E49" s="465" t="s">
        <v>87</v>
      </c>
      <c r="F49" s="465" t="s">
        <v>86</v>
      </c>
      <c r="G49" s="343"/>
      <c r="H49" s="344"/>
      <c r="I49" s="338">
        <v>-2185.9</v>
      </c>
    </row>
    <row r="50" spans="1:9" s="329" customFormat="1" ht="54.9" customHeight="1" x14ac:dyDescent="0.3">
      <c r="A50" s="67" t="s">
        <v>438</v>
      </c>
      <c r="B50" s="825" t="s">
        <v>439</v>
      </c>
      <c r="C50" s="825"/>
      <c r="D50" s="825"/>
      <c r="E50" s="825"/>
      <c r="F50" s="825"/>
      <c r="G50" s="825"/>
      <c r="H50" s="825"/>
      <c r="I50" s="328">
        <f>+I51+I53</f>
        <v>-113596.4</v>
      </c>
    </row>
    <row r="51" spans="1:9" s="31" customFormat="1" ht="21" customHeight="1" x14ac:dyDescent="0.3">
      <c r="A51" s="330"/>
      <c r="B51" s="819" t="s">
        <v>75</v>
      </c>
      <c r="C51" s="820"/>
      <c r="D51" s="821"/>
      <c r="E51" s="331"/>
      <c r="F51" s="331"/>
      <c r="G51" s="331"/>
      <c r="H51" s="332"/>
      <c r="I51" s="333">
        <f>+I52</f>
        <v>-111587.9</v>
      </c>
    </row>
    <row r="52" spans="1:9" s="339" customFormat="1" ht="17.850000000000001" customHeight="1" x14ac:dyDescent="0.3">
      <c r="A52" s="472" t="s">
        <v>440</v>
      </c>
      <c r="B52" s="817" t="s">
        <v>441</v>
      </c>
      <c r="C52" s="817"/>
      <c r="D52" s="817"/>
      <c r="E52" s="465" t="s">
        <v>261</v>
      </c>
      <c r="F52" s="465" t="s">
        <v>76</v>
      </c>
      <c r="G52" s="341">
        <v>111587900</v>
      </c>
      <c r="H52" s="342">
        <v>-1</v>
      </c>
      <c r="I52" s="338">
        <f t="shared" ref="I52:I55" si="3">+ROUND(H52*G52/1000,1)</f>
        <v>-111587.9</v>
      </c>
    </row>
    <row r="53" spans="1:9" s="339" customFormat="1" ht="21" customHeight="1" x14ac:dyDescent="0.3">
      <c r="A53" s="472"/>
      <c r="B53" s="819" t="s">
        <v>78</v>
      </c>
      <c r="C53" s="820"/>
      <c r="D53" s="821"/>
      <c r="E53" s="331" t="s">
        <v>77</v>
      </c>
      <c r="F53" s="331" t="s">
        <v>77</v>
      </c>
      <c r="G53" s="331"/>
      <c r="H53" s="340"/>
      <c r="I53" s="333">
        <f>SUM(I54:I55)</f>
        <v>-2008.5</v>
      </c>
    </row>
    <row r="54" spans="1:9" s="339" customFormat="1" x14ac:dyDescent="0.3">
      <c r="A54" s="472" t="s">
        <v>158</v>
      </c>
      <c r="B54" s="817" t="s">
        <v>161</v>
      </c>
      <c r="C54" s="817"/>
      <c r="D54" s="817"/>
      <c r="E54" s="465" t="s">
        <v>74</v>
      </c>
      <c r="F54" s="465" t="s">
        <v>86</v>
      </c>
      <c r="G54" s="341">
        <v>1339000</v>
      </c>
      <c r="H54" s="342">
        <v>-1</v>
      </c>
      <c r="I54" s="338">
        <f t="shared" si="3"/>
        <v>-1339</v>
      </c>
    </row>
    <row r="55" spans="1:9" s="339" customFormat="1" x14ac:dyDescent="0.3">
      <c r="A55" s="472" t="s">
        <v>159</v>
      </c>
      <c r="B55" s="817" t="s">
        <v>162</v>
      </c>
      <c r="C55" s="817"/>
      <c r="D55" s="817"/>
      <c r="E55" s="465" t="s">
        <v>87</v>
      </c>
      <c r="F55" s="465" t="s">
        <v>86</v>
      </c>
      <c r="G55" s="341">
        <v>669500</v>
      </c>
      <c r="H55" s="344">
        <v>-1</v>
      </c>
      <c r="I55" s="338">
        <f t="shared" si="3"/>
        <v>-669.5</v>
      </c>
    </row>
    <row r="56" spans="1:9" s="329" customFormat="1" ht="54.9" customHeight="1" x14ac:dyDescent="0.3">
      <c r="A56" s="67" t="s">
        <v>456</v>
      </c>
      <c r="B56" s="825" t="s">
        <v>455</v>
      </c>
      <c r="C56" s="825"/>
      <c r="D56" s="825"/>
      <c r="E56" s="825"/>
      <c r="F56" s="825"/>
      <c r="G56" s="825"/>
      <c r="H56" s="825"/>
      <c r="I56" s="328">
        <f>+I57+I59</f>
        <v>-119869.1</v>
      </c>
    </row>
    <row r="57" spans="1:9" s="31" customFormat="1" ht="21" customHeight="1" x14ac:dyDescent="0.3">
      <c r="A57" s="330"/>
      <c r="B57" s="819" t="s">
        <v>75</v>
      </c>
      <c r="C57" s="820"/>
      <c r="D57" s="821"/>
      <c r="E57" s="331"/>
      <c r="F57" s="331"/>
      <c r="G57" s="331"/>
      <c r="H57" s="332"/>
      <c r="I57" s="333">
        <f>+I58</f>
        <v>-116831.5</v>
      </c>
    </row>
    <row r="58" spans="1:9" s="339" customFormat="1" ht="32.25" customHeight="1" x14ac:dyDescent="0.3">
      <c r="A58" s="472" t="s">
        <v>457</v>
      </c>
      <c r="B58" s="817" t="s">
        <v>458</v>
      </c>
      <c r="C58" s="817"/>
      <c r="D58" s="817"/>
      <c r="E58" s="465" t="s">
        <v>157</v>
      </c>
      <c r="F58" s="465" t="s">
        <v>76</v>
      </c>
      <c r="G58" s="341">
        <v>116831500</v>
      </c>
      <c r="H58" s="344">
        <v>-1</v>
      </c>
      <c r="I58" s="338">
        <f t="shared" ref="I58" si="4">+ROUND(H58*G58/1000,1)</f>
        <v>-116831.5</v>
      </c>
    </row>
    <row r="59" spans="1:9" s="339" customFormat="1" ht="21" customHeight="1" x14ac:dyDescent="0.3">
      <c r="A59" s="472"/>
      <c r="B59" s="819" t="s">
        <v>78</v>
      </c>
      <c r="C59" s="820"/>
      <c r="D59" s="821"/>
      <c r="E59" s="331" t="s">
        <v>77</v>
      </c>
      <c r="F59" s="331" t="s">
        <v>77</v>
      </c>
      <c r="G59" s="331" t="s">
        <v>77</v>
      </c>
      <c r="H59" s="340"/>
      <c r="I59" s="333">
        <f>SUM(I60:I61)</f>
        <v>-3037.6</v>
      </c>
    </row>
    <row r="60" spans="1:9" s="339" customFormat="1" x14ac:dyDescent="0.3">
      <c r="A60" s="472" t="s">
        <v>158</v>
      </c>
      <c r="B60" s="817" t="s">
        <v>161</v>
      </c>
      <c r="C60" s="817"/>
      <c r="D60" s="817"/>
      <c r="E60" s="465" t="s">
        <v>74</v>
      </c>
      <c r="F60" s="465" t="s">
        <v>86</v>
      </c>
      <c r="G60" s="341">
        <v>2336600</v>
      </c>
      <c r="H60" s="344">
        <v>-1</v>
      </c>
      <c r="I60" s="338">
        <f t="shared" ref="I60" si="5">+ROUND(H60*G60/1000,1)</f>
        <v>-2336.6</v>
      </c>
    </row>
    <row r="61" spans="1:9" s="339" customFormat="1" x14ac:dyDescent="0.3">
      <c r="A61" s="472" t="s">
        <v>159</v>
      </c>
      <c r="B61" s="817" t="s">
        <v>162</v>
      </c>
      <c r="C61" s="817"/>
      <c r="D61" s="817"/>
      <c r="E61" s="465" t="s">
        <v>87</v>
      </c>
      <c r="F61" s="465" t="s">
        <v>86</v>
      </c>
      <c r="G61" s="343">
        <v>701000</v>
      </c>
      <c r="H61" s="344">
        <v>-1</v>
      </c>
      <c r="I61" s="338">
        <f t="shared" ref="I61" si="6">+ROUND(H61*G61/1000,1)</f>
        <v>-701</v>
      </c>
    </row>
    <row r="62" spans="1:9" s="329" customFormat="1" ht="54.9" customHeight="1" x14ac:dyDescent="0.3">
      <c r="A62" s="67" t="s">
        <v>341</v>
      </c>
      <c r="B62" s="825" t="s">
        <v>174</v>
      </c>
      <c r="C62" s="825"/>
      <c r="D62" s="825"/>
      <c r="E62" s="825"/>
      <c r="F62" s="825"/>
      <c r="G62" s="825"/>
      <c r="H62" s="825"/>
      <c r="I62" s="328">
        <f>+I63+I66</f>
        <v>-94431.5</v>
      </c>
    </row>
    <row r="63" spans="1:9" s="31" customFormat="1" ht="21" customHeight="1" x14ac:dyDescent="0.3">
      <c r="A63" s="330"/>
      <c r="B63" s="819" t="s">
        <v>75</v>
      </c>
      <c r="C63" s="820"/>
      <c r="D63" s="821"/>
      <c r="E63" s="331"/>
      <c r="F63" s="331"/>
      <c r="G63" s="331"/>
      <c r="H63" s="332"/>
      <c r="I63" s="333">
        <f>SUM(I64:I65)</f>
        <v>-90824.4</v>
      </c>
    </row>
    <row r="64" spans="1:9" s="339" customFormat="1" ht="18" customHeight="1" x14ac:dyDescent="0.3">
      <c r="A64" s="472" t="s">
        <v>549</v>
      </c>
      <c r="B64" s="817" t="s">
        <v>308</v>
      </c>
      <c r="C64" s="817"/>
      <c r="D64" s="817"/>
      <c r="E64" s="465" t="s">
        <v>74</v>
      </c>
      <c r="F64" s="465" t="s">
        <v>76</v>
      </c>
      <c r="G64" s="341">
        <v>42619100</v>
      </c>
      <c r="H64" s="344">
        <v>-1</v>
      </c>
      <c r="I64" s="338">
        <f t="shared" ref="I64:I69" si="7">+ROUND(H64*G64/1000,1)</f>
        <v>-42619.1</v>
      </c>
    </row>
    <row r="65" spans="1:9" s="339" customFormat="1" ht="18" customHeight="1" x14ac:dyDescent="0.3">
      <c r="A65" s="472" t="s">
        <v>547</v>
      </c>
      <c r="B65" s="817" t="s">
        <v>548</v>
      </c>
      <c r="C65" s="817"/>
      <c r="D65" s="817"/>
      <c r="E65" s="465" t="s">
        <v>74</v>
      </c>
      <c r="F65" s="465" t="s">
        <v>76</v>
      </c>
      <c r="G65" s="341">
        <v>48205350</v>
      </c>
      <c r="H65" s="344">
        <v>-1</v>
      </c>
      <c r="I65" s="338">
        <v>-48205.3</v>
      </c>
    </row>
    <row r="66" spans="1:9" s="339" customFormat="1" ht="21" customHeight="1" x14ac:dyDescent="0.3">
      <c r="A66" s="472"/>
      <c r="B66" s="819" t="s">
        <v>78</v>
      </c>
      <c r="C66" s="820"/>
      <c r="D66" s="821"/>
      <c r="E66" s="331" t="s">
        <v>77</v>
      </c>
      <c r="F66" s="331" t="s">
        <v>77</v>
      </c>
      <c r="G66" s="331" t="s">
        <v>77</v>
      </c>
      <c r="H66" s="340"/>
      <c r="I66" s="333">
        <f>SUM(I67:I72)</f>
        <v>-3607.1000000000004</v>
      </c>
    </row>
    <row r="67" spans="1:9" s="339" customFormat="1" x14ac:dyDescent="0.3">
      <c r="A67" s="472" t="s">
        <v>158</v>
      </c>
      <c r="B67" s="817" t="s">
        <v>161</v>
      </c>
      <c r="C67" s="817"/>
      <c r="D67" s="817"/>
      <c r="E67" s="465" t="s">
        <v>74</v>
      </c>
      <c r="F67" s="465" t="s">
        <v>86</v>
      </c>
      <c r="G67" s="341">
        <v>852400</v>
      </c>
      <c r="H67" s="344">
        <v>-1</v>
      </c>
      <c r="I67" s="338">
        <f t="shared" si="7"/>
        <v>-852.4</v>
      </c>
    </row>
    <row r="68" spans="1:9" s="339" customFormat="1" x14ac:dyDescent="0.3">
      <c r="A68" s="472" t="s">
        <v>550</v>
      </c>
      <c r="B68" s="817" t="s">
        <v>161</v>
      </c>
      <c r="C68" s="817"/>
      <c r="D68" s="817"/>
      <c r="E68" s="465" t="s">
        <v>74</v>
      </c>
      <c r="F68" s="465" t="s">
        <v>86</v>
      </c>
      <c r="G68" s="341"/>
      <c r="H68" s="344"/>
      <c r="I68" s="338">
        <v>-617.1</v>
      </c>
    </row>
    <row r="69" spans="1:9" s="339" customFormat="1" x14ac:dyDescent="0.3">
      <c r="A69" s="472" t="s">
        <v>159</v>
      </c>
      <c r="B69" s="817" t="s">
        <v>162</v>
      </c>
      <c r="C69" s="817"/>
      <c r="D69" s="817"/>
      <c r="E69" s="465" t="s">
        <v>87</v>
      </c>
      <c r="F69" s="465" t="s">
        <v>86</v>
      </c>
      <c r="G69" s="343">
        <v>255600</v>
      </c>
      <c r="H69" s="344">
        <v>-1</v>
      </c>
      <c r="I69" s="338">
        <f t="shared" si="7"/>
        <v>-255.6</v>
      </c>
    </row>
    <row r="70" spans="1:9" s="339" customFormat="1" x14ac:dyDescent="0.3">
      <c r="A70" s="472" t="s">
        <v>300</v>
      </c>
      <c r="B70" s="817" t="s">
        <v>162</v>
      </c>
      <c r="C70" s="817"/>
      <c r="D70" s="817"/>
      <c r="E70" s="465" t="s">
        <v>87</v>
      </c>
      <c r="F70" s="465" t="s">
        <v>86</v>
      </c>
      <c r="G70" s="343">
        <v>289200</v>
      </c>
      <c r="H70" s="344">
        <v>-1</v>
      </c>
      <c r="I70" s="338">
        <f t="shared" ref="I70" si="8">+ROUND(H70*G70/1000,1)</f>
        <v>-289.2</v>
      </c>
    </row>
    <row r="71" spans="1:9" s="339" customFormat="1" x14ac:dyDescent="0.3">
      <c r="A71" s="472" t="s">
        <v>551</v>
      </c>
      <c r="B71" s="817" t="s">
        <v>387</v>
      </c>
      <c r="C71" s="817"/>
      <c r="D71" s="817"/>
      <c r="E71" s="465" t="s">
        <v>74</v>
      </c>
      <c r="F71" s="465" t="s">
        <v>86</v>
      </c>
      <c r="G71" s="341"/>
      <c r="H71" s="342"/>
      <c r="I71" s="338">
        <v>-1473</v>
      </c>
    </row>
    <row r="72" spans="1:9" s="339" customFormat="1" x14ac:dyDescent="0.3">
      <c r="A72" s="472" t="s">
        <v>552</v>
      </c>
      <c r="B72" s="817" t="s">
        <v>160</v>
      </c>
      <c r="C72" s="817"/>
      <c r="D72" s="817"/>
      <c r="E72" s="465" t="s">
        <v>74</v>
      </c>
      <c r="F72" s="465" t="s">
        <v>86</v>
      </c>
      <c r="G72" s="341"/>
      <c r="H72" s="342"/>
      <c r="I72" s="338">
        <v>-119.8</v>
      </c>
    </row>
    <row r="73" spans="1:9" s="329" customFormat="1" ht="54.9" customHeight="1" x14ac:dyDescent="0.3">
      <c r="A73" s="67" t="s">
        <v>570</v>
      </c>
      <c r="B73" s="825" t="s">
        <v>571</v>
      </c>
      <c r="C73" s="825"/>
      <c r="D73" s="825"/>
      <c r="E73" s="825"/>
      <c r="F73" s="825"/>
      <c r="G73" s="825"/>
      <c r="H73" s="825"/>
      <c r="I73" s="328">
        <f>+I74</f>
        <v>-557444.5</v>
      </c>
    </row>
    <row r="74" spans="1:9" s="31" customFormat="1" ht="21" customHeight="1" x14ac:dyDescent="0.3">
      <c r="A74" s="442"/>
      <c r="B74" s="850" t="s">
        <v>572</v>
      </c>
      <c r="C74" s="850"/>
      <c r="D74" s="850"/>
      <c r="E74" s="442"/>
      <c r="F74" s="442"/>
      <c r="G74" s="442"/>
      <c r="H74" s="442"/>
      <c r="I74" s="443">
        <f>SUM(I75:I242)</f>
        <v>-557444.5</v>
      </c>
    </row>
    <row r="75" spans="1:9" s="31" customFormat="1" ht="21" customHeight="1" x14ac:dyDescent="0.3">
      <c r="A75" s="442" t="s">
        <v>842</v>
      </c>
      <c r="B75" s="818" t="s">
        <v>943</v>
      </c>
      <c r="C75" s="818"/>
      <c r="D75" s="818"/>
      <c r="E75" s="567" t="s">
        <v>994</v>
      </c>
      <c r="F75" s="567" t="s">
        <v>995</v>
      </c>
      <c r="G75" s="442"/>
      <c r="H75" s="442"/>
      <c r="I75" s="443">
        <v>-6307</v>
      </c>
    </row>
    <row r="76" spans="1:9" s="31" customFormat="1" ht="21" customHeight="1" x14ac:dyDescent="0.3">
      <c r="A76" s="442" t="s">
        <v>843</v>
      </c>
      <c r="B76" s="818" t="s">
        <v>944</v>
      </c>
      <c r="C76" s="818"/>
      <c r="D76" s="818"/>
      <c r="E76" s="567" t="s">
        <v>994</v>
      </c>
      <c r="F76" s="567" t="s">
        <v>995</v>
      </c>
      <c r="G76" s="442"/>
      <c r="H76" s="442"/>
      <c r="I76" s="443">
        <v>-2035.2</v>
      </c>
    </row>
    <row r="77" spans="1:9" s="31" customFormat="1" ht="21" customHeight="1" x14ac:dyDescent="0.3">
      <c r="A77" s="442" t="s">
        <v>844</v>
      </c>
      <c r="B77" s="818" t="s">
        <v>945</v>
      </c>
      <c r="C77" s="818"/>
      <c r="D77" s="818"/>
      <c r="E77" s="567" t="s">
        <v>994</v>
      </c>
      <c r="F77" s="567" t="s">
        <v>995</v>
      </c>
      <c r="G77" s="442"/>
      <c r="H77" s="442"/>
      <c r="I77" s="443">
        <v>-6</v>
      </c>
    </row>
    <row r="78" spans="1:9" s="31" customFormat="1" ht="21" customHeight="1" x14ac:dyDescent="0.3">
      <c r="A78" s="442" t="s">
        <v>845</v>
      </c>
      <c r="B78" s="818" t="s">
        <v>946</v>
      </c>
      <c r="C78" s="818"/>
      <c r="D78" s="818"/>
      <c r="E78" s="567" t="s">
        <v>994</v>
      </c>
      <c r="F78" s="567" t="s">
        <v>995</v>
      </c>
      <c r="G78" s="442"/>
      <c r="H78" s="442"/>
      <c r="I78" s="443">
        <v>-9</v>
      </c>
    </row>
    <row r="79" spans="1:9" s="31" customFormat="1" ht="21" customHeight="1" x14ac:dyDescent="0.3">
      <c r="A79" s="442" t="s">
        <v>846</v>
      </c>
      <c r="B79" s="818" t="s">
        <v>945</v>
      </c>
      <c r="C79" s="818"/>
      <c r="D79" s="818"/>
      <c r="E79" s="567" t="s">
        <v>994</v>
      </c>
      <c r="F79" s="567" t="s">
        <v>995</v>
      </c>
      <c r="G79" s="442"/>
      <c r="H79" s="442"/>
      <c r="I79" s="443">
        <v>-368.1</v>
      </c>
    </row>
    <row r="80" spans="1:9" s="31" customFormat="1" ht="21" customHeight="1" x14ac:dyDescent="0.3">
      <c r="A80" s="442" t="s">
        <v>847</v>
      </c>
      <c r="B80" s="818" t="s">
        <v>947</v>
      </c>
      <c r="C80" s="818"/>
      <c r="D80" s="818"/>
      <c r="E80" s="567" t="s">
        <v>994</v>
      </c>
      <c r="F80" s="567" t="s">
        <v>995</v>
      </c>
      <c r="G80" s="442"/>
      <c r="H80" s="442"/>
      <c r="I80" s="443">
        <v>-130</v>
      </c>
    </row>
    <row r="81" spans="1:9" s="31" customFormat="1" ht="21" customHeight="1" x14ac:dyDescent="0.3">
      <c r="A81" s="442" t="s">
        <v>848</v>
      </c>
      <c r="B81" s="818" t="s">
        <v>948</v>
      </c>
      <c r="C81" s="818"/>
      <c r="D81" s="818"/>
      <c r="E81" s="567" t="s">
        <v>74</v>
      </c>
      <c r="F81" s="567" t="s">
        <v>995</v>
      </c>
      <c r="G81" s="442"/>
      <c r="H81" s="442"/>
      <c r="I81" s="443">
        <v>-40</v>
      </c>
    </row>
    <row r="82" spans="1:9" s="31" customFormat="1" ht="21" customHeight="1" x14ac:dyDescent="0.3">
      <c r="A82" s="442" t="s">
        <v>849</v>
      </c>
      <c r="B82" s="818" t="s">
        <v>948</v>
      </c>
      <c r="C82" s="818"/>
      <c r="D82" s="818"/>
      <c r="E82" s="567" t="s">
        <v>74</v>
      </c>
      <c r="F82" s="567" t="s">
        <v>995</v>
      </c>
      <c r="G82" s="442"/>
      <c r="H82" s="442"/>
      <c r="I82" s="443">
        <v>-50</v>
      </c>
    </row>
    <row r="83" spans="1:9" s="31" customFormat="1" ht="21" customHeight="1" x14ac:dyDescent="0.3">
      <c r="A83" s="442" t="s">
        <v>850</v>
      </c>
      <c r="B83" s="818" t="s">
        <v>949</v>
      </c>
      <c r="C83" s="818"/>
      <c r="D83" s="818"/>
      <c r="E83" s="567" t="s">
        <v>994</v>
      </c>
      <c r="F83" s="567" t="s">
        <v>995</v>
      </c>
      <c r="G83" s="442"/>
      <c r="H83" s="442"/>
      <c r="I83" s="443">
        <v>-4160</v>
      </c>
    </row>
    <row r="84" spans="1:9" s="31" customFormat="1" ht="21" customHeight="1" x14ac:dyDescent="0.3">
      <c r="A84" s="442" t="s">
        <v>851</v>
      </c>
      <c r="B84" s="818" t="s">
        <v>950</v>
      </c>
      <c r="C84" s="818"/>
      <c r="D84" s="818"/>
      <c r="E84" s="567" t="s">
        <v>994</v>
      </c>
      <c r="F84" s="567" t="s">
        <v>995</v>
      </c>
      <c r="G84" s="442"/>
      <c r="H84" s="442"/>
      <c r="I84" s="443">
        <v>-731</v>
      </c>
    </row>
    <row r="85" spans="1:9" s="31" customFormat="1" ht="21" customHeight="1" x14ac:dyDescent="0.3">
      <c r="A85" s="442" t="s">
        <v>852</v>
      </c>
      <c r="B85" s="814" t="s">
        <v>946</v>
      </c>
      <c r="C85" s="815"/>
      <c r="D85" s="816"/>
      <c r="E85" s="567" t="s">
        <v>994</v>
      </c>
      <c r="F85" s="567" t="s">
        <v>995</v>
      </c>
      <c r="G85" s="442"/>
      <c r="H85" s="442"/>
      <c r="I85" s="443">
        <v>-3</v>
      </c>
    </row>
    <row r="86" spans="1:9" s="31" customFormat="1" ht="21" customHeight="1" x14ac:dyDescent="0.3">
      <c r="A86" s="442" t="s">
        <v>853</v>
      </c>
      <c r="B86" s="814" t="s">
        <v>951</v>
      </c>
      <c r="C86" s="815"/>
      <c r="D86" s="816"/>
      <c r="E86" s="567" t="s">
        <v>994</v>
      </c>
      <c r="F86" s="567" t="s">
        <v>995</v>
      </c>
      <c r="G86" s="442"/>
      <c r="H86" s="442"/>
      <c r="I86" s="443">
        <v>-416</v>
      </c>
    </row>
    <row r="87" spans="1:9" s="31" customFormat="1" ht="21" customHeight="1" x14ac:dyDescent="0.3">
      <c r="A87" s="442" t="s">
        <v>854</v>
      </c>
      <c r="B87" s="814" t="s">
        <v>952</v>
      </c>
      <c r="C87" s="815"/>
      <c r="D87" s="816"/>
      <c r="E87" s="567" t="s">
        <v>994</v>
      </c>
      <c r="F87" s="567" t="s">
        <v>995</v>
      </c>
      <c r="G87" s="442"/>
      <c r="H87" s="442"/>
      <c r="I87" s="443">
        <v>-1116</v>
      </c>
    </row>
    <row r="88" spans="1:9" s="31" customFormat="1" ht="21" customHeight="1" x14ac:dyDescent="0.3">
      <c r="A88" s="442" t="s">
        <v>855</v>
      </c>
      <c r="B88" s="814" t="s">
        <v>951</v>
      </c>
      <c r="C88" s="815"/>
      <c r="D88" s="816"/>
      <c r="E88" s="567" t="s">
        <v>994</v>
      </c>
      <c r="F88" s="567" t="s">
        <v>995</v>
      </c>
      <c r="G88" s="442"/>
      <c r="H88" s="442"/>
      <c r="I88" s="443">
        <v>-2088</v>
      </c>
    </row>
    <row r="89" spans="1:9" s="31" customFormat="1" ht="21" customHeight="1" x14ac:dyDescent="0.3">
      <c r="A89" s="442" t="s">
        <v>856</v>
      </c>
      <c r="B89" s="814" t="s">
        <v>953</v>
      </c>
      <c r="C89" s="815"/>
      <c r="D89" s="816"/>
      <c r="E89" s="567" t="s">
        <v>994</v>
      </c>
      <c r="F89" s="567" t="s">
        <v>995</v>
      </c>
      <c r="G89" s="442"/>
      <c r="H89" s="442"/>
      <c r="I89" s="443">
        <v>-1900</v>
      </c>
    </row>
    <row r="90" spans="1:9" s="31" customFormat="1" ht="21" customHeight="1" x14ac:dyDescent="0.3">
      <c r="A90" s="442" t="s">
        <v>857</v>
      </c>
      <c r="B90" s="814" t="s">
        <v>954</v>
      </c>
      <c r="C90" s="815"/>
      <c r="D90" s="816"/>
      <c r="E90" s="567" t="s">
        <v>994</v>
      </c>
      <c r="F90" s="567" t="s">
        <v>995</v>
      </c>
      <c r="G90" s="442"/>
      <c r="H90" s="442"/>
      <c r="I90" s="443">
        <v>-1900</v>
      </c>
    </row>
    <row r="91" spans="1:9" s="31" customFormat="1" ht="21" customHeight="1" x14ac:dyDescent="0.3">
      <c r="A91" s="442" t="s">
        <v>858</v>
      </c>
      <c r="B91" s="814" t="s">
        <v>955</v>
      </c>
      <c r="C91" s="815"/>
      <c r="D91" s="816"/>
      <c r="E91" s="567" t="s">
        <v>994</v>
      </c>
      <c r="F91" s="567" t="s">
        <v>995</v>
      </c>
      <c r="G91" s="442"/>
      <c r="H91" s="442"/>
      <c r="I91" s="443">
        <v>-2910</v>
      </c>
    </row>
    <row r="92" spans="1:9" s="31" customFormat="1" ht="21" customHeight="1" x14ac:dyDescent="0.3">
      <c r="A92" s="442" t="s">
        <v>859</v>
      </c>
      <c r="B92" s="814" t="s">
        <v>956</v>
      </c>
      <c r="C92" s="815"/>
      <c r="D92" s="816"/>
      <c r="E92" s="567" t="s">
        <v>994</v>
      </c>
      <c r="F92" s="567" t="s">
        <v>995</v>
      </c>
      <c r="G92" s="442"/>
      <c r="H92" s="442"/>
      <c r="I92" s="443">
        <v>-2852</v>
      </c>
    </row>
    <row r="93" spans="1:9" s="31" customFormat="1" ht="21" customHeight="1" x14ac:dyDescent="0.3">
      <c r="A93" s="442" t="s">
        <v>860</v>
      </c>
      <c r="B93" s="814" t="s">
        <v>957</v>
      </c>
      <c r="C93" s="815"/>
      <c r="D93" s="816"/>
      <c r="E93" s="567" t="s">
        <v>994</v>
      </c>
      <c r="F93" s="567" t="s">
        <v>996</v>
      </c>
      <c r="G93" s="442"/>
      <c r="H93" s="442"/>
      <c r="I93" s="443">
        <v>-2467.9</v>
      </c>
    </row>
    <row r="94" spans="1:9" s="31" customFormat="1" ht="21" customHeight="1" x14ac:dyDescent="0.3">
      <c r="A94" s="442" t="s">
        <v>861</v>
      </c>
      <c r="B94" s="814" t="s">
        <v>958</v>
      </c>
      <c r="C94" s="815"/>
      <c r="D94" s="816"/>
      <c r="E94" s="567" t="s">
        <v>994</v>
      </c>
      <c r="F94" s="567" t="s">
        <v>995</v>
      </c>
      <c r="G94" s="442"/>
      <c r="H94" s="442"/>
      <c r="I94" s="443">
        <v>-8617</v>
      </c>
    </row>
    <row r="95" spans="1:9" s="31" customFormat="1" ht="21" customHeight="1" x14ac:dyDescent="0.3">
      <c r="A95" s="442" t="s">
        <v>862</v>
      </c>
      <c r="B95" s="814" t="s">
        <v>959</v>
      </c>
      <c r="C95" s="815"/>
      <c r="D95" s="816"/>
      <c r="E95" s="567" t="s">
        <v>994</v>
      </c>
      <c r="F95" s="567" t="s">
        <v>995</v>
      </c>
      <c r="G95" s="442"/>
      <c r="H95" s="442"/>
      <c r="I95" s="443">
        <v>-8029.9</v>
      </c>
    </row>
    <row r="96" spans="1:9" s="31" customFormat="1" ht="31.65" customHeight="1" x14ac:dyDescent="0.3">
      <c r="A96" s="442" t="s">
        <v>863</v>
      </c>
      <c r="B96" s="814" t="s">
        <v>960</v>
      </c>
      <c r="C96" s="815"/>
      <c r="D96" s="816"/>
      <c r="E96" s="567" t="s">
        <v>994</v>
      </c>
      <c r="F96" s="567" t="s">
        <v>995</v>
      </c>
      <c r="G96" s="442"/>
      <c r="H96" s="442"/>
      <c r="I96" s="443">
        <v>-7649.9</v>
      </c>
    </row>
    <row r="97" spans="1:9" s="31" customFormat="1" ht="21" customHeight="1" x14ac:dyDescent="0.3">
      <c r="A97" s="442" t="s">
        <v>864</v>
      </c>
      <c r="B97" s="814" t="s">
        <v>961</v>
      </c>
      <c r="C97" s="815"/>
      <c r="D97" s="816"/>
      <c r="E97" s="567" t="s">
        <v>994</v>
      </c>
      <c r="F97" s="567" t="s">
        <v>995</v>
      </c>
      <c r="G97" s="442"/>
      <c r="H97" s="442"/>
      <c r="I97" s="443">
        <v>-5664.9</v>
      </c>
    </row>
    <row r="98" spans="1:9" s="31" customFormat="1" ht="21" customHeight="1" x14ac:dyDescent="0.3">
      <c r="A98" s="442" t="s">
        <v>865</v>
      </c>
      <c r="B98" s="814" t="s">
        <v>962</v>
      </c>
      <c r="C98" s="815"/>
      <c r="D98" s="816"/>
      <c r="E98" s="567" t="s">
        <v>994</v>
      </c>
      <c r="F98" s="567" t="s">
        <v>995</v>
      </c>
      <c r="G98" s="442"/>
      <c r="H98" s="442"/>
      <c r="I98" s="443">
        <v>-8004</v>
      </c>
    </row>
    <row r="99" spans="1:9" s="31" customFormat="1" ht="21" customHeight="1" x14ac:dyDescent="0.3">
      <c r="A99" s="442" t="s">
        <v>866</v>
      </c>
      <c r="B99" s="814" t="s">
        <v>963</v>
      </c>
      <c r="C99" s="815"/>
      <c r="D99" s="816"/>
      <c r="E99" s="567" t="s">
        <v>994</v>
      </c>
      <c r="F99" s="567" t="s">
        <v>997</v>
      </c>
      <c r="G99" s="442"/>
      <c r="H99" s="442"/>
      <c r="I99" s="443">
        <v>-348</v>
      </c>
    </row>
    <row r="100" spans="1:9" s="31" customFormat="1" ht="21" customHeight="1" x14ac:dyDescent="0.3">
      <c r="A100" s="442" t="s">
        <v>867</v>
      </c>
      <c r="B100" s="814" t="s">
        <v>964</v>
      </c>
      <c r="C100" s="815"/>
      <c r="D100" s="816"/>
      <c r="E100" s="567" t="s">
        <v>994</v>
      </c>
      <c r="F100" s="567" t="s">
        <v>995</v>
      </c>
      <c r="G100" s="442"/>
      <c r="H100" s="442"/>
      <c r="I100" s="443">
        <v>-180</v>
      </c>
    </row>
    <row r="101" spans="1:9" s="31" customFormat="1" ht="21" customHeight="1" x14ac:dyDescent="0.3">
      <c r="A101" s="442" t="s">
        <v>868</v>
      </c>
      <c r="B101" s="814" t="s">
        <v>965</v>
      </c>
      <c r="C101" s="815"/>
      <c r="D101" s="816"/>
      <c r="E101" s="567" t="s">
        <v>994</v>
      </c>
      <c r="F101" s="567" t="s">
        <v>995</v>
      </c>
      <c r="G101" s="442"/>
      <c r="H101" s="442"/>
      <c r="I101" s="443">
        <v>-765</v>
      </c>
    </row>
    <row r="102" spans="1:9" s="31" customFormat="1" ht="21" customHeight="1" x14ac:dyDescent="0.3">
      <c r="A102" s="442" t="s">
        <v>869</v>
      </c>
      <c r="B102" s="814" t="s">
        <v>966</v>
      </c>
      <c r="C102" s="815"/>
      <c r="D102" s="816"/>
      <c r="E102" s="567" t="s">
        <v>994</v>
      </c>
      <c r="F102" s="567" t="s">
        <v>995</v>
      </c>
      <c r="G102" s="442"/>
      <c r="H102" s="442"/>
      <c r="I102" s="443">
        <v>-1494</v>
      </c>
    </row>
    <row r="103" spans="1:9" s="31" customFormat="1" ht="21" customHeight="1" x14ac:dyDescent="0.3">
      <c r="A103" s="442" t="s">
        <v>870</v>
      </c>
      <c r="B103" s="814" t="s">
        <v>951</v>
      </c>
      <c r="C103" s="815"/>
      <c r="D103" s="816"/>
      <c r="E103" s="567" t="s">
        <v>994</v>
      </c>
      <c r="F103" s="567" t="s">
        <v>995</v>
      </c>
      <c r="G103" s="442"/>
      <c r="H103" s="442"/>
      <c r="I103" s="443">
        <v>-1285.9000000000001</v>
      </c>
    </row>
    <row r="104" spans="1:9" s="31" customFormat="1" ht="31.65" customHeight="1" x14ac:dyDescent="0.3">
      <c r="A104" s="442" t="s">
        <v>871</v>
      </c>
      <c r="B104" s="814" t="s">
        <v>967</v>
      </c>
      <c r="C104" s="815"/>
      <c r="D104" s="816"/>
      <c r="E104" s="567" t="s">
        <v>994</v>
      </c>
      <c r="F104" s="567" t="s">
        <v>995</v>
      </c>
      <c r="G104" s="442"/>
      <c r="H104" s="442"/>
      <c r="I104" s="443">
        <v>-2142</v>
      </c>
    </row>
    <row r="105" spans="1:9" s="31" customFormat="1" ht="21" customHeight="1" x14ac:dyDescent="0.3">
      <c r="A105" s="442" t="s">
        <v>872</v>
      </c>
      <c r="B105" s="814" t="s">
        <v>947</v>
      </c>
      <c r="C105" s="815"/>
      <c r="D105" s="816"/>
      <c r="E105" s="567" t="s">
        <v>994</v>
      </c>
      <c r="F105" s="567" t="s">
        <v>995</v>
      </c>
      <c r="G105" s="442"/>
      <c r="H105" s="442"/>
      <c r="I105" s="443">
        <v>-233</v>
      </c>
    </row>
    <row r="106" spans="1:9" s="31" customFormat="1" ht="31.65" customHeight="1" x14ac:dyDescent="0.3">
      <c r="A106" s="442" t="s">
        <v>873</v>
      </c>
      <c r="B106" s="814" t="s">
        <v>960</v>
      </c>
      <c r="C106" s="815"/>
      <c r="D106" s="816"/>
      <c r="E106" s="567" t="s">
        <v>994</v>
      </c>
      <c r="F106" s="567" t="s">
        <v>995</v>
      </c>
      <c r="G106" s="442"/>
      <c r="H106" s="442"/>
      <c r="I106" s="443">
        <v>-5099.8999999999996</v>
      </c>
    </row>
    <row r="107" spans="1:9" s="31" customFormat="1" ht="21" customHeight="1" x14ac:dyDescent="0.3">
      <c r="A107" s="442" t="s">
        <v>874</v>
      </c>
      <c r="B107" s="814" t="s">
        <v>953</v>
      </c>
      <c r="C107" s="815"/>
      <c r="D107" s="816"/>
      <c r="E107" s="567" t="s">
        <v>994</v>
      </c>
      <c r="F107" s="567" t="s">
        <v>995</v>
      </c>
      <c r="G107" s="442"/>
      <c r="H107" s="442"/>
      <c r="I107" s="443">
        <v>-1278</v>
      </c>
    </row>
    <row r="108" spans="1:9" s="31" customFormat="1" ht="21" customHeight="1" x14ac:dyDescent="0.3">
      <c r="A108" s="442" t="s">
        <v>875</v>
      </c>
      <c r="B108" s="814" t="s">
        <v>957</v>
      </c>
      <c r="C108" s="815"/>
      <c r="D108" s="816"/>
      <c r="E108" s="567" t="s">
        <v>994</v>
      </c>
      <c r="F108" s="567" t="s">
        <v>996</v>
      </c>
      <c r="G108" s="442"/>
      <c r="H108" s="442"/>
      <c r="I108" s="443">
        <v>-1674</v>
      </c>
    </row>
    <row r="109" spans="1:9" s="31" customFormat="1" ht="21" customHeight="1" x14ac:dyDescent="0.3">
      <c r="A109" s="442" t="s">
        <v>876</v>
      </c>
      <c r="B109" s="814" t="s">
        <v>954</v>
      </c>
      <c r="C109" s="815"/>
      <c r="D109" s="816"/>
      <c r="E109" s="567" t="s">
        <v>994</v>
      </c>
      <c r="F109" s="567" t="s">
        <v>995</v>
      </c>
      <c r="G109" s="442"/>
      <c r="H109" s="442"/>
      <c r="I109" s="443">
        <v>-1081.0999999999999</v>
      </c>
    </row>
    <row r="110" spans="1:9" s="31" customFormat="1" ht="21" customHeight="1" x14ac:dyDescent="0.3">
      <c r="A110" s="442" t="s">
        <v>877</v>
      </c>
      <c r="B110" s="814" t="s">
        <v>968</v>
      </c>
      <c r="C110" s="815"/>
      <c r="D110" s="816"/>
      <c r="E110" s="567" t="s">
        <v>994</v>
      </c>
      <c r="F110" s="567" t="s">
        <v>996</v>
      </c>
      <c r="G110" s="442"/>
      <c r="H110" s="442"/>
      <c r="I110" s="443">
        <v>-136</v>
      </c>
    </row>
    <row r="111" spans="1:9" s="31" customFormat="1" ht="21" customHeight="1" x14ac:dyDescent="0.3">
      <c r="A111" s="442" t="s">
        <v>878</v>
      </c>
      <c r="B111" s="814" t="s">
        <v>949</v>
      </c>
      <c r="C111" s="815"/>
      <c r="D111" s="816"/>
      <c r="E111" s="567" t="s">
        <v>994</v>
      </c>
      <c r="F111" s="567" t="s">
        <v>995</v>
      </c>
      <c r="G111" s="442"/>
      <c r="H111" s="442"/>
      <c r="I111" s="443">
        <v>-3180</v>
      </c>
    </row>
    <row r="112" spans="1:9" s="31" customFormat="1" ht="21" customHeight="1" x14ac:dyDescent="0.3">
      <c r="A112" s="442" t="s">
        <v>879</v>
      </c>
      <c r="B112" s="814" t="s">
        <v>969</v>
      </c>
      <c r="C112" s="815"/>
      <c r="D112" s="816"/>
      <c r="E112" s="567" t="s">
        <v>994</v>
      </c>
      <c r="F112" s="567" t="s">
        <v>995</v>
      </c>
      <c r="G112" s="442"/>
      <c r="H112" s="442"/>
      <c r="I112" s="443">
        <v>-14550</v>
      </c>
    </row>
    <row r="113" spans="1:9" s="31" customFormat="1" ht="21" customHeight="1" x14ac:dyDescent="0.3">
      <c r="A113" s="442" t="s">
        <v>880</v>
      </c>
      <c r="B113" s="814" t="s">
        <v>970</v>
      </c>
      <c r="C113" s="815"/>
      <c r="D113" s="816"/>
      <c r="E113" s="567" t="s">
        <v>994</v>
      </c>
      <c r="F113" s="567" t="s">
        <v>995</v>
      </c>
      <c r="G113" s="442"/>
      <c r="H113" s="442"/>
      <c r="I113" s="443">
        <v>-2976</v>
      </c>
    </row>
    <row r="114" spans="1:9" s="31" customFormat="1" ht="21" customHeight="1" x14ac:dyDescent="0.3">
      <c r="A114" s="442" t="s">
        <v>881</v>
      </c>
      <c r="B114" s="814" t="s">
        <v>961</v>
      </c>
      <c r="C114" s="815"/>
      <c r="D114" s="816"/>
      <c r="E114" s="567" t="s">
        <v>994</v>
      </c>
      <c r="F114" s="567" t="s">
        <v>995</v>
      </c>
      <c r="G114" s="442"/>
      <c r="H114" s="442"/>
      <c r="I114" s="443">
        <v>-12470.1</v>
      </c>
    </row>
    <row r="115" spans="1:9" s="31" customFormat="1" ht="21" customHeight="1" x14ac:dyDescent="0.3">
      <c r="A115" s="442" t="s">
        <v>882</v>
      </c>
      <c r="B115" s="814" t="s">
        <v>969</v>
      </c>
      <c r="C115" s="815"/>
      <c r="D115" s="816"/>
      <c r="E115" s="567" t="s">
        <v>994</v>
      </c>
      <c r="F115" s="567" t="s">
        <v>995</v>
      </c>
      <c r="G115" s="442"/>
      <c r="H115" s="442"/>
      <c r="I115" s="443">
        <v>-13709.9</v>
      </c>
    </row>
    <row r="116" spans="1:9" s="31" customFormat="1" ht="21" customHeight="1" x14ac:dyDescent="0.3">
      <c r="A116" s="442" t="s">
        <v>883</v>
      </c>
      <c r="B116" s="814" t="s">
        <v>971</v>
      </c>
      <c r="C116" s="815"/>
      <c r="D116" s="816"/>
      <c r="E116" s="567" t="s">
        <v>994</v>
      </c>
      <c r="F116" s="567" t="s">
        <v>995</v>
      </c>
      <c r="G116" s="442"/>
      <c r="H116" s="442"/>
      <c r="I116" s="443">
        <v>-2286</v>
      </c>
    </row>
    <row r="117" spans="1:9" s="31" customFormat="1" ht="21" customHeight="1" x14ac:dyDescent="0.3">
      <c r="A117" s="442" t="s">
        <v>884</v>
      </c>
      <c r="B117" s="814" t="s">
        <v>964</v>
      </c>
      <c r="C117" s="815"/>
      <c r="D117" s="816"/>
      <c r="E117" s="567" t="s">
        <v>994</v>
      </c>
      <c r="F117" s="567" t="s">
        <v>995</v>
      </c>
      <c r="G117" s="442"/>
      <c r="H117" s="442"/>
      <c r="I117" s="443">
        <v>-1680</v>
      </c>
    </row>
    <row r="118" spans="1:9" s="31" customFormat="1" ht="21" customHeight="1" x14ac:dyDescent="0.3">
      <c r="A118" s="442" t="s">
        <v>885</v>
      </c>
      <c r="B118" s="814" t="s">
        <v>969</v>
      </c>
      <c r="C118" s="815"/>
      <c r="D118" s="816"/>
      <c r="E118" s="567" t="s">
        <v>994</v>
      </c>
      <c r="F118" s="567" t="s">
        <v>995</v>
      </c>
      <c r="G118" s="442"/>
      <c r="H118" s="442"/>
      <c r="I118" s="443">
        <v>-11362.7</v>
      </c>
    </row>
    <row r="119" spans="1:9" s="31" customFormat="1" ht="21" customHeight="1" x14ac:dyDescent="0.3">
      <c r="A119" s="442" t="s">
        <v>886</v>
      </c>
      <c r="B119" s="814" t="s">
        <v>958</v>
      </c>
      <c r="C119" s="815"/>
      <c r="D119" s="816"/>
      <c r="E119" s="567" t="s">
        <v>994</v>
      </c>
      <c r="F119" s="567" t="s">
        <v>995</v>
      </c>
      <c r="G119" s="442"/>
      <c r="H119" s="442"/>
      <c r="I119" s="443">
        <v>-3971</v>
      </c>
    </row>
    <row r="120" spans="1:9" s="31" customFormat="1" ht="21" customHeight="1" x14ac:dyDescent="0.3">
      <c r="A120" s="442" t="s">
        <v>887</v>
      </c>
      <c r="B120" s="814" t="s">
        <v>972</v>
      </c>
      <c r="C120" s="815"/>
      <c r="D120" s="816"/>
      <c r="E120" s="567" t="s">
        <v>994</v>
      </c>
      <c r="F120" s="567" t="s">
        <v>995</v>
      </c>
      <c r="G120" s="442"/>
      <c r="H120" s="442"/>
      <c r="I120" s="443">
        <v>-3480.3</v>
      </c>
    </row>
    <row r="121" spans="1:9" s="31" customFormat="1" ht="21" customHeight="1" x14ac:dyDescent="0.3">
      <c r="A121" s="442" t="s">
        <v>888</v>
      </c>
      <c r="B121" s="814" t="s">
        <v>973</v>
      </c>
      <c r="C121" s="815"/>
      <c r="D121" s="816"/>
      <c r="E121" s="567" t="s">
        <v>994</v>
      </c>
      <c r="F121" s="567" t="s">
        <v>995</v>
      </c>
      <c r="G121" s="442"/>
      <c r="H121" s="442"/>
      <c r="I121" s="443">
        <v>-1243.9000000000001</v>
      </c>
    </row>
    <row r="122" spans="1:9" s="31" customFormat="1" ht="21" customHeight="1" x14ac:dyDescent="0.3">
      <c r="A122" s="442" t="s">
        <v>889</v>
      </c>
      <c r="B122" s="814" t="s">
        <v>974</v>
      </c>
      <c r="C122" s="815"/>
      <c r="D122" s="816"/>
      <c r="E122" s="567" t="s">
        <v>994</v>
      </c>
      <c r="F122" s="567" t="s">
        <v>995</v>
      </c>
      <c r="G122" s="442"/>
      <c r="H122" s="442"/>
      <c r="I122" s="443">
        <v>-4500</v>
      </c>
    </row>
    <row r="123" spans="1:9" s="31" customFormat="1" ht="21" customHeight="1" x14ac:dyDescent="0.3">
      <c r="A123" s="442" t="s">
        <v>890</v>
      </c>
      <c r="B123" s="814" t="s">
        <v>975</v>
      </c>
      <c r="C123" s="815"/>
      <c r="D123" s="816"/>
      <c r="E123" s="567" t="s">
        <v>994</v>
      </c>
      <c r="F123" s="567" t="s">
        <v>995</v>
      </c>
      <c r="G123" s="442"/>
      <c r="H123" s="442"/>
      <c r="I123" s="443">
        <v>-407.4</v>
      </c>
    </row>
    <row r="124" spans="1:9" s="31" customFormat="1" ht="21" customHeight="1" x14ac:dyDescent="0.3">
      <c r="A124" s="442" t="s">
        <v>891</v>
      </c>
      <c r="B124" s="814" t="s">
        <v>976</v>
      </c>
      <c r="C124" s="815"/>
      <c r="D124" s="816"/>
      <c r="E124" s="567" t="s">
        <v>994</v>
      </c>
      <c r="F124" s="567" t="s">
        <v>995</v>
      </c>
      <c r="G124" s="442"/>
      <c r="H124" s="442"/>
      <c r="I124" s="443">
        <v>-3007.2</v>
      </c>
    </row>
    <row r="125" spans="1:9" s="31" customFormat="1" ht="21" customHeight="1" x14ac:dyDescent="0.3">
      <c r="A125" s="442" t="s">
        <v>892</v>
      </c>
      <c r="B125" s="814" t="s">
        <v>977</v>
      </c>
      <c r="C125" s="815"/>
      <c r="D125" s="816"/>
      <c r="E125" s="567" t="s">
        <v>994</v>
      </c>
      <c r="F125" s="567" t="s">
        <v>995</v>
      </c>
      <c r="G125" s="442"/>
      <c r="H125" s="442"/>
      <c r="I125" s="443">
        <v>-234</v>
      </c>
    </row>
    <row r="126" spans="1:9" s="31" customFormat="1" ht="21" customHeight="1" x14ac:dyDescent="0.3">
      <c r="A126" s="442" t="s">
        <v>893</v>
      </c>
      <c r="B126" s="814" t="s">
        <v>959</v>
      </c>
      <c r="C126" s="815"/>
      <c r="D126" s="816"/>
      <c r="E126" s="567" t="s">
        <v>994</v>
      </c>
      <c r="F126" s="567" t="s">
        <v>995</v>
      </c>
      <c r="G126" s="442"/>
      <c r="H126" s="442"/>
      <c r="I126" s="443">
        <v>-4368</v>
      </c>
    </row>
    <row r="127" spans="1:9" s="31" customFormat="1" ht="21" customHeight="1" x14ac:dyDescent="0.3">
      <c r="A127" s="442" t="s">
        <v>894</v>
      </c>
      <c r="B127" s="814" t="s">
        <v>978</v>
      </c>
      <c r="C127" s="815"/>
      <c r="D127" s="816"/>
      <c r="E127" s="567" t="s">
        <v>994</v>
      </c>
      <c r="F127" s="567" t="s">
        <v>995</v>
      </c>
      <c r="G127" s="442"/>
      <c r="H127" s="442"/>
      <c r="I127" s="443">
        <v>-185</v>
      </c>
    </row>
    <row r="128" spans="1:9" s="31" customFormat="1" ht="21" customHeight="1" x14ac:dyDescent="0.3">
      <c r="A128" s="442" t="s">
        <v>895</v>
      </c>
      <c r="B128" s="814" t="s">
        <v>955</v>
      </c>
      <c r="C128" s="815"/>
      <c r="D128" s="816"/>
      <c r="E128" s="567" t="s">
        <v>994</v>
      </c>
      <c r="F128" s="567" t="s">
        <v>995</v>
      </c>
      <c r="G128" s="442"/>
      <c r="H128" s="442"/>
      <c r="I128" s="443">
        <v>-2880</v>
      </c>
    </row>
    <row r="129" spans="1:9" s="31" customFormat="1" ht="21" customHeight="1" x14ac:dyDescent="0.3">
      <c r="A129" s="442" t="s">
        <v>896</v>
      </c>
      <c r="B129" s="814" t="s">
        <v>956</v>
      </c>
      <c r="C129" s="815"/>
      <c r="D129" s="816"/>
      <c r="E129" s="567" t="s">
        <v>994</v>
      </c>
      <c r="F129" s="567" t="s">
        <v>995</v>
      </c>
      <c r="G129" s="442"/>
      <c r="H129" s="442"/>
      <c r="I129" s="443">
        <v>-1800</v>
      </c>
    </row>
    <row r="130" spans="1:9" s="31" customFormat="1" ht="21" customHeight="1" x14ac:dyDescent="0.3">
      <c r="A130" s="442" t="s">
        <v>897</v>
      </c>
      <c r="B130" s="814" t="s">
        <v>952</v>
      </c>
      <c r="C130" s="815"/>
      <c r="D130" s="816"/>
      <c r="E130" s="567" t="s">
        <v>994</v>
      </c>
      <c r="F130" s="567" t="s">
        <v>995</v>
      </c>
      <c r="G130" s="442"/>
      <c r="H130" s="442"/>
      <c r="I130" s="443">
        <v>-19</v>
      </c>
    </row>
    <row r="131" spans="1:9" s="31" customFormat="1" ht="31.65" customHeight="1" x14ac:dyDescent="0.3">
      <c r="A131" s="442" t="s">
        <v>898</v>
      </c>
      <c r="B131" s="814" t="s">
        <v>979</v>
      </c>
      <c r="C131" s="815"/>
      <c r="D131" s="816"/>
      <c r="E131" s="567" t="s">
        <v>994</v>
      </c>
      <c r="F131" s="567" t="s">
        <v>995</v>
      </c>
      <c r="G131" s="442"/>
      <c r="H131" s="442"/>
      <c r="I131" s="443">
        <v>-13600</v>
      </c>
    </row>
    <row r="132" spans="1:9" s="31" customFormat="1" ht="21" customHeight="1" x14ac:dyDescent="0.3">
      <c r="A132" s="442" t="s">
        <v>899</v>
      </c>
      <c r="B132" s="814" t="s">
        <v>980</v>
      </c>
      <c r="C132" s="815"/>
      <c r="D132" s="816"/>
      <c r="E132" s="567" t="s">
        <v>994</v>
      </c>
      <c r="F132" s="567" t="s">
        <v>995</v>
      </c>
      <c r="G132" s="442"/>
      <c r="H132" s="442"/>
      <c r="I132" s="443">
        <v>-5511.4</v>
      </c>
    </row>
    <row r="133" spans="1:9" s="31" customFormat="1" ht="21" customHeight="1" x14ac:dyDescent="0.3">
      <c r="A133" s="442" t="s">
        <v>900</v>
      </c>
      <c r="B133" s="814" t="s">
        <v>981</v>
      </c>
      <c r="C133" s="815"/>
      <c r="D133" s="816"/>
      <c r="E133" s="567" t="s">
        <v>994</v>
      </c>
      <c r="F133" s="567" t="s">
        <v>995</v>
      </c>
      <c r="G133" s="442"/>
      <c r="H133" s="442"/>
      <c r="I133" s="443">
        <v>-8288.7000000000007</v>
      </c>
    </row>
    <row r="134" spans="1:9" s="31" customFormat="1" ht="21" customHeight="1" x14ac:dyDescent="0.3">
      <c r="A134" s="442" t="s">
        <v>901</v>
      </c>
      <c r="B134" s="814" t="s">
        <v>982</v>
      </c>
      <c r="C134" s="815"/>
      <c r="D134" s="816"/>
      <c r="E134" s="567" t="s">
        <v>994</v>
      </c>
      <c r="F134" s="567" t="s">
        <v>995</v>
      </c>
      <c r="G134" s="442"/>
      <c r="H134" s="442"/>
      <c r="I134" s="443">
        <v>-1320</v>
      </c>
    </row>
    <row r="135" spans="1:9" s="31" customFormat="1" ht="21" customHeight="1" x14ac:dyDescent="0.3">
      <c r="A135" s="442" t="s">
        <v>902</v>
      </c>
      <c r="B135" s="814" t="s">
        <v>982</v>
      </c>
      <c r="C135" s="815"/>
      <c r="D135" s="816"/>
      <c r="E135" s="567" t="s">
        <v>994</v>
      </c>
      <c r="F135" s="567" t="s">
        <v>995</v>
      </c>
      <c r="G135" s="442"/>
      <c r="H135" s="442"/>
      <c r="I135" s="443">
        <v>-480</v>
      </c>
    </row>
    <row r="136" spans="1:9" s="31" customFormat="1" ht="21" customHeight="1" x14ac:dyDescent="0.3">
      <c r="A136" s="442" t="s">
        <v>903</v>
      </c>
      <c r="B136" s="814" t="s">
        <v>950</v>
      </c>
      <c r="C136" s="815"/>
      <c r="D136" s="816"/>
      <c r="E136" s="567" t="s">
        <v>994</v>
      </c>
      <c r="F136" s="567" t="s">
        <v>995</v>
      </c>
      <c r="G136" s="442"/>
      <c r="H136" s="442"/>
      <c r="I136" s="443">
        <v>-581</v>
      </c>
    </row>
    <row r="137" spans="1:9" s="31" customFormat="1" ht="21" customHeight="1" x14ac:dyDescent="0.3">
      <c r="A137" s="442" t="s">
        <v>904</v>
      </c>
      <c r="B137" s="814" t="s">
        <v>970</v>
      </c>
      <c r="C137" s="815"/>
      <c r="D137" s="816"/>
      <c r="E137" s="567" t="s">
        <v>994</v>
      </c>
      <c r="F137" s="567" t="s">
        <v>995</v>
      </c>
      <c r="G137" s="442"/>
      <c r="H137" s="442"/>
      <c r="I137" s="443">
        <v>-574</v>
      </c>
    </row>
    <row r="138" spans="1:9" s="31" customFormat="1" ht="21" customHeight="1" x14ac:dyDescent="0.3">
      <c r="A138" s="442" t="s">
        <v>905</v>
      </c>
      <c r="B138" s="814" t="s">
        <v>983</v>
      </c>
      <c r="C138" s="815"/>
      <c r="D138" s="816"/>
      <c r="E138" s="567" t="s">
        <v>994</v>
      </c>
      <c r="F138" s="567" t="s">
        <v>995</v>
      </c>
      <c r="G138" s="442"/>
      <c r="H138" s="442"/>
      <c r="I138" s="443">
        <v>-2160</v>
      </c>
    </row>
    <row r="139" spans="1:9" s="31" customFormat="1" ht="21" customHeight="1" x14ac:dyDescent="0.3">
      <c r="A139" s="442" t="s">
        <v>906</v>
      </c>
      <c r="B139" s="814" t="s">
        <v>984</v>
      </c>
      <c r="C139" s="815"/>
      <c r="D139" s="816"/>
      <c r="E139" s="567" t="s">
        <v>994</v>
      </c>
      <c r="F139" s="567" t="s">
        <v>996</v>
      </c>
      <c r="G139" s="442"/>
      <c r="H139" s="442"/>
      <c r="I139" s="443">
        <v>-677</v>
      </c>
    </row>
    <row r="140" spans="1:9" s="31" customFormat="1" ht="21" customHeight="1" x14ac:dyDescent="0.3">
      <c r="A140" s="442" t="s">
        <v>907</v>
      </c>
      <c r="B140" s="814" t="s">
        <v>971</v>
      </c>
      <c r="C140" s="815"/>
      <c r="D140" s="816"/>
      <c r="E140" s="567" t="s">
        <v>994</v>
      </c>
      <c r="F140" s="567" t="s">
        <v>995</v>
      </c>
      <c r="G140" s="442"/>
      <c r="H140" s="442"/>
      <c r="I140" s="443">
        <v>-468.2</v>
      </c>
    </row>
    <row r="141" spans="1:9" s="31" customFormat="1" ht="21" customHeight="1" x14ac:dyDescent="0.3">
      <c r="A141" s="442" t="s">
        <v>908</v>
      </c>
      <c r="B141" s="814" t="s">
        <v>962</v>
      </c>
      <c r="C141" s="815"/>
      <c r="D141" s="816"/>
      <c r="E141" s="567" t="s">
        <v>994</v>
      </c>
      <c r="F141" s="567" t="s">
        <v>995</v>
      </c>
      <c r="G141" s="442"/>
      <c r="H141" s="442"/>
      <c r="I141" s="443">
        <v>-5800.8</v>
      </c>
    </row>
    <row r="142" spans="1:9" s="31" customFormat="1" ht="21" customHeight="1" x14ac:dyDescent="0.3">
      <c r="A142" s="442" t="s">
        <v>909</v>
      </c>
      <c r="B142" s="814" t="s">
        <v>980</v>
      </c>
      <c r="C142" s="815"/>
      <c r="D142" s="816"/>
      <c r="E142" s="567" t="s">
        <v>994</v>
      </c>
      <c r="F142" s="567" t="s">
        <v>995</v>
      </c>
      <c r="G142" s="442"/>
      <c r="H142" s="442"/>
      <c r="I142" s="443">
        <v>-275.39999999999998</v>
      </c>
    </row>
    <row r="143" spans="1:9" s="31" customFormat="1" ht="21" customHeight="1" x14ac:dyDescent="0.3">
      <c r="A143" s="442" t="s">
        <v>910</v>
      </c>
      <c r="B143" s="814" t="s">
        <v>962</v>
      </c>
      <c r="C143" s="815"/>
      <c r="D143" s="816"/>
      <c r="E143" s="567" t="s">
        <v>994</v>
      </c>
      <c r="F143" s="567" t="s">
        <v>995</v>
      </c>
      <c r="G143" s="442"/>
      <c r="H143" s="442"/>
      <c r="I143" s="443">
        <v>-407.4</v>
      </c>
    </row>
    <row r="144" spans="1:9" s="31" customFormat="1" ht="31.65" customHeight="1" x14ac:dyDescent="0.3">
      <c r="A144" s="442" t="s">
        <v>911</v>
      </c>
      <c r="B144" s="814" t="s">
        <v>979</v>
      </c>
      <c r="C144" s="815"/>
      <c r="D144" s="816"/>
      <c r="E144" s="567" t="s">
        <v>994</v>
      </c>
      <c r="F144" s="567" t="s">
        <v>995</v>
      </c>
      <c r="G144" s="442"/>
      <c r="H144" s="442"/>
      <c r="I144" s="443">
        <v>-210</v>
      </c>
    </row>
    <row r="145" spans="1:9" s="31" customFormat="1" ht="31.65" customHeight="1" x14ac:dyDescent="0.3">
      <c r="A145" s="442" t="s">
        <v>912</v>
      </c>
      <c r="B145" s="814" t="s">
        <v>979</v>
      </c>
      <c r="C145" s="815"/>
      <c r="D145" s="816"/>
      <c r="E145" s="567" t="s">
        <v>994</v>
      </c>
      <c r="F145" s="567" t="s">
        <v>995</v>
      </c>
      <c r="G145" s="442"/>
      <c r="H145" s="442"/>
      <c r="I145" s="443">
        <v>-4800</v>
      </c>
    </row>
    <row r="146" spans="1:9" s="31" customFormat="1" ht="21" customHeight="1" x14ac:dyDescent="0.3">
      <c r="A146" s="442" t="s">
        <v>913</v>
      </c>
      <c r="B146" s="814" t="s">
        <v>969</v>
      </c>
      <c r="C146" s="815"/>
      <c r="D146" s="816"/>
      <c r="E146" s="567" t="s">
        <v>994</v>
      </c>
      <c r="F146" s="567" t="s">
        <v>995</v>
      </c>
      <c r="G146" s="442"/>
      <c r="H146" s="442"/>
      <c r="I146" s="443">
        <v>-1161.5999999999999</v>
      </c>
    </row>
    <row r="147" spans="1:9" s="31" customFormat="1" ht="21" customHeight="1" x14ac:dyDescent="0.3">
      <c r="A147" s="442" t="s">
        <v>914</v>
      </c>
      <c r="B147" s="814" t="s">
        <v>985</v>
      </c>
      <c r="C147" s="815"/>
      <c r="D147" s="816"/>
      <c r="E147" s="567" t="s">
        <v>994</v>
      </c>
      <c r="F147" s="567" t="s">
        <v>995</v>
      </c>
      <c r="G147" s="442"/>
      <c r="H147" s="442"/>
      <c r="I147" s="443">
        <v>-3096</v>
      </c>
    </row>
    <row r="148" spans="1:9" s="31" customFormat="1" ht="21" customHeight="1" x14ac:dyDescent="0.3">
      <c r="A148" s="442" t="s">
        <v>915</v>
      </c>
      <c r="B148" s="814" t="s">
        <v>969</v>
      </c>
      <c r="C148" s="815"/>
      <c r="D148" s="816"/>
      <c r="E148" s="567" t="s">
        <v>994</v>
      </c>
      <c r="F148" s="567" t="s">
        <v>995</v>
      </c>
      <c r="G148" s="442"/>
      <c r="H148" s="442"/>
      <c r="I148" s="443">
        <v>-4380</v>
      </c>
    </row>
    <row r="149" spans="1:9" s="31" customFormat="1" ht="21" customHeight="1" x14ac:dyDescent="0.3">
      <c r="A149" s="442" t="s">
        <v>916</v>
      </c>
      <c r="B149" s="814" t="s">
        <v>962</v>
      </c>
      <c r="C149" s="815"/>
      <c r="D149" s="816"/>
      <c r="E149" s="567" t="s">
        <v>994</v>
      </c>
      <c r="F149" s="567" t="s">
        <v>995</v>
      </c>
      <c r="G149" s="442"/>
      <c r="H149" s="442"/>
      <c r="I149" s="443">
        <v>-6775.4</v>
      </c>
    </row>
    <row r="150" spans="1:9" s="31" customFormat="1" ht="21" customHeight="1" x14ac:dyDescent="0.3">
      <c r="A150" s="442" t="s">
        <v>917</v>
      </c>
      <c r="B150" s="814" t="s">
        <v>963</v>
      </c>
      <c r="C150" s="815"/>
      <c r="D150" s="816"/>
      <c r="E150" s="567" t="s">
        <v>994</v>
      </c>
      <c r="F150" s="567" t="s">
        <v>997</v>
      </c>
      <c r="G150" s="442"/>
      <c r="H150" s="442"/>
      <c r="I150" s="443">
        <v>-473.9</v>
      </c>
    </row>
    <row r="151" spans="1:9" s="31" customFormat="1" ht="21" customHeight="1" x14ac:dyDescent="0.3">
      <c r="A151" s="442" t="s">
        <v>918</v>
      </c>
      <c r="B151" s="814" t="s">
        <v>986</v>
      </c>
      <c r="C151" s="815"/>
      <c r="D151" s="816"/>
      <c r="E151" s="567" t="s">
        <v>994</v>
      </c>
      <c r="F151" s="567" t="s">
        <v>995</v>
      </c>
      <c r="G151" s="442"/>
      <c r="H151" s="442"/>
      <c r="I151" s="443">
        <v>-684</v>
      </c>
    </row>
    <row r="152" spans="1:9" s="31" customFormat="1" ht="21" customHeight="1" x14ac:dyDescent="0.3">
      <c r="A152" s="442" t="s">
        <v>919</v>
      </c>
      <c r="B152" s="814" t="s">
        <v>987</v>
      </c>
      <c r="C152" s="815"/>
      <c r="D152" s="816"/>
      <c r="E152" s="567" t="s">
        <v>994</v>
      </c>
      <c r="F152" s="567" t="s">
        <v>995</v>
      </c>
      <c r="G152" s="442"/>
      <c r="H152" s="442"/>
      <c r="I152" s="443">
        <v>-560</v>
      </c>
    </row>
    <row r="153" spans="1:9" s="31" customFormat="1" ht="21" customHeight="1" x14ac:dyDescent="0.3">
      <c r="A153" s="442" t="s">
        <v>920</v>
      </c>
      <c r="B153" s="814" t="s">
        <v>984</v>
      </c>
      <c r="C153" s="815"/>
      <c r="D153" s="816"/>
      <c r="E153" s="567" t="s">
        <v>994</v>
      </c>
      <c r="F153" s="567" t="s">
        <v>996</v>
      </c>
      <c r="G153" s="442"/>
      <c r="H153" s="442"/>
      <c r="I153" s="443">
        <v>-154</v>
      </c>
    </row>
    <row r="154" spans="1:9" s="31" customFormat="1" ht="21" customHeight="1" x14ac:dyDescent="0.3">
      <c r="A154" s="442" t="s">
        <v>921</v>
      </c>
      <c r="B154" s="814" t="s">
        <v>988</v>
      </c>
      <c r="C154" s="815"/>
      <c r="D154" s="816"/>
      <c r="E154" s="567" t="s">
        <v>994</v>
      </c>
      <c r="F154" s="567" t="s">
        <v>995</v>
      </c>
      <c r="G154" s="442"/>
      <c r="H154" s="442"/>
      <c r="I154" s="443">
        <v>-58344</v>
      </c>
    </row>
    <row r="155" spans="1:9" s="31" customFormat="1" ht="21" customHeight="1" x14ac:dyDescent="0.3">
      <c r="A155" s="442" t="s">
        <v>922</v>
      </c>
      <c r="B155" s="814" t="s">
        <v>989</v>
      </c>
      <c r="C155" s="815"/>
      <c r="D155" s="816"/>
      <c r="E155" s="567" t="s">
        <v>994</v>
      </c>
      <c r="F155" s="567" t="s">
        <v>995</v>
      </c>
      <c r="G155" s="442"/>
      <c r="H155" s="442"/>
      <c r="I155" s="443">
        <v>-3576</v>
      </c>
    </row>
    <row r="156" spans="1:9" s="31" customFormat="1" ht="21" customHeight="1" x14ac:dyDescent="0.3">
      <c r="A156" s="442" t="s">
        <v>923</v>
      </c>
      <c r="B156" s="814" t="s">
        <v>970</v>
      </c>
      <c r="C156" s="815"/>
      <c r="D156" s="816"/>
      <c r="E156" s="567" t="s">
        <v>994</v>
      </c>
      <c r="F156" s="567" t="s">
        <v>995</v>
      </c>
      <c r="G156" s="442"/>
      <c r="H156" s="442"/>
      <c r="I156" s="443">
        <v>-2398</v>
      </c>
    </row>
    <row r="157" spans="1:9" s="31" customFormat="1" ht="21" customHeight="1" x14ac:dyDescent="0.3">
      <c r="A157" s="442" t="s">
        <v>924</v>
      </c>
      <c r="B157" s="814" t="s">
        <v>987</v>
      </c>
      <c r="C157" s="815"/>
      <c r="D157" s="816"/>
      <c r="E157" s="567" t="s">
        <v>994</v>
      </c>
      <c r="F157" s="567" t="s">
        <v>995</v>
      </c>
      <c r="G157" s="442"/>
      <c r="H157" s="442"/>
      <c r="I157" s="443">
        <v>-117.9</v>
      </c>
    </row>
    <row r="158" spans="1:9" s="31" customFormat="1" ht="21" customHeight="1" x14ac:dyDescent="0.3">
      <c r="A158" s="442" t="s">
        <v>925</v>
      </c>
      <c r="B158" s="814" t="s">
        <v>990</v>
      </c>
      <c r="C158" s="815"/>
      <c r="D158" s="816"/>
      <c r="E158" s="567" t="s">
        <v>994</v>
      </c>
      <c r="F158" s="567" t="s">
        <v>995</v>
      </c>
      <c r="G158" s="442"/>
      <c r="H158" s="442"/>
      <c r="I158" s="443">
        <v>-96.8</v>
      </c>
    </row>
    <row r="159" spans="1:9" s="31" customFormat="1" ht="21" customHeight="1" x14ac:dyDescent="0.3">
      <c r="A159" s="442" t="s">
        <v>926</v>
      </c>
      <c r="B159" s="814" t="s">
        <v>991</v>
      </c>
      <c r="C159" s="815"/>
      <c r="D159" s="816"/>
      <c r="E159" s="567" t="s">
        <v>994</v>
      </c>
      <c r="F159" s="567" t="s">
        <v>995</v>
      </c>
      <c r="G159" s="442"/>
      <c r="H159" s="442"/>
      <c r="I159" s="443">
        <v>-2639.8</v>
      </c>
    </row>
    <row r="160" spans="1:9" s="31" customFormat="1" ht="21" customHeight="1" x14ac:dyDescent="0.3">
      <c r="A160" s="442" t="s">
        <v>927</v>
      </c>
      <c r="B160" s="814" t="s">
        <v>992</v>
      </c>
      <c r="C160" s="815"/>
      <c r="D160" s="816"/>
      <c r="E160" s="567" t="s">
        <v>994</v>
      </c>
      <c r="F160" s="567" t="s">
        <v>995</v>
      </c>
      <c r="G160" s="442"/>
      <c r="H160" s="442"/>
      <c r="I160" s="443">
        <v>-6.4</v>
      </c>
    </row>
    <row r="161" spans="1:10" s="31" customFormat="1" ht="21" customHeight="1" x14ac:dyDescent="0.3">
      <c r="A161" s="442" t="s">
        <v>928</v>
      </c>
      <c r="B161" s="814" t="s">
        <v>981</v>
      </c>
      <c r="C161" s="815"/>
      <c r="D161" s="816"/>
      <c r="E161" s="567" t="s">
        <v>994</v>
      </c>
      <c r="F161" s="567" t="s">
        <v>995</v>
      </c>
      <c r="G161" s="442"/>
      <c r="H161" s="442"/>
      <c r="I161" s="443">
        <v>-2976</v>
      </c>
    </row>
    <row r="162" spans="1:10" s="31" customFormat="1" ht="21" customHeight="1" x14ac:dyDescent="0.3">
      <c r="A162" s="442" t="s">
        <v>929</v>
      </c>
      <c r="B162" s="814" t="s">
        <v>969</v>
      </c>
      <c r="C162" s="815"/>
      <c r="D162" s="816"/>
      <c r="E162" s="567" t="s">
        <v>994</v>
      </c>
      <c r="F162" s="567" t="s">
        <v>995</v>
      </c>
      <c r="G162" s="442"/>
      <c r="H162" s="442"/>
      <c r="I162" s="443">
        <v>-12375</v>
      </c>
    </row>
    <row r="163" spans="1:10" s="31" customFormat="1" ht="21" customHeight="1" x14ac:dyDescent="0.3">
      <c r="A163" s="442" t="s">
        <v>930</v>
      </c>
      <c r="B163" s="814" t="s">
        <v>978</v>
      </c>
      <c r="C163" s="815"/>
      <c r="D163" s="816"/>
      <c r="E163" s="567" t="s">
        <v>994</v>
      </c>
      <c r="F163" s="567" t="s">
        <v>995</v>
      </c>
      <c r="G163" s="442"/>
      <c r="H163" s="442"/>
      <c r="I163" s="443">
        <v>-72</v>
      </c>
    </row>
    <row r="164" spans="1:10" s="31" customFormat="1" ht="21" customHeight="1" x14ac:dyDescent="0.3">
      <c r="A164" s="442" t="s">
        <v>931</v>
      </c>
      <c r="B164" s="814" t="s">
        <v>949</v>
      </c>
      <c r="C164" s="815"/>
      <c r="D164" s="816"/>
      <c r="E164" s="567" t="s">
        <v>994</v>
      </c>
      <c r="F164" s="567" t="s">
        <v>995</v>
      </c>
      <c r="G164" s="442"/>
      <c r="H164" s="442"/>
      <c r="I164" s="443">
        <v>-954</v>
      </c>
    </row>
    <row r="165" spans="1:10" s="31" customFormat="1" ht="21" customHeight="1" x14ac:dyDescent="0.3">
      <c r="A165" s="442" t="s">
        <v>932</v>
      </c>
      <c r="B165" s="814" t="s">
        <v>975</v>
      </c>
      <c r="C165" s="815"/>
      <c r="D165" s="816"/>
      <c r="E165" s="567" t="s">
        <v>994</v>
      </c>
      <c r="F165" s="567" t="s">
        <v>995</v>
      </c>
      <c r="G165" s="442"/>
      <c r="H165" s="442"/>
      <c r="I165" s="443">
        <v>-168</v>
      </c>
    </row>
    <row r="166" spans="1:10" s="31" customFormat="1" ht="21" customHeight="1" x14ac:dyDescent="0.3">
      <c r="A166" s="442" t="s">
        <v>933</v>
      </c>
      <c r="B166" s="814" t="s">
        <v>953</v>
      </c>
      <c r="C166" s="815"/>
      <c r="D166" s="816"/>
      <c r="E166" s="567" t="s">
        <v>994</v>
      </c>
      <c r="F166" s="567" t="s">
        <v>995</v>
      </c>
      <c r="G166" s="442"/>
      <c r="H166" s="442"/>
      <c r="I166" s="443">
        <v>-439.4</v>
      </c>
    </row>
    <row r="167" spans="1:10" s="31" customFormat="1" ht="21" customHeight="1" x14ac:dyDescent="0.3">
      <c r="A167" s="442" t="s">
        <v>934</v>
      </c>
      <c r="B167" s="814" t="s">
        <v>952</v>
      </c>
      <c r="C167" s="815"/>
      <c r="D167" s="816"/>
      <c r="E167" s="567" t="s">
        <v>994</v>
      </c>
      <c r="F167" s="567" t="s">
        <v>995</v>
      </c>
      <c r="G167" s="442"/>
      <c r="H167" s="442"/>
      <c r="I167" s="443">
        <v>-348</v>
      </c>
    </row>
    <row r="168" spans="1:10" s="31" customFormat="1" ht="21" customHeight="1" x14ac:dyDescent="0.3">
      <c r="A168" s="442" t="s">
        <v>935</v>
      </c>
      <c r="B168" s="814" t="s">
        <v>950</v>
      </c>
      <c r="C168" s="815"/>
      <c r="D168" s="816"/>
      <c r="E168" s="567" t="s">
        <v>994</v>
      </c>
      <c r="F168" s="567" t="s">
        <v>995</v>
      </c>
      <c r="G168" s="442"/>
      <c r="H168" s="442"/>
      <c r="I168" s="443">
        <v>-227</v>
      </c>
    </row>
    <row r="169" spans="1:10" s="31" customFormat="1" ht="21" customHeight="1" x14ac:dyDescent="0.3">
      <c r="A169" s="442" t="s">
        <v>936</v>
      </c>
      <c r="B169" s="814" t="s">
        <v>973</v>
      </c>
      <c r="C169" s="815"/>
      <c r="D169" s="816"/>
      <c r="E169" s="567" t="s">
        <v>994</v>
      </c>
      <c r="F169" s="567" t="s">
        <v>995</v>
      </c>
      <c r="G169" s="442"/>
      <c r="H169" s="442"/>
      <c r="I169" s="443">
        <v>-446</v>
      </c>
    </row>
    <row r="170" spans="1:10" s="31" customFormat="1" ht="21" customHeight="1" x14ac:dyDescent="0.3">
      <c r="A170" s="442" t="s">
        <v>937</v>
      </c>
      <c r="B170" s="814" t="s">
        <v>954</v>
      </c>
      <c r="C170" s="815"/>
      <c r="D170" s="816"/>
      <c r="E170" s="567" t="s">
        <v>994</v>
      </c>
      <c r="F170" s="567" t="s">
        <v>995</v>
      </c>
      <c r="G170" s="442"/>
      <c r="H170" s="442"/>
      <c r="I170" s="443">
        <v>-443</v>
      </c>
    </row>
    <row r="171" spans="1:10" s="31" customFormat="1" ht="21" customHeight="1" x14ac:dyDescent="0.3">
      <c r="A171" s="442" t="s">
        <v>938</v>
      </c>
      <c r="B171" s="814" t="s">
        <v>956</v>
      </c>
      <c r="C171" s="815"/>
      <c r="D171" s="816"/>
      <c r="E171" s="567" t="s">
        <v>994</v>
      </c>
      <c r="F171" s="567" t="s">
        <v>995</v>
      </c>
      <c r="G171" s="442"/>
      <c r="H171" s="442"/>
      <c r="I171" s="443">
        <v>-540</v>
      </c>
    </row>
    <row r="172" spans="1:10" s="31" customFormat="1" ht="21" customHeight="1" x14ac:dyDescent="0.3">
      <c r="A172" s="442" t="s">
        <v>939</v>
      </c>
      <c r="B172" s="814" t="s">
        <v>973</v>
      </c>
      <c r="C172" s="815"/>
      <c r="D172" s="816"/>
      <c r="E172" s="567" t="s">
        <v>994</v>
      </c>
      <c r="F172" s="567" t="s">
        <v>995</v>
      </c>
      <c r="G172" s="442"/>
      <c r="H172" s="442"/>
      <c r="I172" s="443">
        <v>-1900</v>
      </c>
    </row>
    <row r="173" spans="1:10" s="31" customFormat="1" ht="21" customHeight="1" x14ac:dyDescent="0.3">
      <c r="A173" s="442" t="s">
        <v>940</v>
      </c>
      <c r="B173" s="814" t="s">
        <v>970</v>
      </c>
      <c r="C173" s="815"/>
      <c r="D173" s="816"/>
      <c r="E173" s="567" t="s">
        <v>994</v>
      </c>
      <c r="F173" s="567" t="s">
        <v>995</v>
      </c>
      <c r="G173" s="442"/>
      <c r="H173" s="442"/>
      <c r="I173" s="443">
        <v>-3175.2</v>
      </c>
    </row>
    <row r="174" spans="1:10" s="31" customFormat="1" ht="21" customHeight="1" x14ac:dyDescent="0.3">
      <c r="A174" s="442" t="s">
        <v>941</v>
      </c>
      <c r="B174" s="814" t="s">
        <v>968</v>
      </c>
      <c r="C174" s="815"/>
      <c r="D174" s="816"/>
      <c r="E174" s="567" t="s">
        <v>994</v>
      </c>
      <c r="F174" s="567" t="s">
        <v>996</v>
      </c>
      <c r="G174" s="442"/>
      <c r="H174" s="442"/>
      <c r="I174" s="443">
        <v>-207.7</v>
      </c>
    </row>
    <row r="175" spans="1:10" s="31" customFormat="1" ht="21" customHeight="1" x14ac:dyDescent="0.3">
      <c r="A175" s="442" t="s">
        <v>942</v>
      </c>
      <c r="B175" s="814" t="s">
        <v>993</v>
      </c>
      <c r="C175" s="815"/>
      <c r="D175" s="816"/>
      <c r="E175" s="567" t="s">
        <v>994</v>
      </c>
      <c r="F175" s="567" t="s">
        <v>997</v>
      </c>
      <c r="G175" s="442"/>
      <c r="H175" s="442"/>
      <c r="I175" s="443">
        <v>-5768.2</v>
      </c>
    </row>
    <row r="176" spans="1:10" s="243" customFormat="1" x14ac:dyDescent="0.4">
      <c r="A176" s="568" t="s">
        <v>1010</v>
      </c>
      <c r="B176" s="851" t="s">
        <v>988</v>
      </c>
      <c r="C176" s="851"/>
      <c r="D176" s="851"/>
      <c r="E176" s="569" t="s">
        <v>994</v>
      </c>
      <c r="F176" s="569" t="s">
        <v>995</v>
      </c>
      <c r="G176" s="570">
        <v>396000</v>
      </c>
      <c r="H176" s="342">
        <v>-153</v>
      </c>
      <c r="I176" s="571">
        <f>+ROUND(H176*G176/1000,1)</f>
        <v>-60588</v>
      </c>
      <c r="J176" s="572"/>
    </row>
    <row r="177" spans="1:10" s="243" customFormat="1" x14ac:dyDescent="0.4">
      <c r="A177" s="568" t="s">
        <v>1011</v>
      </c>
      <c r="B177" s="851" t="s">
        <v>965</v>
      </c>
      <c r="C177" s="851"/>
      <c r="D177" s="851"/>
      <c r="E177" s="569" t="s">
        <v>994</v>
      </c>
      <c r="F177" s="569" t="s">
        <v>995</v>
      </c>
      <c r="G177" s="570">
        <v>35000</v>
      </c>
      <c r="H177" s="342">
        <v>-26</v>
      </c>
      <c r="I177" s="571">
        <f t="shared" ref="I177:I240" si="9">+ROUND(H177*G177/1000,1)</f>
        <v>-910</v>
      </c>
      <c r="J177" s="573"/>
    </row>
    <row r="178" spans="1:10" s="243" customFormat="1" x14ac:dyDescent="0.4">
      <c r="A178" s="568" t="s">
        <v>1013</v>
      </c>
      <c r="B178" s="851" t="s">
        <v>944</v>
      </c>
      <c r="C178" s="851"/>
      <c r="D178" s="851"/>
      <c r="E178" s="569" t="s">
        <v>994</v>
      </c>
      <c r="F178" s="569" t="s">
        <v>995</v>
      </c>
      <c r="G178" s="570">
        <v>320000</v>
      </c>
      <c r="H178" s="342">
        <v>-5</v>
      </c>
      <c r="I178" s="571">
        <f t="shared" si="9"/>
        <v>-1600</v>
      </c>
      <c r="J178" s="573"/>
    </row>
    <row r="179" spans="1:10" s="243" customFormat="1" x14ac:dyDescent="0.4">
      <c r="A179" s="568" t="s">
        <v>1014</v>
      </c>
      <c r="B179" s="851" t="s">
        <v>977</v>
      </c>
      <c r="C179" s="851"/>
      <c r="D179" s="851"/>
      <c r="E179" s="569" t="s">
        <v>994</v>
      </c>
      <c r="F179" s="569" t="s">
        <v>995</v>
      </c>
      <c r="G179" s="570">
        <v>30000</v>
      </c>
      <c r="H179" s="342">
        <v>-32</v>
      </c>
      <c r="I179" s="571">
        <f t="shared" si="9"/>
        <v>-960</v>
      </c>
    </row>
    <row r="180" spans="1:10" s="243" customFormat="1" x14ac:dyDescent="0.4">
      <c r="A180" s="568" t="s">
        <v>1012</v>
      </c>
      <c r="B180" s="851" t="s">
        <v>982</v>
      </c>
      <c r="C180" s="851"/>
      <c r="D180" s="851"/>
      <c r="E180" s="569" t="s">
        <v>994</v>
      </c>
      <c r="F180" s="569" t="s">
        <v>995</v>
      </c>
      <c r="G180" s="570">
        <v>440000</v>
      </c>
      <c r="H180" s="342">
        <v>-17</v>
      </c>
      <c r="I180" s="571">
        <f>+ROUND(H180*G180/1000,1)</f>
        <v>-7480</v>
      </c>
    </row>
    <row r="181" spans="1:10" s="243" customFormat="1" x14ac:dyDescent="0.4">
      <c r="A181" s="568" t="s">
        <v>1015</v>
      </c>
      <c r="B181" s="851" t="s">
        <v>981</v>
      </c>
      <c r="C181" s="851"/>
      <c r="D181" s="851"/>
      <c r="E181" s="569" t="s">
        <v>994</v>
      </c>
      <c r="F181" s="569" t="s">
        <v>995</v>
      </c>
      <c r="G181" s="570">
        <v>380000</v>
      </c>
      <c r="H181" s="342">
        <v>-24</v>
      </c>
      <c r="I181" s="571">
        <f t="shared" si="9"/>
        <v>-9120</v>
      </c>
    </row>
    <row r="182" spans="1:10" s="243" customFormat="1" x14ac:dyDescent="0.4">
      <c r="A182" s="568" t="s">
        <v>1043</v>
      </c>
      <c r="B182" s="851" t="s">
        <v>987</v>
      </c>
      <c r="C182" s="851"/>
      <c r="D182" s="851"/>
      <c r="E182" s="569" t="s">
        <v>994</v>
      </c>
      <c r="F182" s="569" t="s">
        <v>995</v>
      </c>
      <c r="G182" s="570">
        <v>15000</v>
      </c>
      <c r="H182" s="342">
        <v>-79</v>
      </c>
      <c r="I182" s="571">
        <f t="shared" si="9"/>
        <v>-1185</v>
      </c>
    </row>
    <row r="183" spans="1:10" s="243" customFormat="1" x14ac:dyDescent="0.4">
      <c r="A183" s="568" t="s">
        <v>1016</v>
      </c>
      <c r="B183" s="851" t="s">
        <v>947</v>
      </c>
      <c r="C183" s="851"/>
      <c r="D183" s="851"/>
      <c r="E183" s="569" t="s">
        <v>994</v>
      </c>
      <c r="F183" s="569" t="s">
        <v>995</v>
      </c>
      <c r="G183" s="570">
        <v>100000</v>
      </c>
      <c r="H183" s="342">
        <v>-2</v>
      </c>
      <c r="I183" s="571">
        <f t="shared" si="9"/>
        <v>-200</v>
      </c>
    </row>
    <row r="184" spans="1:10" s="243" customFormat="1" x14ac:dyDescent="0.4">
      <c r="A184" s="568" t="s">
        <v>1017</v>
      </c>
      <c r="B184" s="851" t="s">
        <v>998</v>
      </c>
      <c r="C184" s="851"/>
      <c r="D184" s="851"/>
      <c r="E184" s="569" t="s">
        <v>994</v>
      </c>
      <c r="F184" s="569" t="s">
        <v>995</v>
      </c>
      <c r="G184" s="570">
        <v>25000</v>
      </c>
      <c r="H184" s="342">
        <v>-45</v>
      </c>
      <c r="I184" s="571">
        <f t="shared" si="9"/>
        <v>-1125</v>
      </c>
    </row>
    <row r="185" spans="1:10" s="243" customFormat="1" x14ac:dyDescent="0.4">
      <c r="A185" s="568" t="s">
        <v>1018</v>
      </c>
      <c r="B185" s="851" t="s">
        <v>998</v>
      </c>
      <c r="C185" s="851"/>
      <c r="D185" s="851"/>
      <c r="E185" s="569" t="s">
        <v>994</v>
      </c>
      <c r="F185" s="569" t="s">
        <v>995</v>
      </c>
      <c r="G185" s="570">
        <v>35000</v>
      </c>
      <c r="H185" s="342">
        <v>-76</v>
      </c>
      <c r="I185" s="571">
        <f t="shared" si="9"/>
        <v>-2660</v>
      </c>
    </row>
    <row r="186" spans="1:10" s="243" customFormat="1" x14ac:dyDescent="0.4">
      <c r="A186" s="568" t="s">
        <v>1019</v>
      </c>
      <c r="B186" s="851" t="s">
        <v>998</v>
      </c>
      <c r="C186" s="851"/>
      <c r="D186" s="851"/>
      <c r="E186" s="569" t="s">
        <v>994</v>
      </c>
      <c r="F186" s="569" t="s">
        <v>995</v>
      </c>
      <c r="G186" s="570">
        <v>30000</v>
      </c>
      <c r="H186" s="342">
        <v>-72</v>
      </c>
      <c r="I186" s="571">
        <f t="shared" si="9"/>
        <v>-2160</v>
      </c>
    </row>
    <row r="187" spans="1:10" s="243" customFormat="1" x14ac:dyDescent="0.4">
      <c r="A187" s="568" t="s">
        <v>1020</v>
      </c>
      <c r="B187" s="851" t="s">
        <v>998</v>
      </c>
      <c r="C187" s="851"/>
      <c r="D187" s="851"/>
      <c r="E187" s="569" t="s">
        <v>994</v>
      </c>
      <c r="F187" s="569" t="s">
        <v>995</v>
      </c>
      <c r="G187" s="570">
        <v>40000</v>
      </c>
      <c r="H187" s="342">
        <v>-260</v>
      </c>
      <c r="I187" s="571">
        <f t="shared" si="9"/>
        <v>-10400</v>
      </c>
    </row>
    <row r="188" spans="1:10" s="243" customFormat="1" x14ac:dyDescent="0.4">
      <c r="A188" s="568" t="s">
        <v>1021</v>
      </c>
      <c r="B188" s="851" t="s">
        <v>969</v>
      </c>
      <c r="C188" s="851"/>
      <c r="D188" s="851"/>
      <c r="E188" s="569" t="s">
        <v>994</v>
      </c>
      <c r="F188" s="569" t="s">
        <v>995</v>
      </c>
      <c r="G188" s="570">
        <v>15000</v>
      </c>
      <c r="H188" s="342">
        <v>-330</v>
      </c>
      <c r="I188" s="571">
        <f t="shared" si="9"/>
        <v>-4950</v>
      </c>
    </row>
    <row r="189" spans="1:10" s="243" customFormat="1" x14ac:dyDescent="0.4">
      <c r="A189" s="568" t="s">
        <v>1022</v>
      </c>
      <c r="B189" s="851" t="s">
        <v>969</v>
      </c>
      <c r="C189" s="851"/>
      <c r="D189" s="851"/>
      <c r="E189" s="569" t="s">
        <v>994</v>
      </c>
      <c r="F189" s="569" t="s">
        <v>995</v>
      </c>
      <c r="G189" s="570">
        <v>18000</v>
      </c>
      <c r="H189" s="342">
        <v>-506</v>
      </c>
      <c r="I189" s="571">
        <f t="shared" si="9"/>
        <v>-9108</v>
      </c>
    </row>
    <row r="190" spans="1:10" s="243" customFormat="1" x14ac:dyDescent="0.4">
      <c r="A190" s="568" t="s">
        <v>1023</v>
      </c>
      <c r="B190" s="851" t="s">
        <v>943</v>
      </c>
      <c r="C190" s="851"/>
      <c r="D190" s="851"/>
      <c r="E190" s="569" t="s">
        <v>994</v>
      </c>
      <c r="F190" s="569" t="s">
        <v>995</v>
      </c>
      <c r="G190" s="570">
        <v>45000</v>
      </c>
      <c r="H190" s="342">
        <v>-67</v>
      </c>
      <c r="I190" s="571">
        <f t="shared" si="9"/>
        <v>-3015</v>
      </c>
    </row>
    <row r="191" spans="1:10" s="243" customFormat="1" x14ac:dyDescent="0.4">
      <c r="A191" s="568" t="s">
        <v>1024</v>
      </c>
      <c r="B191" s="851" t="s">
        <v>980</v>
      </c>
      <c r="C191" s="851"/>
      <c r="D191" s="851"/>
      <c r="E191" s="569" t="s">
        <v>994</v>
      </c>
      <c r="F191" s="569" t="s">
        <v>995</v>
      </c>
      <c r="G191" s="570">
        <v>55000</v>
      </c>
      <c r="H191" s="342">
        <v>-82</v>
      </c>
      <c r="I191" s="571">
        <f t="shared" si="9"/>
        <v>-4510</v>
      </c>
    </row>
    <row r="192" spans="1:10" s="243" customFormat="1" x14ac:dyDescent="0.4">
      <c r="A192" s="568" t="s">
        <v>1025</v>
      </c>
      <c r="B192" s="851" t="s">
        <v>970</v>
      </c>
      <c r="C192" s="851"/>
      <c r="D192" s="851"/>
      <c r="E192" s="569" t="s">
        <v>994</v>
      </c>
      <c r="F192" s="569" t="s">
        <v>995</v>
      </c>
      <c r="G192" s="570">
        <v>120000</v>
      </c>
      <c r="H192" s="342">
        <v>-18</v>
      </c>
      <c r="I192" s="571">
        <f t="shared" si="9"/>
        <v>-2160</v>
      </c>
    </row>
    <row r="193" spans="1:9" s="243" customFormat="1" x14ac:dyDescent="0.4">
      <c r="A193" s="568" t="s">
        <v>1026</v>
      </c>
      <c r="B193" s="851" t="s">
        <v>970</v>
      </c>
      <c r="C193" s="851"/>
      <c r="D193" s="851"/>
      <c r="E193" s="569" t="s">
        <v>994</v>
      </c>
      <c r="F193" s="569" t="s">
        <v>995</v>
      </c>
      <c r="G193" s="570">
        <v>150000</v>
      </c>
      <c r="H193" s="342">
        <v>-29</v>
      </c>
      <c r="I193" s="571">
        <f t="shared" si="9"/>
        <v>-4350</v>
      </c>
    </row>
    <row r="194" spans="1:9" s="243" customFormat="1" x14ac:dyDescent="0.4">
      <c r="A194" s="568" t="s">
        <v>1027</v>
      </c>
      <c r="B194" s="851" t="s">
        <v>969</v>
      </c>
      <c r="C194" s="851"/>
      <c r="D194" s="851"/>
      <c r="E194" s="569" t="s">
        <v>994</v>
      </c>
      <c r="F194" s="569" t="s">
        <v>995</v>
      </c>
      <c r="G194" s="570">
        <v>25000</v>
      </c>
      <c r="H194" s="342">
        <v>-260</v>
      </c>
      <c r="I194" s="571">
        <f t="shared" si="9"/>
        <v>-6500</v>
      </c>
    </row>
    <row r="195" spans="1:9" s="243" customFormat="1" x14ac:dyDescent="0.4">
      <c r="A195" s="568" t="s">
        <v>1028</v>
      </c>
      <c r="B195" s="851" t="s">
        <v>961</v>
      </c>
      <c r="C195" s="851"/>
      <c r="D195" s="851"/>
      <c r="E195" s="569" t="s">
        <v>994</v>
      </c>
      <c r="F195" s="569" t="s">
        <v>995</v>
      </c>
      <c r="G195" s="570">
        <v>20000</v>
      </c>
      <c r="H195" s="342">
        <v>-226</v>
      </c>
      <c r="I195" s="571">
        <f t="shared" si="9"/>
        <v>-4520</v>
      </c>
    </row>
    <row r="196" spans="1:9" s="243" customFormat="1" x14ac:dyDescent="0.4">
      <c r="A196" s="568" t="s">
        <v>1029</v>
      </c>
      <c r="B196" s="851" t="s">
        <v>980</v>
      </c>
      <c r="C196" s="851"/>
      <c r="D196" s="851"/>
      <c r="E196" s="569" t="s">
        <v>994</v>
      </c>
      <c r="F196" s="569" t="s">
        <v>995</v>
      </c>
      <c r="G196" s="570">
        <v>80000</v>
      </c>
      <c r="H196" s="342">
        <v>-42</v>
      </c>
      <c r="I196" s="571">
        <f t="shared" si="9"/>
        <v>-3360</v>
      </c>
    </row>
    <row r="197" spans="1:9" s="243" customFormat="1" x14ac:dyDescent="0.4">
      <c r="A197" s="568" t="s">
        <v>1030</v>
      </c>
      <c r="B197" s="851" t="s">
        <v>964</v>
      </c>
      <c r="C197" s="851"/>
      <c r="D197" s="851"/>
      <c r="E197" s="569" t="s">
        <v>994</v>
      </c>
      <c r="F197" s="569" t="s">
        <v>995</v>
      </c>
      <c r="G197" s="570">
        <v>60000</v>
      </c>
      <c r="H197" s="342">
        <v>-16</v>
      </c>
      <c r="I197" s="571">
        <f t="shared" si="9"/>
        <v>-960</v>
      </c>
    </row>
    <row r="198" spans="1:9" s="243" customFormat="1" x14ac:dyDescent="0.4">
      <c r="A198" s="568" t="s">
        <v>1031</v>
      </c>
      <c r="B198" s="851" t="s">
        <v>969</v>
      </c>
      <c r="C198" s="851"/>
      <c r="D198" s="851"/>
      <c r="E198" s="569" t="s">
        <v>994</v>
      </c>
      <c r="F198" s="569" t="s">
        <v>995</v>
      </c>
      <c r="G198" s="570">
        <v>41500</v>
      </c>
      <c r="H198" s="342">
        <v>-490</v>
      </c>
      <c r="I198" s="571">
        <f t="shared" si="9"/>
        <v>-20335</v>
      </c>
    </row>
    <row r="199" spans="1:9" s="243" customFormat="1" x14ac:dyDescent="0.4">
      <c r="A199" s="574" t="s">
        <v>1032</v>
      </c>
      <c r="B199" s="852" t="s">
        <v>999</v>
      </c>
      <c r="C199" s="852"/>
      <c r="D199" s="852"/>
      <c r="E199" s="569" t="s">
        <v>994</v>
      </c>
      <c r="F199" s="569" t="s">
        <v>995</v>
      </c>
      <c r="G199" s="570">
        <v>180000</v>
      </c>
      <c r="H199" s="342">
        <v>-12</v>
      </c>
      <c r="I199" s="571">
        <f t="shared" si="9"/>
        <v>-2160</v>
      </c>
    </row>
    <row r="200" spans="1:9" s="243" customFormat="1" x14ac:dyDescent="0.4">
      <c r="A200" s="568" t="s">
        <v>1033</v>
      </c>
      <c r="B200" s="851" t="s">
        <v>986</v>
      </c>
      <c r="C200" s="851"/>
      <c r="D200" s="851"/>
      <c r="E200" s="569" t="s">
        <v>994</v>
      </c>
      <c r="F200" s="569" t="s">
        <v>995</v>
      </c>
      <c r="G200" s="570">
        <v>130000</v>
      </c>
      <c r="H200" s="342">
        <v>-7</v>
      </c>
      <c r="I200" s="571">
        <f t="shared" si="9"/>
        <v>-910</v>
      </c>
    </row>
    <row r="201" spans="1:9" s="243" customFormat="1" x14ac:dyDescent="0.4">
      <c r="A201" s="568" t="s">
        <v>1034</v>
      </c>
      <c r="B201" s="851" t="s">
        <v>985</v>
      </c>
      <c r="C201" s="851"/>
      <c r="D201" s="851"/>
      <c r="E201" s="569" t="s">
        <v>994</v>
      </c>
      <c r="F201" s="569" t="s">
        <v>995</v>
      </c>
      <c r="G201" s="570">
        <v>250000</v>
      </c>
      <c r="H201" s="342">
        <v>-8</v>
      </c>
      <c r="I201" s="571">
        <f t="shared" si="9"/>
        <v>-2000</v>
      </c>
    </row>
    <row r="202" spans="1:9" s="243" customFormat="1" x14ac:dyDescent="0.4">
      <c r="A202" s="568" t="s">
        <v>1035</v>
      </c>
      <c r="B202" s="851" t="s">
        <v>1000</v>
      </c>
      <c r="C202" s="851"/>
      <c r="D202" s="851"/>
      <c r="E202" s="569" t="s">
        <v>994</v>
      </c>
      <c r="F202" s="569" t="s">
        <v>995</v>
      </c>
      <c r="G202" s="570">
        <v>380000</v>
      </c>
      <c r="H202" s="342">
        <v>-6</v>
      </c>
      <c r="I202" s="571">
        <f t="shared" si="9"/>
        <v>-2280</v>
      </c>
    </row>
    <row r="203" spans="1:9" s="243" customFormat="1" x14ac:dyDescent="0.4">
      <c r="A203" s="568" t="s">
        <v>1036</v>
      </c>
      <c r="B203" s="851" t="s">
        <v>991</v>
      </c>
      <c r="C203" s="851"/>
      <c r="D203" s="851"/>
      <c r="E203" s="569" t="s">
        <v>994</v>
      </c>
      <c r="F203" s="569" t="s">
        <v>995</v>
      </c>
      <c r="G203" s="570">
        <v>170000</v>
      </c>
      <c r="H203" s="342">
        <v>-8</v>
      </c>
      <c r="I203" s="571">
        <f t="shared" si="9"/>
        <v>-1360</v>
      </c>
    </row>
    <row r="204" spans="1:9" s="243" customFormat="1" x14ac:dyDescent="0.4">
      <c r="A204" s="568" t="s">
        <v>1037</v>
      </c>
      <c r="B204" s="851" t="s">
        <v>962</v>
      </c>
      <c r="C204" s="851"/>
      <c r="D204" s="851"/>
      <c r="E204" s="569" t="s">
        <v>994</v>
      </c>
      <c r="F204" s="569" t="s">
        <v>995</v>
      </c>
      <c r="G204" s="570">
        <v>80000</v>
      </c>
      <c r="H204" s="342">
        <v>-35</v>
      </c>
      <c r="I204" s="571">
        <f t="shared" si="9"/>
        <v>-2800</v>
      </c>
    </row>
    <row r="205" spans="1:9" s="243" customFormat="1" x14ac:dyDescent="0.4">
      <c r="A205" s="568" t="s">
        <v>1038</v>
      </c>
      <c r="B205" s="851" t="s">
        <v>989</v>
      </c>
      <c r="C205" s="851"/>
      <c r="D205" s="851"/>
      <c r="E205" s="569" t="s">
        <v>994</v>
      </c>
      <c r="F205" s="569" t="s">
        <v>995</v>
      </c>
      <c r="G205" s="570">
        <v>100000</v>
      </c>
      <c r="H205" s="342">
        <v>-36</v>
      </c>
      <c r="I205" s="571">
        <f t="shared" si="9"/>
        <v>-3600</v>
      </c>
    </row>
    <row r="206" spans="1:9" s="243" customFormat="1" x14ac:dyDescent="0.4">
      <c r="A206" s="568" t="s">
        <v>1039</v>
      </c>
      <c r="B206" s="851" t="s">
        <v>970</v>
      </c>
      <c r="C206" s="851"/>
      <c r="D206" s="851"/>
      <c r="E206" s="569" t="s">
        <v>994</v>
      </c>
      <c r="F206" s="569" t="s">
        <v>995</v>
      </c>
      <c r="G206" s="570">
        <v>95000</v>
      </c>
      <c r="H206" s="342">
        <v>-14</v>
      </c>
      <c r="I206" s="571">
        <f t="shared" si="9"/>
        <v>-1330</v>
      </c>
    </row>
    <row r="207" spans="1:9" s="243" customFormat="1" x14ac:dyDescent="0.4">
      <c r="A207" s="568" t="s">
        <v>1040</v>
      </c>
      <c r="B207" s="851" t="s">
        <v>962</v>
      </c>
      <c r="C207" s="851"/>
      <c r="D207" s="851"/>
      <c r="E207" s="569" t="s">
        <v>994</v>
      </c>
      <c r="F207" s="569" t="s">
        <v>995</v>
      </c>
      <c r="G207" s="570">
        <v>140000</v>
      </c>
      <c r="H207" s="342">
        <v>-16</v>
      </c>
      <c r="I207" s="571">
        <f t="shared" si="9"/>
        <v>-2240</v>
      </c>
    </row>
    <row r="208" spans="1:9" s="243" customFormat="1" x14ac:dyDescent="0.4">
      <c r="A208" s="568" t="s">
        <v>1041</v>
      </c>
      <c r="B208" s="851" t="s">
        <v>963</v>
      </c>
      <c r="C208" s="851"/>
      <c r="D208" s="851"/>
      <c r="E208" s="569" t="s">
        <v>994</v>
      </c>
      <c r="F208" s="569" t="s">
        <v>1001</v>
      </c>
      <c r="G208" s="570">
        <v>18000</v>
      </c>
      <c r="H208" s="342">
        <v>-34</v>
      </c>
      <c r="I208" s="571">
        <f t="shared" si="9"/>
        <v>-612</v>
      </c>
    </row>
    <row r="209" spans="1:9" s="243" customFormat="1" x14ac:dyDescent="0.4">
      <c r="A209" s="568" t="s">
        <v>1042</v>
      </c>
      <c r="B209" s="851" t="s">
        <v>984</v>
      </c>
      <c r="C209" s="851"/>
      <c r="D209" s="851"/>
      <c r="E209" s="569" t="s">
        <v>994</v>
      </c>
      <c r="F209" s="569" t="s">
        <v>996</v>
      </c>
      <c r="G209" s="570">
        <v>50000</v>
      </c>
      <c r="H209" s="342">
        <v>-4</v>
      </c>
      <c r="I209" s="571">
        <f t="shared" si="9"/>
        <v>-200</v>
      </c>
    </row>
    <row r="210" spans="1:9" s="243" customFormat="1" x14ac:dyDescent="0.4">
      <c r="A210" s="568" t="s">
        <v>1044</v>
      </c>
      <c r="B210" s="851" t="s">
        <v>984</v>
      </c>
      <c r="C210" s="851"/>
      <c r="D210" s="851"/>
      <c r="E210" s="569" t="s">
        <v>994</v>
      </c>
      <c r="F210" s="569" t="s">
        <v>996</v>
      </c>
      <c r="G210" s="570">
        <v>15000</v>
      </c>
      <c r="H210" s="342">
        <v>-79</v>
      </c>
      <c r="I210" s="571">
        <f t="shared" si="9"/>
        <v>-1185</v>
      </c>
    </row>
    <row r="211" spans="1:9" s="243" customFormat="1" x14ac:dyDescent="0.4">
      <c r="A211" s="568" t="s">
        <v>1045</v>
      </c>
      <c r="B211" s="851" t="s">
        <v>971</v>
      </c>
      <c r="C211" s="851"/>
      <c r="D211" s="851"/>
      <c r="E211" s="569" t="s">
        <v>994</v>
      </c>
      <c r="F211" s="569" t="s">
        <v>995</v>
      </c>
      <c r="G211" s="570">
        <v>32000</v>
      </c>
      <c r="H211" s="342">
        <v>-66</v>
      </c>
      <c r="I211" s="571">
        <f t="shared" si="9"/>
        <v>-2112</v>
      </c>
    </row>
    <row r="212" spans="1:9" s="243" customFormat="1" x14ac:dyDescent="0.4">
      <c r="A212" s="568" t="s">
        <v>1046</v>
      </c>
      <c r="B212" s="851" t="s">
        <v>992</v>
      </c>
      <c r="C212" s="851"/>
      <c r="D212" s="851"/>
      <c r="E212" s="569" t="s">
        <v>994</v>
      </c>
      <c r="F212" s="569" t="s">
        <v>995</v>
      </c>
      <c r="G212" s="570">
        <v>40000</v>
      </c>
      <c r="H212" s="342">
        <v>-8</v>
      </c>
      <c r="I212" s="571">
        <f t="shared" si="9"/>
        <v>-320</v>
      </c>
    </row>
    <row r="213" spans="1:9" s="243" customFormat="1" x14ac:dyDescent="0.4">
      <c r="A213" s="568" t="s">
        <v>1047</v>
      </c>
      <c r="B213" s="851" t="s">
        <v>971</v>
      </c>
      <c r="C213" s="851"/>
      <c r="D213" s="851"/>
      <c r="E213" s="569" t="s">
        <v>994</v>
      </c>
      <c r="F213" s="569" t="s">
        <v>995</v>
      </c>
      <c r="G213" s="570">
        <v>25000</v>
      </c>
      <c r="H213" s="342">
        <v>-6</v>
      </c>
      <c r="I213" s="571">
        <f t="shared" si="9"/>
        <v>-150</v>
      </c>
    </row>
    <row r="214" spans="1:9" s="243" customFormat="1" x14ac:dyDescent="0.4">
      <c r="A214" s="568" t="s">
        <v>1048</v>
      </c>
      <c r="B214" s="851" t="s">
        <v>969</v>
      </c>
      <c r="C214" s="851"/>
      <c r="D214" s="851"/>
      <c r="E214" s="569" t="s">
        <v>994</v>
      </c>
      <c r="F214" s="569" t="s">
        <v>995</v>
      </c>
      <c r="G214" s="570">
        <v>12000</v>
      </c>
      <c r="H214" s="342">
        <v>-24</v>
      </c>
      <c r="I214" s="571">
        <f t="shared" si="9"/>
        <v>-288</v>
      </c>
    </row>
    <row r="215" spans="1:9" s="243" customFormat="1" x14ac:dyDescent="0.4">
      <c r="A215" s="568" t="s">
        <v>1049</v>
      </c>
      <c r="B215" s="851" t="s">
        <v>980</v>
      </c>
      <c r="C215" s="851"/>
      <c r="D215" s="851"/>
      <c r="E215" s="569" t="s">
        <v>994</v>
      </c>
      <c r="F215" s="569" t="s">
        <v>995</v>
      </c>
      <c r="G215" s="570">
        <v>60000</v>
      </c>
      <c r="H215" s="342">
        <v>-3</v>
      </c>
      <c r="I215" s="571">
        <f t="shared" si="9"/>
        <v>-180</v>
      </c>
    </row>
    <row r="216" spans="1:9" s="243" customFormat="1" x14ac:dyDescent="0.4">
      <c r="A216" s="568" t="s">
        <v>1050</v>
      </c>
      <c r="B216" s="851" t="s">
        <v>1002</v>
      </c>
      <c r="C216" s="851"/>
      <c r="D216" s="851"/>
      <c r="E216" s="569" t="s">
        <v>994</v>
      </c>
      <c r="F216" s="569" t="s">
        <v>996</v>
      </c>
      <c r="G216" s="570">
        <v>162000</v>
      </c>
      <c r="H216" s="342">
        <v>-8</v>
      </c>
      <c r="I216" s="571">
        <f t="shared" si="9"/>
        <v>-1296</v>
      </c>
    </row>
    <row r="217" spans="1:9" s="243" customFormat="1" x14ac:dyDescent="0.4">
      <c r="A217" s="568" t="s">
        <v>1051</v>
      </c>
      <c r="B217" s="851" t="s">
        <v>955</v>
      </c>
      <c r="C217" s="851"/>
      <c r="D217" s="851"/>
      <c r="E217" s="569" t="s">
        <v>994</v>
      </c>
      <c r="F217" s="569" t="s">
        <v>995</v>
      </c>
      <c r="G217" s="570">
        <v>35000</v>
      </c>
      <c r="H217" s="342">
        <v>-30</v>
      </c>
      <c r="I217" s="571">
        <f t="shared" si="9"/>
        <v>-1050</v>
      </c>
    </row>
    <row r="218" spans="1:9" s="243" customFormat="1" x14ac:dyDescent="0.4">
      <c r="A218" s="568" t="s">
        <v>1052</v>
      </c>
      <c r="B218" s="851" t="s">
        <v>956</v>
      </c>
      <c r="C218" s="851"/>
      <c r="D218" s="851"/>
      <c r="E218" s="569" t="s">
        <v>994</v>
      </c>
      <c r="F218" s="569" t="s">
        <v>995</v>
      </c>
      <c r="G218" s="570">
        <v>142000</v>
      </c>
      <c r="H218" s="342">
        <v>-5</v>
      </c>
      <c r="I218" s="571">
        <f t="shared" si="9"/>
        <v>-710</v>
      </c>
    </row>
    <row r="219" spans="1:9" s="243" customFormat="1" x14ac:dyDescent="0.4">
      <c r="A219" s="568" t="s">
        <v>1053</v>
      </c>
      <c r="B219" s="851" t="s">
        <v>958</v>
      </c>
      <c r="C219" s="851"/>
      <c r="D219" s="851"/>
      <c r="E219" s="569" t="s">
        <v>994</v>
      </c>
      <c r="F219" s="569" t="s">
        <v>995</v>
      </c>
      <c r="G219" s="570">
        <v>84000</v>
      </c>
      <c r="H219" s="342">
        <v>-22</v>
      </c>
      <c r="I219" s="571">
        <f t="shared" si="9"/>
        <v>-1848</v>
      </c>
    </row>
    <row r="220" spans="1:9" s="243" customFormat="1" x14ac:dyDescent="0.4">
      <c r="A220" s="568" t="s">
        <v>1054</v>
      </c>
      <c r="B220" s="851" t="s">
        <v>966</v>
      </c>
      <c r="C220" s="851"/>
      <c r="D220" s="851"/>
      <c r="E220" s="569" t="s">
        <v>994</v>
      </c>
      <c r="F220" s="569" t="s">
        <v>995</v>
      </c>
      <c r="G220" s="570">
        <v>120000</v>
      </c>
      <c r="H220" s="342">
        <v>-6</v>
      </c>
      <c r="I220" s="571">
        <f t="shared" si="9"/>
        <v>-720</v>
      </c>
    </row>
    <row r="221" spans="1:9" s="243" customFormat="1" x14ac:dyDescent="0.4">
      <c r="A221" s="568" t="s">
        <v>1055</v>
      </c>
      <c r="B221" s="851" t="s">
        <v>974</v>
      </c>
      <c r="C221" s="851"/>
      <c r="D221" s="851"/>
      <c r="E221" s="569" t="s">
        <v>994</v>
      </c>
      <c r="F221" s="569" t="s">
        <v>995</v>
      </c>
      <c r="G221" s="570">
        <v>450000</v>
      </c>
      <c r="H221" s="342">
        <v>-7</v>
      </c>
      <c r="I221" s="571">
        <f t="shared" si="9"/>
        <v>-3150</v>
      </c>
    </row>
    <row r="222" spans="1:9" s="399" customFormat="1" ht="31.65" customHeight="1" x14ac:dyDescent="0.3">
      <c r="A222" s="575" t="s">
        <v>1056</v>
      </c>
      <c r="B222" s="853" t="s">
        <v>960</v>
      </c>
      <c r="C222" s="853"/>
      <c r="D222" s="853"/>
      <c r="E222" s="576" t="s">
        <v>994</v>
      </c>
      <c r="F222" s="576" t="s">
        <v>995</v>
      </c>
      <c r="G222" s="577">
        <v>450000</v>
      </c>
      <c r="H222" s="342">
        <v>-6</v>
      </c>
      <c r="I222" s="578">
        <f t="shared" si="9"/>
        <v>-2700</v>
      </c>
    </row>
    <row r="223" spans="1:9" s="243" customFormat="1" x14ac:dyDescent="0.4">
      <c r="A223" s="568" t="s">
        <v>1057</v>
      </c>
      <c r="B223" s="851" t="s">
        <v>972</v>
      </c>
      <c r="C223" s="851"/>
      <c r="D223" s="851"/>
      <c r="E223" s="569" t="s">
        <v>994</v>
      </c>
      <c r="F223" s="569" t="s">
        <v>995</v>
      </c>
      <c r="G223" s="570">
        <v>62000</v>
      </c>
      <c r="H223" s="342">
        <v>-30</v>
      </c>
      <c r="I223" s="571">
        <f t="shared" si="9"/>
        <v>-1860</v>
      </c>
    </row>
    <row r="224" spans="1:9" s="243" customFormat="1" x14ac:dyDescent="0.4">
      <c r="A224" s="568" t="s">
        <v>1058</v>
      </c>
      <c r="B224" s="851" t="s">
        <v>959</v>
      </c>
      <c r="C224" s="851"/>
      <c r="D224" s="851"/>
      <c r="E224" s="569" t="s">
        <v>994</v>
      </c>
      <c r="F224" s="569" t="s">
        <v>995</v>
      </c>
      <c r="G224" s="570">
        <v>470000</v>
      </c>
      <c r="H224" s="342">
        <v>-8</v>
      </c>
      <c r="I224" s="571">
        <f t="shared" si="9"/>
        <v>-3760</v>
      </c>
    </row>
    <row r="225" spans="1:9" s="243" customFormat="1" x14ac:dyDescent="0.4">
      <c r="A225" s="568" t="s">
        <v>1059</v>
      </c>
      <c r="B225" s="851" t="s">
        <v>949</v>
      </c>
      <c r="C225" s="851"/>
      <c r="D225" s="851"/>
      <c r="E225" s="569" t="s">
        <v>994</v>
      </c>
      <c r="F225" s="569" t="s">
        <v>995</v>
      </c>
      <c r="G225" s="570">
        <v>240000</v>
      </c>
      <c r="H225" s="342">
        <v>-6</v>
      </c>
      <c r="I225" s="571">
        <f t="shared" si="9"/>
        <v>-1440</v>
      </c>
    </row>
    <row r="226" spans="1:9" s="243" customFormat="1" x14ac:dyDescent="0.4">
      <c r="A226" s="568" t="s">
        <v>1060</v>
      </c>
      <c r="B226" s="851" t="s">
        <v>951</v>
      </c>
      <c r="C226" s="851"/>
      <c r="D226" s="851"/>
      <c r="E226" s="569" t="s">
        <v>994</v>
      </c>
      <c r="F226" s="569" t="s">
        <v>995</v>
      </c>
      <c r="G226" s="570">
        <v>51000</v>
      </c>
      <c r="H226" s="342">
        <v>-13</v>
      </c>
      <c r="I226" s="571">
        <f t="shared" si="9"/>
        <v>-663</v>
      </c>
    </row>
    <row r="227" spans="1:9" s="243" customFormat="1" x14ac:dyDescent="0.4">
      <c r="A227" s="568" t="s">
        <v>1061</v>
      </c>
      <c r="B227" s="851" t="s">
        <v>968</v>
      </c>
      <c r="C227" s="851"/>
      <c r="D227" s="851"/>
      <c r="E227" s="569" t="s">
        <v>994</v>
      </c>
      <c r="F227" s="569" t="s">
        <v>995</v>
      </c>
      <c r="G227" s="570">
        <v>11000</v>
      </c>
      <c r="H227" s="342">
        <v>-5</v>
      </c>
      <c r="I227" s="571">
        <f t="shared" si="9"/>
        <v>-55</v>
      </c>
    </row>
    <row r="228" spans="1:9" s="243" customFormat="1" x14ac:dyDescent="0.4">
      <c r="A228" s="568" t="s">
        <v>1062</v>
      </c>
      <c r="B228" s="851" t="s">
        <v>950</v>
      </c>
      <c r="C228" s="851"/>
      <c r="D228" s="851"/>
      <c r="E228" s="569" t="s">
        <v>994</v>
      </c>
      <c r="F228" s="569" t="s">
        <v>995</v>
      </c>
      <c r="G228" s="570">
        <v>7000</v>
      </c>
      <c r="H228" s="342">
        <v>-70</v>
      </c>
      <c r="I228" s="571">
        <f t="shared" si="9"/>
        <v>-490</v>
      </c>
    </row>
    <row r="229" spans="1:9" s="243" customFormat="1" x14ac:dyDescent="0.4">
      <c r="A229" s="568" t="s">
        <v>1063</v>
      </c>
      <c r="B229" s="851" t="s">
        <v>975</v>
      </c>
      <c r="C229" s="851"/>
      <c r="D229" s="851"/>
      <c r="E229" s="569" t="s">
        <v>994</v>
      </c>
      <c r="F229" s="569" t="s">
        <v>995</v>
      </c>
      <c r="G229" s="570">
        <v>2500</v>
      </c>
      <c r="H229" s="342">
        <v>-160</v>
      </c>
      <c r="I229" s="571">
        <f t="shared" si="9"/>
        <v>-400</v>
      </c>
    </row>
    <row r="230" spans="1:9" s="243" customFormat="1" x14ac:dyDescent="0.4">
      <c r="A230" s="568" t="s">
        <v>1065</v>
      </c>
      <c r="B230" s="851" t="s">
        <v>973</v>
      </c>
      <c r="C230" s="851"/>
      <c r="D230" s="851"/>
      <c r="E230" s="569" t="s">
        <v>994</v>
      </c>
      <c r="F230" s="569" t="s">
        <v>995</v>
      </c>
      <c r="G230" s="570">
        <v>18000</v>
      </c>
      <c r="H230" s="342">
        <v>-35</v>
      </c>
      <c r="I230" s="571">
        <f t="shared" si="9"/>
        <v>-630</v>
      </c>
    </row>
    <row r="231" spans="1:9" s="243" customFormat="1" x14ac:dyDescent="0.4">
      <c r="A231" s="568" t="s">
        <v>1064</v>
      </c>
      <c r="B231" s="851" t="s">
        <v>954</v>
      </c>
      <c r="C231" s="851"/>
      <c r="D231" s="851"/>
      <c r="E231" s="569" t="s">
        <v>994</v>
      </c>
      <c r="F231" s="569" t="s">
        <v>995</v>
      </c>
      <c r="G231" s="570">
        <v>18000</v>
      </c>
      <c r="H231" s="342">
        <v>-35</v>
      </c>
      <c r="I231" s="571">
        <f t="shared" si="9"/>
        <v>-630</v>
      </c>
    </row>
    <row r="232" spans="1:9" s="243" customFormat="1" x14ac:dyDescent="0.4">
      <c r="A232" s="568" t="s">
        <v>1066</v>
      </c>
      <c r="B232" s="851" t="s">
        <v>953</v>
      </c>
      <c r="C232" s="851"/>
      <c r="D232" s="851"/>
      <c r="E232" s="569" t="s">
        <v>994</v>
      </c>
      <c r="F232" s="569" t="s">
        <v>995</v>
      </c>
      <c r="G232" s="570">
        <v>18000</v>
      </c>
      <c r="H232" s="342">
        <v>-35</v>
      </c>
      <c r="I232" s="571">
        <f t="shared" si="9"/>
        <v>-630</v>
      </c>
    </row>
    <row r="233" spans="1:9" s="243" customFormat="1" x14ac:dyDescent="0.4">
      <c r="A233" s="568" t="s">
        <v>1067</v>
      </c>
      <c r="B233" s="851" t="s">
        <v>1003</v>
      </c>
      <c r="C233" s="851"/>
      <c r="D233" s="851"/>
      <c r="E233" s="569" t="s">
        <v>994</v>
      </c>
      <c r="F233" s="569" t="s">
        <v>995</v>
      </c>
      <c r="G233" s="570">
        <v>52000</v>
      </c>
      <c r="H233" s="342">
        <v>-25</v>
      </c>
      <c r="I233" s="571">
        <f t="shared" si="9"/>
        <v>-1300</v>
      </c>
    </row>
    <row r="234" spans="1:9" s="243" customFormat="1" x14ac:dyDescent="0.4">
      <c r="A234" s="568" t="s">
        <v>1068</v>
      </c>
      <c r="B234" s="851" t="s">
        <v>976</v>
      </c>
      <c r="C234" s="851"/>
      <c r="D234" s="851"/>
      <c r="E234" s="569" t="s">
        <v>994</v>
      </c>
      <c r="F234" s="569" t="s">
        <v>995</v>
      </c>
      <c r="G234" s="570">
        <v>387000</v>
      </c>
      <c r="H234" s="342">
        <v>-8</v>
      </c>
      <c r="I234" s="571">
        <f t="shared" si="9"/>
        <v>-3096</v>
      </c>
    </row>
    <row r="235" spans="1:9" s="243" customFormat="1" x14ac:dyDescent="0.4">
      <c r="A235" s="568" t="s">
        <v>1069</v>
      </c>
      <c r="B235" s="851" t="s">
        <v>1004</v>
      </c>
      <c r="C235" s="851"/>
      <c r="D235" s="851"/>
      <c r="E235" s="569" t="s">
        <v>994</v>
      </c>
      <c r="F235" s="569" t="s">
        <v>995</v>
      </c>
      <c r="G235" s="570">
        <v>164000</v>
      </c>
      <c r="H235" s="342">
        <v>-6</v>
      </c>
      <c r="I235" s="571">
        <f t="shared" si="9"/>
        <v>-984</v>
      </c>
    </row>
    <row r="236" spans="1:9" s="243" customFormat="1" x14ac:dyDescent="0.4">
      <c r="A236" s="568" t="s">
        <v>1070</v>
      </c>
      <c r="B236" s="851" t="s">
        <v>978</v>
      </c>
      <c r="C236" s="851"/>
      <c r="D236" s="851"/>
      <c r="E236" s="569" t="s">
        <v>994</v>
      </c>
      <c r="F236" s="569" t="s">
        <v>995</v>
      </c>
      <c r="G236" s="570">
        <v>2000</v>
      </c>
      <c r="H236" s="342">
        <v>-81</v>
      </c>
      <c r="I236" s="571">
        <f t="shared" si="9"/>
        <v>-162</v>
      </c>
    </row>
    <row r="237" spans="1:9" s="243" customFormat="1" x14ac:dyDescent="0.4">
      <c r="A237" s="568" t="s">
        <v>1071</v>
      </c>
      <c r="B237" s="851" t="s">
        <v>1005</v>
      </c>
      <c r="C237" s="851"/>
      <c r="D237" s="851"/>
      <c r="E237" s="569" t="s">
        <v>994</v>
      </c>
      <c r="F237" s="569" t="s">
        <v>995</v>
      </c>
      <c r="G237" s="570">
        <v>92000</v>
      </c>
      <c r="H237" s="342">
        <v>-8</v>
      </c>
      <c r="I237" s="571">
        <f t="shared" si="9"/>
        <v>-736</v>
      </c>
    </row>
    <row r="238" spans="1:9" s="243" customFormat="1" x14ac:dyDescent="0.4">
      <c r="A238" s="568" t="s">
        <v>1072</v>
      </c>
      <c r="B238" s="851" t="s">
        <v>1006</v>
      </c>
      <c r="C238" s="851"/>
      <c r="D238" s="851"/>
      <c r="E238" s="569" t="s">
        <v>994</v>
      </c>
      <c r="F238" s="569" t="s">
        <v>995</v>
      </c>
      <c r="G238" s="570">
        <v>100000</v>
      </c>
      <c r="H238" s="342">
        <v>-7</v>
      </c>
      <c r="I238" s="571">
        <f t="shared" si="9"/>
        <v>-700</v>
      </c>
    </row>
    <row r="239" spans="1:9" s="243" customFormat="1" x14ac:dyDescent="0.4">
      <c r="A239" s="568" t="s">
        <v>1073</v>
      </c>
      <c r="B239" s="851" t="s">
        <v>1006</v>
      </c>
      <c r="C239" s="851"/>
      <c r="D239" s="851"/>
      <c r="E239" s="569" t="s">
        <v>994</v>
      </c>
      <c r="F239" s="569" t="s">
        <v>995</v>
      </c>
      <c r="G239" s="570">
        <v>18000</v>
      </c>
      <c r="H239" s="342">
        <v>-9</v>
      </c>
      <c r="I239" s="571">
        <f t="shared" si="9"/>
        <v>-162</v>
      </c>
    </row>
    <row r="240" spans="1:9" s="243" customFormat="1" x14ac:dyDescent="0.4">
      <c r="A240" s="568" t="s">
        <v>1074</v>
      </c>
      <c r="B240" s="851" t="s">
        <v>1007</v>
      </c>
      <c r="C240" s="851"/>
      <c r="D240" s="851"/>
      <c r="E240" s="569" t="s">
        <v>994</v>
      </c>
      <c r="F240" s="569" t="s">
        <v>995</v>
      </c>
      <c r="G240" s="570">
        <v>45000</v>
      </c>
      <c r="H240" s="342">
        <v>-9</v>
      </c>
      <c r="I240" s="571">
        <f t="shared" si="9"/>
        <v>-405</v>
      </c>
    </row>
    <row r="241" spans="1:10" s="243" customFormat="1" x14ac:dyDescent="0.4">
      <c r="A241" s="568" t="s">
        <v>1075</v>
      </c>
      <c r="B241" s="851" t="s">
        <v>945</v>
      </c>
      <c r="C241" s="851"/>
      <c r="D241" s="851"/>
      <c r="E241" s="569" t="s">
        <v>994</v>
      </c>
      <c r="F241" s="569" t="s">
        <v>995</v>
      </c>
      <c r="G241" s="570">
        <v>100000</v>
      </c>
      <c r="H241" s="342">
        <v>-8</v>
      </c>
      <c r="I241" s="571">
        <f t="shared" ref="I241:I242" si="10">+ROUND(H241*G241/1000,1)</f>
        <v>-800</v>
      </c>
    </row>
    <row r="242" spans="1:10" s="243" customFormat="1" ht="18.600000000000001" x14ac:dyDescent="0.4">
      <c r="A242" s="579" t="s">
        <v>1076</v>
      </c>
      <c r="B242" s="854" t="s">
        <v>1008</v>
      </c>
      <c r="C242" s="854"/>
      <c r="D242" s="854"/>
      <c r="E242" s="580" t="s">
        <v>994</v>
      </c>
      <c r="F242" s="567" t="s">
        <v>1009</v>
      </c>
      <c r="G242" s="570">
        <v>10250</v>
      </c>
      <c r="H242" s="342">
        <v>-980</v>
      </c>
      <c r="I242" s="571">
        <f t="shared" si="10"/>
        <v>-10045</v>
      </c>
    </row>
    <row r="243" spans="1:10" s="31" customFormat="1" ht="21" customHeight="1" x14ac:dyDescent="0.3">
      <c r="A243" s="581"/>
      <c r="B243" s="582"/>
      <c r="C243" s="582"/>
      <c r="D243" s="582"/>
      <c r="E243" s="583"/>
      <c r="F243" s="583"/>
      <c r="G243" s="583"/>
      <c r="H243" s="584"/>
      <c r="I243" s="443"/>
    </row>
    <row r="244" spans="1:10" ht="45" customHeight="1" x14ac:dyDescent="0.4">
      <c r="A244" s="847" t="s">
        <v>137</v>
      </c>
      <c r="B244" s="848"/>
      <c r="C244" s="848"/>
      <c r="D244" s="848"/>
      <c r="E244" s="848"/>
      <c r="F244" s="848"/>
      <c r="G244" s="848"/>
      <c r="H244" s="849"/>
      <c r="I244" s="324">
        <f>+I245+I252</f>
        <v>-9324900.1699999999</v>
      </c>
      <c r="J244" s="325"/>
    </row>
    <row r="245" spans="1:10" x14ac:dyDescent="0.4">
      <c r="A245" s="326" t="s">
        <v>151</v>
      </c>
      <c r="B245" s="326" t="s">
        <v>152</v>
      </c>
      <c r="C245" s="326" t="s">
        <v>153</v>
      </c>
      <c r="D245" s="842" t="s">
        <v>154</v>
      </c>
      <c r="E245" s="843"/>
      <c r="F245" s="843"/>
      <c r="G245" s="843"/>
      <c r="H245" s="844"/>
      <c r="I245" s="327">
        <f>+I246</f>
        <v>-79831.3</v>
      </c>
    </row>
    <row r="246" spans="1:10" s="329" customFormat="1" ht="54.9" customHeight="1" x14ac:dyDescent="0.3">
      <c r="A246" s="67" t="s">
        <v>150</v>
      </c>
      <c r="B246" s="825" t="s">
        <v>148</v>
      </c>
      <c r="C246" s="825"/>
      <c r="D246" s="825"/>
      <c r="E246" s="825"/>
      <c r="F246" s="825"/>
      <c r="G246" s="825"/>
      <c r="H246" s="825"/>
      <c r="I246" s="328">
        <f>+I247+I249</f>
        <v>-79831.3</v>
      </c>
    </row>
    <row r="247" spans="1:10" s="31" customFormat="1" ht="21" customHeight="1" x14ac:dyDescent="0.3">
      <c r="A247" s="330"/>
      <c r="B247" s="819" t="s">
        <v>75</v>
      </c>
      <c r="C247" s="820"/>
      <c r="D247" s="821"/>
      <c r="E247" s="331"/>
      <c r="F247" s="331"/>
      <c r="G247" s="331"/>
      <c r="H247" s="332"/>
      <c r="I247" s="333">
        <f>SUM(I248:I248)</f>
        <v>-78532</v>
      </c>
    </row>
    <row r="248" spans="1:10" s="339" customFormat="1" ht="18" customHeight="1" x14ac:dyDescent="0.3">
      <c r="A248" s="471" t="s">
        <v>307</v>
      </c>
      <c r="B248" s="841" t="s">
        <v>156</v>
      </c>
      <c r="C248" s="841"/>
      <c r="D248" s="841"/>
      <c r="E248" s="334" t="s">
        <v>157</v>
      </c>
      <c r="F248" s="335" t="s">
        <v>76</v>
      </c>
      <c r="G248" s="336"/>
      <c r="H248" s="337"/>
      <c r="I248" s="338">
        <v>-78532</v>
      </c>
    </row>
    <row r="249" spans="1:10" s="339" customFormat="1" ht="21" customHeight="1" x14ac:dyDescent="0.3">
      <c r="A249" s="472"/>
      <c r="B249" s="819" t="s">
        <v>78</v>
      </c>
      <c r="C249" s="820"/>
      <c r="D249" s="821"/>
      <c r="E249" s="331" t="s">
        <v>77</v>
      </c>
      <c r="F249" s="331" t="s">
        <v>77</v>
      </c>
      <c r="G249" s="331" t="s">
        <v>77</v>
      </c>
      <c r="H249" s="340"/>
      <c r="I249" s="333">
        <f>SUM(I250:I251)</f>
        <v>-1299.3</v>
      </c>
    </row>
    <row r="250" spans="1:10" s="339" customFormat="1" x14ac:dyDescent="0.3">
      <c r="A250" s="472" t="s">
        <v>459</v>
      </c>
      <c r="B250" s="817" t="s">
        <v>161</v>
      </c>
      <c r="C250" s="817"/>
      <c r="D250" s="817"/>
      <c r="E250" s="465" t="s">
        <v>74</v>
      </c>
      <c r="F250" s="465" t="s">
        <v>86</v>
      </c>
      <c r="G250" s="341"/>
      <c r="H250" s="342"/>
      <c r="I250" s="338">
        <v>-892.8</v>
      </c>
    </row>
    <row r="251" spans="1:10" s="339" customFormat="1" x14ac:dyDescent="0.3">
      <c r="A251" s="472" t="s">
        <v>268</v>
      </c>
      <c r="B251" s="817" t="s">
        <v>162</v>
      </c>
      <c r="C251" s="817"/>
      <c r="D251" s="817"/>
      <c r="E251" s="465" t="s">
        <v>87</v>
      </c>
      <c r="F251" s="465" t="s">
        <v>86</v>
      </c>
      <c r="G251" s="343"/>
      <c r="H251" s="344"/>
      <c r="I251" s="338">
        <v>-406.5</v>
      </c>
    </row>
    <row r="252" spans="1:10" x14ac:dyDescent="0.4">
      <c r="A252" s="326" t="s">
        <v>171</v>
      </c>
      <c r="B252" s="326" t="s">
        <v>172</v>
      </c>
      <c r="C252" s="326" t="s">
        <v>168</v>
      </c>
      <c r="D252" s="842" t="s">
        <v>173</v>
      </c>
      <c r="E252" s="843"/>
      <c r="F252" s="843"/>
      <c r="G252" s="843"/>
      <c r="H252" s="844"/>
      <c r="I252" s="585">
        <f>+I253+I264+I279+I285+I336+I344+I354+I496+I521+I533+I545</f>
        <v>-9245068.8699999992</v>
      </c>
    </row>
    <row r="253" spans="1:10" s="329" customFormat="1" ht="54.9" customHeight="1" x14ac:dyDescent="0.3">
      <c r="A253" s="67" t="s">
        <v>177</v>
      </c>
      <c r="B253" s="825" t="s">
        <v>206</v>
      </c>
      <c r="C253" s="825"/>
      <c r="D253" s="825"/>
      <c r="E253" s="825"/>
      <c r="F253" s="825"/>
      <c r="G253" s="825"/>
      <c r="H253" s="825"/>
      <c r="I253" s="328">
        <f>+I254+I257</f>
        <v>-172155.1</v>
      </c>
    </row>
    <row r="254" spans="1:10" s="31" customFormat="1" ht="21" customHeight="1" x14ac:dyDescent="0.3">
      <c r="A254" s="330"/>
      <c r="B254" s="819" t="s">
        <v>75</v>
      </c>
      <c r="C254" s="820"/>
      <c r="D254" s="821"/>
      <c r="E254" s="331"/>
      <c r="F254" s="331"/>
      <c r="G254" s="331"/>
      <c r="H254" s="332"/>
      <c r="I254" s="333">
        <f>+I255</f>
        <v>-150000</v>
      </c>
    </row>
    <row r="255" spans="1:10" s="339" customFormat="1" x14ac:dyDescent="0.3">
      <c r="A255" s="472" t="s">
        <v>260</v>
      </c>
      <c r="B255" s="817" t="s">
        <v>360</v>
      </c>
      <c r="C255" s="817"/>
      <c r="D255" s="817"/>
      <c r="E255" s="465" t="s">
        <v>261</v>
      </c>
      <c r="F255" s="465" t="s">
        <v>76</v>
      </c>
      <c r="G255" s="341">
        <v>150000000</v>
      </c>
      <c r="H255" s="342">
        <v>-1</v>
      </c>
      <c r="I255" s="338">
        <f t="shared" ref="I255" si="11">+ROUND(H255*G255/1000,1)</f>
        <v>-150000</v>
      </c>
    </row>
    <row r="256" spans="1:10" s="339" customFormat="1" x14ac:dyDescent="0.3">
      <c r="A256" s="472" t="s">
        <v>401</v>
      </c>
      <c r="B256" s="817" t="s">
        <v>360</v>
      </c>
      <c r="C256" s="817"/>
      <c r="D256" s="817"/>
      <c r="E256" s="465" t="s">
        <v>261</v>
      </c>
      <c r="F256" s="465" t="s">
        <v>76</v>
      </c>
      <c r="G256" s="341"/>
      <c r="H256" s="342"/>
      <c r="I256" s="338">
        <v>-211489.3</v>
      </c>
    </row>
    <row r="257" spans="1:9" s="339" customFormat="1" ht="21" customHeight="1" x14ac:dyDescent="0.3">
      <c r="A257" s="472"/>
      <c r="B257" s="819" t="s">
        <v>78</v>
      </c>
      <c r="C257" s="820"/>
      <c r="D257" s="821"/>
      <c r="E257" s="331" t="s">
        <v>77</v>
      </c>
      <c r="F257" s="331" t="s">
        <v>77</v>
      </c>
      <c r="G257" s="331" t="s">
        <v>77</v>
      </c>
      <c r="H257" s="340"/>
      <c r="I257" s="333">
        <f>SUM(I258:I262)</f>
        <v>-22155.1</v>
      </c>
    </row>
    <row r="258" spans="1:9" s="339" customFormat="1" ht="35.549999999999997" customHeight="1" x14ac:dyDescent="0.3">
      <c r="A258" s="472" t="s">
        <v>273</v>
      </c>
      <c r="B258" s="817" t="s">
        <v>387</v>
      </c>
      <c r="C258" s="817"/>
      <c r="D258" s="817"/>
      <c r="E258" s="465" t="s">
        <v>74</v>
      </c>
      <c r="F258" s="465" t="s">
        <v>86</v>
      </c>
      <c r="G258" s="341"/>
      <c r="H258" s="342"/>
      <c r="I258" s="338">
        <v>-8825</v>
      </c>
    </row>
    <row r="259" spans="1:9" s="339" customFormat="1" ht="18" customHeight="1" x14ac:dyDescent="0.3">
      <c r="A259" s="472" t="s">
        <v>275</v>
      </c>
      <c r="B259" s="817" t="s">
        <v>160</v>
      </c>
      <c r="C259" s="817"/>
      <c r="D259" s="817"/>
      <c r="E259" s="465" t="s">
        <v>74</v>
      </c>
      <c r="F259" s="465" t="s">
        <v>86</v>
      </c>
      <c r="G259" s="341">
        <v>1539000</v>
      </c>
      <c r="H259" s="342">
        <v>-1</v>
      </c>
      <c r="I259" s="338">
        <f t="shared" ref="I259:I262" si="12">+ROUND(H259*G259/1000,1)</f>
        <v>-1539</v>
      </c>
    </row>
    <row r="260" spans="1:9" s="339" customFormat="1" x14ac:dyDescent="0.3">
      <c r="A260" s="472" t="s">
        <v>158</v>
      </c>
      <c r="B260" s="817" t="s">
        <v>161</v>
      </c>
      <c r="C260" s="817"/>
      <c r="D260" s="817"/>
      <c r="E260" s="465" t="s">
        <v>74</v>
      </c>
      <c r="F260" s="465" t="s">
        <v>86</v>
      </c>
      <c r="G260" s="341">
        <v>4500000</v>
      </c>
      <c r="H260" s="342">
        <v>-1</v>
      </c>
      <c r="I260" s="338">
        <f t="shared" si="12"/>
        <v>-4500</v>
      </c>
    </row>
    <row r="261" spans="1:9" s="339" customFormat="1" x14ac:dyDescent="0.3">
      <c r="A261" s="472" t="s">
        <v>267</v>
      </c>
      <c r="B261" s="817" t="s">
        <v>161</v>
      </c>
      <c r="C261" s="817"/>
      <c r="D261" s="817"/>
      <c r="E261" s="465" t="s">
        <v>74</v>
      </c>
      <c r="F261" s="465" t="s">
        <v>86</v>
      </c>
      <c r="G261" s="341"/>
      <c r="H261" s="342"/>
      <c r="I261" s="338">
        <v>-6391.1</v>
      </c>
    </row>
    <row r="262" spans="1:9" s="339" customFormat="1" x14ac:dyDescent="0.3">
      <c r="A262" s="472" t="s">
        <v>159</v>
      </c>
      <c r="B262" s="817" t="s">
        <v>162</v>
      </c>
      <c r="C262" s="817"/>
      <c r="D262" s="817"/>
      <c r="E262" s="465" t="s">
        <v>87</v>
      </c>
      <c r="F262" s="465" t="s">
        <v>86</v>
      </c>
      <c r="G262" s="343">
        <v>900000</v>
      </c>
      <c r="H262" s="342">
        <v>-1</v>
      </c>
      <c r="I262" s="338">
        <f t="shared" si="12"/>
        <v>-900</v>
      </c>
    </row>
    <row r="263" spans="1:9" s="339" customFormat="1" x14ac:dyDescent="0.3">
      <c r="A263" s="472" t="s">
        <v>268</v>
      </c>
      <c r="B263" s="817" t="s">
        <v>162</v>
      </c>
      <c r="C263" s="817"/>
      <c r="D263" s="817"/>
      <c r="E263" s="465" t="s">
        <v>87</v>
      </c>
      <c r="F263" s="465" t="s">
        <v>86</v>
      </c>
      <c r="G263" s="343"/>
      <c r="H263" s="342"/>
      <c r="I263" s="338">
        <v>-1481.6</v>
      </c>
    </row>
    <row r="264" spans="1:9" s="329" customFormat="1" ht="54.9" customHeight="1" x14ac:dyDescent="0.3">
      <c r="A264" s="67" t="s">
        <v>179</v>
      </c>
      <c r="B264" s="825" t="s">
        <v>262</v>
      </c>
      <c r="C264" s="825"/>
      <c r="D264" s="825"/>
      <c r="E264" s="825"/>
      <c r="F264" s="825"/>
      <c r="G264" s="825"/>
      <c r="H264" s="825"/>
      <c r="I264" s="328">
        <f>+I265+I270</f>
        <v>-723258</v>
      </c>
    </row>
    <row r="265" spans="1:9" s="31" customFormat="1" ht="21" customHeight="1" x14ac:dyDescent="0.3">
      <c r="A265" s="330"/>
      <c r="B265" s="819" t="s">
        <v>75</v>
      </c>
      <c r="C265" s="820"/>
      <c r="D265" s="821"/>
      <c r="E265" s="331"/>
      <c r="F265" s="331"/>
      <c r="G265" s="331"/>
      <c r="H265" s="332"/>
      <c r="I265" s="333">
        <f>SUM(I266:I268)</f>
        <v>-687814.8</v>
      </c>
    </row>
    <row r="266" spans="1:9" s="339" customFormat="1" ht="18" customHeight="1" x14ac:dyDescent="0.3">
      <c r="A266" s="472" t="s">
        <v>263</v>
      </c>
      <c r="B266" s="817" t="s">
        <v>264</v>
      </c>
      <c r="C266" s="817"/>
      <c r="D266" s="817"/>
      <c r="E266" s="465" t="s">
        <v>261</v>
      </c>
      <c r="F266" s="465" t="s">
        <v>76</v>
      </c>
      <c r="G266" s="341">
        <v>437864800</v>
      </c>
      <c r="H266" s="342">
        <v>-1</v>
      </c>
      <c r="I266" s="338">
        <f t="shared" ref="I266:I268" si="13">+ROUND(H266*G266/1000,1)</f>
        <v>-437864.8</v>
      </c>
    </row>
    <row r="267" spans="1:9" s="339" customFormat="1" ht="17.55" customHeight="1" x14ac:dyDescent="0.3">
      <c r="A267" s="472" t="s">
        <v>1087</v>
      </c>
      <c r="B267" s="817" t="s">
        <v>264</v>
      </c>
      <c r="C267" s="817"/>
      <c r="D267" s="817"/>
      <c r="E267" s="465" t="s">
        <v>261</v>
      </c>
      <c r="F267" s="465" t="s">
        <v>76</v>
      </c>
      <c r="G267" s="341"/>
      <c r="H267" s="342"/>
      <c r="I267" s="338">
        <v>-149950</v>
      </c>
    </row>
    <row r="268" spans="1:9" s="339" customFormat="1" ht="18" customHeight="1" x14ac:dyDescent="0.3">
      <c r="A268" s="472" t="s">
        <v>270</v>
      </c>
      <c r="B268" s="817" t="s">
        <v>264</v>
      </c>
      <c r="C268" s="817"/>
      <c r="D268" s="817"/>
      <c r="E268" s="465" t="s">
        <v>261</v>
      </c>
      <c r="F268" s="465" t="s">
        <v>76</v>
      </c>
      <c r="G268" s="341">
        <v>100000000</v>
      </c>
      <c r="H268" s="342">
        <v>-1</v>
      </c>
      <c r="I268" s="338">
        <f t="shared" si="13"/>
        <v>-100000</v>
      </c>
    </row>
    <row r="269" spans="1:9" s="339" customFormat="1" ht="18" customHeight="1" x14ac:dyDescent="0.3">
      <c r="A269" s="472" t="s">
        <v>313</v>
      </c>
      <c r="B269" s="817" t="s">
        <v>264</v>
      </c>
      <c r="C269" s="817"/>
      <c r="D269" s="817"/>
      <c r="E269" s="465" t="s">
        <v>261</v>
      </c>
      <c r="F269" s="465" t="s">
        <v>76</v>
      </c>
      <c r="G269" s="341"/>
      <c r="H269" s="342"/>
      <c r="I269" s="338">
        <v>-230577</v>
      </c>
    </row>
    <row r="270" spans="1:9" s="339" customFormat="1" ht="21" customHeight="1" x14ac:dyDescent="0.3">
      <c r="A270" s="472"/>
      <c r="B270" s="819" t="s">
        <v>78</v>
      </c>
      <c r="C270" s="820"/>
      <c r="D270" s="821"/>
      <c r="E270" s="331" t="s">
        <v>77</v>
      </c>
      <c r="F270" s="331" t="s">
        <v>77</v>
      </c>
      <c r="G270" s="331" t="s">
        <v>77</v>
      </c>
      <c r="H270" s="340"/>
      <c r="I270" s="333">
        <f>SUM(I271:I277)</f>
        <v>-35443.199999999997</v>
      </c>
    </row>
    <row r="271" spans="1:9" s="339" customFormat="1" x14ac:dyDescent="0.3">
      <c r="A271" s="472" t="s">
        <v>158</v>
      </c>
      <c r="B271" s="817" t="s">
        <v>161</v>
      </c>
      <c r="C271" s="817"/>
      <c r="D271" s="817"/>
      <c r="E271" s="465" t="s">
        <v>74</v>
      </c>
      <c r="F271" s="465" t="s">
        <v>86</v>
      </c>
      <c r="G271" s="341">
        <v>13135900</v>
      </c>
      <c r="H271" s="342">
        <v>-1</v>
      </c>
      <c r="I271" s="338">
        <f t="shared" ref="I271:I275" si="14">+ROUND(H271*G271/1000,1)</f>
        <v>-13135.9</v>
      </c>
    </row>
    <row r="272" spans="1:9" s="339" customFormat="1" x14ac:dyDescent="0.3">
      <c r="A272" s="472" t="s">
        <v>267</v>
      </c>
      <c r="B272" s="817" t="s">
        <v>161</v>
      </c>
      <c r="C272" s="817"/>
      <c r="D272" s="817"/>
      <c r="E272" s="465" t="s">
        <v>74</v>
      </c>
      <c r="F272" s="465" t="s">
        <v>86</v>
      </c>
      <c r="G272" s="341"/>
      <c r="H272" s="342"/>
      <c r="I272" s="338">
        <v>-4450</v>
      </c>
    </row>
    <row r="273" spans="1:9" s="339" customFormat="1" x14ac:dyDescent="0.3">
      <c r="A273" s="472" t="s">
        <v>271</v>
      </c>
      <c r="B273" s="817" t="s">
        <v>161</v>
      </c>
      <c r="C273" s="817"/>
      <c r="D273" s="817"/>
      <c r="E273" s="465" t="s">
        <v>74</v>
      </c>
      <c r="F273" s="465" t="s">
        <v>86</v>
      </c>
      <c r="G273" s="341">
        <v>3000000</v>
      </c>
      <c r="H273" s="342">
        <v>-1</v>
      </c>
      <c r="I273" s="338">
        <f t="shared" si="14"/>
        <v>-3000</v>
      </c>
    </row>
    <row r="274" spans="1:9" s="339" customFormat="1" x14ac:dyDescent="0.3">
      <c r="A274" s="472" t="s">
        <v>314</v>
      </c>
      <c r="B274" s="817" t="s">
        <v>161</v>
      </c>
      <c r="C274" s="817"/>
      <c r="D274" s="817"/>
      <c r="E274" s="465" t="s">
        <v>74</v>
      </c>
      <c r="F274" s="465" t="s">
        <v>86</v>
      </c>
      <c r="G274" s="341"/>
      <c r="H274" s="342"/>
      <c r="I274" s="338">
        <v>-10750.1</v>
      </c>
    </row>
    <row r="275" spans="1:9" s="339" customFormat="1" x14ac:dyDescent="0.3">
      <c r="A275" s="472" t="s">
        <v>159</v>
      </c>
      <c r="B275" s="817" t="s">
        <v>162</v>
      </c>
      <c r="C275" s="817"/>
      <c r="D275" s="817"/>
      <c r="E275" s="465" t="s">
        <v>87</v>
      </c>
      <c r="F275" s="465" t="s">
        <v>86</v>
      </c>
      <c r="G275" s="343">
        <v>2627200</v>
      </c>
      <c r="H275" s="344">
        <v>-1</v>
      </c>
      <c r="I275" s="338">
        <f t="shared" si="14"/>
        <v>-2627.2</v>
      </c>
    </row>
    <row r="276" spans="1:9" s="339" customFormat="1" x14ac:dyDescent="0.3">
      <c r="A276" s="472" t="s">
        <v>268</v>
      </c>
      <c r="B276" s="817" t="s">
        <v>162</v>
      </c>
      <c r="C276" s="817"/>
      <c r="D276" s="817"/>
      <c r="E276" s="465" t="s">
        <v>87</v>
      </c>
      <c r="F276" s="465" t="s">
        <v>86</v>
      </c>
      <c r="G276" s="343"/>
      <c r="H276" s="344"/>
      <c r="I276" s="338">
        <v>-880</v>
      </c>
    </row>
    <row r="277" spans="1:9" s="339" customFormat="1" x14ac:dyDescent="0.3">
      <c r="A277" s="472" t="s">
        <v>272</v>
      </c>
      <c r="B277" s="817" t="s">
        <v>162</v>
      </c>
      <c r="C277" s="817"/>
      <c r="D277" s="817"/>
      <c r="E277" s="465" t="s">
        <v>87</v>
      </c>
      <c r="F277" s="465" t="s">
        <v>86</v>
      </c>
      <c r="G277" s="343">
        <v>600000</v>
      </c>
      <c r="H277" s="344">
        <v>-1</v>
      </c>
      <c r="I277" s="338">
        <v>-600</v>
      </c>
    </row>
    <row r="278" spans="1:9" s="339" customFormat="1" x14ac:dyDescent="0.3">
      <c r="A278" s="472" t="s">
        <v>315</v>
      </c>
      <c r="B278" s="817" t="s">
        <v>162</v>
      </c>
      <c r="C278" s="817"/>
      <c r="D278" s="817"/>
      <c r="E278" s="465" t="s">
        <v>87</v>
      </c>
      <c r="F278" s="465" t="s">
        <v>86</v>
      </c>
      <c r="G278" s="343"/>
      <c r="H278" s="344"/>
      <c r="I278" s="338">
        <v>-1630.7</v>
      </c>
    </row>
    <row r="279" spans="1:9" s="329" customFormat="1" ht="54.9" customHeight="1" x14ac:dyDescent="0.3">
      <c r="A279" s="67" t="s">
        <v>278</v>
      </c>
      <c r="B279" s="825" t="s">
        <v>279</v>
      </c>
      <c r="C279" s="825"/>
      <c r="D279" s="825"/>
      <c r="E279" s="825"/>
      <c r="F279" s="825"/>
      <c r="G279" s="825"/>
      <c r="H279" s="825"/>
      <c r="I279" s="328">
        <f>+I280+I282</f>
        <v>-374821.87</v>
      </c>
    </row>
    <row r="280" spans="1:9" s="31" customFormat="1" ht="21" customHeight="1" x14ac:dyDescent="0.3">
      <c r="A280" s="330"/>
      <c r="B280" s="819" t="s">
        <v>75</v>
      </c>
      <c r="C280" s="820"/>
      <c r="D280" s="821"/>
      <c r="E280" s="331"/>
      <c r="F280" s="331"/>
      <c r="G280" s="331"/>
      <c r="H280" s="332"/>
      <c r="I280" s="333">
        <f>+I281</f>
        <v>-365000</v>
      </c>
    </row>
    <row r="281" spans="1:9" s="339" customFormat="1" ht="18" customHeight="1" x14ac:dyDescent="0.3">
      <c r="A281" s="472" t="s">
        <v>263</v>
      </c>
      <c r="B281" s="817" t="s">
        <v>445</v>
      </c>
      <c r="C281" s="817"/>
      <c r="D281" s="817"/>
      <c r="E281" s="465" t="s">
        <v>261</v>
      </c>
      <c r="F281" s="465" t="s">
        <v>76</v>
      </c>
      <c r="G281" s="341"/>
      <c r="H281" s="342"/>
      <c r="I281" s="338">
        <v>-365000</v>
      </c>
    </row>
    <row r="282" spans="1:9" s="339" customFormat="1" ht="21" customHeight="1" x14ac:dyDescent="0.3">
      <c r="A282" s="472"/>
      <c r="B282" s="819" t="s">
        <v>78</v>
      </c>
      <c r="C282" s="820"/>
      <c r="D282" s="821"/>
      <c r="E282" s="331" t="s">
        <v>77</v>
      </c>
      <c r="F282" s="331" t="s">
        <v>77</v>
      </c>
      <c r="G282" s="331" t="s">
        <v>77</v>
      </c>
      <c r="H282" s="340"/>
      <c r="I282" s="333">
        <f>SUM(I283:I284)</f>
        <v>-9821.869999999999</v>
      </c>
    </row>
    <row r="283" spans="1:9" s="339" customFormat="1" x14ac:dyDescent="0.3">
      <c r="A283" s="472" t="s">
        <v>158</v>
      </c>
      <c r="B283" s="817" t="s">
        <v>161</v>
      </c>
      <c r="C283" s="817"/>
      <c r="D283" s="817"/>
      <c r="E283" s="465" t="s">
        <v>74</v>
      </c>
      <c r="F283" s="465" t="s">
        <v>86</v>
      </c>
      <c r="G283" s="341"/>
      <c r="H283" s="342"/>
      <c r="I283" s="338">
        <v>-7706.67</v>
      </c>
    </row>
    <row r="284" spans="1:9" s="339" customFormat="1" x14ac:dyDescent="0.3">
      <c r="A284" s="472" t="s">
        <v>159</v>
      </c>
      <c r="B284" s="817" t="s">
        <v>162</v>
      </c>
      <c r="C284" s="817"/>
      <c r="D284" s="817"/>
      <c r="E284" s="465" t="s">
        <v>87</v>
      </c>
      <c r="F284" s="465" t="s">
        <v>86</v>
      </c>
      <c r="G284" s="343"/>
      <c r="H284" s="344"/>
      <c r="I284" s="338">
        <v>-2115.1999999999998</v>
      </c>
    </row>
    <row r="285" spans="1:9" s="329" customFormat="1" ht="54.9" customHeight="1" x14ac:dyDescent="0.3">
      <c r="A285" s="67" t="s">
        <v>186</v>
      </c>
      <c r="B285" s="825" t="s">
        <v>187</v>
      </c>
      <c r="C285" s="825"/>
      <c r="D285" s="825"/>
      <c r="E285" s="825"/>
      <c r="F285" s="825"/>
      <c r="G285" s="825"/>
      <c r="H285" s="825"/>
      <c r="I285" s="328">
        <f>+I286+I302</f>
        <v>-2928071.5999999996</v>
      </c>
    </row>
    <row r="286" spans="1:9" s="31" customFormat="1" ht="21" customHeight="1" x14ac:dyDescent="0.3">
      <c r="A286" s="330"/>
      <c r="B286" s="819" t="s">
        <v>75</v>
      </c>
      <c r="C286" s="820"/>
      <c r="D286" s="821"/>
      <c r="E286" s="331"/>
      <c r="F286" s="331"/>
      <c r="G286" s="331"/>
      <c r="H286" s="332"/>
      <c r="I286" s="333">
        <f>SUM(I287:I301)</f>
        <v>-2761516.3</v>
      </c>
    </row>
    <row r="287" spans="1:9" s="339" customFormat="1" ht="18" customHeight="1" x14ac:dyDescent="0.3">
      <c r="A287" s="472" t="s">
        <v>270</v>
      </c>
      <c r="B287" s="817" t="s">
        <v>264</v>
      </c>
      <c r="C287" s="817"/>
      <c r="D287" s="817"/>
      <c r="E287" s="465" t="s">
        <v>257</v>
      </c>
      <c r="F287" s="465" t="s">
        <v>76</v>
      </c>
      <c r="G287" s="341"/>
      <c r="H287" s="342"/>
      <c r="I287" s="338">
        <v>-250000</v>
      </c>
    </row>
    <row r="288" spans="1:9" s="339" customFormat="1" ht="18" customHeight="1" x14ac:dyDescent="0.3">
      <c r="A288" s="472" t="s">
        <v>317</v>
      </c>
      <c r="B288" s="817" t="s">
        <v>264</v>
      </c>
      <c r="C288" s="817"/>
      <c r="D288" s="817"/>
      <c r="E288" s="465" t="s">
        <v>157</v>
      </c>
      <c r="F288" s="465" t="s">
        <v>76</v>
      </c>
      <c r="G288" s="341"/>
      <c r="H288" s="342"/>
      <c r="I288" s="338">
        <v>-106974.9</v>
      </c>
    </row>
    <row r="289" spans="1:9" s="339" customFormat="1" ht="18" customHeight="1" x14ac:dyDescent="0.3">
      <c r="A289" s="472" t="s">
        <v>343</v>
      </c>
      <c r="B289" s="817" t="s">
        <v>264</v>
      </c>
      <c r="C289" s="817"/>
      <c r="D289" s="817"/>
      <c r="E289" s="465" t="s">
        <v>157</v>
      </c>
      <c r="F289" s="465" t="s">
        <v>76</v>
      </c>
      <c r="G289" s="341"/>
      <c r="H289" s="342"/>
      <c r="I289" s="338">
        <v>-270974.90000000002</v>
      </c>
    </row>
    <row r="290" spans="1:9" s="339" customFormat="1" ht="18" customHeight="1" x14ac:dyDescent="0.3">
      <c r="A290" s="472" t="s">
        <v>289</v>
      </c>
      <c r="B290" s="817" t="s">
        <v>264</v>
      </c>
      <c r="C290" s="817"/>
      <c r="D290" s="817"/>
      <c r="E290" s="465" t="s">
        <v>257</v>
      </c>
      <c r="F290" s="465" t="s">
        <v>76</v>
      </c>
      <c r="G290" s="341"/>
      <c r="H290" s="342"/>
      <c r="I290" s="338">
        <v>-150000</v>
      </c>
    </row>
    <row r="291" spans="1:9" s="339" customFormat="1" ht="18" customHeight="1" x14ac:dyDescent="0.3">
      <c r="A291" s="472" t="s">
        <v>293</v>
      </c>
      <c r="B291" s="817" t="s">
        <v>264</v>
      </c>
      <c r="C291" s="817"/>
      <c r="D291" s="817"/>
      <c r="E291" s="465" t="s">
        <v>257</v>
      </c>
      <c r="F291" s="465" t="s">
        <v>76</v>
      </c>
      <c r="G291" s="341"/>
      <c r="H291" s="342"/>
      <c r="I291" s="338">
        <v>-100000</v>
      </c>
    </row>
    <row r="292" spans="1:9" s="339" customFormat="1" ht="18" customHeight="1" x14ac:dyDescent="0.3">
      <c r="A292" s="472" t="s">
        <v>344</v>
      </c>
      <c r="B292" s="817" t="s">
        <v>264</v>
      </c>
      <c r="C292" s="817"/>
      <c r="D292" s="817"/>
      <c r="E292" s="465" t="s">
        <v>257</v>
      </c>
      <c r="F292" s="465" t="s">
        <v>76</v>
      </c>
      <c r="G292" s="341"/>
      <c r="H292" s="342"/>
      <c r="I292" s="338">
        <v>-230974.9</v>
      </c>
    </row>
    <row r="293" spans="1:9" s="339" customFormat="1" ht="18" customHeight="1" x14ac:dyDescent="0.3">
      <c r="A293" s="472" t="s">
        <v>345</v>
      </c>
      <c r="B293" s="817" t="s">
        <v>264</v>
      </c>
      <c r="C293" s="817"/>
      <c r="D293" s="817"/>
      <c r="E293" s="465" t="s">
        <v>157</v>
      </c>
      <c r="F293" s="465" t="s">
        <v>76</v>
      </c>
      <c r="G293" s="341"/>
      <c r="H293" s="342"/>
      <c r="I293" s="338">
        <v>-89674.8</v>
      </c>
    </row>
    <row r="294" spans="1:9" s="339" customFormat="1" ht="18" customHeight="1" x14ac:dyDescent="0.3">
      <c r="A294" s="472" t="s">
        <v>433</v>
      </c>
      <c r="B294" s="817" t="s">
        <v>264</v>
      </c>
      <c r="C294" s="817"/>
      <c r="D294" s="817"/>
      <c r="E294" s="465" t="s">
        <v>157</v>
      </c>
      <c r="F294" s="465" t="s">
        <v>76</v>
      </c>
      <c r="G294" s="341"/>
      <c r="H294" s="342"/>
      <c r="I294" s="338">
        <v>-74905.2</v>
      </c>
    </row>
    <row r="295" spans="1:9" s="339" customFormat="1" ht="18" customHeight="1" x14ac:dyDescent="0.3">
      <c r="A295" s="472" t="s">
        <v>349</v>
      </c>
      <c r="B295" s="817" t="s">
        <v>264</v>
      </c>
      <c r="C295" s="817"/>
      <c r="D295" s="817"/>
      <c r="E295" s="465" t="s">
        <v>157</v>
      </c>
      <c r="F295" s="465" t="s">
        <v>76</v>
      </c>
      <c r="G295" s="341"/>
      <c r="H295" s="342"/>
      <c r="I295" s="338">
        <v>-279529.8</v>
      </c>
    </row>
    <row r="296" spans="1:9" s="339" customFormat="1" ht="18" customHeight="1" x14ac:dyDescent="0.3">
      <c r="A296" s="472" t="s">
        <v>350</v>
      </c>
      <c r="B296" s="817" t="s">
        <v>264</v>
      </c>
      <c r="C296" s="817"/>
      <c r="D296" s="817"/>
      <c r="E296" s="465" t="s">
        <v>157</v>
      </c>
      <c r="F296" s="465" t="s">
        <v>76</v>
      </c>
      <c r="G296" s="341"/>
      <c r="H296" s="342"/>
      <c r="I296" s="338">
        <v>-270974.90000000002</v>
      </c>
    </row>
    <row r="297" spans="1:9" s="339" customFormat="1" ht="18" customHeight="1" x14ac:dyDescent="0.3">
      <c r="A297" s="472" t="s">
        <v>298</v>
      </c>
      <c r="B297" s="817" t="s">
        <v>264</v>
      </c>
      <c r="C297" s="817"/>
      <c r="D297" s="817"/>
      <c r="E297" s="465" t="s">
        <v>157</v>
      </c>
      <c r="F297" s="465" t="s">
        <v>76</v>
      </c>
      <c r="G297" s="341"/>
      <c r="H297" s="342"/>
      <c r="I297" s="338">
        <v>-50000</v>
      </c>
    </row>
    <row r="298" spans="1:9" s="339" customFormat="1" ht="18" customHeight="1" x14ac:dyDescent="0.3">
      <c r="A298" s="472" t="s">
        <v>284</v>
      </c>
      <c r="B298" s="817" t="s">
        <v>264</v>
      </c>
      <c r="C298" s="817"/>
      <c r="D298" s="817"/>
      <c r="E298" s="465" t="s">
        <v>157</v>
      </c>
      <c r="F298" s="465" t="s">
        <v>76</v>
      </c>
      <c r="G298" s="341"/>
      <c r="H298" s="342"/>
      <c r="I298" s="338">
        <v>-150000</v>
      </c>
    </row>
    <row r="299" spans="1:9" s="339" customFormat="1" ht="18" customHeight="1" x14ac:dyDescent="0.3">
      <c r="A299" s="472" t="s">
        <v>305</v>
      </c>
      <c r="B299" s="817" t="s">
        <v>264</v>
      </c>
      <c r="C299" s="817"/>
      <c r="D299" s="817"/>
      <c r="E299" s="465" t="s">
        <v>157</v>
      </c>
      <c r="F299" s="465" t="s">
        <v>76</v>
      </c>
      <c r="G299" s="341"/>
      <c r="H299" s="342"/>
      <c r="I299" s="338">
        <v>-170000</v>
      </c>
    </row>
    <row r="300" spans="1:9" s="339" customFormat="1" ht="18" customHeight="1" x14ac:dyDescent="0.3">
      <c r="A300" s="472" t="s">
        <v>428</v>
      </c>
      <c r="B300" s="817" t="s">
        <v>264</v>
      </c>
      <c r="C300" s="817"/>
      <c r="D300" s="817"/>
      <c r="E300" s="465" t="s">
        <v>157</v>
      </c>
      <c r="F300" s="465" t="s">
        <v>76</v>
      </c>
      <c r="G300" s="341"/>
      <c r="H300" s="342"/>
      <c r="I300" s="338">
        <v>-467506.9</v>
      </c>
    </row>
    <row r="301" spans="1:9" s="339" customFormat="1" ht="18" customHeight="1" x14ac:dyDescent="0.3">
      <c r="A301" s="472" t="s">
        <v>281</v>
      </c>
      <c r="B301" s="817" t="s">
        <v>264</v>
      </c>
      <c r="C301" s="817"/>
      <c r="D301" s="817"/>
      <c r="E301" s="465" t="s">
        <v>157</v>
      </c>
      <c r="F301" s="465" t="s">
        <v>76</v>
      </c>
      <c r="G301" s="341"/>
      <c r="H301" s="342"/>
      <c r="I301" s="338">
        <v>-100000</v>
      </c>
    </row>
    <row r="302" spans="1:9" s="339" customFormat="1" ht="21" customHeight="1" x14ac:dyDescent="0.3">
      <c r="A302" s="472"/>
      <c r="B302" s="819" t="s">
        <v>78</v>
      </c>
      <c r="C302" s="820"/>
      <c r="D302" s="821"/>
      <c r="E302" s="331" t="s">
        <v>77</v>
      </c>
      <c r="F302" s="331" t="s">
        <v>77</v>
      </c>
      <c r="G302" s="331" t="s">
        <v>77</v>
      </c>
      <c r="H302" s="340"/>
      <c r="I302" s="333">
        <f>SUM(I303:I335)</f>
        <v>-166555.30000000002</v>
      </c>
    </row>
    <row r="303" spans="1:9" s="339" customFormat="1" x14ac:dyDescent="0.3">
      <c r="A303" s="472" t="s">
        <v>267</v>
      </c>
      <c r="B303" s="817" t="s">
        <v>161</v>
      </c>
      <c r="C303" s="817"/>
      <c r="D303" s="817"/>
      <c r="E303" s="465" t="s">
        <v>74</v>
      </c>
      <c r="F303" s="465" t="s">
        <v>86</v>
      </c>
      <c r="G303" s="343"/>
      <c r="H303" s="344"/>
      <c r="I303" s="338">
        <v>-3392.4</v>
      </c>
    </row>
    <row r="304" spans="1:9" s="339" customFormat="1" x14ac:dyDescent="0.3">
      <c r="A304" s="472" t="s">
        <v>271</v>
      </c>
      <c r="B304" s="817" t="s">
        <v>161</v>
      </c>
      <c r="C304" s="817"/>
      <c r="D304" s="817"/>
      <c r="E304" s="465" t="s">
        <v>74</v>
      </c>
      <c r="F304" s="465" t="s">
        <v>86</v>
      </c>
      <c r="G304" s="343"/>
      <c r="H304" s="344"/>
      <c r="I304" s="338">
        <v>-7315.4</v>
      </c>
    </row>
    <row r="305" spans="1:9" s="339" customFormat="1" x14ac:dyDescent="0.3">
      <c r="A305" s="472" t="s">
        <v>314</v>
      </c>
      <c r="B305" s="817" t="s">
        <v>161</v>
      </c>
      <c r="C305" s="817"/>
      <c r="D305" s="817"/>
      <c r="E305" s="465" t="s">
        <v>74</v>
      </c>
      <c r="F305" s="465" t="s">
        <v>86</v>
      </c>
      <c r="G305" s="343"/>
      <c r="H305" s="344"/>
      <c r="I305" s="338">
        <v>-18505.2</v>
      </c>
    </row>
    <row r="306" spans="1:9" s="339" customFormat="1" x14ac:dyDescent="0.3">
      <c r="A306" s="472" t="s">
        <v>319</v>
      </c>
      <c r="B306" s="817" t="s">
        <v>161</v>
      </c>
      <c r="C306" s="817"/>
      <c r="D306" s="817"/>
      <c r="E306" s="465" t="s">
        <v>74</v>
      </c>
      <c r="F306" s="465" t="s">
        <v>86</v>
      </c>
      <c r="G306" s="343"/>
      <c r="H306" s="344"/>
      <c r="I306" s="338">
        <v>-11166.4</v>
      </c>
    </row>
    <row r="307" spans="1:9" s="339" customFormat="1" x14ac:dyDescent="0.3">
      <c r="A307" s="472" t="s">
        <v>330</v>
      </c>
      <c r="B307" s="817" t="s">
        <v>161</v>
      </c>
      <c r="C307" s="817"/>
      <c r="D307" s="817"/>
      <c r="E307" s="465" t="s">
        <v>74</v>
      </c>
      <c r="F307" s="465" t="s">
        <v>86</v>
      </c>
      <c r="G307" s="343"/>
      <c r="H307" s="344"/>
      <c r="I307" s="338">
        <v>-10686.8</v>
      </c>
    </row>
    <row r="308" spans="1:9" s="339" customFormat="1" x14ac:dyDescent="0.3">
      <c r="A308" s="472" t="s">
        <v>290</v>
      </c>
      <c r="B308" s="817" t="s">
        <v>161</v>
      </c>
      <c r="C308" s="817"/>
      <c r="D308" s="817"/>
      <c r="E308" s="465" t="s">
        <v>74</v>
      </c>
      <c r="F308" s="465" t="s">
        <v>86</v>
      </c>
      <c r="G308" s="343"/>
      <c r="H308" s="344"/>
      <c r="I308" s="338">
        <v>-2511.6</v>
      </c>
    </row>
    <row r="309" spans="1:9" s="339" customFormat="1" x14ac:dyDescent="0.3">
      <c r="A309" s="472" t="s">
        <v>292</v>
      </c>
      <c r="B309" s="817" t="s">
        <v>161</v>
      </c>
      <c r="C309" s="817"/>
      <c r="D309" s="817"/>
      <c r="E309" s="465" t="s">
        <v>74</v>
      </c>
      <c r="F309" s="465" t="s">
        <v>86</v>
      </c>
      <c r="G309" s="343"/>
      <c r="H309" s="344"/>
      <c r="I309" s="338">
        <v>-4892.6000000000004</v>
      </c>
    </row>
    <row r="310" spans="1:9" s="339" customFormat="1" x14ac:dyDescent="0.3">
      <c r="A310" s="472" t="s">
        <v>339</v>
      </c>
      <c r="B310" s="817" t="s">
        <v>161</v>
      </c>
      <c r="C310" s="817"/>
      <c r="D310" s="817"/>
      <c r="E310" s="465" t="s">
        <v>74</v>
      </c>
      <c r="F310" s="465" t="s">
        <v>86</v>
      </c>
      <c r="G310" s="343"/>
      <c r="H310" s="344"/>
      <c r="I310" s="338">
        <v>-9197</v>
      </c>
    </row>
    <row r="311" spans="1:9" s="339" customFormat="1" x14ac:dyDescent="0.3">
      <c r="A311" s="472" t="s">
        <v>346</v>
      </c>
      <c r="B311" s="817" t="s">
        <v>161</v>
      </c>
      <c r="C311" s="817"/>
      <c r="D311" s="817"/>
      <c r="E311" s="465" t="s">
        <v>74</v>
      </c>
      <c r="F311" s="465" t="s">
        <v>86</v>
      </c>
      <c r="G311" s="343"/>
      <c r="H311" s="344"/>
      <c r="I311" s="338">
        <v>-12424.1</v>
      </c>
    </row>
    <row r="312" spans="1:9" s="339" customFormat="1" x14ac:dyDescent="0.3">
      <c r="A312" s="472" t="s">
        <v>361</v>
      </c>
      <c r="B312" s="817" t="s">
        <v>161</v>
      </c>
      <c r="C312" s="817"/>
      <c r="D312" s="817"/>
      <c r="E312" s="465" t="s">
        <v>74</v>
      </c>
      <c r="F312" s="465" t="s">
        <v>86</v>
      </c>
      <c r="G312" s="343"/>
      <c r="H312" s="344"/>
      <c r="I312" s="338">
        <v>-12452.8</v>
      </c>
    </row>
    <row r="313" spans="1:9" s="339" customFormat="1" x14ac:dyDescent="0.3">
      <c r="A313" s="472" t="s">
        <v>351</v>
      </c>
      <c r="B313" s="817" t="s">
        <v>161</v>
      </c>
      <c r="C313" s="817"/>
      <c r="D313" s="817"/>
      <c r="E313" s="465" t="s">
        <v>74</v>
      </c>
      <c r="F313" s="465" t="s">
        <v>86</v>
      </c>
      <c r="G313" s="343"/>
      <c r="H313" s="344"/>
      <c r="I313" s="338">
        <v>-11091.5</v>
      </c>
    </row>
    <row r="314" spans="1:9" s="339" customFormat="1" x14ac:dyDescent="0.3">
      <c r="A314" s="472" t="s">
        <v>352</v>
      </c>
      <c r="B314" s="817" t="s">
        <v>161</v>
      </c>
      <c r="C314" s="817"/>
      <c r="D314" s="817"/>
      <c r="E314" s="465" t="s">
        <v>74</v>
      </c>
      <c r="F314" s="465" t="s">
        <v>86</v>
      </c>
      <c r="G314" s="343"/>
      <c r="H314" s="344"/>
      <c r="I314" s="338">
        <v>-10803</v>
      </c>
    </row>
    <row r="315" spans="1:9" s="339" customFormat="1" x14ac:dyDescent="0.3">
      <c r="A315" s="472" t="s">
        <v>299</v>
      </c>
      <c r="B315" s="817" t="s">
        <v>161</v>
      </c>
      <c r="C315" s="817"/>
      <c r="D315" s="817"/>
      <c r="E315" s="465" t="s">
        <v>74</v>
      </c>
      <c r="F315" s="465" t="s">
        <v>86</v>
      </c>
      <c r="G315" s="343"/>
      <c r="H315" s="344"/>
      <c r="I315" s="338">
        <v>-1500</v>
      </c>
    </row>
    <row r="316" spans="1:9" s="339" customFormat="1" x14ac:dyDescent="0.3">
      <c r="A316" s="472" t="s">
        <v>304</v>
      </c>
      <c r="B316" s="817" t="s">
        <v>161</v>
      </c>
      <c r="C316" s="817"/>
      <c r="D316" s="817"/>
      <c r="E316" s="465" t="s">
        <v>74</v>
      </c>
      <c r="F316" s="465" t="s">
        <v>86</v>
      </c>
      <c r="G316" s="343"/>
      <c r="H316" s="344"/>
      <c r="I316" s="338">
        <v>-3590.1</v>
      </c>
    </row>
    <row r="317" spans="1:9" s="339" customFormat="1" x14ac:dyDescent="0.3">
      <c r="A317" s="472" t="s">
        <v>283</v>
      </c>
      <c r="B317" s="817" t="s">
        <v>161</v>
      </c>
      <c r="C317" s="817"/>
      <c r="D317" s="817"/>
      <c r="E317" s="465" t="s">
        <v>74</v>
      </c>
      <c r="F317" s="465" t="s">
        <v>86</v>
      </c>
      <c r="G317" s="343"/>
      <c r="H317" s="344"/>
      <c r="I317" s="338">
        <v>-5593.2</v>
      </c>
    </row>
    <row r="318" spans="1:9" s="339" customFormat="1" x14ac:dyDescent="0.3">
      <c r="A318" s="472" t="s">
        <v>268</v>
      </c>
      <c r="B318" s="817" t="s">
        <v>162</v>
      </c>
      <c r="C318" s="817"/>
      <c r="D318" s="817"/>
      <c r="E318" s="465" t="s">
        <v>87</v>
      </c>
      <c r="F318" s="465" t="s">
        <v>86</v>
      </c>
      <c r="G318" s="343"/>
      <c r="H318" s="344"/>
      <c r="I318" s="338">
        <v>-555.9</v>
      </c>
    </row>
    <row r="319" spans="1:9" s="339" customFormat="1" x14ac:dyDescent="0.3">
      <c r="A319" s="472" t="s">
        <v>272</v>
      </c>
      <c r="B319" s="817" t="s">
        <v>162</v>
      </c>
      <c r="C319" s="817"/>
      <c r="D319" s="817"/>
      <c r="E319" s="465" t="s">
        <v>87</v>
      </c>
      <c r="F319" s="465" t="s">
        <v>86</v>
      </c>
      <c r="G319" s="343"/>
      <c r="H319" s="344"/>
      <c r="I319" s="338">
        <v>-1376.2</v>
      </c>
    </row>
    <row r="320" spans="1:9" s="339" customFormat="1" x14ac:dyDescent="0.3">
      <c r="A320" s="472" t="s">
        <v>315</v>
      </c>
      <c r="B320" s="817" t="s">
        <v>162</v>
      </c>
      <c r="C320" s="817"/>
      <c r="D320" s="817"/>
      <c r="E320" s="465" t="s">
        <v>87</v>
      </c>
      <c r="F320" s="465" t="s">
        <v>86</v>
      </c>
      <c r="G320" s="343"/>
      <c r="H320" s="344"/>
      <c r="I320" s="338">
        <v>-4137.2</v>
      </c>
    </row>
    <row r="321" spans="1:9" s="339" customFormat="1" x14ac:dyDescent="0.3">
      <c r="A321" s="472" t="s">
        <v>318</v>
      </c>
      <c r="B321" s="817" t="s">
        <v>162</v>
      </c>
      <c r="C321" s="817"/>
      <c r="D321" s="817"/>
      <c r="E321" s="465" t="s">
        <v>87</v>
      </c>
      <c r="F321" s="465" t="s">
        <v>86</v>
      </c>
      <c r="G321" s="343"/>
      <c r="H321" s="344"/>
      <c r="I321" s="338">
        <v>-1638.2</v>
      </c>
    </row>
    <row r="322" spans="1:9" s="339" customFormat="1" x14ac:dyDescent="0.3">
      <c r="A322" s="472" t="s">
        <v>342</v>
      </c>
      <c r="B322" s="817" t="s">
        <v>162</v>
      </c>
      <c r="C322" s="817"/>
      <c r="D322" s="817"/>
      <c r="E322" s="465" t="s">
        <v>87</v>
      </c>
      <c r="F322" s="465" t="s">
        <v>86</v>
      </c>
      <c r="G322" s="343"/>
      <c r="H322" s="344"/>
      <c r="I322" s="338">
        <v>-1666.9</v>
      </c>
    </row>
    <row r="323" spans="1:9" s="339" customFormat="1" x14ac:dyDescent="0.3">
      <c r="A323" s="472" t="s">
        <v>285</v>
      </c>
      <c r="B323" s="817" t="s">
        <v>162</v>
      </c>
      <c r="C323" s="817"/>
      <c r="D323" s="817"/>
      <c r="E323" s="465" t="s">
        <v>87</v>
      </c>
      <c r="F323" s="465" t="s">
        <v>86</v>
      </c>
      <c r="G323" s="343"/>
      <c r="H323" s="344"/>
      <c r="I323" s="338">
        <v>-815.2</v>
      </c>
    </row>
    <row r="324" spans="1:9" s="339" customFormat="1" x14ac:dyDescent="0.3">
      <c r="A324" s="472" t="s">
        <v>288</v>
      </c>
      <c r="B324" s="817" t="s">
        <v>162</v>
      </c>
      <c r="C324" s="817"/>
      <c r="D324" s="817"/>
      <c r="E324" s="465" t="s">
        <v>87</v>
      </c>
      <c r="F324" s="465" t="s">
        <v>86</v>
      </c>
      <c r="G324" s="343"/>
      <c r="H324" s="344"/>
      <c r="I324" s="338">
        <v>-820.9</v>
      </c>
    </row>
    <row r="325" spans="1:9" s="339" customFormat="1" x14ac:dyDescent="0.3">
      <c r="A325" s="472" t="s">
        <v>294</v>
      </c>
      <c r="B325" s="817" t="s">
        <v>162</v>
      </c>
      <c r="C325" s="817"/>
      <c r="D325" s="817"/>
      <c r="E325" s="465" t="s">
        <v>87</v>
      </c>
      <c r="F325" s="465" t="s">
        <v>86</v>
      </c>
      <c r="G325" s="343"/>
      <c r="H325" s="344"/>
      <c r="I325" s="338">
        <v>-1306.3</v>
      </c>
    </row>
    <row r="326" spans="1:9" s="339" customFormat="1" x14ac:dyDescent="0.3">
      <c r="A326" s="472" t="s">
        <v>347</v>
      </c>
      <c r="B326" s="817" t="s">
        <v>162</v>
      </c>
      <c r="C326" s="817"/>
      <c r="D326" s="817"/>
      <c r="E326" s="465" t="s">
        <v>87</v>
      </c>
      <c r="F326" s="465" t="s">
        <v>86</v>
      </c>
      <c r="G326" s="343"/>
      <c r="H326" s="344"/>
      <c r="I326" s="338">
        <v>-1420.5</v>
      </c>
    </row>
    <row r="327" spans="1:9" s="339" customFormat="1" x14ac:dyDescent="0.3">
      <c r="A327" s="472" t="s">
        <v>348</v>
      </c>
      <c r="B327" s="817" t="s">
        <v>162</v>
      </c>
      <c r="C327" s="817"/>
      <c r="D327" s="817"/>
      <c r="E327" s="465" t="s">
        <v>87</v>
      </c>
      <c r="F327" s="465" t="s">
        <v>86</v>
      </c>
      <c r="G327" s="343"/>
      <c r="H327" s="344"/>
      <c r="I327" s="338">
        <v>-19204.5</v>
      </c>
    </row>
    <row r="328" spans="1:9" s="339" customFormat="1" x14ac:dyDescent="0.3">
      <c r="A328" s="472" t="s">
        <v>362</v>
      </c>
      <c r="B328" s="817" t="s">
        <v>162</v>
      </c>
      <c r="C328" s="817"/>
      <c r="D328" s="817"/>
      <c r="E328" s="465" t="s">
        <v>87</v>
      </c>
      <c r="F328" s="465" t="s">
        <v>86</v>
      </c>
      <c r="G328" s="343"/>
      <c r="H328" s="344"/>
      <c r="I328" s="338">
        <v>-1874.4</v>
      </c>
    </row>
    <row r="329" spans="1:9" s="339" customFormat="1" x14ac:dyDescent="0.3">
      <c r="A329" s="472" t="s">
        <v>353</v>
      </c>
      <c r="B329" s="817" t="s">
        <v>162</v>
      </c>
      <c r="C329" s="817"/>
      <c r="D329" s="817"/>
      <c r="E329" s="465" t="s">
        <v>87</v>
      </c>
      <c r="F329" s="465" t="s">
        <v>86</v>
      </c>
      <c r="G329" s="343"/>
      <c r="H329" s="344"/>
      <c r="I329" s="338">
        <v>-1698.6</v>
      </c>
    </row>
    <row r="330" spans="1:9" s="339" customFormat="1" x14ac:dyDescent="0.3">
      <c r="A330" s="472" t="s">
        <v>354</v>
      </c>
      <c r="B330" s="817" t="s">
        <v>162</v>
      </c>
      <c r="C330" s="817"/>
      <c r="D330" s="817"/>
      <c r="E330" s="465" t="s">
        <v>87</v>
      </c>
      <c r="F330" s="465" t="s">
        <v>86</v>
      </c>
      <c r="G330" s="343"/>
      <c r="H330" s="344"/>
      <c r="I330" s="338">
        <v>-1655.2</v>
      </c>
    </row>
    <row r="331" spans="1:9" s="339" customFormat="1" x14ac:dyDescent="0.3">
      <c r="A331" s="472" t="s">
        <v>300</v>
      </c>
      <c r="B331" s="817" t="s">
        <v>162</v>
      </c>
      <c r="C331" s="817"/>
      <c r="D331" s="817"/>
      <c r="E331" s="465" t="s">
        <v>87</v>
      </c>
      <c r="F331" s="465" t="s">
        <v>86</v>
      </c>
      <c r="G331" s="343"/>
      <c r="H331" s="344"/>
      <c r="I331" s="338">
        <v>-300</v>
      </c>
    </row>
    <row r="332" spans="1:9" s="339" customFormat="1" x14ac:dyDescent="0.3">
      <c r="A332" s="472" t="s">
        <v>303</v>
      </c>
      <c r="B332" s="817" t="s">
        <v>162</v>
      </c>
      <c r="C332" s="817"/>
      <c r="D332" s="817"/>
      <c r="E332" s="465" t="s">
        <v>87</v>
      </c>
      <c r="F332" s="465" t="s">
        <v>86</v>
      </c>
      <c r="G332" s="343"/>
      <c r="H332" s="344"/>
      <c r="I332" s="338">
        <v>-903.2</v>
      </c>
    </row>
    <row r="333" spans="1:9" s="339" customFormat="1" ht="18" customHeight="1" x14ac:dyDescent="0.3">
      <c r="A333" s="472" t="s">
        <v>424</v>
      </c>
      <c r="B333" s="817" t="s">
        <v>160</v>
      </c>
      <c r="C333" s="817"/>
      <c r="D333" s="817"/>
      <c r="E333" s="465" t="s">
        <v>74</v>
      </c>
      <c r="F333" s="465" t="s">
        <v>86</v>
      </c>
      <c r="G333" s="341"/>
      <c r="H333" s="342"/>
      <c r="I333" s="338">
        <v>-460</v>
      </c>
    </row>
    <row r="334" spans="1:9" s="339" customFormat="1" ht="18" customHeight="1" x14ac:dyDescent="0.3">
      <c r="A334" s="472" t="s">
        <v>425</v>
      </c>
      <c r="B334" s="817" t="s">
        <v>160</v>
      </c>
      <c r="C334" s="817"/>
      <c r="D334" s="817"/>
      <c r="E334" s="465" t="s">
        <v>74</v>
      </c>
      <c r="F334" s="465" t="s">
        <v>86</v>
      </c>
      <c r="G334" s="341"/>
      <c r="H334" s="342"/>
      <c r="I334" s="338">
        <v>-900</v>
      </c>
    </row>
    <row r="335" spans="1:9" s="339" customFormat="1" ht="18" customHeight="1" x14ac:dyDescent="0.3">
      <c r="A335" s="472" t="s">
        <v>426</v>
      </c>
      <c r="B335" s="817" t="s">
        <v>160</v>
      </c>
      <c r="C335" s="817"/>
      <c r="D335" s="817"/>
      <c r="E335" s="465" t="s">
        <v>74</v>
      </c>
      <c r="F335" s="465" t="s">
        <v>86</v>
      </c>
      <c r="G335" s="341"/>
      <c r="H335" s="342"/>
      <c r="I335" s="338">
        <v>-700</v>
      </c>
    </row>
    <row r="336" spans="1:9" s="329" customFormat="1" ht="54.9" customHeight="1" x14ac:dyDescent="0.3">
      <c r="A336" s="67" t="s">
        <v>446</v>
      </c>
      <c r="B336" s="825" t="s">
        <v>454</v>
      </c>
      <c r="C336" s="825"/>
      <c r="D336" s="825"/>
      <c r="E336" s="825"/>
      <c r="F336" s="825"/>
      <c r="G336" s="825"/>
      <c r="H336" s="825"/>
      <c r="I336" s="328">
        <f>+I337+I339</f>
        <v>-160815.1</v>
      </c>
    </row>
    <row r="337" spans="1:9" s="31" customFormat="1" ht="21" customHeight="1" x14ac:dyDescent="0.3">
      <c r="A337" s="330"/>
      <c r="B337" s="819" t="s">
        <v>75</v>
      </c>
      <c r="C337" s="820"/>
      <c r="D337" s="821"/>
      <c r="E337" s="331"/>
      <c r="F337" s="331"/>
      <c r="G337" s="331"/>
      <c r="H337" s="332"/>
      <c r="I337" s="333">
        <f>+I338</f>
        <v>-120764.3</v>
      </c>
    </row>
    <row r="338" spans="1:9" s="339" customFormat="1" ht="18" customHeight="1" x14ac:dyDescent="0.3">
      <c r="A338" s="472" t="s">
        <v>263</v>
      </c>
      <c r="B338" s="817" t="s">
        <v>445</v>
      </c>
      <c r="C338" s="817"/>
      <c r="D338" s="817"/>
      <c r="E338" s="465" t="s">
        <v>261</v>
      </c>
      <c r="F338" s="465" t="s">
        <v>76</v>
      </c>
      <c r="G338" s="341"/>
      <c r="H338" s="342"/>
      <c r="I338" s="338">
        <v>-120764.3</v>
      </c>
    </row>
    <row r="339" spans="1:9" s="339" customFormat="1" ht="21" customHeight="1" x14ac:dyDescent="0.3">
      <c r="A339" s="472"/>
      <c r="B339" s="819" t="s">
        <v>78</v>
      </c>
      <c r="C339" s="820"/>
      <c r="D339" s="821"/>
      <c r="E339" s="331" t="s">
        <v>77</v>
      </c>
      <c r="F339" s="331" t="s">
        <v>77</v>
      </c>
      <c r="G339" s="331" t="s">
        <v>77</v>
      </c>
      <c r="H339" s="340"/>
      <c r="I339" s="333">
        <f>SUM(I340:I343)</f>
        <v>-40050.800000000003</v>
      </c>
    </row>
    <row r="340" spans="1:9" s="339" customFormat="1" x14ac:dyDescent="0.3">
      <c r="A340" s="472" t="s">
        <v>158</v>
      </c>
      <c r="B340" s="817" t="s">
        <v>161</v>
      </c>
      <c r="C340" s="817"/>
      <c r="D340" s="817"/>
      <c r="E340" s="465" t="s">
        <v>74</v>
      </c>
      <c r="F340" s="465" t="s">
        <v>86</v>
      </c>
      <c r="G340" s="341"/>
      <c r="H340" s="342"/>
      <c r="I340" s="338">
        <v>-4758.2</v>
      </c>
    </row>
    <row r="341" spans="1:9" s="339" customFormat="1" x14ac:dyDescent="0.3">
      <c r="A341" s="472" t="s">
        <v>159</v>
      </c>
      <c r="B341" s="817" t="s">
        <v>162</v>
      </c>
      <c r="C341" s="817"/>
      <c r="D341" s="817"/>
      <c r="E341" s="465" t="s">
        <v>87</v>
      </c>
      <c r="F341" s="465" t="s">
        <v>86</v>
      </c>
      <c r="G341" s="343"/>
      <c r="H341" s="344"/>
      <c r="I341" s="338">
        <v>-1272.5999999999999</v>
      </c>
    </row>
    <row r="342" spans="1:9" s="339" customFormat="1" x14ac:dyDescent="0.3">
      <c r="A342" s="472" t="s">
        <v>447</v>
      </c>
      <c r="B342" s="817" t="s">
        <v>387</v>
      </c>
      <c r="C342" s="817"/>
      <c r="D342" s="817"/>
      <c r="E342" s="465" t="s">
        <v>448</v>
      </c>
      <c r="F342" s="465" t="s">
        <v>86</v>
      </c>
      <c r="G342" s="341">
        <v>32400000</v>
      </c>
      <c r="H342" s="342">
        <v>-1</v>
      </c>
      <c r="I342" s="338">
        <f t="shared" ref="I342:I343" si="15">+ROUND(H342*G342/1000,1)</f>
        <v>-32400</v>
      </c>
    </row>
    <row r="343" spans="1:9" s="339" customFormat="1" ht="18" customHeight="1" x14ac:dyDescent="0.3">
      <c r="A343" s="472" t="s">
        <v>275</v>
      </c>
      <c r="B343" s="817" t="s">
        <v>160</v>
      </c>
      <c r="C343" s="817"/>
      <c r="D343" s="817"/>
      <c r="E343" s="465" t="s">
        <v>74</v>
      </c>
      <c r="F343" s="465" t="s">
        <v>86</v>
      </c>
      <c r="G343" s="341">
        <v>1620000</v>
      </c>
      <c r="H343" s="342">
        <v>-1</v>
      </c>
      <c r="I343" s="338">
        <f t="shared" si="15"/>
        <v>-1620</v>
      </c>
    </row>
    <row r="344" spans="1:9" s="329" customFormat="1" ht="54.9" customHeight="1" x14ac:dyDescent="0.3">
      <c r="A344" s="67" t="s">
        <v>456</v>
      </c>
      <c r="B344" s="825" t="s">
        <v>455</v>
      </c>
      <c r="C344" s="825"/>
      <c r="D344" s="825"/>
      <c r="E344" s="825"/>
      <c r="F344" s="825"/>
      <c r="G344" s="825"/>
      <c r="H344" s="825"/>
      <c r="I344" s="328">
        <f>+I345+I347</f>
        <v>-158105.90000000002</v>
      </c>
    </row>
    <row r="345" spans="1:9" s="31" customFormat="1" ht="21" customHeight="1" x14ac:dyDescent="0.3">
      <c r="A345" s="330"/>
      <c r="B345" s="819" t="s">
        <v>75</v>
      </c>
      <c r="C345" s="820"/>
      <c r="D345" s="821"/>
      <c r="E345" s="331"/>
      <c r="F345" s="331"/>
      <c r="G345" s="331"/>
      <c r="H345" s="332"/>
      <c r="I345" s="333">
        <f>+I346</f>
        <v>-87074.2</v>
      </c>
    </row>
    <row r="346" spans="1:9" s="339" customFormat="1" ht="18" customHeight="1" x14ac:dyDescent="0.3">
      <c r="A346" s="472" t="s">
        <v>457</v>
      </c>
      <c r="B346" s="817" t="s">
        <v>458</v>
      </c>
      <c r="C346" s="817"/>
      <c r="D346" s="817"/>
      <c r="E346" s="465" t="s">
        <v>257</v>
      </c>
      <c r="F346" s="465" t="s">
        <v>76</v>
      </c>
      <c r="G346" s="341"/>
      <c r="H346" s="342"/>
      <c r="I346" s="338">
        <v>-87074.2</v>
      </c>
    </row>
    <row r="347" spans="1:9" s="339" customFormat="1" ht="21" customHeight="1" x14ac:dyDescent="0.3">
      <c r="A347" s="472"/>
      <c r="B347" s="819" t="s">
        <v>78</v>
      </c>
      <c r="C347" s="820"/>
      <c r="D347" s="821"/>
      <c r="E347" s="331" t="s">
        <v>77</v>
      </c>
      <c r="F347" s="331" t="s">
        <v>77</v>
      </c>
      <c r="G347" s="331" t="s">
        <v>77</v>
      </c>
      <c r="H347" s="340"/>
      <c r="I347" s="333">
        <f>SUM(I348:I353)</f>
        <v>-71031.700000000012</v>
      </c>
    </row>
    <row r="348" spans="1:9" s="339" customFormat="1" x14ac:dyDescent="0.3">
      <c r="A348" s="472" t="s">
        <v>158</v>
      </c>
      <c r="B348" s="817" t="s">
        <v>161</v>
      </c>
      <c r="C348" s="817"/>
      <c r="D348" s="817"/>
      <c r="E348" s="465" t="s">
        <v>74</v>
      </c>
      <c r="F348" s="465" t="s">
        <v>86</v>
      </c>
      <c r="G348" s="341"/>
      <c r="H348" s="342"/>
      <c r="I348" s="338">
        <v>-5246.5</v>
      </c>
    </row>
    <row r="349" spans="1:9" s="339" customFormat="1" x14ac:dyDescent="0.3">
      <c r="A349" s="472" t="s">
        <v>159</v>
      </c>
      <c r="B349" s="817" t="s">
        <v>162</v>
      </c>
      <c r="C349" s="817"/>
      <c r="D349" s="817"/>
      <c r="E349" s="465" t="s">
        <v>87</v>
      </c>
      <c r="F349" s="465" t="s">
        <v>86</v>
      </c>
      <c r="G349" s="343"/>
      <c r="H349" s="344"/>
      <c r="I349" s="338">
        <v>-990.3</v>
      </c>
    </row>
    <row r="350" spans="1:9" s="339" customFormat="1" x14ac:dyDescent="0.3">
      <c r="A350" s="472" t="s">
        <v>273</v>
      </c>
      <c r="B350" s="817" t="s">
        <v>387</v>
      </c>
      <c r="C350" s="817"/>
      <c r="D350" s="817"/>
      <c r="E350" s="465" t="s">
        <v>74</v>
      </c>
      <c r="F350" s="465" t="s">
        <v>86</v>
      </c>
      <c r="G350" s="341">
        <v>38961300</v>
      </c>
      <c r="H350" s="342">
        <v>-1</v>
      </c>
      <c r="I350" s="338">
        <f t="shared" ref="I350:I352" si="16">+ROUND(H350*G350/1000,1)</f>
        <v>-38961.300000000003</v>
      </c>
    </row>
    <row r="351" spans="1:9" s="339" customFormat="1" x14ac:dyDescent="0.3">
      <c r="A351" s="472" t="s">
        <v>295</v>
      </c>
      <c r="B351" s="817" t="s">
        <v>387</v>
      </c>
      <c r="C351" s="817"/>
      <c r="D351" s="817"/>
      <c r="E351" s="465" t="s">
        <v>74</v>
      </c>
      <c r="F351" s="465" t="s">
        <v>86</v>
      </c>
      <c r="G351" s="341">
        <v>22533500</v>
      </c>
      <c r="H351" s="342">
        <v>-1</v>
      </c>
      <c r="I351" s="338">
        <f t="shared" ref="I351" si="17">+ROUND(H351*G351/1000,1)</f>
        <v>-22533.5</v>
      </c>
    </row>
    <row r="352" spans="1:9" s="339" customFormat="1" ht="18" customHeight="1" x14ac:dyDescent="0.3">
      <c r="A352" s="472" t="s">
        <v>275</v>
      </c>
      <c r="B352" s="817" t="s">
        <v>160</v>
      </c>
      <c r="C352" s="817"/>
      <c r="D352" s="817"/>
      <c r="E352" s="465" t="s">
        <v>74</v>
      </c>
      <c r="F352" s="465" t="s">
        <v>86</v>
      </c>
      <c r="G352" s="341">
        <v>1948100</v>
      </c>
      <c r="H352" s="342">
        <v>-1</v>
      </c>
      <c r="I352" s="338">
        <f t="shared" si="16"/>
        <v>-1948.1</v>
      </c>
    </row>
    <row r="353" spans="1:10" s="339" customFormat="1" ht="18" customHeight="1" x14ac:dyDescent="0.3">
      <c r="A353" s="472" t="s">
        <v>554</v>
      </c>
      <c r="B353" s="817" t="s">
        <v>160</v>
      </c>
      <c r="C353" s="817"/>
      <c r="D353" s="817"/>
      <c r="E353" s="465" t="s">
        <v>74</v>
      </c>
      <c r="F353" s="465" t="s">
        <v>86</v>
      </c>
      <c r="G353" s="341">
        <v>1352000</v>
      </c>
      <c r="H353" s="342">
        <v>-1</v>
      </c>
      <c r="I353" s="338">
        <f t="shared" ref="I353" si="18">+ROUND(H353*G353/1000,1)</f>
        <v>-1352</v>
      </c>
    </row>
    <row r="354" spans="1:10" s="329" customFormat="1" ht="54.9" customHeight="1" x14ac:dyDescent="0.3">
      <c r="A354" s="67" t="s">
        <v>310</v>
      </c>
      <c r="B354" s="825" t="s">
        <v>311</v>
      </c>
      <c r="C354" s="825"/>
      <c r="D354" s="825"/>
      <c r="E354" s="825"/>
      <c r="F354" s="825"/>
      <c r="G354" s="825"/>
      <c r="H354" s="825"/>
      <c r="I354" s="328">
        <f>+I355+I363</f>
        <v>-2800355</v>
      </c>
      <c r="J354" s="400"/>
    </row>
    <row r="355" spans="1:10" s="31" customFormat="1" ht="21" customHeight="1" x14ac:dyDescent="0.3">
      <c r="A355" s="330"/>
      <c r="B355" s="819" t="s">
        <v>75</v>
      </c>
      <c r="C355" s="820"/>
      <c r="D355" s="821"/>
      <c r="E355" s="331"/>
      <c r="F355" s="331"/>
      <c r="G355" s="331"/>
      <c r="H355" s="332"/>
      <c r="I355" s="333">
        <f>SUM(I356:I362)</f>
        <v>-1993182.3</v>
      </c>
    </row>
    <row r="356" spans="1:10" s="339" customFormat="1" ht="17.55" customHeight="1" x14ac:dyDescent="0.3">
      <c r="A356" s="472" t="s">
        <v>263</v>
      </c>
      <c r="B356" s="817" t="s">
        <v>264</v>
      </c>
      <c r="C356" s="817"/>
      <c r="D356" s="817"/>
      <c r="E356" s="465" t="s">
        <v>261</v>
      </c>
      <c r="F356" s="465" t="s">
        <v>76</v>
      </c>
      <c r="G356" s="341">
        <v>429126800</v>
      </c>
      <c r="H356" s="342">
        <v>-1</v>
      </c>
      <c r="I356" s="338">
        <f t="shared" ref="I356" si="19">+ROUND(H356*G356/1000,1)</f>
        <v>-429126.8</v>
      </c>
    </row>
    <row r="357" spans="1:10" s="339" customFormat="1" ht="17.55" customHeight="1" x14ac:dyDescent="0.3">
      <c r="A357" s="472" t="s">
        <v>270</v>
      </c>
      <c r="B357" s="817" t="s">
        <v>264</v>
      </c>
      <c r="C357" s="817"/>
      <c r="D357" s="817"/>
      <c r="E357" s="465" t="s">
        <v>261</v>
      </c>
      <c r="F357" s="465" t="s">
        <v>76</v>
      </c>
      <c r="G357" s="341">
        <v>428618300</v>
      </c>
      <c r="H357" s="342">
        <v>-1</v>
      </c>
      <c r="I357" s="338">
        <f t="shared" ref="I357" si="20">+ROUND(H357*G357/1000,1)</f>
        <v>-428618.3</v>
      </c>
    </row>
    <row r="358" spans="1:10" s="339" customFormat="1" ht="17.55" customHeight="1" x14ac:dyDescent="0.3">
      <c r="A358" s="472" t="s">
        <v>317</v>
      </c>
      <c r="B358" s="817" t="s">
        <v>264</v>
      </c>
      <c r="C358" s="817"/>
      <c r="D358" s="817"/>
      <c r="E358" s="465" t="s">
        <v>261</v>
      </c>
      <c r="F358" s="465" t="s">
        <v>76</v>
      </c>
      <c r="G358" s="341">
        <v>150000000</v>
      </c>
      <c r="H358" s="342">
        <v>-1</v>
      </c>
      <c r="I358" s="338">
        <f t="shared" ref="I358" si="21">+ROUND(H358*G358/1000,1)</f>
        <v>-150000</v>
      </c>
    </row>
    <row r="359" spans="1:10" s="339" customFormat="1" ht="17.55" customHeight="1" x14ac:dyDescent="0.3">
      <c r="A359" s="472" t="s">
        <v>343</v>
      </c>
      <c r="B359" s="817" t="s">
        <v>264</v>
      </c>
      <c r="C359" s="817"/>
      <c r="D359" s="817"/>
      <c r="E359" s="465" t="s">
        <v>261</v>
      </c>
      <c r="F359" s="465" t="s">
        <v>76</v>
      </c>
      <c r="G359" s="341"/>
      <c r="H359" s="342"/>
      <c r="I359" s="338">
        <v>-409804.9</v>
      </c>
    </row>
    <row r="360" spans="1:10" s="339" customFormat="1" ht="17.55" customHeight="1" x14ac:dyDescent="0.3">
      <c r="A360" s="472" t="s">
        <v>321</v>
      </c>
      <c r="B360" s="817" t="s">
        <v>264</v>
      </c>
      <c r="C360" s="817"/>
      <c r="D360" s="817"/>
      <c r="E360" s="465" t="s">
        <v>261</v>
      </c>
      <c r="F360" s="465" t="s">
        <v>76</v>
      </c>
      <c r="G360" s="341">
        <v>150000000</v>
      </c>
      <c r="H360" s="342">
        <v>-1</v>
      </c>
      <c r="I360" s="338">
        <f t="shared" ref="I360" si="22">+ROUND(H360*G360/1000,1)</f>
        <v>-150000</v>
      </c>
    </row>
    <row r="361" spans="1:10" s="339" customFormat="1" ht="17.55" customHeight="1" x14ac:dyDescent="0.3">
      <c r="A361" s="472" t="s">
        <v>289</v>
      </c>
      <c r="B361" s="817" t="s">
        <v>264</v>
      </c>
      <c r="C361" s="817"/>
      <c r="D361" s="817"/>
      <c r="E361" s="465" t="s">
        <v>261</v>
      </c>
      <c r="F361" s="465" t="s">
        <v>76</v>
      </c>
      <c r="G361" s="341">
        <v>275632300</v>
      </c>
      <c r="H361" s="342">
        <v>-1</v>
      </c>
      <c r="I361" s="338">
        <f t="shared" ref="I361:I362" si="23">+ROUND(H361*G361/1000,1)</f>
        <v>-275632.3</v>
      </c>
    </row>
    <row r="362" spans="1:10" s="339" customFormat="1" ht="17.55" customHeight="1" x14ac:dyDescent="0.3">
      <c r="A362" s="472" t="s">
        <v>293</v>
      </c>
      <c r="B362" s="817" t="s">
        <v>264</v>
      </c>
      <c r="C362" s="817"/>
      <c r="D362" s="817"/>
      <c r="E362" s="465" t="s">
        <v>261</v>
      </c>
      <c r="F362" s="465" t="s">
        <v>76</v>
      </c>
      <c r="G362" s="341">
        <v>150000000</v>
      </c>
      <c r="H362" s="342">
        <v>-1</v>
      </c>
      <c r="I362" s="338">
        <f t="shared" si="23"/>
        <v>-150000</v>
      </c>
    </row>
    <row r="363" spans="1:10" s="339" customFormat="1" ht="21" customHeight="1" x14ac:dyDescent="0.3">
      <c r="A363" s="472"/>
      <c r="B363" s="819" t="s">
        <v>78</v>
      </c>
      <c r="C363" s="820"/>
      <c r="D363" s="821"/>
      <c r="E363" s="331" t="s">
        <v>77</v>
      </c>
      <c r="F363" s="331" t="s">
        <v>77</v>
      </c>
      <c r="G363" s="331" t="s">
        <v>77</v>
      </c>
      <c r="H363" s="340"/>
      <c r="I363" s="333">
        <f>SUM(I364:I495)</f>
        <v>-807172.7</v>
      </c>
    </row>
    <row r="364" spans="1:10" s="339" customFormat="1" x14ac:dyDescent="0.3">
      <c r="A364" s="472" t="s">
        <v>158</v>
      </c>
      <c r="B364" s="817" t="s">
        <v>161</v>
      </c>
      <c r="C364" s="817"/>
      <c r="D364" s="817"/>
      <c r="E364" s="465" t="s">
        <v>74</v>
      </c>
      <c r="F364" s="465" t="s">
        <v>86</v>
      </c>
      <c r="G364" s="341">
        <v>12873800</v>
      </c>
      <c r="H364" s="342">
        <v>-1</v>
      </c>
      <c r="I364" s="338">
        <f t="shared" ref="I364" si="24">+ROUND(H364*G364/1000,1)</f>
        <v>-12873.8</v>
      </c>
    </row>
    <row r="365" spans="1:10" s="339" customFormat="1" x14ac:dyDescent="0.3">
      <c r="A365" s="472" t="s">
        <v>271</v>
      </c>
      <c r="B365" s="817" t="s">
        <v>161</v>
      </c>
      <c r="C365" s="817"/>
      <c r="D365" s="817"/>
      <c r="E365" s="465" t="s">
        <v>74</v>
      </c>
      <c r="F365" s="465" t="s">
        <v>86</v>
      </c>
      <c r="G365" s="341">
        <v>12858500</v>
      </c>
      <c r="H365" s="342">
        <v>-1</v>
      </c>
      <c r="I365" s="338">
        <f t="shared" ref="I365" si="25">+ROUND(H365*G365/1000,1)</f>
        <v>-12858.5</v>
      </c>
    </row>
    <row r="366" spans="1:10" s="339" customFormat="1" x14ac:dyDescent="0.3">
      <c r="A366" s="472" t="s">
        <v>314</v>
      </c>
      <c r="B366" s="817" t="s">
        <v>161</v>
      </c>
      <c r="C366" s="817"/>
      <c r="D366" s="817"/>
      <c r="E366" s="465" t="s">
        <v>74</v>
      </c>
      <c r="F366" s="465" t="s">
        <v>86</v>
      </c>
      <c r="G366" s="341"/>
      <c r="H366" s="342"/>
      <c r="I366" s="338">
        <v>-5950</v>
      </c>
    </row>
    <row r="367" spans="1:10" s="339" customFormat="1" x14ac:dyDescent="0.3">
      <c r="A367" s="472" t="s">
        <v>319</v>
      </c>
      <c r="B367" s="817" t="s">
        <v>161</v>
      </c>
      <c r="C367" s="817"/>
      <c r="D367" s="817"/>
      <c r="E367" s="465" t="s">
        <v>74</v>
      </c>
      <c r="F367" s="465" t="s">
        <v>86</v>
      </c>
      <c r="G367" s="341">
        <v>4500000</v>
      </c>
      <c r="H367" s="342">
        <v>-1</v>
      </c>
      <c r="I367" s="338">
        <f t="shared" ref="I367" si="26">+ROUND(H367*G367/1000,1)</f>
        <v>-4500</v>
      </c>
    </row>
    <row r="368" spans="1:10" s="339" customFormat="1" x14ac:dyDescent="0.3">
      <c r="A368" s="472" t="s">
        <v>330</v>
      </c>
      <c r="B368" s="817" t="s">
        <v>161</v>
      </c>
      <c r="C368" s="817"/>
      <c r="D368" s="817"/>
      <c r="E368" s="465" t="s">
        <v>74</v>
      </c>
      <c r="F368" s="465" t="s">
        <v>86</v>
      </c>
      <c r="G368" s="341"/>
      <c r="H368" s="342"/>
      <c r="I368" s="338">
        <v>-11715.6</v>
      </c>
    </row>
    <row r="369" spans="1:9" s="339" customFormat="1" x14ac:dyDescent="0.3">
      <c r="A369" s="472" t="s">
        <v>322</v>
      </c>
      <c r="B369" s="817" t="s">
        <v>161</v>
      </c>
      <c r="C369" s="817"/>
      <c r="D369" s="817"/>
      <c r="E369" s="465" t="s">
        <v>74</v>
      </c>
      <c r="F369" s="465" t="s">
        <v>86</v>
      </c>
      <c r="G369" s="341">
        <v>4500000</v>
      </c>
      <c r="H369" s="342">
        <v>-1</v>
      </c>
      <c r="I369" s="338">
        <f t="shared" ref="I369" si="27">+ROUND(H369*G369/1000,1)</f>
        <v>-4500</v>
      </c>
    </row>
    <row r="370" spans="1:9" s="339" customFormat="1" x14ac:dyDescent="0.3">
      <c r="A370" s="472" t="s">
        <v>290</v>
      </c>
      <c r="B370" s="817" t="s">
        <v>161</v>
      </c>
      <c r="C370" s="817"/>
      <c r="D370" s="817"/>
      <c r="E370" s="465" t="s">
        <v>74</v>
      </c>
      <c r="F370" s="465" t="s">
        <v>86</v>
      </c>
      <c r="G370" s="341">
        <v>8269000</v>
      </c>
      <c r="H370" s="342">
        <v>-1</v>
      </c>
      <c r="I370" s="338">
        <f t="shared" ref="I370:I371" si="28">+ROUND(H370*G370/1000,1)</f>
        <v>-8269</v>
      </c>
    </row>
    <row r="371" spans="1:9" s="339" customFormat="1" x14ac:dyDescent="0.3">
      <c r="A371" s="472" t="s">
        <v>292</v>
      </c>
      <c r="B371" s="817" t="s">
        <v>161</v>
      </c>
      <c r="C371" s="817"/>
      <c r="D371" s="817"/>
      <c r="E371" s="465" t="s">
        <v>74</v>
      </c>
      <c r="F371" s="465" t="s">
        <v>86</v>
      </c>
      <c r="G371" s="341">
        <v>4500000</v>
      </c>
      <c r="H371" s="342">
        <v>-1</v>
      </c>
      <c r="I371" s="338">
        <f t="shared" si="28"/>
        <v>-4500</v>
      </c>
    </row>
    <row r="372" spans="1:9" s="339" customFormat="1" x14ac:dyDescent="0.3">
      <c r="A372" s="472" t="s">
        <v>159</v>
      </c>
      <c r="B372" s="817" t="s">
        <v>162</v>
      </c>
      <c r="C372" s="817"/>
      <c r="D372" s="817"/>
      <c r="E372" s="465" t="s">
        <v>87</v>
      </c>
      <c r="F372" s="465" t="s">
        <v>86</v>
      </c>
      <c r="G372" s="343">
        <v>2574800</v>
      </c>
      <c r="H372" s="342">
        <v>-1</v>
      </c>
      <c r="I372" s="338">
        <f t="shared" ref="I372" si="29">+ROUND(H372*G372/1000,1)</f>
        <v>-2574.8000000000002</v>
      </c>
    </row>
    <row r="373" spans="1:9" s="339" customFormat="1" x14ac:dyDescent="0.3">
      <c r="A373" s="472" t="s">
        <v>272</v>
      </c>
      <c r="B373" s="817" t="s">
        <v>162</v>
      </c>
      <c r="C373" s="817"/>
      <c r="D373" s="817"/>
      <c r="E373" s="465" t="s">
        <v>87</v>
      </c>
      <c r="F373" s="465" t="s">
        <v>86</v>
      </c>
      <c r="G373" s="343">
        <v>2571700</v>
      </c>
      <c r="H373" s="342">
        <v>-1</v>
      </c>
      <c r="I373" s="338">
        <f t="shared" ref="I373" si="30">+ROUND(H373*G373/1000,1)</f>
        <v>-2571.6999999999998</v>
      </c>
    </row>
    <row r="374" spans="1:9" s="339" customFormat="1" x14ac:dyDescent="0.3">
      <c r="A374" s="472" t="s">
        <v>315</v>
      </c>
      <c r="B374" s="817" t="s">
        <v>162</v>
      </c>
      <c r="C374" s="817"/>
      <c r="D374" s="817"/>
      <c r="E374" s="465" t="s">
        <v>87</v>
      </c>
      <c r="F374" s="465" t="s">
        <v>86</v>
      </c>
      <c r="G374" s="343"/>
      <c r="H374" s="344"/>
      <c r="I374" s="338">
        <v>-1180</v>
      </c>
    </row>
    <row r="375" spans="1:9" s="339" customFormat="1" x14ac:dyDescent="0.3">
      <c r="A375" s="472" t="s">
        <v>318</v>
      </c>
      <c r="B375" s="817" t="s">
        <v>162</v>
      </c>
      <c r="C375" s="817"/>
      <c r="D375" s="817"/>
      <c r="E375" s="465" t="s">
        <v>87</v>
      </c>
      <c r="F375" s="465" t="s">
        <v>86</v>
      </c>
      <c r="G375" s="343">
        <v>900000</v>
      </c>
      <c r="H375" s="342">
        <v>-1</v>
      </c>
      <c r="I375" s="338">
        <f t="shared" ref="I375" si="31">+ROUND(H375*G375/1000,1)</f>
        <v>-900</v>
      </c>
    </row>
    <row r="376" spans="1:9" s="339" customFormat="1" x14ac:dyDescent="0.3">
      <c r="A376" s="472" t="s">
        <v>342</v>
      </c>
      <c r="B376" s="817" t="s">
        <v>162</v>
      </c>
      <c r="C376" s="817"/>
      <c r="D376" s="817"/>
      <c r="E376" s="465" t="s">
        <v>87</v>
      </c>
      <c r="F376" s="465" t="s">
        <v>86</v>
      </c>
      <c r="G376" s="343"/>
      <c r="H376" s="342"/>
      <c r="I376" s="338">
        <v>-2325.5</v>
      </c>
    </row>
    <row r="377" spans="1:9" s="339" customFormat="1" x14ac:dyDescent="0.3">
      <c r="A377" s="472" t="s">
        <v>285</v>
      </c>
      <c r="B377" s="817" t="s">
        <v>162</v>
      </c>
      <c r="C377" s="817"/>
      <c r="D377" s="817"/>
      <c r="E377" s="465" t="s">
        <v>87</v>
      </c>
      <c r="F377" s="465" t="s">
        <v>86</v>
      </c>
      <c r="G377" s="343">
        <v>900000</v>
      </c>
      <c r="H377" s="342">
        <v>-1</v>
      </c>
      <c r="I377" s="338">
        <f t="shared" ref="I377" si="32">+ROUND(H377*G377/1000,1)</f>
        <v>-900</v>
      </c>
    </row>
    <row r="378" spans="1:9" s="339" customFormat="1" x14ac:dyDescent="0.3">
      <c r="A378" s="472" t="s">
        <v>288</v>
      </c>
      <c r="B378" s="817" t="s">
        <v>162</v>
      </c>
      <c r="C378" s="817"/>
      <c r="D378" s="817"/>
      <c r="E378" s="465" t="s">
        <v>87</v>
      </c>
      <c r="F378" s="465" t="s">
        <v>86</v>
      </c>
      <c r="G378" s="343">
        <v>1653800</v>
      </c>
      <c r="H378" s="342">
        <v>-1</v>
      </c>
      <c r="I378" s="338">
        <f t="shared" ref="I378:I379" si="33">+ROUND(H378*G378/1000,1)</f>
        <v>-1653.8</v>
      </c>
    </row>
    <row r="379" spans="1:9" s="339" customFormat="1" x14ac:dyDescent="0.3">
      <c r="A379" s="472" t="s">
        <v>294</v>
      </c>
      <c r="B379" s="817" t="s">
        <v>162</v>
      </c>
      <c r="C379" s="817"/>
      <c r="D379" s="817"/>
      <c r="E379" s="465" t="s">
        <v>87</v>
      </c>
      <c r="F379" s="465" t="s">
        <v>86</v>
      </c>
      <c r="G379" s="343">
        <v>900000</v>
      </c>
      <c r="H379" s="342">
        <v>-1</v>
      </c>
      <c r="I379" s="338">
        <f t="shared" si="33"/>
        <v>-900</v>
      </c>
    </row>
    <row r="380" spans="1:9" s="339" customFormat="1" x14ac:dyDescent="0.3">
      <c r="A380" s="472" t="s">
        <v>626</v>
      </c>
      <c r="B380" s="817" t="s">
        <v>274</v>
      </c>
      <c r="C380" s="817"/>
      <c r="D380" s="817"/>
      <c r="E380" s="465" t="s">
        <v>74</v>
      </c>
      <c r="F380" s="465" t="s">
        <v>86</v>
      </c>
      <c r="G380" s="341">
        <v>20000000</v>
      </c>
      <c r="H380" s="342">
        <v>-1</v>
      </c>
      <c r="I380" s="338">
        <f t="shared" ref="I380:I438" si="34">+ROUND(H380*G380/1000,1)</f>
        <v>-20000</v>
      </c>
    </row>
    <row r="381" spans="1:9" s="339" customFormat="1" x14ac:dyDescent="0.3">
      <c r="A381" s="472" t="s">
        <v>628</v>
      </c>
      <c r="B381" s="817" t="s">
        <v>274</v>
      </c>
      <c r="C381" s="817"/>
      <c r="D381" s="817"/>
      <c r="E381" s="465" t="s">
        <v>74</v>
      </c>
      <c r="F381" s="465" t="s">
        <v>86</v>
      </c>
      <c r="G381" s="341">
        <v>11000000</v>
      </c>
      <c r="H381" s="342">
        <v>-1</v>
      </c>
      <c r="I381" s="338">
        <f t="shared" ref="I381:I388" si="35">+ROUND(H381*G381/1000,1)</f>
        <v>-11000</v>
      </c>
    </row>
    <row r="382" spans="1:9" s="339" customFormat="1" x14ac:dyDescent="0.3">
      <c r="A382" s="472" t="s">
        <v>629</v>
      </c>
      <c r="B382" s="817" t="s">
        <v>274</v>
      </c>
      <c r="C382" s="817"/>
      <c r="D382" s="817"/>
      <c r="E382" s="465" t="s">
        <v>74</v>
      </c>
      <c r="F382" s="465" t="s">
        <v>86</v>
      </c>
      <c r="G382" s="341">
        <v>11000000</v>
      </c>
      <c r="H382" s="342">
        <v>-1</v>
      </c>
      <c r="I382" s="338">
        <f t="shared" ref="I382" si="36">+ROUND(H382*G382/1000,1)</f>
        <v>-11000</v>
      </c>
    </row>
    <row r="383" spans="1:9" s="339" customFormat="1" x14ac:dyDescent="0.3">
      <c r="A383" s="472" t="s">
        <v>630</v>
      </c>
      <c r="B383" s="817" t="s">
        <v>274</v>
      </c>
      <c r="C383" s="817"/>
      <c r="D383" s="817"/>
      <c r="E383" s="465" t="s">
        <v>74</v>
      </c>
      <c r="F383" s="465" t="s">
        <v>86</v>
      </c>
      <c r="G383" s="341">
        <v>9000000</v>
      </c>
      <c r="H383" s="342">
        <v>-1</v>
      </c>
      <c r="I383" s="338">
        <f t="shared" si="35"/>
        <v>-9000</v>
      </c>
    </row>
    <row r="384" spans="1:9" s="339" customFormat="1" x14ac:dyDescent="0.3">
      <c r="A384" s="472" t="s">
        <v>631</v>
      </c>
      <c r="B384" s="817" t="s">
        <v>274</v>
      </c>
      <c r="C384" s="817"/>
      <c r="D384" s="817"/>
      <c r="E384" s="465" t="s">
        <v>74</v>
      </c>
      <c r="F384" s="465" t="s">
        <v>86</v>
      </c>
      <c r="G384" s="341">
        <v>20000000</v>
      </c>
      <c r="H384" s="342">
        <v>-1</v>
      </c>
      <c r="I384" s="338">
        <f t="shared" si="35"/>
        <v>-20000</v>
      </c>
    </row>
    <row r="385" spans="1:9" s="339" customFormat="1" x14ac:dyDescent="0.3">
      <c r="A385" s="472" t="s">
        <v>632</v>
      </c>
      <c r="B385" s="817" t="s">
        <v>274</v>
      </c>
      <c r="C385" s="817"/>
      <c r="D385" s="817"/>
      <c r="E385" s="465" t="s">
        <v>74</v>
      </c>
      <c r="F385" s="465" t="s">
        <v>86</v>
      </c>
      <c r="G385" s="341">
        <v>9000000</v>
      </c>
      <c r="H385" s="342">
        <v>-1</v>
      </c>
      <c r="I385" s="338">
        <f t="shared" si="35"/>
        <v>-9000</v>
      </c>
    </row>
    <row r="386" spans="1:9" s="339" customFormat="1" x14ac:dyDescent="0.3">
      <c r="A386" s="472" t="s">
        <v>633</v>
      </c>
      <c r="B386" s="817" t="s">
        <v>274</v>
      </c>
      <c r="C386" s="817"/>
      <c r="D386" s="817"/>
      <c r="E386" s="465" t="s">
        <v>74</v>
      </c>
      <c r="F386" s="465" t="s">
        <v>86</v>
      </c>
      <c r="G386" s="341">
        <v>13000000</v>
      </c>
      <c r="H386" s="342">
        <v>-1</v>
      </c>
      <c r="I386" s="338">
        <f t="shared" si="35"/>
        <v>-13000</v>
      </c>
    </row>
    <row r="387" spans="1:9" s="339" customFormat="1" x14ac:dyDescent="0.3">
      <c r="A387" s="472" t="s">
        <v>634</v>
      </c>
      <c r="B387" s="817" t="s">
        <v>274</v>
      </c>
      <c r="C387" s="817"/>
      <c r="D387" s="817"/>
      <c r="E387" s="465" t="s">
        <v>74</v>
      </c>
      <c r="F387" s="465" t="s">
        <v>86</v>
      </c>
      <c r="G387" s="341">
        <v>11000000</v>
      </c>
      <c r="H387" s="342">
        <v>-1</v>
      </c>
      <c r="I387" s="338">
        <f t="shared" si="35"/>
        <v>-11000</v>
      </c>
    </row>
    <row r="388" spans="1:9" s="339" customFormat="1" x14ac:dyDescent="0.3">
      <c r="A388" s="472" t="s">
        <v>635</v>
      </c>
      <c r="B388" s="817" t="s">
        <v>274</v>
      </c>
      <c r="C388" s="817"/>
      <c r="D388" s="817"/>
      <c r="E388" s="465" t="s">
        <v>74</v>
      </c>
      <c r="F388" s="465" t="s">
        <v>86</v>
      </c>
      <c r="G388" s="341">
        <v>9000000</v>
      </c>
      <c r="H388" s="342">
        <v>-1</v>
      </c>
      <c r="I388" s="338">
        <f t="shared" si="35"/>
        <v>-9000</v>
      </c>
    </row>
    <row r="389" spans="1:9" s="339" customFormat="1" x14ac:dyDescent="0.3">
      <c r="A389" s="472" t="s">
        <v>636</v>
      </c>
      <c r="B389" s="817" t="s">
        <v>274</v>
      </c>
      <c r="C389" s="817"/>
      <c r="D389" s="817"/>
      <c r="E389" s="465" t="s">
        <v>74</v>
      </c>
      <c r="F389" s="465" t="s">
        <v>86</v>
      </c>
      <c r="G389" s="341">
        <v>11000000</v>
      </c>
      <c r="H389" s="342">
        <v>-1</v>
      </c>
      <c r="I389" s="338">
        <f t="shared" ref="I389:I396" si="37">+ROUND(H389*G389/1000,1)</f>
        <v>-11000</v>
      </c>
    </row>
    <row r="390" spans="1:9" s="339" customFormat="1" x14ac:dyDescent="0.3">
      <c r="A390" s="472" t="s">
        <v>637</v>
      </c>
      <c r="B390" s="817" t="s">
        <v>274</v>
      </c>
      <c r="C390" s="817"/>
      <c r="D390" s="817"/>
      <c r="E390" s="465" t="s">
        <v>74</v>
      </c>
      <c r="F390" s="465" t="s">
        <v>86</v>
      </c>
      <c r="G390" s="341">
        <v>9000000</v>
      </c>
      <c r="H390" s="342">
        <v>-1</v>
      </c>
      <c r="I390" s="338">
        <f t="shared" si="37"/>
        <v>-9000</v>
      </c>
    </row>
    <row r="391" spans="1:9" s="339" customFormat="1" x14ac:dyDescent="0.3">
      <c r="A391" s="472" t="s">
        <v>638</v>
      </c>
      <c r="B391" s="817" t="s">
        <v>274</v>
      </c>
      <c r="C391" s="817"/>
      <c r="D391" s="817"/>
      <c r="E391" s="465" t="s">
        <v>74</v>
      </c>
      <c r="F391" s="465" t="s">
        <v>86</v>
      </c>
      <c r="G391" s="341">
        <v>9000000</v>
      </c>
      <c r="H391" s="342">
        <v>-1</v>
      </c>
      <c r="I391" s="338">
        <f t="shared" si="37"/>
        <v>-9000</v>
      </c>
    </row>
    <row r="392" spans="1:9" s="339" customFormat="1" x14ac:dyDescent="0.3">
      <c r="A392" s="472" t="s">
        <v>639</v>
      </c>
      <c r="B392" s="817" t="s">
        <v>274</v>
      </c>
      <c r="C392" s="817"/>
      <c r="D392" s="817"/>
      <c r="E392" s="465" t="s">
        <v>74</v>
      </c>
      <c r="F392" s="465" t="s">
        <v>86</v>
      </c>
      <c r="G392" s="341">
        <v>11000000</v>
      </c>
      <c r="H392" s="342">
        <v>-1</v>
      </c>
      <c r="I392" s="338">
        <f t="shared" si="37"/>
        <v>-11000</v>
      </c>
    </row>
    <row r="393" spans="1:9" s="339" customFormat="1" x14ac:dyDescent="0.3">
      <c r="A393" s="472" t="s">
        <v>640</v>
      </c>
      <c r="B393" s="817" t="s">
        <v>274</v>
      </c>
      <c r="C393" s="817"/>
      <c r="D393" s="817"/>
      <c r="E393" s="465" t="s">
        <v>74</v>
      </c>
      <c r="F393" s="465" t="s">
        <v>86</v>
      </c>
      <c r="G393" s="341"/>
      <c r="H393" s="342"/>
      <c r="I393" s="338">
        <v>-20000</v>
      </c>
    </row>
    <row r="394" spans="1:9" s="339" customFormat="1" x14ac:dyDescent="0.3">
      <c r="A394" s="472" t="s">
        <v>641</v>
      </c>
      <c r="B394" s="817" t="s">
        <v>274</v>
      </c>
      <c r="C394" s="817"/>
      <c r="D394" s="817"/>
      <c r="E394" s="465" t="s">
        <v>74</v>
      </c>
      <c r="F394" s="465" t="s">
        <v>86</v>
      </c>
      <c r="G394" s="341">
        <v>11000000</v>
      </c>
      <c r="H394" s="342">
        <v>-1</v>
      </c>
      <c r="I394" s="338">
        <f t="shared" si="37"/>
        <v>-11000</v>
      </c>
    </row>
    <row r="395" spans="1:9" s="339" customFormat="1" x14ac:dyDescent="0.3">
      <c r="A395" s="472" t="s">
        <v>642</v>
      </c>
      <c r="B395" s="817" t="s">
        <v>274</v>
      </c>
      <c r="C395" s="817"/>
      <c r="D395" s="817"/>
      <c r="E395" s="465" t="s">
        <v>74</v>
      </c>
      <c r="F395" s="465" t="s">
        <v>86</v>
      </c>
      <c r="G395" s="341">
        <v>11000000</v>
      </c>
      <c r="H395" s="342">
        <v>-1</v>
      </c>
      <c r="I395" s="338">
        <f t="shared" si="37"/>
        <v>-11000</v>
      </c>
    </row>
    <row r="396" spans="1:9" s="339" customFormat="1" x14ac:dyDescent="0.3">
      <c r="A396" s="472" t="s">
        <v>643</v>
      </c>
      <c r="B396" s="817" t="s">
        <v>274</v>
      </c>
      <c r="C396" s="817"/>
      <c r="D396" s="817"/>
      <c r="E396" s="465" t="s">
        <v>74</v>
      </c>
      <c r="F396" s="465" t="s">
        <v>86</v>
      </c>
      <c r="G396" s="341">
        <v>9000000</v>
      </c>
      <c r="H396" s="342">
        <v>-1</v>
      </c>
      <c r="I396" s="338">
        <f t="shared" si="37"/>
        <v>-9000</v>
      </c>
    </row>
    <row r="397" spans="1:9" s="339" customFormat="1" x14ac:dyDescent="0.3">
      <c r="A397" s="472" t="s">
        <v>644</v>
      </c>
      <c r="B397" s="817" t="s">
        <v>274</v>
      </c>
      <c r="C397" s="817"/>
      <c r="D397" s="817"/>
      <c r="E397" s="465" t="s">
        <v>74</v>
      </c>
      <c r="F397" s="465" t="s">
        <v>86</v>
      </c>
      <c r="G397" s="341">
        <v>11000000</v>
      </c>
      <c r="H397" s="342">
        <v>-1</v>
      </c>
      <c r="I397" s="338">
        <f t="shared" ref="I397:I402" si="38">+ROUND(H397*G397/1000,1)</f>
        <v>-11000</v>
      </c>
    </row>
    <row r="398" spans="1:9" s="339" customFormat="1" x14ac:dyDescent="0.3">
      <c r="A398" s="472" t="s">
        <v>645</v>
      </c>
      <c r="B398" s="817" t="s">
        <v>274</v>
      </c>
      <c r="C398" s="817"/>
      <c r="D398" s="817"/>
      <c r="E398" s="465" t="s">
        <v>74</v>
      </c>
      <c r="F398" s="465" t="s">
        <v>86</v>
      </c>
      <c r="G398" s="341">
        <v>11000000</v>
      </c>
      <c r="H398" s="342">
        <v>-1</v>
      </c>
      <c r="I398" s="338">
        <f t="shared" si="38"/>
        <v>-11000</v>
      </c>
    </row>
    <row r="399" spans="1:9" s="339" customFormat="1" x14ac:dyDescent="0.3">
      <c r="A399" s="472" t="s">
        <v>646</v>
      </c>
      <c r="B399" s="817" t="s">
        <v>274</v>
      </c>
      <c r="C399" s="817"/>
      <c r="D399" s="817"/>
      <c r="E399" s="465" t="s">
        <v>74</v>
      </c>
      <c r="F399" s="465" t="s">
        <v>86</v>
      </c>
      <c r="G399" s="341">
        <v>20000000</v>
      </c>
      <c r="H399" s="342">
        <v>-1</v>
      </c>
      <c r="I399" s="338">
        <f t="shared" si="38"/>
        <v>-20000</v>
      </c>
    </row>
    <row r="400" spans="1:9" s="339" customFormat="1" x14ac:dyDescent="0.3">
      <c r="A400" s="472" t="s">
        <v>647</v>
      </c>
      <c r="B400" s="817" t="s">
        <v>274</v>
      </c>
      <c r="C400" s="817"/>
      <c r="D400" s="817"/>
      <c r="E400" s="465" t="s">
        <v>74</v>
      </c>
      <c r="F400" s="465" t="s">
        <v>86</v>
      </c>
      <c r="G400" s="341">
        <v>9000000</v>
      </c>
      <c r="H400" s="342">
        <v>-1</v>
      </c>
      <c r="I400" s="338">
        <f t="shared" si="38"/>
        <v>-9000</v>
      </c>
    </row>
    <row r="401" spans="1:9" s="339" customFormat="1" x14ac:dyDescent="0.3">
      <c r="A401" s="472" t="s">
        <v>648</v>
      </c>
      <c r="B401" s="817" t="s">
        <v>274</v>
      </c>
      <c r="C401" s="817"/>
      <c r="D401" s="817"/>
      <c r="E401" s="465" t="s">
        <v>74</v>
      </c>
      <c r="F401" s="465" t="s">
        <v>86</v>
      </c>
      <c r="G401" s="341">
        <v>13000000</v>
      </c>
      <c r="H401" s="342">
        <v>-1</v>
      </c>
      <c r="I401" s="338">
        <f t="shared" si="38"/>
        <v>-13000</v>
      </c>
    </row>
    <row r="402" spans="1:9" s="339" customFormat="1" x14ac:dyDescent="0.3">
      <c r="A402" s="472" t="s">
        <v>649</v>
      </c>
      <c r="B402" s="817" t="s">
        <v>274</v>
      </c>
      <c r="C402" s="817"/>
      <c r="D402" s="817"/>
      <c r="E402" s="465" t="s">
        <v>74</v>
      </c>
      <c r="F402" s="465" t="s">
        <v>86</v>
      </c>
      <c r="G402" s="341">
        <v>9000000</v>
      </c>
      <c r="H402" s="342">
        <v>-1</v>
      </c>
      <c r="I402" s="338">
        <f t="shared" si="38"/>
        <v>-9000</v>
      </c>
    </row>
    <row r="403" spans="1:9" s="339" customFormat="1" x14ac:dyDescent="0.3">
      <c r="A403" s="472" t="s">
        <v>650</v>
      </c>
      <c r="B403" s="817" t="s">
        <v>274</v>
      </c>
      <c r="C403" s="817"/>
      <c r="D403" s="817"/>
      <c r="E403" s="465" t="s">
        <v>74</v>
      </c>
      <c r="F403" s="465" t="s">
        <v>86</v>
      </c>
      <c r="G403" s="341">
        <v>9000000</v>
      </c>
      <c r="H403" s="342">
        <v>-1</v>
      </c>
      <c r="I403" s="338">
        <f t="shared" ref="I403:I413" si="39">+ROUND(H403*G403/1000,1)</f>
        <v>-9000</v>
      </c>
    </row>
    <row r="404" spans="1:9" s="339" customFormat="1" x14ac:dyDescent="0.3">
      <c r="A404" s="472" t="s">
        <v>651</v>
      </c>
      <c r="B404" s="817" t="s">
        <v>274</v>
      </c>
      <c r="C404" s="817"/>
      <c r="D404" s="817"/>
      <c r="E404" s="465" t="s">
        <v>74</v>
      </c>
      <c r="F404" s="465" t="s">
        <v>86</v>
      </c>
      <c r="G404" s="341">
        <v>9000000</v>
      </c>
      <c r="H404" s="342">
        <v>-1</v>
      </c>
      <c r="I404" s="338">
        <f t="shared" si="39"/>
        <v>-9000</v>
      </c>
    </row>
    <row r="405" spans="1:9" s="339" customFormat="1" x14ac:dyDescent="0.3">
      <c r="A405" s="472" t="s">
        <v>652</v>
      </c>
      <c r="B405" s="817" t="s">
        <v>274</v>
      </c>
      <c r="C405" s="817"/>
      <c r="D405" s="817"/>
      <c r="E405" s="465" t="s">
        <v>74</v>
      </c>
      <c r="F405" s="465" t="s">
        <v>86</v>
      </c>
      <c r="G405" s="341">
        <v>9000000</v>
      </c>
      <c r="H405" s="342">
        <v>-1</v>
      </c>
      <c r="I405" s="338">
        <f t="shared" si="39"/>
        <v>-9000</v>
      </c>
    </row>
    <row r="406" spans="1:9" s="339" customFormat="1" x14ac:dyDescent="0.3">
      <c r="A406" s="472" t="s">
        <v>653</v>
      </c>
      <c r="B406" s="817" t="s">
        <v>274</v>
      </c>
      <c r="C406" s="817"/>
      <c r="D406" s="817"/>
      <c r="E406" s="465" t="s">
        <v>74</v>
      </c>
      <c r="F406" s="465" t="s">
        <v>86</v>
      </c>
      <c r="G406" s="341">
        <v>11000000</v>
      </c>
      <c r="H406" s="342">
        <v>-1</v>
      </c>
      <c r="I406" s="338">
        <f t="shared" si="39"/>
        <v>-11000</v>
      </c>
    </row>
    <row r="407" spans="1:9" s="339" customFormat="1" x14ac:dyDescent="0.3">
      <c r="A407" s="472" t="s">
        <v>654</v>
      </c>
      <c r="B407" s="817" t="s">
        <v>274</v>
      </c>
      <c r="C407" s="817"/>
      <c r="D407" s="817"/>
      <c r="E407" s="465" t="s">
        <v>74</v>
      </c>
      <c r="F407" s="465" t="s">
        <v>86</v>
      </c>
      <c r="G407" s="341">
        <v>11000000</v>
      </c>
      <c r="H407" s="342">
        <v>-1</v>
      </c>
      <c r="I407" s="338">
        <f t="shared" si="39"/>
        <v>-11000</v>
      </c>
    </row>
    <row r="408" spans="1:9" s="339" customFormat="1" x14ac:dyDescent="0.3">
      <c r="A408" s="472" t="s">
        <v>655</v>
      </c>
      <c r="B408" s="817" t="s">
        <v>274</v>
      </c>
      <c r="C408" s="817"/>
      <c r="D408" s="817"/>
      <c r="E408" s="465" t="s">
        <v>74</v>
      </c>
      <c r="F408" s="465" t="s">
        <v>86</v>
      </c>
      <c r="G408" s="341">
        <v>9000000</v>
      </c>
      <c r="H408" s="342">
        <v>-1</v>
      </c>
      <c r="I408" s="338">
        <f t="shared" si="39"/>
        <v>-9000</v>
      </c>
    </row>
    <row r="409" spans="1:9" s="339" customFormat="1" x14ac:dyDescent="0.3">
      <c r="A409" s="472" t="s">
        <v>656</v>
      </c>
      <c r="B409" s="817" t="s">
        <v>274</v>
      </c>
      <c r="C409" s="817"/>
      <c r="D409" s="817"/>
      <c r="E409" s="465" t="s">
        <v>74</v>
      </c>
      <c r="F409" s="465" t="s">
        <v>86</v>
      </c>
      <c r="G409" s="341">
        <v>9000000</v>
      </c>
      <c r="H409" s="342">
        <v>-1</v>
      </c>
      <c r="I409" s="338">
        <f t="shared" si="39"/>
        <v>-9000</v>
      </c>
    </row>
    <row r="410" spans="1:9" s="339" customFormat="1" x14ac:dyDescent="0.3">
      <c r="A410" s="472" t="s">
        <v>657</v>
      </c>
      <c r="B410" s="817" t="s">
        <v>274</v>
      </c>
      <c r="C410" s="817"/>
      <c r="D410" s="817"/>
      <c r="E410" s="465" t="s">
        <v>74</v>
      </c>
      <c r="F410" s="465" t="s">
        <v>86</v>
      </c>
      <c r="G410" s="341">
        <v>11000000</v>
      </c>
      <c r="H410" s="342">
        <v>-1</v>
      </c>
      <c r="I410" s="338">
        <f t="shared" si="39"/>
        <v>-11000</v>
      </c>
    </row>
    <row r="411" spans="1:9" s="339" customFormat="1" x14ac:dyDescent="0.3">
      <c r="A411" s="472" t="s">
        <v>658</v>
      </c>
      <c r="B411" s="817" t="s">
        <v>274</v>
      </c>
      <c r="C411" s="817"/>
      <c r="D411" s="817"/>
      <c r="E411" s="465" t="s">
        <v>74</v>
      </c>
      <c r="F411" s="465" t="s">
        <v>86</v>
      </c>
      <c r="G411" s="341">
        <v>9000000</v>
      </c>
      <c r="H411" s="342">
        <v>-1</v>
      </c>
      <c r="I411" s="338">
        <f t="shared" si="39"/>
        <v>-9000</v>
      </c>
    </row>
    <row r="412" spans="1:9" s="339" customFormat="1" x14ac:dyDescent="0.3">
      <c r="A412" s="472" t="s">
        <v>659</v>
      </c>
      <c r="B412" s="817" t="s">
        <v>274</v>
      </c>
      <c r="C412" s="817"/>
      <c r="D412" s="817"/>
      <c r="E412" s="465" t="s">
        <v>74</v>
      </c>
      <c r="F412" s="465" t="s">
        <v>86</v>
      </c>
      <c r="G412" s="341">
        <v>9000000</v>
      </c>
      <c r="H412" s="342">
        <v>-1</v>
      </c>
      <c r="I412" s="338">
        <f t="shared" si="39"/>
        <v>-9000</v>
      </c>
    </row>
    <row r="413" spans="1:9" s="339" customFormat="1" x14ac:dyDescent="0.3">
      <c r="A413" s="472" t="s">
        <v>660</v>
      </c>
      <c r="B413" s="817" t="s">
        <v>274</v>
      </c>
      <c r="C413" s="817"/>
      <c r="D413" s="817"/>
      <c r="E413" s="465" t="s">
        <v>74</v>
      </c>
      <c r="F413" s="465" t="s">
        <v>86</v>
      </c>
      <c r="G413" s="341">
        <v>9000000</v>
      </c>
      <c r="H413" s="342">
        <v>-1</v>
      </c>
      <c r="I413" s="338">
        <f t="shared" si="39"/>
        <v>-9000</v>
      </c>
    </row>
    <row r="414" spans="1:9" s="339" customFormat="1" x14ac:dyDescent="0.3">
      <c r="A414" s="472" t="s">
        <v>661</v>
      </c>
      <c r="B414" s="817" t="s">
        <v>274</v>
      </c>
      <c r="C414" s="817"/>
      <c r="D414" s="817"/>
      <c r="E414" s="465" t="s">
        <v>74</v>
      </c>
      <c r="F414" s="465" t="s">
        <v>86</v>
      </c>
      <c r="G414" s="341">
        <v>9000000</v>
      </c>
      <c r="H414" s="342">
        <v>-1</v>
      </c>
      <c r="I414" s="338">
        <f t="shared" ref="I414:I425" si="40">+ROUND(H414*G414/1000,1)</f>
        <v>-9000</v>
      </c>
    </row>
    <row r="415" spans="1:9" s="339" customFormat="1" x14ac:dyDescent="0.3">
      <c r="A415" s="472" t="s">
        <v>662</v>
      </c>
      <c r="B415" s="817" t="s">
        <v>274</v>
      </c>
      <c r="C415" s="817"/>
      <c r="D415" s="817"/>
      <c r="E415" s="465" t="s">
        <v>74</v>
      </c>
      <c r="F415" s="465" t="s">
        <v>86</v>
      </c>
      <c r="G415" s="341">
        <v>11000000</v>
      </c>
      <c r="H415" s="342">
        <v>-1</v>
      </c>
      <c r="I415" s="338">
        <f t="shared" si="40"/>
        <v>-11000</v>
      </c>
    </row>
    <row r="416" spans="1:9" s="339" customFormat="1" x14ac:dyDescent="0.3">
      <c r="A416" s="472" t="s">
        <v>663</v>
      </c>
      <c r="B416" s="817" t="s">
        <v>274</v>
      </c>
      <c r="C416" s="817"/>
      <c r="D416" s="817"/>
      <c r="E416" s="465" t="s">
        <v>74</v>
      </c>
      <c r="F416" s="465" t="s">
        <v>86</v>
      </c>
      <c r="G416" s="341">
        <v>9000000</v>
      </c>
      <c r="H416" s="342">
        <v>-1</v>
      </c>
      <c r="I416" s="338">
        <f t="shared" si="40"/>
        <v>-9000</v>
      </c>
    </row>
    <row r="417" spans="1:9" s="339" customFormat="1" x14ac:dyDescent="0.3">
      <c r="A417" s="472" t="s">
        <v>664</v>
      </c>
      <c r="B417" s="817" t="s">
        <v>274</v>
      </c>
      <c r="C417" s="817"/>
      <c r="D417" s="817"/>
      <c r="E417" s="465" t="s">
        <v>74</v>
      </c>
      <c r="F417" s="465" t="s">
        <v>86</v>
      </c>
      <c r="G417" s="341">
        <v>9000000</v>
      </c>
      <c r="H417" s="342">
        <v>-1</v>
      </c>
      <c r="I417" s="338">
        <f t="shared" si="40"/>
        <v>-9000</v>
      </c>
    </row>
    <row r="418" spans="1:9" s="339" customFormat="1" x14ac:dyDescent="0.3">
      <c r="A418" s="472" t="s">
        <v>665</v>
      </c>
      <c r="B418" s="817" t="s">
        <v>274</v>
      </c>
      <c r="C418" s="817"/>
      <c r="D418" s="817"/>
      <c r="E418" s="465" t="s">
        <v>74</v>
      </c>
      <c r="F418" s="465" t="s">
        <v>86</v>
      </c>
      <c r="G418" s="341">
        <v>11000000</v>
      </c>
      <c r="H418" s="342">
        <v>-1</v>
      </c>
      <c r="I418" s="338">
        <f t="shared" si="40"/>
        <v>-11000</v>
      </c>
    </row>
    <row r="419" spans="1:9" s="339" customFormat="1" x14ac:dyDescent="0.3">
      <c r="A419" s="472" t="s">
        <v>666</v>
      </c>
      <c r="B419" s="817" t="s">
        <v>274</v>
      </c>
      <c r="C419" s="817"/>
      <c r="D419" s="817"/>
      <c r="E419" s="465" t="s">
        <v>74</v>
      </c>
      <c r="F419" s="465" t="s">
        <v>86</v>
      </c>
      <c r="G419" s="341">
        <v>9000000</v>
      </c>
      <c r="H419" s="342">
        <v>-1</v>
      </c>
      <c r="I419" s="338">
        <f t="shared" si="40"/>
        <v>-9000</v>
      </c>
    </row>
    <row r="420" spans="1:9" s="339" customFormat="1" x14ac:dyDescent="0.3">
      <c r="A420" s="472" t="s">
        <v>667</v>
      </c>
      <c r="B420" s="817" t="s">
        <v>274</v>
      </c>
      <c r="C420" s="817"/>
      <c r="D420" s="817"/>
      <c r="E420" s="465" t="s">
        <v>74</v>
      </c>
      <c r="F420" s="465" t="s">
        <v>86</v>
      </c>
      <c r="G420" s="341">
        <v>11000000</v>
      </c>
      <c r="H420" s="342">
        <v>-1</v>
      </c>
      <c r="I420" s="338">
        <f t="shared" si="40"/>
        <v>-11000</v>
      </c>
    </row>
    <row r="421" spans="1:9" s="339" customFormat="1" x14ac:dyDescent="0.3">
      <c r="A421" s="472" t="s">
        <v>668</v>
      </c>
      <c r="B421" s="817" t="s">
        <v>274</v>
      </c>
      <c r="C421" s="817"/>
      <c r="D421" s="817"/>
      <c r="E421" s="465" t="s">
        <v>74</v>
      </c>
      <c r="F421" s="465" t="s">
        <v>86</v>
      </c>
      <c r="G421" s="341">
        <v>11000000</v>
      </c>
      <c r="H421" s="342">
        <v>-1</v>
      </c>
      <c r="I421" s="338">
        <f t="shared" si="40"/>
        <v>-11000</v>
      </c>
    </row>
    <row r="422" spans="1:9" s="339" customFormat="1" x14ac:dyDescent="0.3">
      <c r="A422" s="472" t="s">
        <v>669</v>
      </c>
      <c r="B422" s="817" t="s">
        <v>274</v>
      </c>
      <c r="C422" s="817"/>
      <c r="D422" s="817"/>
      <c r="E422" s="465" t="s">
        <v>74</v>
      </c>
      <c r="F422" s="465" t="s">
        <v>86</v>
      </c>
      <c r="G422" s="341">
        <v>11000000</v>
      </c>
      <c r="H422" s="342">
        <v>-1</v>
      </c>
      <c r="I422" s="338">
        <f t="shared" si="40"/>
        <v>-11000</v>
      </c>
    </row>
    <row r="423" spans="1:9" s="339" customFormat="1" x14ac:dyDescent="0.3">
      <c r="A423" s="472" t="s">
        <v>670</v>
      </c>
      <c r="B423" s="817" t="s">
        <v>274</v>
      </c>
      <c r="C423" s="817"/>
      <c r="D423" s="817"/>
      <c r="E423" s="465" t="s">
        <v>74</v>
      </c>
      <c r="F423" s="465" t="s">
        <v>86</v>
      </c>
      <c r="G423" s="341">
        <v>11000000</v>
      </c>
      <c r="H423" s="342">
        <v>-1</v>
      </c>
      <c r="I423" s="338">
        <f t="shared" si="40"/>
        <v>-11000</v>
      </c>
    </row>
    <row r="424" spans="1:9" s="339" customFormat="1" x14ac:dyDescent="0.3">
      <c r="A424" s="472" t="s">
        <v>671</v>
      </c>
      <c r="B424" s="817" t="s">
        <v>274</v>
      </c>
      <c r="C424" s="817"/>
      <c r="D424" s="817"/>
      <c r="E424" s="465" t="s">
        <v>74</v>
      </c>
      <c r="F424" s="465" t="s">
        <v>86</v>
      </c>
      <c r="G424" s="341">
        <v>9000000</v>
      </c>
      <c r="H424" s="342">
        <v>-1</v>
      </c>
      <c r="I424" s="338">
        <f t="shared" si="40"/>
        <v>-9000</v>
      </c>
    </row>
    <row r="425" spans="1:9" s="339" customFormat="1" x14ac:dyDescent="0.3">
      <c r="A425" s="472" t="s">
        <v>672</v>
      </c>
      <c r="B425" s="817" t="s">
        <v>274</v>
      </c>
      <c r="C425" s="817"/>
      <c r="D425" s="817"/>
      <c r="E425" s="465" t="s">
        <v>74</v>
      </c>
      <c r="F425" s="465" t="s">
        <v>86</v>
      </c>
      <c r="G425" s="341">
        <v>11000000</v>
      </c>
      <c r="H425" s="342">
        <v>-1</v>
      </c>
      <c r="I425" s="338">
        <f t="shared" si="40"/>
        <v>-11000</v>
      </c>
    </row>
    <row r="426" spans="1:9" s="339" customFormat="1" x14ac:dyDescent="0.3">
      <c r="A426" s="472" t="s">
        <v>517</v>
      </c>
      <c r="B426" s="817" t="s">
        <v>274</v>
      </c>
      <c r="C426" s="817"/>
      <c r="D426" s="817"/>
      <c r="E426" s="465" t="s">
        <v>74</v>
      </c>
      <c r="F426" s="465" t="s">
        <v>86</v>
      </c>
      <c r="G426" s="341"/>
      <c r="H426" s="342"/>
      <c r="I426" s="338">
        <v>-28800</v>
      </c>
    </row>
    <row r="427" spans="1:9" s="339" customFormat="1" x14ac:dyDescent="0.3">
      <c r="A427" s="472" t="s">
        <v>518</v>
      </c>
      <c r="B427" s="817" t="s">
        <v>274</v>
      </c>
      <c r="C427" s="817"/>
      <c r="D427" s="817"/>
      <c r="E427" s="465" t="s">
        <v>74</v>
      </c>
      <c r="F427" s="465" t="s">
        <v>86</v>
      </c>
      <c r="G427" s="341"/>
      <c r="H427" s="342"/>
      <c r="I427" s="338">
        <v>-44800</v>
      </c>
    </row>
    <row r="428" spans="1:9" s="339" customFormat="1" x14ac:dyDescent="0.3">
      <c r="A428" s="472" t="s">
        <v>673</v>
      </c>
      <c r="B428" s="817" t="s">
        <v>274</v>
      </c>
      <c r="C428" s="817"/>
      <c r="D428" s="817"/>
      <c r="E428" s="465" t="s">
        <v>74</v>
      </c>
      <c r="F428" s="465" t="s">
        <v>86</v>
      </c>
      <c r="G428" s="341">
        <v>13000000</v>
      </c>
      <c r="H428" s="342">
        <v>-1</v>
      </c>
      <c r="I428" s="338">
        <f t="shared" ref="I428:I429" si="41">+ROUND(H428*G428/1000,1)</f>
        <v>-13000</v>
      </c>
    </row>
    <row r="429" spans="1:9" s="339" customFormat="1" x14ac:dyDescent="0.3">
      <c r="A429" s="472" t="s">
        <v>674</v>
      </c>
      <c r="B429" s="817" t="s">
        <v>274</v>
      </c>
      <c r="C429" s="817"/>
      <c r="D429" s="817"/>
      <c r="E429" s="465" t="s">
        <v>74</v>
      </c>
      <c r="F429" s="465" t="s">
        <v>86</v>
      </c>
      <c r="G429" s="341">
        <v>13000000</v>
      </c>
      <c r="H429" s="342">
        <v>-1</v>
      </c>
      <c r="I429" s="338">
        <f t="shared" si="41"/>
        <v>-13000</v>
      </c>
    </row>
    <row r="430" spans="1:9" s="339" customFormat="1" x14ac:dyDescent="0.3">
      <c r="A430" s="472" t="s">
        <v>675</v>
      </c>
      <c r="B430" s="817" t="s">
        <v>274</v>
      </c>
      <c r="C430" s="817"/>
      <c r="D430" s="817"/>
      <c r="E430" s="465" t="s">
        <v>74</v>
      </c>
      <c r="F430" s="465" t="s">
        <v>86</v>
      </c>
      <c r="G430" s="341">
        <v>11000000</v>
      </c>
      <c r="H430" s="342">
        <v>-1</v>
      </c>
      <c r="I430" s="338">
        <f t="shared" ref="I430:I437" si="42">+ROUND(H430*G430/1000,1)</f>
        <v>-11000</v>
      </c>
    </row>
    <row r="431" spans="1:9" s="339" customFormat="1" x14ac:dyDescent="0.3">
      <c r="A431" s="472" t="s">
        <v>676</v>
      </c>
      <c r="B431" s="817" t="s">
        <v>274</v>
      </c>
      <c r="C431" s="817"/>
      <c r="D431" s="817"/>
      <c r="E431" s="465" t="s">
        <v>74</v>
      </c>
      <c r="F431" s="465" t="s">
        <v>86</v>
      </c>
      <c r="G431" s="341">
        <v>9000000</v>
      </c>
      <c r="H431" s="342">
        <v>-1</v>
      </c>
      <c r="I431" s="338">
        <f t="shared" si="42"/>
        <v>-9000</v>
      </c>
    </row>
    <row r="432" spans="1:9" s="339" customFormat="1" x14ac:dyDescent="0.3">
      <c r="A432" s="472" t="s">
        <v>677</v>
      </c>
      <c r="B432" s="817" t="s">
        <v>274</v>
      </c>
      <c r="C432" s="817"/>
      <c r="D432" s="817"/>
      <c r="E432" s="465" t="s">
        <v>74</v>
      </c>
      <c r="F432" s="465" t="s">
        <v>86</v>
      </c>
      <c r="G432" s="341">
        <v>11000000</v>
      </c>
      <c r="H432" s="342">
        <v>-1</v>
      </c>
      <c r="I432" s="338">
        <f t="shared" si="42"/>
        <v>-11000</v>
      </c>
    </row>
    <row r="433" spans="1:9" s="339" customFormat="1" x14ac:dyDescent="0.3">
      <c r="A433" s="472" t="s">
        <v>678</v>
      </c>
      <c r="B433" s="817" t="s">
        <v>274</v>
      </c>
      <c r="C433" s="817"/>
      <c r="D433" s="817"/>
      <c r="E433" s="465" t="s">
        <v>74</v>
      </c>
      <c r="F433" s="465" t="s">
        <v>86</v>
      </c>
      <c r="G433" s="341">
        <v>11000000</v>
      </c>
      <c r="H433" s="342">
        <v>-1</v>
      </c>
      <c r="I433" s="338">
        <f t="shared" si="42"/>
        <v>-11000</v>
      </c>
    </row>
    <row r="434" spans="1:9" s="339" customFormat="1" x14ac:dyDescent="0.3">
      <c r="A434" s="472" t="s">
        <v>679</v>
      </c>
      <c r="B434" s="817" t="s">
        <v>274</v>
      </c>
      <c r="C434" s="817"/>
      <c r="D434" s="817"/>
      <c r="E434" s="465" t="s">
        <v>74</v>
      </c>
      <c r="F434" s="465" t="s">
        <v>86</v>
      </c>
      <c r="G434" s="341">
        <v>9000000</v>
      </c>
      <c r="H434" s="342">
        <v>-1</v>
      </c>
      <c r="I434" s="338">
        <f t="shared" si="42"/>
        <v>-9000</v>
      </c>
    </row>
    <row r="435" spans="1:9" s="339" customFormat="1" x14ac:dyDescent="0.3">
      <c r="A435" s="472" t="s">
        <v>680</v>
      </c>
      <c r="B435" s="817" t="s">
        <v>274</v>
      </c>
      <c r="C435" s="817"/>
      <c r="D435" s="817"/>
      <c r="E435" s="465" t="s">
        <v>74</v>
      </c>
      <c r="F435" s="465" t="s">
        <v>86</v>
      </c>
      <c r="G435" s="341"/>
      <c r="H435" s="342"/>
      <c r="I435" s="338">
        <v>-20000</v>
      </c>
    </row>
    <row r="436" spans="1:9" s="339" customFormat="1" x14ac:dyDescent="0.3">
      <c r="A436" s="472" t="s">
        <v>681</v>
      </c>
      <c r="B436" s="817" t="s">
        <v>274</v>
      </c>
      <c r="C436" s="817"/>
      <c r="D436" s="817"/>
      <c r="E436" s="465" t="s">
        <v>74</v>
      </c>
      <c r="F436" s="465" t="s">
        <v>86</v>
      </c>
      <c r="G436" s="341">
        <v>9000000</v>
      </c>
      <c r="H436" s="342">
        <v>-1</v>
      </c>
      <c r="I436" s="338">
        <f t="shared" si="42"/>
        <v>-9000</v>
      </c>
    </row>
    <row r="437" spans="1:9" s="339" customFormat="1" x14ac:dyDescent="0.3">
      <c r="A437" s="472" t="s">
        <v>682</v>
      </c>
      <c r="B437" s="817" t="s">
        <v>274</v>
      </c>
      <c r="C437" s="817"/>
      <c r="D437" s="817"/>
      <c r="E437" s="465" t="s">
        <v>74</v>
      </c>
      <c r="F437" s="465" t="s">
        <v>86</v>
      </c>
      <c r="G437" s="341">
        <v>9000000</v>
      </c>
      <c r="H437" s="342">
        <v>-1</v>
      </c>
      <c r="I437" s="338">
        <f t="shared" si="42"/>
        <v>-9000</v>
      </c>
    </row>
    <row r="438" spans="1:9" s="339" customFormat="1" x14ac:dyDescent="0.3">
      <c r="A438" s="472" t="s">
        <v>627</v>
      </c>
      <c r="B438" s="817" t="s">
        <v>160</v>
      </c>
      <c r="C438" s="817"/>
      <c r="D438" s="817"/>
      <c r="E438" s="465" t="s">
        <v>74</v>
      </c>
      <c r="F438" s="465" t="s">
        <v>86</v>
      </c>
      <c r="G438" s="341">
        <v>1000000</v>
      </c>
      <c r="H438" s="342">
        <v>-1</v>
      </c>
      <c r="I438" s="338">
        <f t="shared" si="34"/>
        <v>-1000</v>
      </c>
    </row>
    <row r="439" spans="1:9" s="339" customFormat="1" x14ac:dyDescent="0.3">
      <c r="A439" s="472" t="s">
        <v>683</v>
      </c>
      <c r="B439" s="817" t="s">
        <v>160</v>
      </c>
      <c r="C439" s="817"/>
      <c r="D439" s="817"/>
      <c r="E439" s="465" t="s">
        <v>74</v>
      </c>
      <c r="F439" s="465" t="s">
        <v>86</v>
      </c>
      <c r="G439" s="341">
        <v>600000</v>
      </c>
      <c r="H439" s="342">
        <v>-1</v>
      </c>
      <c r="I439" s="338">
        <f t="shared" ref="I439:I445" si="43">+ROUND(H439*G439/1000,1)</f>
        <v>-600</v>
      </c>
    </row>
    <row r="440" spans="1:9" s="339" customFormat="1" x14ac:dyDescent="0.3">
      <c r="A440" s="472" t="s">
        <v>684</v>
      </c>
      <c r="B440" s="817" t="s">
        <v>160</v>
      </c>
      <c r="C440" s="817"/>
      <c r="D440" s="817"/>
      <c r="E440" s="465" t="s">
        <v>74</v>
      </c>
      <c r="F440" s="465" t="s">
        <v>86</v>
      </c>
      <c r="G440" s="341">
        <v>600000</v>
      </c>
      <c r="H440" s="342">
        <v>-1</v>
      </c>
      <c r="I440" s="338">
        <f t="shared" si="43"/>
        <v>-600</v>
      </c>
    </row>
    <row r="441" spans="1:9" s="339" customFormat="1" x14ac:dyDescent="0.3">
      <c r="A441" s="472" t="s">
        <v>685</v>
      </c>
      <c r="B441" s="817" t="s">
        <v>160</v>
      </c>
      <c r="C441" s="817"/>
      <c r="D441" s="817"/>
      <c r="E441" s="465" t="s">
        <v>74</v>
      </c>
      <c r="F441" s="465" t="s">
        <v>86</v>
      </c>
      <c r="G441" s="341">
        <v>500000</v>
      </c>
      <c r="H441" s="342">
        <v>-1</v>
      </c>
      <c r="I441" s="338">
        <f t="shared" si="43"/>
        <v>-500</v>
      </c>
    </row>
    <row r="442" spans="1:9" s="339" customFormat="1" x14ac:dyDescent="0.3">
      <c r="A442" s="472" t="s">
        <v>686</v>
      </c>
      <c r="B442" s="817" t="s">
        <v>160</v>
      </c>
      <c r="C442" s="817"/>
      <c r="D442" s="817"/>
      <c r="E442" s="465" t="s">
        <v>74</v>
      </c>
      <c r="F442" s="465" t="s">
        <v>86</v>
      </c>
      <c r="G442" s="341">
        <v>1000000</v>
      </c>
      <c r="H442" s="342">
        <v>-1</v>
      </c>
      <c r="I442" s="338">
        <f t="shared" si="43"/>
        <v>-1000</v>
      </c>
    </row>
    <row r="443" spans="1:9" s="339" customFormat="1" x14ac:dyDescent="0.3">
      <c r="A443" s="472" t="s">
        <v>687</v>
      </c>
      <c r="B443" s="817" t="s">
        <v>160</v>
      </c>
      <c r="C443" s="817"/>
      <c r="D443" s="817"/>
      <c r="E443" s="465" t="s">
        <v>74</v>
      </c>
      <c r="F443" s="465" t="s">
        <v>86</v>
      </c>
      <c r="G443" s="341">
        <v>500000</v>
      </c>
      <c r="H443" s="342">
        <v>-1</v>
      </c>
      <c r="I443" s="338">
        <f t="shared" si="43"/>
        <v>-500</v>
      </c>
    </row>
    <row r="444" spans="1:9" s="339" customFormat="1" x14ac:dyDescent="0.3">
      <c r="A444" s="472" t="s">
        <v>688</v>
      </c>
      <c r="B444" s="817" t="s">
        <v>160</v>
      </c>
      <c r="C444" s="817"/>
      <c r="D444" s="817"/>
      <c r="E444" s="465" t="s">
        <v>74</v>
      </c>
      <c r="F444" s="465" t="s">
        <v>86</v>
      </c>
      <c r="G444" s="341">
        <v>700000</v>
      </c>
      <c r="H444" s="342">
        <v>-1</v>
      </c>
      <c r="I444" s="338">
        <f t="shared" si="43"/>
        <v>-700</v>
      </c>
    </row>
    <row r="445" spans="1:9" s="339" customFormat="1" x14ac:dyDescent="0.3">
      <c r="A445" s="472" t="s">
        <v>689</v>
      </c>
      <c r="B445" s="817" t="s">
        <v>160</v>
      </c>
      <c r="C445" s="817"/>
      <c r="D445" s="817"/>
      <c r="E445" s="465" t="s">
        <v>74</v>
      </c>
      <c r="F445" s="465" t="s">
        <v>86</v>
      </c>
      <c r="G445" s="341">
        <v>600000</v>
      </c>
      <c r="H445" s="342">
        <v>-1</v>
      </c>
      <c r="I445" s="338">
        <f t="shared" si="43"/>
        <v>-600</v>
      </c>
    </row>
    <row r="446" spans="1:9" s="339" customFormat="1" x14ac:dyDescent="0.3">
      <c r="A446" s="472" t="s">
        <v>690</v>
      </c>
      <c r="B446" s="817" t="s">
        <v>160</v>
      </c>
      <c r="C446" s="817"/>
      <c r="D446" s="817"/>
      <c r="E446" s="465" t="s">
        <v>74</v>
      </c>
      <c r="F446" s="465" t="s">
        <v>86</v>
      </c>
      <c r="G446" s="341">
        <v>500000</v>
      </c>
      <c r="H446" s="342">
        <v>-1</v>
      </c>
      <c r="I446" s="338">
        <f>+ROUND(H446*G446/1000,1)</f>
        <v>-500</v>
      </c>
    </row>
    <row r="447" spans="1:9" s="339" customFormat="1" x14ac:dyDescent="0.3">
      <c r="A447" s="472" t="s">
        <v>691</v>
      </c>
      <c r="B447" s="817" t="s">
        <v>160</v>
      </c>
      <c r="C447" s="817"/>
      <c r="D447" s="817"/>
      <c r="E447" s="465" t="s">
        <v>74</v>
      </c>
      <c r="F447" s="465" t="s">
        <v>86</v>
      </c>
      <c r="G447" s="341">
        <v>600000</v>
      </c>
      <c r="H447" s="342">
        <v>-1</v>
      </c>
      <c r="I447" s="338">
        <f t="shared" ref="I447:I454" si="44">+ROUND(H447*G447/1000,1)</f>
        <v>-600</v>
      </c>
    </row>
    <row r="448" spans="1:9" s="339" customFormat="1" x14ac:dyDescent="0.3">
      <c r="A448" s="472" t="s">
        <v>692</v>
      </c>
      <c r="B448" s="817" t="s">
        <v>160</v>
      </c>
      <c r="C448" s="817"/>
      <c r="D448" s="817"/>
      <c r="E448" s="465" t="s">
        <v>74</v>
      </c>
      <c r="F448" s="465" t="s">
        <v>86</v>
      </c>
      <c r="G448" s="341">
        <v>500000</v>
      </c>
      <c r="H448" s="342">
        <v>-1</v>
      </c>
      <c r="I448" s="338">
        <f t="shared" si="44"/>
        <v>-500</v>
      </c>
    </row>
    <row r="449" spans="1:9" s="339" customFormat="1" x14ac:dyDescent="0.3">
      <c r="A449" s="472" t="s">
        <v>693</v>
      </c>
      <c r="B449" s="817" t="s">
        <v>160</v>
      </c>
      <c r="C449" s="817"/>
      <c r="D449" s="817"/>
      <c r="E449" s="465" t="s">
        <v>74</v>
      </c>
      <c r="F449" s="465" t="s">
        <v>86</v>
      </c>
      <c r="G449" s="341">
        <v>500000</v>
      </c>
      <c r="H449" s="342">
        <v>-1</v>
      </c>
      <c r="I449" s="338">
        <f t="shared" si="44"/>
        <v>-500</v>
      </c>
    </row>
    <row r="450" spans="1:9" s="339" customFormat="1" x14ac:dyDescent="0.3">
      <c r="A450" s="472" t="s">
        <v>694</v>
      </c>
      <c r="B450" s="817" t="s">
        <v>160</v>
      </c>
      <c r="C450" s="817"/>
      <c r="D450" s="817"/>
      <c r="E450" s="465" t="s">
        <v>74</v>
      </c>
      <c r="F450" s="465" t="s">
        <v>86</v>
      </c>
      <c r="G450" s="341">
        <v>600000</v>
      </c>
      <c r="H450" s="342">
        <v>-1</v>
      </c>
      <c r="I450" s="338">
        <f t="shared" si="44"/>
        <v>-600</v>
      </c>
    </row>
    <row r="451" spans="1:9" s="339" customFormat="1" x14ac:dyDescent="0.3">
      <c r="A451" s="472" t="s">
        <v>695</v>
      </c>
      <c r="B451" s="817" t="s">
        <v>160</v>
      </c>
      <c r="C451" s="817"/>
      <c r="D451" s="817"/>
      <c r="E451" s="465" t="s">
        <v>74</v>
      </c>
      <c r="F451" s="465" t="s">
        <v>86</v>
      </c>
      <c r="G451" s="341">
        <v>1200000</v>
      </c>
      <c r="H451" s="342">
        <v>-1</v>
      </c>
      <c r="I451" s="338">
        <f t="shared" si="44"/>
        <v>-1200</v>
      </c>
    </row>
    <row r="452" spans="1:9" s="339" customFormat="1" x14ac:dyDescent="0.3">
      <c r="A452" s="472" t="s">
        <v>696</v>
      </c>
      <c r="B452" s="817" t="s">
        <v>160</v>
      </c>
      <c r="C452" s="817"/>
      <c r="D452" s="817"/>
      <c r="E452" s="465" t="s">
        <v>74</v>
      </c>
      <c r="F452" s="465" t="s">
        <v>86</v>
      </c>
      <c r="G452" s="341">
        <v>600000</v>
      </c>
      <c r="H452" s="342">
        <v>-1</v>
      </c>
      <c r="I452" s="338">
        <f t="shared" si="44"/>
        <v>-600</v>
      </c>
    </row>
    <row r="453" spans="1:9" s="339" customFormat="1" x14ac:dyDescent="0.3">
      <c r="A453" s="472" t="s">
        <v>697</v>
      </c>
      <c r="B453" s="817" t="s">
        <v>160</v>
      </c>
      <c r="C453" s="817"/>
      <c r="D453" s="817"/>
      <c r="E453" s="465" t="s">
        <v>74</v>
      </c>
      <c r="F453" s="465" t="s">
        <v>86</v>
      </c>
      <c r="G453" s="341">
        <v>600000</v>
      </c>
      <c r="H453" s="342">
        <v>-1</v>
      </c>
      <c r="I453" s="338">
        <f t="shared" si="44"/>
        <v>-600</v>
      </c>
    </row>
    <row r="454" spans="1:9" s="339" customFormat="1" x14ac:dyDescent="0.3">
      <c r="A454" s="472" t="s">
        <v>698</v>
      </c>
      <c r="B454" s="817" t="s">
        <v>160</v>
      </c>
      <c r="C454" s="817"/>
      <c r="D454" s="817"/>
      <c r="E454" s="465" t="s">
        <v>74</v>
      </c>
      <c r="F454" s="465" t="s">
        <v>86</v>
      </c>
      <c r="G454" s="341">
        <v>500000</v>
      </c>
      <c r="H454" s="342">
        <v>-1</v>
      </c>
      <c r="I454" s="338">
        <f t="shared" si="44"/>
        <v>-500</v>
      </c>
    </row>
    <row r="455" spans="1:9" s="339" customFormat="1" x14ac:dyDescent="0.3">
      <c r="A455" s="472" t="s">
        <v>699</v>
      </c>
      <c r="B455" s="817" t="s">
        <v>160</v>
      </c>
      <c r="C455" s="817"/>
      <c r="D455" s="817"/>
      <c r="E455" s="465" t="s">
        <v>74</v>
      </c>
      <c r="F455" s="465" t="s">
        <v>86</v>
      </c>
      <c r="G455" s="341">
        <v>600000</v>
      </c>
      <c r="H455" s="342">
        <v>-1</v>
      </c>
      <c r="I455" s="338">
        <f t="shared" ref="I455:I460" si="45">+ROUND(H455*G455/1000,1)</f>
        <v>-600</v>
      </c>
    </row>
    <row r="456" spans="1:9" s="339" customFormat="1" x14ac:dyDescent="0.3">
      <c r="A456" s="472" t="s">
        <v>700</v>
      </c>
      <c r="B456" s="817" t="s">
        <v>160</v>
      </c>
      <c r="C456" s="817"/>
      <c r="D456" s="817"/>
      <c r="E456" s="465" t="s">
        <v>74</v>
      </c>
      <c r="F456" s="465" t="s">
        <v>86</v>
      </c>
      <c r="G456" s="341">
        <v>600000</v>
      </c>
      <c r="H456" s="342">
        <v>-1</v>
      </c>
      <c r="I456" s="338">
        <f t="shared" si="45"/>
        <v>-600</v>
      </c>
    </row>
    <row r="457" spans="1:9" s="339" customFormat="1" x14ac:dyDescent="0.3">
      <c r="A457" s="472" t="s">
        <v>701</v>
      </c>
      <c r="B457" s="817" t="s">
        <v>160</v>
      </c>
      <c r="C457" s="817"/>
      <c r="D457" s="817"/>
      <c r="E457" s="465" t="s">
        <v>74</v>
      </c>
      <c r="F457" s="465" t="s">
        <v>86</v>
      </c>
      <c r="G457" s="341">
        <v>1000000</v>
      </c>
      <c r="H457" s="342">
        <v>-1</v>
      </c>
      <c r="I457" s="338">
        <f t="shared" si="45"/>
        <v>-1000</v>
      </c>
    </row>
    <row r="458" spans="1:9" s="339" customFormat="1" x14ac:dyDescent="0.3">
      <c r="A458" s="472" t="s">
        <v>702</v>
      </c>
      <c r="B458" s="817" t="s">
        <v>160</v>
      </c>
      <c r="C458" s="817"/>
      <c r="D458" s="817"/>
      <c r="E458" s="465" t="s">
        <v>74</v>
      </c>
      <c r="F458" s="465" t="s">
        <v>86</v>
      </c>
      <c r="G458" s="341">
        <v>500000</v>
      </c>
      <c r="H458" s="342">
        <v>-1</v>
      </c>
      <c r="I458" s="338">
        <f t="shared" si="45"/>
        <v>-500</v>
      </c>
    </row>
    <row r="459" spans="1:9" s="339" customFormat="1" x14ac:dyDescent="0.3">
      <c r="A459" s="472" t="s">
        <v>703</v>
      </c>
      <c r="B459" s="817" t="s">
        <v>160</v>
      </c>
      <c r="C459" s="817"/>
      <c r="D459" s="817"/>
      <c r="E459" s="465" t="s">
        <v>74</v>
      </c>
      <c r="F459" s="465" t="s">
        <v>86</v>
      </c>
      <c r="G459" s="341">
        <v>700000</v>
      </c>
      <c r="H459" s="342">
        <v>-1</v>
      </c>
      <c r="I459" s="338">
        <f t="shared" si="45"/>
        <v>-700</v>
      </c>
    </row>
    <row r="460" spans="1:9" s="339" customFormat="1" x14ac:dyDescent="0.3">
      <c r="A460" s="472" t="s">
        <v>704</v>
      </c>
      <c r="B460" s="817" t="s">
        <v>160</v>
      </c>
      <c r="C460" s="817"/>
      <c r="D460" s="817"/>
      <c r="E460" s="465" t="s">
        <v>74</v>
      </c>
      <c r="F460" s="465" t="s">
        <v>86</v>
      </c>
      <c r="G460" s="341">
        <v>500000</v>
      </c>
      <c r="H460" s="342">
        <v>-1</v>
      </c>
      <c r="I460" s="338">
        <f t="shared" si="45"/>
        <v>-500</v>
      </c>
    </row>
    <row r="461" spans="1:9" s="339" customFormat="1" x14ac:dyDescent="0.3">
      <c r="A461" s="472" t="s">
        <v>705</v>
      </c>
      <c r="B461" s="817" t="s">
        <v>160</v>
      </c>
      <c r="C461" s="817"/>
      <c r="D461" s="817"/>
      <c r="E461" s="465" t="s">
        <v>74</v>
      </c>
      <c r="F461" s="465" t="s">
        <v>86</v>
      </c>
      <c r="G461" s="341">
        <v>500000</v>
      </c>
      <c r="H461" s="342">
        <v>-1</v>
      </c>
      <c r="I461" s="338">
        <f t="shared" ref="I461:I471" si="46">+ROUND(H461*G461/1000,1)</f>
        <v>-500</v>
      </c>
    </row>
    <row r="462" spans="1:9" s="339" customFormat="1" x14ac:dyDescent="0.3">
      <c r="A462" s="472" t="s">
        <v>706</v>
      </c>
      <c r="B462" s="817" t="s">
        <v>160</v>
      </c>
      <c r="C462" s="817"/>
      <c r="D462" s="817"/>
      <c r="E462" s="465" t="s">
        <v>74</v>
      </c>
      <c r="F462" s="465" t="s">
        <v>86</v>
      </c>
      <c r="G462" s="341">
        <v>500000</v>
      </c>
      <c r="H462" s="342">
        <v>-1</v>
      </c>
      <c r="I462" s="338">
        <f t="shared" si="46"/>
        <v>-500</v>
      </c>
    </row>
    <row r="463" spans="1:9" s="339" customFormat="1" x14ac:dyDescent="0.3">
      <c r="A463" s="472" t="s">
        <v>707</v>
      </c>
      <c r="B463" s="817" t="s">
        <v>160</v>
      </c>
      <c r="C463" s="817"/>
      <c r="D463" s="817"/>
      <c r="E463" s="465" t="s">
        <v>74</v>
      </c>
      <c r="F463" s="465" t="s">
        <v>86</v>
      </c>
      <c r="G463" s="341">
        <v>500000</v>
      </c>
      <c r="H463" s="342">
        <v>-1</v>
      </c>
      <c r="I463" s="338">
        <f t="shared" si="46"/>
        <v>-500</v>
      </c>
    </row>
    <row r="464" spans="1:9" s="339" customFormat="1" x14ac:dyDescent="0.3">
      <c r="A464" s="472" t="s">
        <v>708</v>
      </c>
      <c r="B464" s="817" t="s">
        <v>160</v>
      </c>
      <c r="C464" s="817"/>
      <c r="D464" s="817"/>
      <c r="E464" s="465" t="s">
        <v>74</v>
      </c>
      <c r="F464" s="465" t="s">
        <v>86</v>
      </c>
      <c r="G464" s="341">
        <v>600000</v>
      </c>
      <c r="H464" s="342">
        <v>-1</v>
      </c>
      <c r="I464" s="338">
        <f t="shared" si="46"/>
        <v>-600</v>
      </c>
    </row>
    <row r="465" spans="1:9" s="339" customFormat="1" x14ac:dyDescent="0.3">
      <c r="A465" s="472" t="s">
        <v>709</v>
      </c>
      <c r="B465" s="817" t="s">
        <v>160</v>
      </c>
      <c r="C465" s="817"/>
      <c r="D465" s="817"/>
      <c r="E465" s="465" t="s">
        <v>74</v>
      </c>
      <c r="F465" s="465" t="s">
        <v>86</v>
      </c>
      <c r="G465" s="341">
        <v>600000</v>
      </c>
      <c r="H465" s="342">
        <v>-1</v>
      </c>
      <c r="I465" s="338">
        <f t="shared" si="46"/>
        <v>-600</v>
      </c>
    </row>
    <row r="466" spans="1:9" s="339" customFormat="1" x14ac:dyDescent="0.3">
      <c r="A466" s="472" t="s">
        <v>710</v>
      </c>
      <c r="B466" s="817" t="s">
        <v>160</v>
      </c>
      <c r="C466" s="817"/>
      <c r="D466" s="817"/>
      <c r="E466" s="465" t="s">
        <v>74</v>
      </c>
      <c r="F466" s="465" t="s">
        <v>86</v>
      </c>
      <c r="G466" s="341">
        <v>500000</v>
      </c>
      <c r="H466" s="342">
        <v>-1</v>
      </c>
      <c r="I466" s="338">
        <f t="shared" si="46"/>
        <v>-500</v>
      </c>
    </row>
    <row r="467" spans="1:9" s="339" customFormat="1" x14ac:dyDescent="0.3">
      <c r="A467" s="472" t="s">
        <v>711</v>
      </c>
      <c r="B467" s="817" t="s">
        <v>160</v>
      </c>
      <c r="C467" s="817"/>
      <c r="D467" s="817"/>
      <c r="E467" s="465" t="s">
        <v>74</v>
      </c>
      <c r="F467" s="465" t="s">
        <v>86</v>
      </c>
      <c r="G467" s="341">
        <v>500000</v>
      </c>
      <c r="H467" s="342">
        <v>-1</v>
      </c>
      <c r="I467" s="338">
        <f t="shared" si="46"/>
        <v>-500</v>
      </c>
    </row>
    <row r="468" spans="1:9" s="339" customFormat="1" x14ac:dyDescent="0.3">
      <c r="A468" s="472" t="s">
        <v>712</v>
      </c>
      <c r="B468" s="817" t="s">
        <v>160</v>
      </c>
      <c r="C468" s="817"/>
      <c r="D468" s="817"/>
      <c r="E468" s="465" t="s">
        <v>74</v>
      </c>
      <c r="F468" s="465" t="s">
        <v>86</v>
      </c>
      <c r="G468" s="341">
        <v>600000</v>
      </c>
      <c r="H468" s="342">
        <v>-1</v>
      </c>
      <c r="I468" s="338">
        <f t="shared" si="46"/>
        <v>-600</v>
      </c>
    </row>
    <row r="469" spans="1:9" s="339" customFormat="1" x14ac:dyDescent="0.3">
      <c r="A469" s="472" t="s">
        <v>713</v>
      </c>
      <c r="B469" s="817" t="s">
        <v>160</v>
      </c>
      <c r="C469" s="817"/>
      <c r="D469" s="817"/>
      <c r="E469" s="465" t="s">
        <v>74</v>
      </c>
      <c r="F469" s="465" t="s">
        <v>86</v>
      </c>
      <c r="G469" s="341">
        <v>500000</v>
      </c>
      <c r="H469" s="342">
        <v>-1</v>
      </c>
      <c r="I469" s="338">
        <f t="shared" si="46"/>
        <v>-500</v>
      </c>
    </row>
    <row r="470" spans="1:9" s="339" customFormat="1" x14ac:dyDescent="0.3">
      <c r="A470" s="472" t="s">
        <v>714</v>
      </c>
      <c r="B470" s="817" t="s">
        <v>160</v>
      </c>
      <c r="C470" s="817"/>
      <c r="D470" s="817"/>
      <c r="E470" s="465" t="s">
        <v>74</v>
      </c>
      <c r="F470" s="465" t="s">
        <v>86</v>
      </c>
      <c r="G470" s="341">
        <v>500000</v>
      </c>
      <c r="H470" s="342">
        <v>-1</v>
      </c>
      <c r="I470" s="338">
        <f t="shared" si="46"/>
        <v>-500</v>
      </c>
    </row>
    <row r="471" spans="1:9" s="339" customFormat="1" x14ac:dyDescent="0.3">
      <c r="A471" s="472" t="s">
        <v>715</v>
      </c>
      <c r="B471" s="817" t="s">
        <v>160</v>
      </c>
      <c r="C471" s="817"/>
      <c r="D471" s="817"/>
      <c r="E471" s="465" t="s">
        <v>74</v>
      </c>
      <c r="F471" s="465" t="s">
        <v>86</v>
      </c>
      <c r="G471" s="341">
        <v>500000</v>
      </c>
      <c r="H471" s="342">
        <v>-1</v>
      </c>
      <c r="I471" s="338">
        <f t="shared" si="46"/>
        <v>-500</v>
      </c>
    </row>
    <row r="472" spans="1:9" s="339" customFormat="1" x14ac:dyDescent="0.3">
      <c r="A472" s="472" t="s">
        <v>716</v>
      </c>
      <c r="B472" s="817" t="s">
        <v>160</v>
      </c>
      <c r="C472" s="817"/>
      <c r="D472" s="817"/>
      <c r="E472" s="465" t="s">
        <v>74</v>
      </c>
      <c r="F472" s="465" t="s">
        <v>86</v>
      </c>
      <c r="G472" s="341">
        <v>500000</v>
      </c>
      <c r="H472" s="342">
        <v>-1</v>
      </c>
      <c r="I472" s="338">
        <f t="shared" ref="I472:I483" si="47">+ROUND(H472*G472/1000,1)</f>
        <v>-500</v>
      </c>
    </row>
    <row r="473" spans="1:9" s="339" customFormat="1" x14ac:dyDescent="0.3">
      <c r="A473" s="472" t="s">
        <v>717</v>
      </c>
      <c r="B473" s="817" t="s">
        <v>160</v>
      </c>
      <c r="C473" s="817"/>
      <c r="D473" s="817"/>
      <c r="E473" s="465" t="s">
        <v>74</v>
      </c>
      <c r="F473" s="465" t="s">
        <v>86</v>
      </c>
      <c r="G473" s="341">
        <v>600000</v>
      </c>
      <c r="H473" s="342">
        <v>-1</v>
      </c>
      <c r="I473" s="338">
        <f t="shared" si="47"/>
        <v>-600</v>
      </c>
    </row>
    <row r="474" spans="1:9" s="339" customFormat="1" x14ac:dyDescent="0.3">
      <c r="A474" s="472" t="s">
        <v>718</v>
      </c>
      <c r="B474" s="817" t="s">
        <v>160</v>
      </c>
      <c r="C474" s="817"/>
      <c r="D474" s="817"/>
      <c r="E474" s="465" t="s">
        <v>74</v>
      </c>
      <c r="F474" s="465" t="s">
        <v>86</v>
      </c>
      <c r="G474" s="341">
        <v>500000</v>
      </c>
      <c r="H474" s="342">
        <v>-1</v>
      </c>
      <c r="I474" s="338">
        <f t="shared" si="47"/>
        <v>-500</v>
      </c>
    </row>
    <row r="475" spans="1:9" s="339" customFormat="1" x14ac:dyDescent="0.3">
      <c r="A475" s="472" t="s">
        <v>719</v>
      </c>
      <c r="B475" s="817" t="s">
        <v>160</v>
      </c>
      <c r="C475" s="817"/>
      <c r="D475" s="817"/>
      <c r="E475" s="465" t="s">
        <v>74</v>
      </c>
      <c r="F475" s="465" t="s">
        <v>86</v>
      </c>
      <c r="G475" s="341">
        <v>500000</v>
      </c>
      <c r="H475" s="342">
        <v>-1</v>
      </c>
      <c r="I475" s="338">
        <f t="shared" si="47"/>
        <v>-500</v>
      </c>
    </row>
    <row r="476" spans="1:9" s="339" customFormat="1" x14ac:dyDescent="0.3">
      <c r="A476" s="472" t="s">
        <v>720</v>
      </c>
      <c r="B476" s="817" t="s">
        <v>160</v>
      </c>
      <c r="C476" s="817"/>
      <c r="D476" s="817"/>
      <c r="E476" s="465" t="s">
        <v>74</v>
      </c>
      <c r="F476" s="465" t="s">
        <v>86</v>
      </c>
      <c r="G476" s="341">
        <v>600000</v>
      </c>
      <c r="H476" s="342">
        <v>-1</v>
      </c>
      <c r="I476" s="338">
        <f t="shared" si="47"/>
        <v>-600</v>
      </c>
    </row>
    <row r="477" spans="1:9" s="339" customFormat="1" x14ac:dyDescent="0.3">
      <c r="A477" s="472" t="s">
        <v>721</v>
      </c>
      <c r="B477" s="817" t="s">
        <v>160</v>
      </c>
      <c r="C477" s="817"/>
      <c r="D477" s="817"/>
      <c r="E477" s="465" t="s">
        <v>74</v>
      </c>
      <c r="F477" s="465" t="s">
        <v>86</v>
      </c>
      <c r="G477" s="341">
        <v>500000</v>
      </c>
      <c r="H477" s="342">
        <v>-1</v>
      </c>
      <c r="I477" s="338">
        <f t="shared" si="47"/>
        <v>-500</v>
      </c>
    </row>
    <row r="478" spans="1:9" s="339" customFormat="1" x14ac:dyDescent="0.3">
      <c r="A478" s="472" t="s">
        <v>722</v>
      </c>
      <c r="B478" s="817" t="s">
        <v>160</v>
      </c>
      <c r="C478" s="817"/>
      <c r="D478" s="817"/>
      <c r="E478" s="465" t="s">
        <v>74</v>
      </c>
      <c r="F478" s="465" t="s">
        <v>86</v>
      </c>
      <c r="G478" s="341">
        <v>600000</v>
      </c>
      <c r="H478" s="342">
        <v>-1</v>
      </c>
      <c r="I478" s="338">
        <f t="shared" si="47"/>
        <v>-600</v>
      </c>
    </row>
    <row r="479" spans="1:9" s="339" customFormat="1" x14ac:dyDescent="0.3">
      <c r="A479" s="472" t="s">
        <v>723</v>
      </c>
      <c r="B479" s="817" t="s">
        <v>160</v>
      </c>
      <c r="C479" s="817"/>
      <c r="D479" s="817"/>
      <c r="E479" s="465" t="s">
        <v>74</v>
      </c>
      <c r="F479" s="465" t="s">
        <v>86</v>
      </c>
      <c r="G479" s="341">
        <v>600000</v>
      </c>
      <c r="H479" s="342">
        <v>-1</v>
      </c>
      <c r="I479" s="338">
        <f t="shared" si="47"/>
        <v>-600</v>
      </c>
    </row>
    <row r="480" spans="1:9" s="339" customFormat="1" x14ac:dyDescent="0.3">
      <c r="A480" s="472" t="s">
        <v>724</v>
      </c>
      <c r="B480" s="817" t="s">
        <v>160</v>
      </c>
      <c r="C480" s="817"/>
      <c r="D480" s="817"/>
      <c r="E480" s="465" t="s">
        <v>74</v>
      </c>
      <c r="F480" s="465" t="s">
        <v>86</v>
      </c>
      <c r="G480" s="341">
        <v>600000</v>
      </c>
      <c r="H480" s="342">
        <v>-1</v>
      </c>
      <c r="I480" s="338">
        <f t="shared" si="47"/>
        <v>-600</v>
      </c>
    </row>
    <row r="481" spans="1:9" s="339" customFormat="1" x14ac:dyDescent="0.3">
      <c r="A481" s="472" t="s">
        <v>725</v>
      </c>
      <c r="B481" s="817" t="s">
        <v>160</v>
      </c>
      <c r="C481" s="817"/>
      <c r="D481" s="817"/>
      <c r="E481" s="465" t="s">
        <v>74</v>
      </c>
      <c r="F481" s="465" t="s">
        <v>86</v>
      </c>
      <c r="G481" s="341">
        <v>600000</v>
      </c>
      <c r="H481" s="342">
        <v>-1</v>
      </c>
      <c r="I481" s="338">
        <f t="shared" si="47"/>
        <v>-600</v>
      </c>
    </row>
    <row r="482" spans="1:9" s="339" customFormat="1" x14ac:dyDescent="0.3">
      <c r="A482" s="472" t="s">
        <v>726</v>
      </c>
      <c r="B482" s="817" t="s">
        <v>160</v>
      </c>
      <c r="C482" s="817"/>
      <c r="D482" s="817"/>
      <c r="E482" s="465" t="s">
        <v>74</v>
      </c>
      <c r="F482" s="465" t="s">
        <v>86</v>
      </c>
      <c r="G482" s="341">
        <v>500000</v>
      </c>
      <c r="H482" s="342">
        <v>-1</v>
      </c>
      <c r="I482" s="338">
        <f t="shared" si="47"/>
        <v>-500</v>
      </c>
    </row>
    <row r="483" spans="1:9" s="339" customFormat="1" x14ac:dyDescent="0.3">
      <c r="A483" s="472" t="s">
        <v>727</v>
      </c>
      <c r="B483" s="817" t="s">
        <v>160</v>
      </c>
      <c r="C483" s="817"/>
      <c r="D483" s="817"/>
      <c r="E483" s="465" t="s">
        <v>74</v>
      </c>
      <c r="F483" s="465" t="s">
        <v>86</v>
      </c>
      <c r="G483" s="341">
        <v>600000</v>
      </c>
      <c r="H483" s="342">
        <v>-1</v>
      </c>
      <c r="I483" s="338">
        <f t="shared" si="47"/>
        <v>-600</v>
      </c>
    </row>
    <row r="484" spans="1:9" s="339" customFormat="1" x14ac:dyDescent="0.3">
      <c r="A484" s="472" t="s">
        <v>519</v>
      </c>
      <c r="B484" s="817" t="s">
        <v>160</v>
      </c>
      <c r="C484" s="817"/>
      <c r="D484" s="817"/>
      <c r="E484" s="465" t="s">
        <v>74</v>
      </c>
      <c r="F484" s="465" t="s">
        <v>86</v>
      </c>
      <c r="G484" s="341">
        <v>1000000</v>
      </c>
      <c r="H484" s="342">
        <v>-1</v>
      </c>
      <c r="I484" s="338">
        <f t="shared" ref="I484:I487" si="48">+ROUND(H484*G484/1000,1)</f>
        <v>-1000</v>
      </c>
    </row>
    <row r="485" spans="1:9" s="339" customFormat="1" x14ac:dyDescent="0.3">
      <c r="A485" s="472" t="s">
        <v>520</v>
      </c>
      <c r="B485" s="817" t="s">
        <v>160</v>
      </c>
      <c r="C485" s="817"/>
      <c r="D485" s="817"/>
      <c r="E485" s="465" t="s">
        <v>74</v>
      </c>
      <c r="F485" s="465" t="s">
        <v>86</v>
      </c>
      <c r="G485" s="341">
        <v>1500000</v>
      </c>
      <c r="H485" s="342">
        <v>-1</v>
      </c>
      <c r="I485" s="338">
        <f t="shared" si="48"/>
        <v>-1500</v>
      </c>
    </row>
    <row r="486" spans="1:9" s="339" customFormat="1" x14ac:dyDescent="0.3">
      <c r="A486" s="472" t="s">
        <v>728</v>
      </c>
      <c r="B486" s="817" t="s">
        <v>160</v>
      </c>
      <c r="C486" s="817"/>
      <c r="D486" s="817"/>
      <c r="E486" s="465" t="s">
        <v>74</v>
      </c>
      <c r="F486" s="465" t="s">
        <v>86</v>
      </c>
      <c r="G486" s="341">
        <v>700000</v>
      </c>
      <c r="H486" s="342">
        <v>-1</v>
      </c>
      <c r="I486" s="338">
        <f t="shared" si="48"/>
        <v>-700</v>
      </c>
    </row>
    <row r="487" spans="1:9" s="339" customFormat="1" x14ac:dyDescent="0.3">
      <c r="A487" s="472" t="s">
        <v>729</v>
      </c>
      <c r="B487" s="817" t="s">
        <v>160</v>
      </c>
      <c r="C487" s="817"/>
      <c r="D487" s="817"/>
      <c r="E487" s="465" t="s">
        <v>74</v>
      </c>
      <c r="F487" s="465" t="s">
        <v>86</v>
      </c>
      <c r="G487" s="341">
        <v>700000</v>
      </c>
      <c r="H487" s="342">
        <v>-1</v>
      </c>
      <c r="I487" s="338">
        <f t="shared" si="48"/>
        <v>-700</v>
      </c>
    </row>
    <row r="488" spans="1:9" s="339" customFormat="1" x14ac:dyDescent="0.3">
      <c r="A488" s="472" t="s">
        <v>730</v>
      </c>
      <c r="B488" s="817" t="s">
        <v>160</v>
      </c>
      <c r="C488" s="817"/>
      <c r="D488" s="817"/>
      <c r="E488" s="465" t="s">
        <v>74</v>
      </c>
      <c r="F488" s="465" t="s">
        <v>86</v>
      </c>
      <c r="G488" s="341">
        <v>600000</v>
      </c>
      <c r="H488" s="342">
        <v>-1</v>
      </c>
      <c r="I488" s="338">
        <f t="shared" ref="I488:I495" si="49">+ROUND(H488*G488/1000,1)</f>
        <v>-600</v>
      </c>
    </row>
    <row r="489" spans="1:9" s="339" customFormat="1" x14ac:dyDescent="0.3">
      <c r="A489" s="472" t="s">
        <v>731</v>
      </c>
      <c r="B489" s="817" t="s">
        <v>160</v>
      </c>
      <c r="C489" s="817"/>
      <c r="D489" s="817"/>
      <c r="E489" s="465" t="s">
        <v>74</v>
      </c>
      <c r="F489" s="465" t="s">
        <v>86</v>
      </c>
      <c r="G489" s="341">
        <v>500000</v>
      </c>
      <c r="H489" s="342">
        <v>-1</v>
      </c>
      <c r="I489" s="338">
        <f t="shared" si="49"/>
        <v>-500</v>
      </c>
    </row>
    <row r="490" spans="1:9" s="339" customFormat="1" x14ac:dyDescent="0.3">
      <c r="A490" s="472" t="s">
        <v>732</v>
      </c>
      <c r="B490" s="817" t="s">
        <v>160</v>
      </c>
      <c r="C490" s="817"/>
      <c r="D490" s="817"/>
      <c r="E490" s="465" t="s">
        <v>74</v>
      </c>
      <c r="F490" s="465" t="s">
        <v>86</v>
      </c>
      <c r="G490" s="341">
        <v>600000</v>
      </c>
      <c r="H490" s="342">
        <v>-1</v>
      </c>
      <c r="I490" s="338">
        <f t="shared" si="49"/>
        <v>-600</v>
      </c>
    </row>
    <row r="491" spans="1:9" s="339" customFormat="1" x14ac:dyDescent="0.3">
      <c r="A491" s="472" t="s">
        <v>733</v>
      </c>
      <c r="B491" s="817" t="s">
        <v>160</v>
      </c>
      <c r="C491" s="817"/>
      <c r="D491" s="817"/>
      <c r="E491" s="465" t="s">
        <v>74</v>
      </c>
      <c r="F491" s="465" t="s">
        <v>86</v>
      </c>
      <c r="G491" s="341">
        <v>600000</v>
      </c>
      <c r="H491" s="342">
        <v>-1</v>
      </c>
      <c r="I491" s="338">
        <f t="shared" si="49"/>
        <v>-600</v>
      </c>
    </row>
    <row r="492" spans="1:9" s="339" customFormat="1" x14ac:dyDescent="0.3">
      <c r="A492" s="472" t="s">
        <v>734</v>
      </c>
      <c r="B492" s="817" t="s">
        <v>160</v>
      </c>
      <c r="C492" s="817"/>
      <c r="D492" s="817"/>
      <c r="E492" s="465" t="s">
        <v>74</v>
      </c>
      <c r="F492" s="465" t="s">
        <v>86</v>
      </c>
      <c r="G492" s="341">
        <v>500000</v>
      </c>
      <c r="H492" s="342">
        <v>-1</v>
      </c>
      <c r="I492" s="338">
        <f t="shared" si="49"/>
        <v>-500</v>
      </c>
    </row>
    <row r="493" spans="1:9" s="339" customFormat="1" x14ac:dyDescent="0.3">
      <c r="A493" s="472" t="s">
        <v>735</v>
      </c>
      <c r="B493" s="817" t="s">
        <v>160</v>
      </c>
      <c r="C493" s="817"/>
      <c r="D493" s="817"/>
      <c r="E493" s="465" t="s">
        <v>74</v>
      </c>
      <c r="F493" s="465" t="s">
        <v>86</v>
      </c>
      <c r="G493" s="341">
        <v>1200000</v>
      </c>
      <c r="H493" s="342">
        <v>-1</v>
      </c>
      <c r="I493" s="338">
        <f t="shared" si="49"/>
        <v>-1200</v>
      </c>
    </row>
    <row r="494" spans="1:9" s="339" customFormat="1" x14ac:dyDescent="0.3">
      <c r="A494" s="472" t="s">
        <v>736</v>
      </c>
      <c r="B494" s="817" t="s">
        <v>160</v>
      </c>
      <c r="C494" s="817"/>
      <c r="D494" s="817"/>
      <c r="E494" s="465" t="s">
        <v>74</v>
      </c>
      <c r="F494" s="465" t="s">
        <v>86</v>
      </c>
      <c r="G494" s="341">
        <v>500000</v>
      </c>
      <c r="H494" s="342">
        <v>-1</v>
      </c>
      <c r="I494" s="338">
        <f t="shared" si="49"/>
        <v>-500</v>
      </c>
    </row>
    <row r="495" spans="1:9" s="339" customFormat="1" x14ac:dyDescent="0.3">
      <c r="A495" s="472" t="s">
        <v>737</v>
      </c>
      <c r="B495" s="817" t="s">
        <v>160</v>
      </c>
      <c r="C495" s="817"/>
      <c r="D495" s="817"/>
      <c r="E495" s="465" t="s">
        <v>74</v>
      </c>
      <c r="F495" s="465" t="s">
        <v>86</v>
      </c>
      <c r="G495" s="341">
        <v>500000</v>
      </c>
      <c r="H495" s="342">
        <v>-1</v>
      </c>
      <c r="I495" s="338">
        <f t="shared" si="49"/>
        <v>-500</v>
      </c>
    </row>
    <row r="496" spans="1:9" s="329" customFormat="1" ht="54.9" customHeight="1" x14ac:dyDescent="0.3">
      <c r="A496" s="67" t="s">
        <v>324</v>
      </c>
      <c r="B496" s="825" t="s">
        <v>325</v>
      </c>
      <c r="C496" s="825"/>
      <c r="D496" s="825"/>
      <c r="E496" s="825"/>
      <c r="F496" s="825"/>
      <c r="G496" s="825"/>
      <c r="H496" s="825"/>
      <c r="I496" s="328">
        <f>+I497+I511</f>
        <v>-1368042.7000000002</v>
      </c>
    </row>
    <row r="497" spans="1:9" s="31" customFormat="1" ht="21" customHeight="1" x14ac:dyDescent="0.3">
      <c r="A497" s="330"/>
      <c r="B497" s="819" t="s">
        <v>75</v>
      </c>
      <c r="C497" s="820"/>
      <c r="D497" s="821"/>
      <c r="E497" s="331"/>
      <c r="F497" s="331"/>
      <c r="G497" s="331"/>
      <c r="H497" s="332"/>
      <c r="I497" s="333">
        <f>SUM(I498:I510)</f>
        <v>-1310151.9000000001</v>
      </c>
    </row>
    <row r="498" spans="1:9" s="339" customFormat="1" ht="17.55" customHeight="1" x14ac:dyDescent="0.3">
      <c r="A498" s="472" t="s">
        <v>530</v>
      </c>
      <c r="B498" s="817" t="s">
        <v>326</v>
      </c>
      <c r="C498" s="817"/>
      <c r="D498" s="817"/>
      <c r="E498" s="465" t="s">
        <v>261</v>
      </c>
      <c r="F498" s="465" t="s">
        <v>76</v>
      </c>
      <c r="G498" s="341"/>
      <c r="H498" s="342"/>
      <c r="I498" s="338">
        <v>-50000</v>
      </c>
    </row>
    <row r="499" spans="1:9" s="339" customFormat="1" ht="17.55" customHeight="1" x14ac:dyDescent="0.3">
      <c r="A499" s="472" t="s">
        <v>533</v>
      </c>
      <c r="B499" s="817" t="s">
        <v>326</v>
      </c>
      <c r="C499" s="817"/>
      <c r="D499" s="817"/>
      <c r="E499" s="465" t="s">
        <v>261</v>
      </c>
      <c r="F499" s="465" t="s">
        <v>76</v>
      </c>
      <c r="G499" s="341"/>
      <c r="H499" s="342"/>
      <c r="I499" s="338">
        <v>-100000</v>
      </c>
    </row>
    <row r="500" spans="1:9" s="339" customFormat="1" ht="17.55" customHeight="1" x14ac:dyDescent="0.3">
      <c r="A500" s="472" t="s">
        <v>327</v>
      </c>
      <c r="B500" s="817" t="s">
        <v>326</v>
      </c>
      <c r="C500" s="817"/>
      <c r="D500" s="817"/>
      <c r="E500" s="465" t="s">
        <v>261</v>
      </c>
      <c r="F500" s="465" t="s">
        <v>76</v>
      </c>
      <c r="G500" s="341"/>
      <c r="H500" s="342"/>
      <c r="I500" s="338">
        <v>1062.9000000000001</v>
      </c>
    </row>
    <row r="501" spans="1:9" s="339" customFormat="1" ht="17.55" customHeight="1" x14ac:dyDescent="0.3">
      <c r="A501" s="472" t="s">
        <v>331</v>
      </c>
      <c r="B501" s="817" t="s">
        <v>326</v>
      </c>
      <c r="C501" s="817"/>
      <c r="D501" s="817"/>
      <c r="E501" s="465" t="s">
        <v>261</v>
      </c>
      <c r="F501" s="465" t="s">
        <v>76</v>
      </c>
      <c r="G501" s="341"/>
      <c r="H501" s="342"/>
      <c r="I501" s="338">
        <v>2680.2</v>
      </c>
    </row>
    <row r="502" spans="1:9" s="339" customFormat="1" ht="17.55" customHeight="1" x14ac:dyDescent="0.3">
      <c r="A502" s="472" t="s">
        <v>333</v>
      </c>
      <c r="B502" s="817" t="s">
        <v>326</v>
      </c>
      <c r="C502" s="817"/>
      <c r="D502" s="817"/>
      <c r="E502" s="465" t="s">
        <v>261</v>
      </c>
      <c r="F502" s="465" t="s">
        <v>76</v>
      </c>
      <c r="G502" s="341"/>
      <c r="H502" s="342"/>
      <c r="I502" s="338">
        <v>-70000</v>
      </c>
    </row>
    <row r="503" spans="1:9" s="339" customFormat="1" ht="17.55" customHeight="1" x14ac:dyDescent="0.3">
      <c r="A503" s="472" t="s">
        <v>537</v>
      </c>
      <c r="B503" s="817" t="s">
        <v>326</v>
      </c>
      <c r="C503" s="817"/>
      <c r="D503" s="817"/>
      <c r="E503" s="465" t="s">
        <v>261</v>
      </c>
      <c r="F503" s="465" t="s">
        <v>76</v>
      </c>
      <c r="G503" s="341"/>
      <c r="H503" s="342"/>
      <c r="I503" s="338">
        <v>-200000</v>
      </c>
    </row>
    <row r="504" spans="1:9" s="339" customFormat="1" ht="17.55" customHeight="1" x14ac:dyDescent="0.3">
      <c r="A504" s="472" t="s">
        <v>336</v>
      </c>
      <c r="B504" s="817" t="s">
        <v>326</v>
      </c>
      <c r="C504" s="817"/>
      <c r="D504" s="817"/>
      <c r="E504" s="465" t="s">
        <v>261</v>
      </c>
      <c r="F504" s="465" t="s">
        <v>76</v>
      </c>
      <c r="G504" s="341"/>
      <c r="H504" s="342"/>
      <c r="I504" s="338">
        <v>-159306.20000000001</v>
      </c>
    </row>
    <row r="505" spans="1:9" s="339" customFormat="1" ht="17.25" customHeight="1" x14ac:dyDescent="0.3">
      <c r="A505" s="472" t="s">
        <v>337</v>
      </c>
      <c r="B505" s="817" t="s">
        <v>326</v>
      </c>
      <c r="C505" s="817"/>
      <c r="D505" s="817"/>
      <c r="E505" s="465" t="s">
        <v>261</v>
      </c>
      <c r="F505" s="465" t="s">
        <v>76</v>
      </c>
      <c r="G505" s="341"/>
      <c r="H505" s="342"/>
      <c r="I505" s="338">
        <v>-159584.5</v>
      </c>
    </row>
    <row r="506" spans="1:9" s="339" customFormat="1" ht="17.25" customHeight="1" x14ac:dyDescent="0.3">
      <c r="A506" s="472" t="s">
        <v>540</v>
      </c>
      <c r="B506" s="817" t="s">
        <v>326</v>
      </c>
      <c r="C506" s="817"/>
      <c r="D506" s="817"/>
      <c r="E506" s="465" t="s">
        <v>261</v>
      </c>
      <c r="F506" s="465" t="s">
        <v>76</v>
      </c>
      <c r="G506" s="341"/>
      <c r="H506" s="342"/>
      <c r="I506" s="338">
        <v>-100000</v>
      </c>
    </row>
    <row r="507" spans="1:9" s="339" customFormat="1" ht="17.25" customHeight="1" x14ac:dyDescent="0.3">
      <c r="A507" s="472" t="s">
        <v>541</v>
      </c>
      <c r="B507" s="817" t="s">
        <v>326</v>
      </c>
      <c r="C507" s="817"/>
      <c r="D507" s="817"/>
      <c r="E507" s="465" t="s">
        <v>261</v>
      </c>
      <c r="F507" s="465" t="s">
        <v>76</v>
      </c>
      <c r="G507" s="341"/>
      <c r="H507" s="342"/>
      <c r="I507" s="338">
        <v>-100000</v>
      </c>
    </row>
    <row r="508" spans="1:9" s="339" customFormat="1" ht="17.55" customHeight="1" x14ac:dyDescent="0.3">
      <c r="A508" s="472" t="s">
        <v>340</v>
      </c>
      <c r="B508" s="817" t="s">
        <v>326</v>
      </c>
      <c r="C508" s="817"/>
      <c r="D508" s="817"/>
      <c r="E508" s="465" t="s">
        <v>261</v>
      </c>
      <c r="F508" s="465" t="s">
        <v>76</v>
      </c>
      <c r="G508" s="341"/>
      <c r="H508" s="342"/>
      <c r="I508" s="338">
        <v>-150000</v>
      </c>
    </row>
    <row r="509" spans="1:9" s="339" customFormat="1" ht="17.55" customHeight="1" x14ac:dyDescent="0.3">
      <c r="A509" s="472" t="s">
        <v>543</v>
      </c>
      <c r="B509" s="817" t="s">
        <v>326</v>
      </c>
      <c r="C509" s="817"/>
      <c r="D509" s="817"/>
      <c r="E509" s="465" t="s">
        <v>261</v>
      </c>
      <c r="F509" s="465" t="s">
        <v>76</v>
      </c>
      <c r="G509" s="341"/>
      <c r="H509" s="342"/>
      <c r="I509" s="338">
        <v>-93004.3</v>
      </c>
    </row>
    <row r="510" spans="1:9" s="339" customFormat="1" ht="17.55" customHeight="1" x14ac:dyDescent="0.3">
      <c r="A510" s="472" t="s">
        <v>534</v>
      </c>
      <c r="B510" s="817" t="s">
        <v>326</v>
      </c>
      <c r="C510" s="817"/>
      <c r="D510" s="817"/>
      <c r="E510" s="465" t="s">
        <v>535</v>
      </c>
      <c r="F510" s="465" t="s">
        <v>76</v>
      </c>
      <c r="G510" s="341"/>
      <c r="H510" s="342"/>
      <c r="I510" s="338">
        <v>-132000</v>
      </c>
    </row>
    <row r="511" spans="1:9" s="339" customFormat="1" ht="21" customHeight="1" x14ac:dyDescent="0.3">
      <c r="A511" s="472"/>
      <c r="B511" s="819" t="s">
        <v>78</v>
      </c>
      <c r="C511" s="820"/>
      <c r="D511" s="821"/>
      <c r="E511" s="331" t="s">
        <v>77</v>
      </c>
      <c r="F511" s="331" t="s">
        <v>77</v>
      </c>
      <c r="G511" s="331" t="s">
        <v>77</v>
      </c>
      <c r="H511" s="340"/>
      <c r="I511" s="333">
        <f>SUM(I512:I520)</f>
        <v>-57890.799999999996</v>
      </c>
    </row>
    <row r="512" spans="1:9" s="339" customFormat="1" x14ac:dyDescent="0.3">
      <c r="A512" s="472" t="s">
        <v>271</v>
      </c>
      <c r="B512" s="817" t="s">
        <v>161</v>
      </c>
      <c r="C512" s="817"/>
      <c r="D512" s="817"/>
      <c r="E512" s="465" t="s">
        <v>74</v>
      </c>
      <c r="F512" s="465" t="s">
        <v>86</v>
      </c>
      <c r="G512" s="341"/>
      <c r="H512" s="342"/>
      <c r="I512" s="338">
        <v>-2305.5</v>
      </c>
    </row>
    <row r="513" spans="1:9" s="339" customFormat="1" x14ac:dyDescent="0.3">
      <c r="A513" s="472" t="s">
        <v>314</v>
      </c>
      <c r="B513" s="817" t="s">
        <v>161</v>
      </c>
      <c r="C513" s="817"/>
      <c r="D513" s="817"/>
      <c r="E513" s="465" t="s">
        <v>74</v>
      </c>
      <c r="F513" s="465" t="s">
        <v>86</v>
      </c>
      <c r="G513" s="341"/>
      <c r="H513" s="342"/>
      <c r="I513" s="338">
        <f>-5055-3353</f>
        <v>-8408</v>
      </c>
    </row>
    <row r="514" spans="1:9" s="339" customFormat="1" x14ac:dyDescent="0.3">
      <c r="A514" s="472" t="s">
        <v>322</v>
      </c>
      <c r="B514" s="817" t="s">
        <v>161</v>
      </c>
      <c r="C514" s="817"/>
      <c r="D514" s="817"/>
      <c r="E514" s="465" t="s">
        <v>74</v>
      </c>
      <c r="F514" s="465" t="s">
        <v>86</v>
      </c>
      <c r="G514" s="341"/>
      <c r="H514" s="342"/>
      <c r="I514" s="338">
        <v>-3038.9</v>
      </c>
    </row>
    <row r="515" spans="1:9" s="339" customFormat="1" x14ac:dyDescent="0.3">
      <c r="A515" s="472" t="s">
        <v>290</v>
      </c>
      <c r="B515" s="817" t="s">
        <v>161</v>
      </c>
      <c r="C515" s="817"/>
      <c r="D515" s="817"/>
      <c r="E515" s="465" t="s">
        <v>74</v>
      </c>
      <c r="F515" s="465" t="s">
        <v>86</v>
      </c>
      <c r="G515" s="341"/>
      <c r="H515" s="342"/>
      <c r="I515" s="338">
        <f>-7058.8-5678.8-6423.6</f>
        <v>-19161.2</v>
      </c>
    </row>
    <row r="516" spans="1:9" s="339" customFormat="1" x14ac:dyDescent="0.3">
      <c r="A516" s="472" t="s">
        <v>292</v>
      </c>
      <c r="B516" s="817" t="s">
        <v>161</v>
      </c>
      <c r="C516" s="817"/>
      <c r="D516" s="817"/>
      <c r="E516" s="465" t="s">
        <v>74</v>
      </c>
      <c r="F516" s="465" t="s">
        <v>86</v>
      </c>
      <c r="G516" s="341"/>
      <c r="H516" s="342"/>
      <c r="I516" s="338">
        <f>-4245.9-4765.2</f>
        <v>-9011.0999999999985</v>
      </c>
    </row>
    <row r="517" spans="1:9" s="339" customFormat="1" x14ac:dyDescent="0.3">
      <c r="A517" s="472" t="s">
        <v>339</v>
      </c>
      <c r="B517" s="817" t="s">
        <v>161</v>
      </c>
      <c r="C517" s="817"/>
      <c r="D517" s="817"/>
      <c r="E517" s="465" t="s">
        <v>74</v>
      </c>
      <c r="F517" s="465" t="s">
        <v>86</v>
      </c>
      <c r="G517" s="341"/>
      <c r="H517" s="342"/>
      <c r="I517" s="338">
        <f>-2000-1026.1</f>
        <v>-3026.1</v>
      </c>
    </row>
    <row r="518" spans="1:9" s="339" customFormat="1" x14ac:dyDescent="0.3">
      <c r="A518" s="472" t="s">
        <v>272</v>
      </c>
      <c r="B518" s="817" t="s">
        <v>162</v>
      </c>
      <c r="C518" s="817"/>
      <c r="D518" s="817"/>
      <c r="E518" s="465" t="s">
        <v>87</v>
      </c>
      <c r="F518" s="465" t="s">
        <v>86</v>
      </c>
      <c r="G518" s="343"/>
      <c r="H518" s="344"/>
      <c r="I518" s="338">
        <f>-322.2-597.9-1308-383.7-1290.7-1047.7-690.3-627.9-650.7-649.7-371.2</f>
        <v>-7939.9999999999991</v>
      </c>
    </row>
    <row r="519" spans="1:9" s="339" customFormat="1" x14ac:dyDescent="0.3">
      <c r="A519" s="472" t="s">
        <v>738</v>
      </c>
      <c r="B519" s="817" t="s">
        <v>274</v>
      </c>
      <c r="C519" s="817"/>
      <c r="D519" s="817"/>
      <c r="E519" s="465" t="s">
        <v>87</v>
      </c>
      <c r="F519" s="465" t="s">
        <v>86</v>
      </c>
      <c r="G519" s="341">
        <v>4500000</v>
      </c>
      <c r="H519" s="342">
        <v>-1</v>
      </c>
      <c r="I519" s="338">
        <f t="shared" ref="I519:I520" si="50">+ROUND(H519*G519/1000,1)</f>
        <v>-4500</v>
      </c>
    </row>
    <row r="520" spans="1:9" s="339" customFormat="1" ht="18" customHeight="1" x14ac:dyDescent="0.3">
      <c r="A520" s="472" t="s">
        <v>739</v>
      </c>
      <c r="B520" s="817" t="s">
        <v>160</v>
      </c>
      <c r="C520" s="817"/>
      <c r="D520" s="817"/>
      <c r="E520" s="465" t="s">
        <v>74</v>
      </c>
      <c r="F520" s="465" t="s">
        <v>86</v>
      </c>
      <c r="G520" s="343">
        <v>500000</v>
      </c>
      <c r="H520" s="344">
        <v>-1</v>
      </c>
      <c r="I520" s="338">
        <f t="shared" si="50"/>
        <v>-500</v>
      </c>
    </row>
    <row r="521" spans="1:9" s="329" customFormat="1" ht="54.9" customHeight="1" x14ac:dyDescent="0.3">
      <c r="A521" s="67" t="s">
        <v>183</v>
      </c>
      <c r="B521" s="825" t="s">
        <v>181</v>
      </c>
      <c r="C521" s="825"/>
      <c r="D521" s="825"/>
      <c r="E521" s="825"/>
      <c r="F521" s="825"/>
      <c r="G521" s="825"/>
      <c r="H521" s="825"/>
      <c r="I521" s="328">
        <f>+I522+I524</f>
        <v>-67555</v>
      </c>
    </row>
    <row r="522" spans="1:9" s="31" customFormat="1" ht="21" customHeight="1" x14ac:dyDescent="0.3">
      <c r="A522" s="330"/>
      <c r="B522" s="819" t="s">
        <v>75</v>
      </c>
      <c r="C522" s="820"/>
      <c r="D522" s="821"/>
      <c r="E522" s="331"/>
      <c r="F522" s="331"/>
      <c r="G522" s="331"/>
      <c r="H522" s="332"/>
      <c r="I522" s="333">
        <f>SUM(I523:I523)</f>
        <v>-50000</v>
      </c>
    </row>
    <row r="523" spans="1:9" s="339" customFormat="1" ht="17.55" customHeight="1" x14ac:dyDescent="0.3">
      <c r="A523" s="472" t="s">
        <v>357</v>
      </c>
      <c r="B523" s="817" t="s">
        <v>264</v>
      </c>
      <c r="C523" s="817"/>
      <c r="D523" s="817"/>
      <c r="E523" s="465" t="s">
        <v>261</v>
      </c>
      <c r="F523" s="465" t="s">
        <v>76</v>
      </c>
      <c r="G523" s="341">
        <v>50000000</v>
      </c>
      <c r="H523" s="342">
        <v>-1</v>
      </c>
      <c r="I523" s="338">
        <f t="shared" ref="I523" si="51">+ROUND(H523*G523/1000,1)</f>
        <v>-50000</v>
      </c>
    </row>
    <row r="524" spans="1:9" s="339" customFormat="1" ht="21" customHeight="1" x14ac:dyDescent="0.3">
      <c r="A524" s="472"/>
      <c r="B524" s="819" t="s">
        <v>78</v>
      </c>
      <c r="C524" s="820"/>
      <c r="D524" s="821"/>
      <c r="E524" s="331" t="s">
        <v>77</v>
      </c>
      <c r="F524" s="331" t="s">
        <v>77</v>
      </c>
      <c r="G524" s="331" t="s">
        <v>77</v>
      </c>
      <c r="H524" s="340"/>
      <c r="I524" s="333">
        <f>SUM(I525:I532)</f>
        <v>-17555</v>
      </c>
    </row>
    <row r="525" spans="1:9" s="339" customFormat="1" x14ac:dyDescent="0.3">
      <c r="A525" s="472" t="s">
        <v>356</v>
      </c>
      <c r="B525" s="817" t="s">
        <v>161</v>
      </c>
      <c r="C525" s="817"/>
      <c r="D525" s="817"/>
      <c r="E525" s="465" t="s">
        <v>74</v>
      </c>
      <c r="F525" s="465" t="s">
        <v>86</v>
      </c>
      <c r="G525" s="341">
        <v>2000000</v>
      </c>
      <c r="H525" s="342">
        <v>-1</v>
      </c>
      <c r="I525" s="338">
        <f t="shared" ref="I525" si="52">+ROUND(H525*G525/1000,1)</f>
        <v>-2000</v>
      </c>
    </row>
    <row r="526" spans="1:9" s="339" customFormat="1" x14ac:dyDescent="0.3">
      <c r="A526" s="472" t="s">
        <v>355</v>
      </c>
      <c r="B526" s="817" t="s">
        <v>162</v>
      </c>
      <c r="C526" s="817"/>
      <c r="D526" s="817"/>
      <c r="E526" s="465" t="s">
        <v>87</v>
      </c>
      <c r="F526" s="465" t="s">
        <v>86</v>
      </c>
      <c r="G526" s="343">
        <v>300000</v>
      </c>
      <c r="H526" s="342">
        <v>-1</v>
      </c>
      <c r="I526" s="338">
        <f t="shared" ref="I526" si="53">+ROUND(H526*G526/1000,1)</f>
        <v>-300</v>
      </c>
    </row>
    <row r="527" spans="1:9" s="339" customFormat="1" x14ac:dyDescent="0.3">
      <c r="A527" s="472" t="s">
        <v>295</v>
      </c>
      <c r="B527" s="817" t="s">
        <v>274</v>
      </c>
      <c r="C527" s="817"/>
      <c r="D527" s="817"/>
      <c r="E527" s="465" t="s">
        <v>87</v>
      </c>
      <c r="F527" s="465" t="s">
        <v>86</v>
      </c>
      <c r="G527" s="341">
        <v>4605000</v>
      </c>
      <c r="H527" s="342">
        <v>-1</v>
      </c>
      <c r="I527" s="338">
        <f t="shared" ref="I527:I530" si="54">+ROUND(H527*G527/1000,1)</f>
        <v>-4605</v>
      </c>
    </row>
    <row r="528" spans="1:9" s="339" customFormat="1" x14ac:dyDescent="0.3">
      <c r="A528" s="472" t="s">
        <v>559</v>
      </c>
      <c r="B528" s="817" t="s">
        <v>274</v>
      </c>
      <c r="C528" s="817"/>
      <c r="D528" s="817"/>
      <c r="E528" s="465" t="s">
        <v>87</v>
      </c>
      <c r="F528" s="465" t="s">
        <v>86</v>
      </c>
      <c r="G528" s="341">
        <v>4605000</v>
      </c>
      <c r="H528" s="342">
        <v>-1</v>
      </c>
      <c r="I528" s="338">
        <f t="shared" ref="I528:I529" si="55">+ROUND(H528*G528/1000,1)</f>
        <v>-4605</v>
      </c>
    </row>
    <row r="529" spans="1:9" s="339" customFormat="1" x14ac:dyDescent="0.3">
      <c r="A529" s="472" t="s">
        <v>560</v>
      </c>
      <c r="B529" s="817" t="s">
        <v>274</v>
      </c>
      <c r="C529" s="817"/>
      <c r="D529" s="817"/>
      <c r="E529" s="465" t="s">
        <v>87</v>
      </c>
      <c r="F529" s="465" t="s">
        <v>86</v>
      </c>
      <c r="G529" s="341">
        <v>4605000</v>
      </c>
      <c r="H529" s="342">
        <v>-1</v>
      </c>
      <c r="I529" s="338">
        <f t="shared" si="55"/>
        <v>-4605</v>
      </c>
    </row>
    <row r="530" spans="1:9" s="339" customFormat="1" ht="18" customHeight="1" x14ac:dyDescent="0.3">
      <c r="A530" s="472" t="s">
        <v>554</v>
      </c>
      <c r="B530" s="817" t="s">
        <v>160</v>
      </c>
      <c r="C530" s="817"/>
      <c r="D530" s="817"/>
      <c r="E530" s="465" t="s">
        <v>74</v>
      </c>
      <c r="F530" s="465" t="s">
        <v>86</v>
      </c>
      <c r="G530" s="343">
        <v>480000</v>
      </c>
      <c r="H530" s="344">
        <v>-1</v>
      </c>
      <c r="I530" s="338">
        <f t="shared" si="54"/>
        <v>-480</v>
      </c>
    </row>
    <row r="531" spans="1:9" s="339" customFormat="1" ht="18" customHeight="1" x14ac:dyDescent="0.3">
      <c r="A531" s="472" t="s">
        <v>557</v>
      </c>
      <c r="B531" s="817" t="s">
        <v>160</v>
      </c>
      <c r="C531" s="817"/>
      <c r="D531" s="817"/>
      <c r="E531" s="465" t="s">
        <v>74</v>
      </c>
      <c r="F531" s="465" t="s">
        <v>86</v>
      </c>
      <c r="G531" s="343">
        <v>480000</v>
      </c>
      <c r="H531" s="344">
        <v>-1</v>
      </c>
      <c r="I531" s="338">
        <f t="shared" ref="I531:I532" si="56">+ROUND(H531*G531/1000,1)</f>
        <v>-480</v>
      </c>
    </row>
    <row r="532" spans="1:9" s="339" customFormat="1" ht="18" customHeight="1" x14ac:dyDescent="0.3">
      <c r="A532" s="472" t="s">
        <v>558</v>
      </c>
      <c r="B532" s="817" t="s">
        <v>160</v>
      </c>
      <c r="C532" s="817"/>
      <c r="D532" s="817"/>
      <c r="E532" s="465" t="s">
        <v>74</v>
      </c>
      <c r="F532" s="465" t="s">
        <v>86</v>
      </c>
      <c r="G532" s="343">
        <v>480000</v>
      </c>
      <c r="H532" s="344">
        <v>-1</v>
      </c>
      <c r="I532" s="338">
        <f t="shared" si="56"/>
        <v>-480</v>
      </c>
    </row>
    <row r="533" spans="1:9" s="329" customFormat="1" ht="54.9" customHeight="1" x14ac:dyDescent="0.3">
      <c r="A533" s="67" t="s">
        <v>359</v>
      </c>
      <c r="B533" s="825" t="s">
        <v>358</v>
      </c>
      <c r="C533" s="825"/>
      <c r="D533" s="825"/>
      <c r="E533" s="825"/>
      <c r="F533" s="825"/>
      <c r="G533" s="825"/>
      <c r="H533" s="825"/>
      <c r="I533" s="328">
        <f>+I534+I538</f>
        <v>-224588.6</v>
      </c>
    </row>
    <row r="534" spans="1:9" s="31" customFormat="1" ht="21" customHeight="1" x14ac:dyDescent="0.3">
      <c r="A534" s="330"/>
      <c r="B534" s="819" t="s">
        <v>75</v>
      </c>
      <c r="C534" s="820"/>
      <c r="D534" s="821"/>
      <c r="E534" s="331"/>
      <c r="F534" s="331"/>
      <c r="G534" s="331"/>
      <c r="H534" s="332"/>
      <c r="I534" s="333">
        <f>SUM(I535:I537)</f>
        <v>-215000</v>
      </c>
    </row>
    <row r="535" spans="1:9" s="339" customFormat="1" ht="17.55" customHeight="1" x14ac:dyDescent="0.3">
      <c r="A535" s="472" t="s">
        <v>401</v>
      </c>
      <c r="B535" s="817" t="s">
        <v>360</v>
      </c>
      <c r="C535" s="817"/>
      <c r="D535" s="817"/>
      <c r="E535" s="465" t="s">
        <v>261</v>
      </c>
      <c r="F535" s="465" t="s">
        <v>76</v>
      </c>
      <c r="G535" s="341"/>
      <c r="H535" s="342"/>
      <c r="I535" s="338">
        <v>-60000</v>
      </c>
    </row>
    <row r="536" spans="1:9" s="339" customFormat="1" ht="17.55" customHeight="1" x14ac:dyDescent="0.3">
      <c r="A536" s="472" t="s">
        <v>563</v>
      </c>
      <c r="B536" s="817" t="s">
        <v>360</v>
      </c>
      <c r="C536" s="817"/>
      <c r="D536" s="817"/>
      <c r="E536" s="465" t="s">
        <v>261</v>
      </c>
      <c r="F536" s="465" t="s">
        <v>76</v>
      </c>
      <c r="G536" s="341"/>
      <c r="H536" s="342"/>
      <c r="I536" s="338">
        <v>-70000</v>
      </c>
    </row>
    <row r="537" spans="1:9" s="339" customFormat="1" ht="17.55" customHeight="1" x14ac:dyDescent="0.3">
      <c r="A537" s="472" t="s">
        <v>564</v>
      </c>
      <c r="B537" s="817" t="s">
        <v>360</v>
      </c>
      <c r="C537" s="817"/>
      <c r="D537" s="817"/>
      <c r="E537" s="465" t="s">
        <v>261</v>
      </c>
      <c r="F537" s="465" t="s">
        <v>76</v>
      </c>
      <c r="G537" s="341"/>
      <c r="H537" s="342"/>
      <c r="I537" s="338">
        <v>-85000</v>
      </c>
    </row>
    <row r="538" spans="1:9" s="339" customFormat="1" ht="21" customHeight="1" x14ac:dyDescent="0.3">
      <c r="A538" s="472"/>
      <c r="B538" s="819" t="s">
        <v>78</v>
      </c>
      <c r="C538" s="820"/>
      <c r="D538" s="821"/>
      <c r="E538" s="331" t="s">
        <v>77</v>
      </c>
      <c r="F538" s="331" t="s">
        <v>77</v>
      </c>
      <c r="G538" s="331" t="s">
        <v>77</v>
      </c>
      <c r="H538" s="340"/>
      <c r="I538" s="333">
        <f>SUM(I539:I544)</f>
        <v>-9588.5999999999985</v>
      </c>
    </row>
    <row r="539" spans="1:9" s="339" customFormat="1" x14ac:dyDescent="0.3">
      <c r="A539" s="472" t="s">
        <v>267</v>
      </c>
      <c r="B539" s="817" t="s">
        <v>161</v>
      </c>
      <c r="C539" s="817"/>
      <c r="D539" s="817"/>
      <c r="E539" s="465" t="s">
        <v>74</v>
      </c>
      <c r="F539" s="465" t="s">
        <v>86</v>
      </c>
      <c r="G539" s="341"/>
      <c r="H539" s="342"/>
      <c r="I539" s="338">
        <v>-2400</v>
      </c>
    </row>
    <row r="540" spans="1:9" s="339" customFormat="1" x14ac:dyDescent="0.3">
      <c r="A540" s="472" t="s">
        <v>271</v>
      </c>
      <c r="B540" s="817" t="s">
        <v>161</v>
      </c>
      <c r="C540" s="817"/>
      <c r="D540" s="817"/>
      <c r="E540" s="465" t="s">
        <v>74</v>
      </c>
      <c r="F540" s="465" t="s">
        <v>86</v>
      </c>
      <c r="G540" s="341"/>
      <c r="H540" s="342"/>
      <c r="I540" s="338">
        <v>-2731.7</v>
      </c>
    </row>
    <row r="541" spans="1:9" s="339" customFormat="1" x14ac:dyDescent="0.3">
      <c r="A541" s="472" t="s">
        <v>346</v>
      </c>
      <c r="B541" s="817" t="s">
        <v>161</v>
      </c>
      <c r="C541" s="817"/>
      <c r="D541" s="817"/>
      <c r="E541" s="465" t="s">
        <v>74</v>
      </c>
      <c r="F541" s="465" t="s">
        <v>86</v>
      </c>
      <c r="G541" s="341"/>
      <c r="H541" s="342"/>
      <c r="I541" s="338">
        <v>-3435.7</v>
      </c>
    </row>
    <row r="542" spans="1:9" s="339" customFormat="1" ht="17.55" customHeight="1" x14ac:dyDescent="0.3">
      <c r="A542" s="472" t="s">
        <v>268</v>
      </c>
      <c r="B542" s="817" t="s">
        <v>162</v>
      </c>
      <c r="C542" s="817"/>
      <c r="D542" s="817"/>
      <c r="E542" s="465" t="s">
        <v>87</v>
      </c>
      <c r="F542" s="465" t="s">
        <v>86</v>
      </c>
      <c r="G542" s="343"/>
      <c r="H542" s="344"/>
      <c r="I542" s="338">
        <v>-223.8</v>
      </c>
    </row>
    <row r="543" spans="1:9" s="339" customFormat="1" ht="17.55" customHeight="1" x14ac:dyDescent="0.3">
      <c r="A543" s="472" t="s">
        <v>272</v>
      </c>
      <c r="B543" s="817" t="s">
        <v>162</v>
      </c>
      <c r="C543" s="817"/>
      <c r="D543" s="817"/>
      <c r="E543" s="465" t="s">
        <v>87</v>
      </c>
      <c r="F543" s="465" t="s">
        <v>86</v>
      </c>
      <c r="G543" s="343"/>
      <c r="H543" s="344"/>
      <c r="I543" s="338">
        <v>-381.1</v>
      </c>
    </row>
    <row r="544" spans="1:9" s="339" customFormat="1" ht="17.55" customHeight="1" x14ac:dyDescent="0.3">
      <c r="A544" s="472" t="s">
        <v>348</v>
      </c>
      <c r="B544" s="817" t="s">
        <v>162</v>
      </c>
      <c r="C544" s="817"/>
      <c r="D544" s="817"/>
      <c r="E544" s="465" t="s">
        <v>87</v>
      </c>
      <c r="F544" s="465" t="s">
        <v>86</v>
      </c>
      <c r="G544" s="343"/>
      <c r="H544" s="344"/>
      <c r="I544" s="338">
        <v>-416.3</v>
      </c>
    </row>
    <row r="545" spans="1:9" s="329" customFormat="1" ht="54.9" customHeight="1" x14ac:dyDescent="0.3">
      <c r="A545" s="67" t="s">
        <v>594</v>
      </c>
      <c r="B545" s="825" t="s">
        <v>595</v>
      </c>
      <c r="C545" s="825"/>
      <c r="D545" s="825"/>
      <c r="E545" s="825"/>
      <c r="F545" s="825"/>
      <c r="G545" s="825"/>
      <c r="H545" s="825"/>
      <c r="I545" s="328">
        <f>+I546</f>
        <v>-267300</v>
      </c>
    </row>
    <row r="546" spans="1:9" s="339" customFormat="1" ht="21" customHeight="1" x14ac:dyDescent="0.3">
      <c r="A546" s="472"/>
      <c r="B546" s="819" t="s">
        <v>78</v>
      </c>
      <c r="C546" s="820"/>
      <c r="D546" s="821"/>
      <c r="E546" s="331" t="s">
        <v>77</v>
      </c>
      <c r="F546" s="331" t="s">
        <v>77</v>
      </c>
      <c r="G546" s="331" t="s">
        <v>77</v>
      </c>
      <c r="H546" s="340"/>
      <c r="I546" s="333">
        <f>SUM(I547:I648)</f>
        <v>-267300</v>
      </c>
    </row>
    <row r="547" spans="1:9" s="339" customFormat="1" x14ac:dyDescent="0.3">
      <c r="A547" s="472" t="s">
        <v>740</v>
      </c>
      <c r="B547" s="817" t="s">
        <v>274</v>
      </c>
      <c r="C547" s="817"/>
      <c r="D547" s="817"/>
      <c r="E547" s="465" t="s">
        <v>74</v>
      </c>
      <c r="F547" s="465" t="s">
        <v>86</v>
      </c>
      <c r="G547" s="341">
        <v>4500000</v>
      </c>
      <c r="H547" s="342">
        <v>-1</v>
      </c>
      <c r="I547" s="338">
        <f t="shared" ref="I547:I600" si="57">+ROUND(H547*G547/1000,1)</f>
        <v>-4500</v>
      </c>
    </row>
    <row r="548" spans="1:9" s="339" customFormat="1" x14ac:dyDescent="0.3">
      <c r="A548" s="472" t="s">
        <v>741</v>
      </c>
      <c r="B548" s="817" t="s">
        <v>274</v>
      </c>
      <c r="C548" s="817"/>
      <c r="D548" s="817"/>
      <c r="E548" s="465" t="s">
        <v>74</v>
      </c>
      <c r="F548" s="465" t="s">
        <v>86</v>
      </c>
      <c r="G548" s="341">
        <v>4500000</v>
      </c>
      <c r="H548" s="342">
        <v>-1</v>
      </c>
      <c r="I548" s="338">
        <f t="shared" si="57"/>
        <v>-4500</v>
      </c>
    </row>
    <row r="549" spans="1:9" s="339" customFormat="1" x14ac:dyDescent="0.3">
      <c r="A549" s="472" t="s">
        <v>742</v>
      </c>
      <c r="B549" s="817" t="s">
        <v>274</v>
      </c>
      <c r="C549" s="817"/>
      <c r="D549" s="817"/>
      <c r="E549" s="465" t="s">
        <v>74</v>
      </c>
      <c r="F549" s="465" t="s">
        <v>86</v>
      </c>
      <c r="G549" s="341">
        <v>4500000</v>
      </c>
      <c r="H549" s="342">
        <v>-1</v>
      </c>
      <c r="I549" s="338">
        <f t="shared" si="57"/>
        <v>-4500</v>
      </c>
    </row>
    <row r="550" spans="1:9" s="339" customFormat="1" x14ac:dyDescent="0.3">
      <c r="A550" s="472" t="s">
        <v>743</v>
      </c>
      <c r="B550" s="817" t="s">
        <v>274</v>
      </c>
      <c r="C550" s="817"/>
      <c r="D550" s="817"/>
      <c r="E550" s="465" t="s">
        <v>74</v>
      </c>
      <c r="F550" s="465" t="s">
        <v>86</v>
      </c>
      <c r="G550" s="341">
        <v>4500000</v>
      </c>
      <c r="H550" s="342">
        <v>-1</v>
      </c>
      <c r="I550" s="338">
        <f t="shared" ref="I550:I553" si="58">+ROUND(H550*G550/1000,1)</f>
        <v>-4500</v>
      </c>
    </row>
    <row r="551" spans="1:9" s="339" customFormat="1" x14ac:dyDescent="0.3">
      <c r="A551" s="472" t="s">
        <v>744</v>
      </c>
      <c r="B551" s="817" t="s">
        <v>274</v>
      </c>
      <c r="C551" s="817"/>
      <c r="D551" s="817"/>
      <c r="E551" s="465" t="s">
        <v>74</v>
      </c>
      <c r="F551" s="465" t="s">
        <v>86</v>
      </c>
      <c r="G551" s="341">
        <v>5000000</v>
      </c>
      <c r="H551" s="342">
        <v>-1</v>
      </c>
      <c r="I551" s="338">
        <f t="shared" si="58"/>
        <v>-5000</v>
      </c>
    </row>
    <row r="552" spans="1:9" s="339" customFormat="1" x14ac:dyDescent="0.3">
      <c r="A552" s="472" t="s">
        <v>745</v>
      </c>
      <c r="B552" s="817" t="s">
        <v>274</v>
      </c>
      <c r="C552" s="817"/>
      <c r="D552" s="817"/>
      <c r="E552" s="465" t="s">
        <v>74</v>
      </c>
      <c r="F552" s="465" t="s">
        <v>86</v>
      </c>
      <c r="G552" s="341">
        <v>4500000</v>
      </c>
      <c r="H552" s="342">
        <v>-1</v>
      </c>
      <c r="I552" s="338">
        <f t="shared" si="58"/>
        <v>-4500</v>
      </c>
    </row>
    <row r="553" spans="1:9" s="339" customFormat="1" x14ac:dyDescent="0.3">
      <c r="A553" s="472" t="s">
        <v>746</v>
      </c>
      <c r="B553" s="817" t="s">
        <v>274</v>
      </c>
      <c r="C553" s="817"/>
      <c r="D553" s="817"/>
      <c r="E553" s="465" t="s">
        <v>74</v>
      </c>
      <c r="F553" s="465" t="s">
        <v>86</v>
      </c>
      <c r="G553" s="341">
        <v>4500000</v>
      </c>
      <c r="H553" s="342">
        <v>-1</v>
      </c>
      <c r="I553" s="338">
        <f t="shared" si="58"/>
        <v>-4500</v>
      </c>
    </row>
    <row r="554" spans="1:9" s="339" customFormat="1" x14ac:dyDescent="0.3">
      <c r="A554" s="472" t="s">
        <v>747</v>
      </c>
      <c r="B554" s="817" t="s">
        <v>274</v>
      </c>
      <c r="C554" s="817"/>
      <c r="D554" s="817"/>
      <c r="E554" s="465" t="s">
        <v>74</v>
      </c>
      <c r="F554" s="465" t="s">
        <v>86</v>
      </c>
      <c r="G554" s="341">
        <v>5000000</v>
      </c>
      <c r="H554" s="342">
        <v>-1</v>
      </c>
      <c r="I554" s="338">
        <f t="shared" ref="I554:I557" si="59">+ROUND(H554*G554/1000,1)</f>
        <v>-5000</v>
      </c>
    </row>
    <row r="555" spans="1:9" s="339" customFormat="1" x14ac:dyDescent="0.3">
      <c r="A555" s="472" t="s">
        <v>748</v>
      </c>
      <c r="B555" s="817" t="s">
        <v>274</v>
      </c>
      <c r="C555" s="817"/>
      <c r="D555" s="817"/>
      <c r="E555" s="465" t="s">
        <v>74</v>
      </c>
      <c r="F555" s="465" t="s">
        <v>86</v>
      </c>
      <c r="G555" s="341">
        <v>5000000</v>
      </c>
      <c r="H555" s="342">
        <v>-1</v>
      </c>
      <c r="I555" s="338">
        <f t="shared" si="59"/>
        <v>-5000</v>
      </c>
    </row>
    <row r="556" spans="1:9" s="339" customFormat="1" x14ac:dyDescent="0.3">
      <c r="A556" s="472" t="s">
        <v>749</v>
      </c>
      <c r="B556" s="817" t="s">
        <v>274</v>
      </c>
      <c r="C556" s="817"/>
      <c r="D556" s="817"/>
      <c r="E556" s="465" t="s">
        <v>74</v>
      </c>
      <c r="F556" s="465" t="s">
        <v>86</v>
      </c>
      <c r="G556" s="341">
        <v>5000000</v>
      </c>
      <c r="H556" s="342">
        <v>-1</v>
      </c>
      <c r="I556" s="338">
        <f t="shared" si="59"/>
        <v>-5000</v>
      </c>
    </row>
    <row r="557" spans="1:9" s="339" customFormat="1" x14ac:dyDescent="0.3">
      <c r="A557" s="472" t="s">
        <v>750</v>
      </c>
      <c r="B557" s="817" t="s">
        <v>274</v>
      </c>
      <c r="C557" s="817"/>
      <c r="D557" s="817"/>
      <c r="E557" s="465" t="s">
        <v>74</v>
      </c>
      <c r="F557" s="465" t="s">
        <v>86</v>
      </c>
      <c r="G557" s="341">
        <v>5000000</v>
      </c>
      <c r="H557" s="342">
        <v>-1</v>
      </c>
      <c r="I557" s="338">
        <f t="shared" si="59"/>
        <v>-5000</v>
      </c>
    </row>
    <row r="558" spans="1:9" s="339" customFormat="1" x14ac:dyDescent="0.3">
      <c r="A558" s="472" t="s">
        <v>751</v>
      </c>
      <c r="B558" s="817" t="s">
        <v>274</v>
      </c>
      <c r="C558" s="817"/>
      <c r="D558" s="817"/>
      <c r="E558" s="465" t="s">
        <v>74</v>
      </c>
      <c r="F558" s="465" t="s">
        <v>86</v>
      </c>
      <c r="G558" s="341">
        <v>4500000</v>
      </c>
      <c r="H558" s="342">
        <v>-1</v>
      </c>
      <c r="I558" s="338">
        <f t="shared" ref="I558:I566" si="60">+ROUND(H558*G558/1000,1)</f>
        <v>-4500</v>
      </c>
    </row>
    <row r="559" spans="1:9" s="339" customFormat="1" x14ac:dyDescent="0.3">
      <c r="A559" s="472" t="s">
        <v>752</v>
      </c>
      <c r="B559" s="817" t="s">
        <v>274</v>
      </c>
      <c r="C559" s="817"/>
      <c r="D559" s="817"/>
      <c r="E559" s="465" t="s">
        <v>74</v>
      </c>
      <c r="F559" s="465" t="s">
        <v>86</v>
      </c>
      <c r="G559" s="341">
        <v>4500000</v>
      </c>
      <c r="H559" s="342">
        <v>-1</v>
      </c>
      <c r="I559" s="338">
        <f t="shared" si="60"/>
        <v>-4500</v>
      </c>
    </row>
    <row r="560" spans="1:9" s="339" customFormat="1" x14ac:dyDescent="0.3">
      <c r="A560" s="472" t="s">
        <v>753</v>
      </c>
      <c r="B560" s="817" t="s">
        <v>274</v>
      </c>
      <c r="C560" s="817"/>
      <c r="D560" s="817"/>
      <c r="E560" s="465" t="s">
        <v>74</v>
      </c>
      <c r="F560" s="465" t="s">
        <v>86</v>
      </c>
      <c r="G560" s="341">
        <v>5000000</v>
      </c>
      <c r="H560" s="342">
        <v>-1</v>
      </c>
      <c r="I560" s="338">
        <f t="shared" si="60"/>
        <v>-5000</v>
      </c>
    </row>
    <row r="561" spans="1:9" s="339" customFormat="1" x14ac:dyDescent="0.3">
      <c r="A561" s="472" t="s">
        <v>754</v>
      </c>
      <c r="B561" s="817" t="s">
        <v>274</v>
      </c>
      <c r="C561" s="817"/>
      <c r="D561" s="817"/>
      <c r="E561" s="465" t="s">
        <v>74</v>
      </c>
      <c r="F561" s="465" t="s">
        <v>86</v>
      </c>
      <c r="G561" s="341">
        <v>4500000</v>
      </c>
      <c r="H561" s="342">
        <v>-1</v>
      </c>
      <c r="I561" s="338">
        <f t="shared" si="60"/>
        <v>-4500</v>
      </c>
    </row>
    <row r="562" spans="1:9" s="339" customFormat="1" x14ac:dyDescent="0.3">
      <c r="A562" s="472" t="s">
        <v>755</v>
      </c>
      <c r="B562" s="817" t="s">
        <v>274</v>
      </c>
      <c r="C562" s="817"/>
      <c r="D562" s="817"/>
      <c r="E562" s="465" t="s">
        <v>74</v>
      </c>
      <c r="F562" s="465" t="s">
        <v>86</v>
      </c>
      <c r="G562" s="341">
        <v>4500000</v>
      </c>
      <c r="H562" s="342">
        <v>-1</v>
      </c>
      <c r="I562" s="338">
        <f t="shared" si="60"/>
        <v>-4500</v>
      </c>
    </row>
    <row r="563" spans="1:9" s="339" customFormat="1" x14ac:dyDescent="0.3">
      <c r="A563" s="472" t="s">
        <v>756</v>
      </c>
      <c r="B563" s="817" t="s">
        <v>274</v>
      </c>
      <c r="C563" s="817"/>
      <c r="D563" s="817"/>
      <c r="E563" s="465" t="s">
        <v>74</v>
      </c>
      <c r="F563" s="465" t="s">
        <v>86</v>
      </c>
      <c r="G563" s="341">
        <v>4500000</v>
      </c>
      <c r="H563" s="342">
        <v>-1</v>
      </c>
      <c r="I563" s="338">
        <f t="shared" si="60"/>
        <v>-4500</v>
      </c>
    </row>
    <row r="564" spans="1:9" s="339" customFormat="1" x14ac:dyDescent="0.3">
      <c r="A564" s="472" t="s">
        <v>757</v>
      </c>
      <c r="B564" s="817" t="s">
        <v>274</v>
      </c>
      <c r="C564" s="817"/>
      <c r="D564" s="817"/>
      <c r="E564" s="465" t="s">
        <v>74</v>
      </c>
      <c r="F564" s="465" t="s">
        <v>86</v>
      </c>
      <c r="G564" s="341">
        <v>4500000</v>
      </c>
      <c r="H564" s="342">
        <v>-1</v>
      </c>
      <c r="I564" s="338">
        <f t="shared" si="60"/>
        <v>-4500</v>
      </c>
    </row>
    <row r="565" spans="1:9" s="339" customFormat="1" x14ac:dyDescent="0.3">
      <c r="A565" s="472" t="s">
        <v>758</v>
      </c>
      <c r="B565" s="817" t="s">
        <v>274</v>
      </c>
      <c r="C565" s="817"/>
      <c r="D565" s="817"/>
      <c r="E565" s="465" t="s">
        <v>74</v>
      </c>
      <c r="F565" s="465" t="s">
        <v>86</v>
      </c>
      <c r="G565" s="341">
        <v>4500000</v>
      </c>
      <c r="H565" s="342">
        <v>-1</v>
      </c>
      <c r="I565" s="338">
        <f t="shared" si="60"/>
        <v>-4500</v>
      </c>
    </row>
    <row r="566" spans="1:9" s="339" customFormat="1" x14ac:dyDescent="0.3">
      <c r="A566" s="472" t="s">
        <v>759</v>
      </c>
      <c r="B566" s="817" t="s">
        <v>274</v>
      </c>
      <c r="C566" s="817"/>
      <c r="D566" s="817"/>
      <c r="E566" s="465" t="s">
        <v>74</v>
      </c>
      <c r="F566" s="465" t="s">
        <v>86</v>
      </c>
      <c r="G566" s="341">
        <v>4500000</v>
      </c>
      <c r="H566" s="342">
        <v>-1</v>
      </c>
      <c r="I566" s="338">
        <f t="shared" si="60"/>
        <v>-4500</v>
      </c>
    </row>
    <row r="567" spans="1:9" s="339" customFormat="1" x14ac:dyDescent="0.3">
      <c r="A567" s="472" t="s">
        <v>760</v>
      </c>
      <c r="B567" s="817" t="s">
        <v>274</v>
      </c>
      <c r="C567" s="817"/>
      <c r="D567" s="817"/>
      <c r="E567" s="465" t="s">
        <v>74</v>
      </c>
      <c r="F567" s="465" t="s">
        <v>86</v>
      </c>
      <c r="G567" s="341">
        <v>4500000</v>
      </c>
      <c r="H567" s="342">
        <v>-1</v>
      </c>
      <c r="I567" s="338">
        <f t="shared" ref="I567:I578" si="61">+ROUND(H567*G567/1000,1)</f>
        <v>-4500</v>
      </c>
    </row>
    <row r="568" spans="1:9" s="339" customFormat="1" x14ac:dyDescent="0.3">
      <c r="A568" s="472" t="s">
        <v>761</v>
      </c>
      <c r="B568" s="817" t="s">
        <v>274</v>
      </c>
      <c r="C568" s="817"/>
      <c r="D568" s="817"/>
      <c r="E568" s="465" t="s">
        <v>74</v>
      </c>
      <c r="F568" s="465" t="s">
        <v>86</v>
      </c>
      <c r="G568" s="341">
        <v>5000000</v>
      </c>
      <c r="H568" s="342">
        <v>-1</v>
      </c>
      <c r="I568" s="338">
        <f t="shared" si="61"/>
        <v>-5000</v>
      </c>
    </row>
    <row r="569" spans="1:9" s="339" customFormat="1" x14ac:dyDescent="0.3">
      <c r="A569" s="472" t="s">
        <v>762</v>
      </c>
      <c r="B569" s="817" t="s">
        <v>274</v>
      </c>
      <c r="C569" s="817"/>
      <c r="D569" s="817"/>
      <c r="E569" s="465" t="s">
        <v>74</v>
      </c>
      <c r="F569" s="465" t="s">
        <v>86</v>
      </c>
      <c r="G569" s="341">
        <v>5000000</v>
      </c>
      <c r="H569" s="342">
        <v>-1</v>
      </c>
      <c r="I569" s="338">
        <f t="shared" si="61"/>
        <v>-5000</v>
      </c>
    </row>
    <row r="570" spans="1:9" s="339" customFormat="1" x14ac:dyDescent="0.3">
      <c r="A570" s="472" t="s">
        <v>763</v>
      </c>
      <c r="B570" s="817" t="s">
        <v>274</v>
      </c>
      <c r="C570" s="817"/>
      <c r="D570" s="817"/>
      <c r="E570" s="465" t="s">
        <v>74</v>
      </c>
      <c r="F570" s="465" t="s">
        <v>86</v>
      </c>
      <c r="G570" s="341">
        <v>5000000</v>
      </c>
      <c r="H570" s="342">
        <v>-1</v>
      </c>
      <c r="I570" s="338">
        <f t="shared" si="61"/>
        <v>-5000</v>
      </c>
    </row>
    <row r="571" spans="1:9" s="339" customFormat="1" x14ac:dyDescent="0.3">
      <c r="A571" s="472" t="s">
        <v>764</v>
      </c>
      <c r="B571" s="817" t="s">
        <v>274</v>
      </c>
      <c r="C571" s="817"/>
      <c r="D571" s="817"/>
      <c r="E571" s="465" t="s">
        <v>74</v>
      </c>
      <c r="F571" s="465" t="s">
        <v>86</v>
      </c>
      <c r="G571" s="341">
        <v>4500000</v>
      </c>
      <c r="H571" s="342">
        <v>-1</v>
      </c>
      <c r="I571" s="338">
        <f t="shared" si="61"/>
        <v>-4500</v>
      </c>
    </row>
    <row r="572" spans="1:9" s="339" customFormat="1" x14ac:dyDescent="0.3">
      <c r="A572" s="472" t="s">
        <v>765</v>
      </c>
      <c r="B572" s="817" t="s">
        <v>274</v>
      </c>
      <c r="C572" s="817"/>
      <c r="D572" s="817"/>
      <c r="E572" s="465" t="s">
        <v>74</v>
      </c>
      <c r="F572" s="465" t="s">
        <v>86</v>
      </c>
      <c r="G572" s="341">
        <v>5000000</v>
      </c>
      <c r="H572" s="342">
        <v>-1</v>
      </c>
      <c r="I572" s="338">
        <f t="shared" si="61"/>
        <v>-5000</v>
      </c>
    </row>
    <row r="573" spans="1:9" s="339" customFormat="1" x14ac:dyDescent="0.3">
      <c r="A573" s="472" t="s">
        <v>766</v>
      </c>
      <c r="B573" s="817" t="s">
        <v>274</v>
      </c>
      <c r="C573" s="817"/>
      <c r="D573" s="817"/>
      <c r="E573" s="465" t="s">
        <v>74</v>
      </c>
      <c r="F573" s="465" t="s">
        <v>86</v>
      </c>
      <c r="G573" s="341">
        <v>5000000</v>
      </c>
      <c r="H573" s="342">
        <v>-1</v>
      </c>
      <c r="I573" s="338">
        <f t="shared" si="61"/>
        <v>-5000</v>
      </c>
    </row>
    <row r="574" spans="1:9" s="339" customFormat="1" x14ac:dyDescent="0.3">
      <c r="A574" s="472" t="s">
        <v>767</v>
      </c>
      <c r="B574" s="817" t="s">
        <v>274</v>
      </c>
      <c r="C574" s="817"/>
      <c r="D574" s="817"/>
      <c r="E574" s="465" t="s">
        <v>74</v>
      </c>
      <c r="F574" s="465" t="s">
        <v>86</v>
      </c>
      <c r="G574" s="341">
        <v>4500000</v>
      </c>
      <c r="H574" s="342">
        <v>-1</v>
      </c>
      <c r="I574" s="338">
        <f t="shared" si="61"/>
        <v>-4500</v>
      </c>
    </row>
    <row r="575" spans="1:9" s="339" customFormat="1" x14ac:dyDescent="0.3">
      <c r="A575" s="472" t="s">
        <v>768</v>
      </c>
      <c r="B575" s="817" t="s">
        <v>274</v>
      </c>
      <c r="C575" s="817"/>
      <c r="D575" s="817"/>
      <c r="E575" s="465" t="s">
        <v>74</v>
      </c>
      <c r="F575" s="465" t="s">
        <v>86</v>
      </c>
      <c r="G575" s="341">
        <v>5000000</v>
      </c>
      <c r="H575" s="342">
        <v>-1</v>
      </c>
      <c r="I575" s="338">
        <f t="shared" si="61"/>
        <v>-5000</v>
      </c>
    </row>
    <row r="576" spans="1:9" s="339" customFormat="1" x14ac:dyDescent="0.3">
      <c r="A576" s="472" t="s">
        <v>769</v>
      </c>
      <c r="B576" s="817" t="s">
        <v>274</v>
      </c>
      <c r="C576" s="817"/>
      <c r="D576" s="817"/>
      <c r="E576" s="465" t="s">
        <v>74</v>
      </c>
      <c r="F576" s="465" t="s">
        <v>86</v>
      </c>
      <c r="G576" s="341">
        <v>5000000</v>
      </c>
      <c r="H576" s="342">
        <v>-1</v>
      </c>
      <c r="I576" s="338">
        <f t="shared" si="61"/>
        <v>-5000</v>
      </c>
    </row>
    <row r="577" spans="1:9" s="339" customFormat="1" x14ac:dyDescent="0.3">
      <c r="A577" s="472" t="s">
        <v>770</v>
      </c>
      <c r="B577" s="817" t="s">
        <v>274</v>
      </c>
      <c r="C577" s="817"/>
      <c r="D577" s="817"/>
      <c r="E577" s="465" t="s">
        <v>74</v>
      </c>
      <c r="F577" s="465" t="s">
        <v>86</v>
      </c>
      <c r="G577" s="341">
        <v>4500000</v>
      </c>
      <c r="H577" s="342">
        <v>-1</v>
      </c>
      <c r="I577" s="338">
        <f t="shared" si="61"/>
        <v>-4500</v>
      </c>
    </row>
    <row r="578" spans="1:9" s="339" customFormat="1" x14ac:dyDescent="0.3">
      <c r="A578" s="472" t="s">
        <v>771</v>
      </c>
      <c r="B578" s="817" t="s">
        <v>274</v>
      </c>
      <c r="C578" s="817"/>
      <c r="D578" s="817"/>
      <c r="E578" s="465" t="s">
        <v>87</v>
      </c>
      <c r="F578" s="465" t="s">
        <v>86</v>
      </c>
      <c r="G578" s="341">
        <v>4500000</v>
      </c>
      <c r="H578" s="342">
        <v>-1</v>
      </c>
      <c r="I578" s="338">
        <f t="shared" si="61"/>
        <v>-4500</v>
      </c>
    </row>
    <row r="579" spans="1:9" s="339" customFormat="1" x14ac:dyDescent="0.3">
      <c r="A579" s="472" t="s">
        <v>772</v>
      </c>
      <c r="B579" s="817" t="s">
        <v>274</v>
      </c>
      <c r="C579" s="817"/>
      <c r="D579" s="817"/>
      <c r="E579" s="465" t="s">
        <v>87</v>
      </c>
      <c r="F579" s="465" t="s">
        <v>86</v>
      </c>
      <c r="G579" s="341">
        <v>4500000</v>
      </c>
      <c r="H579" s="342">
        <v>-1</v>
      </c>
      <c r="I579" s="338">
        <f t="shared" ref="I579:I592" si="62">+ROUND(H579*G579/1000,1)</f>
        <v>-4500</v>
      </c>
    </row>
    <row r="580" spans="1:9" s="339" customFormat="1" x14ac:dyDescent="0.3">
      <c r="A580" s="472" t="s">
        <v>773</v>
      </c>
      <c r="B580" s="817" t="s">
        <v>274</v>
      </c>
      <c r="C580" s="817"/>
      <c r="D580" s="817"/>
      <c r="E580" s="465" t="s">
        <v>87</v>
      </c>
      <c r="F580" s="465" t="s">
        <v>86</v>
      </c>
      <c r="G580" s="341">
        <v>4500000</v>
      </c>
      <c r="H580" s="342">
        <v>-1</v>
      </c>
      <c r="I580" s="338">
        <f t="shared" si="62"/>
        <v>-4500</v>
      </c>
    </row>
    <row r="581" spans="1:9" s="339" customFormat="1" x14ac:dyDescent="0.3">
      <c r="A581" s="472" t="s">
        <v>774</v>
      </c>
      <c r="B581" s="817" t="s">
        <v>274</v>
      </c>
      <c r="C581" s="817"/>
      <c r="D581" s="817"/>
      <c r="E581" s="465" t="s">
        <v>87</v>
      </c>
      <c r="F581" s="465" t="s">
        <v>86</v>
      </c>
      <c r="G581" s="341">
        <v>4500000</v>
      </c>
      <c r="H581" s="342">
        <v>-1</v>
      </c>
      <c r="I581" s="338">
        <f t="shared" si="62"/>
        <v>-4500</v>
      </c>
    </row>
    <row r="582" spans="1:9" s="339" customFormat="1" x14ac:dyDescent="0.3">
      <c r="A582" s="472" t="s">
        <v>775</v>
      </c>
      <c r="B582" s="817" t="s">
        <v>274</v>
      </c>
      <c r="C582" s="817"/>
      <c r="D582" s="817"/>
      <c r="E582" s="465" t="s">
        <v>87</v>
      </c>
      <c r="F582" s="465" t="s">
        <v>86</v>
      </c>
      <c r="G582" s="341">
        <v>4500000</v>
      </c>
      <c r="H582" s="342">
        <v>-1</v>
      </c>
      <c r="I582" s="338">
        <f t="shared" si="62"/>
        <v>-4500</v>
      </c>
    </row>
    <row r="583" spans="1:9" s="339" customFormat="1" x14ac:dyDescent="0.3">
      <c r="A583" s="472" t="s">
        <v>776</v>
      </c>
      <c r="B583" s="817" t="s">
        <v>274</v>
      </c>
      <c r="C583" s="817"/>
      <c r="D583" s="817"/>
      <c r="E583" s="465" t="s">
        <v>87</v>
      </c>
      <c r="F583" s="465" t="s">
        <v>86</v>
      </c>
      <c r="G583" s="341">
        <v>4500000</v>
      </c>
      <c r="H583" s="342">
        <v>-1</v>
      </c>
      <c r="I583" s="338">
        <f t="shared" si="62"/>
        <v>-4500</v>
      </c>
    </row>
    <row r="584" spans="1:9" s="339" customFormat="1" x14ac:dyDescent="0.3">
      <c r="A584" s="472" t="s">
        <v>777</v>
      </c>
      <c r="B584" s="817" t="s">
        <v>274</v>
      </c>
      <c r="C584" s="817"/>
      <c r="D584" s="817"/>
      <c r="E584" s="465" t="s">
        <v>74</v>
      </c>
      <c r="F584" s="465" t="s">
        <v>86</v>
      </c>
      <c r="G584" s="341"/>
      <c r="H584" s="342"/>
      <c r="I584" s="338">
        <v>-17600</v>
      </c>
    </row>
    <row r="585" spans="1:9" s="339" customFormat="1" x14ac:dyDescent="0.3">
      <c r="A585" s="472" t="s">
        <v>778</v>
      </c>
      <c r="B585" s="817" t="s">
        <v>274</v>
      </c>
      <c r="C585" s="817"/>
      <c r="D585" s="817"/>
      <c r="E585" s="465" t="s">
        <v>87</v>
      </c>
      <c r="F585" s="465" t="s">
        <v>86</v>
      </c>
      <c r="G585" s="341">
        <v>4500000</v>
      </c>
      <c r="H585" s="342">
        <v>-1</v>
      </c>
      <c r="I585" s="338">
        <f t="shared" si="62"/>
        <v>-4500</v>
      </c>
    </row>
    <row r="586" spans="1:9" s="339" customFormat="1" x14ac:dyDescent="0.3">
      <c r="A586" s="472" t="s">
        <v>779</v>
      </c>
      <c r="B586" s="817" t="s">
        <v>274</v>
      </c>
      <c r="C586" s="817"/>
      <c r="D586" s="817"/>
      <c r="E586" s="465" t="s">
        <v>87</v>
      </c>
      <c r="F586" s="465" t="s">
        <v>86</v>
      </c>
      <c r="G586" s="341">
        <v>4500000</v>
      </c>
      <c r="H586" s="342">
        <v>-1</v>
      </c>
      <c r="I586" s="338">
        <f t="shared" si="62"/>
        <v>-4500</v>
      </c>
    </row>
    <row r="587" spans="1:9" s="339" customFormat="1" x14ac:dyDescent="0.3">
      <c r="A587" s="472" t="s">
        <v>780</v>
      </c>
      <c r="B587" s="817" t="s">
        <v>274</v>
      </c>
      <c r="C587" s="817"/>
      <c r="D587" s="817"/>
      <c r="E587" s="465" t="s">
        <v>87</v>
      </c>
      <c r="F587" s="465" t="s">
        <v>86</v>
      </c>
      <c r="G587" s="341">
        <v>4500000</v>
      </c>
      <c r="H587" s="342">
        <v>-1</v>
      </c>
      <c r="I587" s="338">
        <f t="shared" si="62"/>
        <v>-4500</v>
      </c>
    </row>
    <row r="588" spans="1:9" s="339" customFormat="1" x14ac:dyDescent="0.3">
      <c r="A588" s="472" t="s">
        <v>781</v>
      </c>
      <c r="B588" s="817" t="s">
        <v>274</v>
      </c>
      <c r="C588" s="817"/>
      <c r="D588" s="817"/>
      <c r="E588" s="465" t="s">
        <v>87</v>
      </c>
      <c r="F588" s="465" t="s">
        <v>86</v>
      </c>
      <c r="G588" s="341">
        <v>4500000</v>
      </c>
      <c r="H588" s="342">
        <v>-1</v>
      </c>
      <c r="I588" s="338">
        <f t="shared" si="62"/>
        <v>-4500</v>
      </c>
    </row>
    <row r="589" spans="1:9" s="339" customFormat="1" x14ac:dyDescent="0.3">
      <c r="A589" s="472" t="s">
        <v>782</v>
      </c>
      <c r="B589" s="817" t="s">
        <v>274</v>
      </c>
      <c r="C589" s="817"/>
      <c r="D589" s="817"/>
      <c r="E589" s="465" t="s">
        <v>74</v>
      </c>
      <c r="F589" s="465" t="s">
        <v>86</v>
      </c>
      <c r="G589" s="341">
        <v>4500000</v>
      </c>
      <c r="H589" s="342">
        <v>-1</v>
      </c>
      <c r="I589" s="338">
        <f t="shared" si="62"/>
        <v>-4500</v>
      </c>
    </row>
    <row r="590" spans="1:9" s="339" customFormat="1" x14ac:dyDescent="0.3">
      <c r="A590" s="472" t="s">
        <v>783</v>
      </c>
      <c r="B590" s="817" t="s">
        <v>274</v>
      </c>
      <c r="C590" s="817"/>
      <c r="D590" s="817"/>
      <c r="E590" s="465" t="s">
        <v>74</v>
      </c>
      <c r="F590" s="465" t="s">
        <v>86</v>
      </c>
      <c r="G590" s="341">
        <v>4500000</v>
      </c>
      <c r="H590" s="342">
        <v>-1</v>
      </c>
      <c r="I590" s="338">
        <f t="shared" si="62"/>
        <v>-4500</v>
      </c>
    </row>
    <row r="591" spans="1:9" s="339" customFormat="1" x14ac:dyDescent="0.3">
      <c r="A591" s="472" t="s">
        <v>784</v>
      </c>
      <c r="B591" s="817" t="s">
        <v>274</v>
      </c>
      <c r="C591" s="817"/>
      <c r="D591" s="817"/>
      <c r="E591" s="465" t="s">
        <v>74</v>
      </c>
      <c r="F591" s="465" t="s">
        <v>86</v>
      </c>
      <c r="G591" s="341">
        <v>4500000</v>
      </c>
      <c r="H591" s="342">
        <v>-1</v>
      </c>
      <c r="I591" s="338">
        <f t="shared" si="62"/>
        <v>-4500</v>
      </c>
    </row>
    <row r="592" spans="1:9" s="339" customFormat="1" x14ac:dyDescent="0.3">
      <c r="A592" s="472" t="s">
        <v>785</v>
      </c>
      <c r="B592" s="817" t="s">
        <v>274</v>
      </c>
      <c r="C592" s="817"/>
      <c r="D592" s="817"/>
      <c r="E592" s="465" t="s">
        <v>87</v>
      </c>
      <c r="F592" s="465" t="s">
        <v>86</v>
      </c>
      <c r="G592" s="341">
        <v>4500000</v>
      </c>
      <c r="H592" s="342">
        <v>-1</v>
      </c>
      <c r="I592" s="338">
        <f t="shared" si="62"/>
        <v>-4500</v>
      </c>
    </row>
    <row r="593" spans="1:9" s="339" customFormat="1" x14ac:dyDescent="0.3">
      <c r="A593" s="472" t="s">
        <v>786</v>
      </c>
      <c r="B593" s="817" t="s">
        <v>274</v>
      </c>
      <c r="C593" s="817"/>
      <c r="D593" s="817"/>
      <c r="E593" s="465" t="s">
        <v>74</v>
      </c>
      <c r="F593" s="465" t="s">
        <v>86</v>
      </c>
      <c r="G593" s="341">
        <v>4500000</v>
      </c>
      <c r="H593" s="342">
        <v>-1</v>
      </c>
      <c r="I593" s="338">
        <f t="shared" ref="I593:I597" si="63">+ROUND(H593*G593/1000,1)</f>
        <v>-4500</v>
      </c>
    </row>
    <row r="594" spans="1:9" s="339" customFormat="1" x14ac:dyDescent="0.3">
      <c r="A594" s="472" t="s">
        <v>787</v>
      </c>
      <c r="B594" s="817" t="s">
        <v>274</v>
      </c>
      <c r="C594" s="817"/>
      <c r="D594" s="817"/>
      <c r="E594" s="465" t="s">
        <v>74</v>
      </c>
      <c r="F594" s="465" t="s">
        <v>86</v>
      </c>
      <c r="G594" s="341">
        <v>5000000</v>
      </c>
      <c r="H594" s="342">
        <v>-1</v>
      </c>
      <c r="I594" s="338">
        <f t="shared" si="63"/>
        <v>-5000</v>
      </c>
    </row>
    <row r="595" spans="1:9" s="339" customFormat="1" x14ac:dyDescent="0.3">
      <c r="A595" s="472" t="s">
        <v>788</v>
      </c>
      <c r="B595" s="817" t="s">
        <v>274</v>
      </c>
      <c r="C595" s="817"/>
      <c r="D595" s="817"/>
      <c r="E595" s="465" t="s">
        <v>74</v>
      </c>
      <c r="F595" s="465" t="s">
        <v>86</v>
      </c>
      <c r="G595" s="341">
        <v>4500000</v>
      </c>
      <c r="H595" s="342">
        <v>-1</v>
      </c>
      <c r="I595" s="338">
        <f t="shared" si="63"/>
        <v>-4500</v>
      </c>
    </row>
    <row r="596" spans="1:9" s="339" customFormat="1" x14ac:dyDescent="0.3">
      <c r="A596" s="472" t="s">
        <v>789</v>
      </c>
      <c r="B596" s="817" t="s">
        <v>274</v>
      </c>
      <c r="C596" s="817"/>
      <c r="D596" s="817"/>
      <c r="E596" s="465" t="s">
        <v>74</v>
      </c>
      <c r="F596" s="465" t="s">
        <v>86</v>
      </c>
      <c r="G596" s="341">
        <v>5000000</v>
      </c>
      <c r="H596" s="342">
        <v>-1</v>
      </c>
      <c r="I596" s="338">
        <f t="shared" si="63"/>
        <v>-5000</v>
      </c>
    </row>
    <row r="597" spans="1:9" s="339" customFormat="1" x14ac:dyDescent="0.3">
      <c r="A597" s="472" t="s">
        <v>790</v>
      </c>
      <c r="B597" s="817" t="s">
        <v>274</v>
      </c>
      <c r="C597" s="817"/>
      <c r="D597" s="817"/>
      <c r="E597" s="465" t="s">
        <v>74</v>
      </c>
      <c r="F597" s="465" t="s">
        <v>86</v>
      </c>
      <c r="G597" s="341">
        <v>4500000</v>
      </c>
      <c r="H597" s="342">
        <v>-1</v>
      </c>
      <c r="I597" s="338">
        <f t="shared" si="63"/>
        <v>-4500</v>
      </c>
    </row>
    <row r="598" spans="1:9" s="339" customFormat="1" ht="18" customHeight="1" x14ac:dyDescent="0.3">
      <c r="A598" s="472" t="s">
        <v>791</v>
      </c>
      <c r="B598" s="817" t="s">
        <v>160</v>
      </c>
      <c r="C598" s="817"/>
      <c r="D598" s="817"/>
      <c r="E598" s="465" t="s">
        <v>74</v>
      </c>
      <c r="F598" s="465" t="s">
        <v>86</v>
      </c>
      <c r="G598" s="343">
        <v>300000</v>
      </c>
      <c r="H598" s="344">
        <v>-1</v>
      </c>
      <c r="I598" s="338">
        <f t="shared" si="57"/>
        <v>-300</v>
      </c>
    </row>
    <row r="599" spans="1:9" s="339" customFormat="1" ht="18" customHeight="1" x14ac:dyDescent="0.3">
      <c r="A599" s="472" t="s">
        <v>792</v>
      </c>
      <c r="B599" s="817" t="s">
        <v>160</v>
      </c>
      <c r="C599" s="817"/>
      <c r="D599" s="817"/>
      <c r="E599" s="465" t="s">
        <v>74</v>
      </c>
      <c r="F599" s="465" t="s">
        <v>86</v>
      </c>
      <c r="G599" s="343">
        <v>300000</v>
      </c>
      <c r="H599" s="344">
        <v>-1</v>
      </c>
      <c r="I599" s="338">
        <f t="shared" si="57"/>
        <v>-300</v>
      </c>
    </row>
    <row r="600" spans="1:9" s="339" customFormat="1" ht="18" customHeight="1" x14ac:dyDescent="0.3">
      <c r="A600" s="472" t="s">
        <v>793</v>
      </c>
      <c r="B600" s="817" t="s">
        <v>160</v>
      </c>
      <c r="C600" s="817"/>
      <c r="D600" s="817"/>
      <c r="E600" s="465" t="s">
        <v>74</v>
      </c>
      <c r="F600" s="465" t="s">
        <v>86</v>
      </c>
      <c r="G600" s="343">
        <v>300000</v>
      </c>
      <c r="H600" s="344">
        <v>-1</v>
      </c>
      <c r="I600" s="338">
        <f t="shared" si="57"/>
        <v>-300</v>
      </c>
    </row>
    <row r="601" spans="1:9" s="339" customFormat="1" ht="18" customHeight="1" x14ac:dyDescent="0.3">
      <c r="A601" s="472" t="s">
        <v>794</v>
      </c>
      <c r="B601" s="817" t="s">
        <v>160</v>
      </c>
      <c r="C601" s="817"/>
      <c r="D601" s="817"/>
      <c r="E601" s="465" t="s">
        <v>74</v>
      </c>
      <c r="F601" s="465" t="s">
        <v>86</v>
      </c>
      <c r="G601" s="343">
        <v>300000</v>
      </c>
      <c r="H601" s="344">
        <v>-1</v>
      </c>
      <c r="I601" s="338">
        <f t="shared" ref="I601:I604" si="64">+ROUND(H601*G601/1000,1)</f>
        <v>-300</v>
      </c>
    </row>
    <row r="602" spans="1:9" s="339" customFormat="1" ht="18" customHeight="1" x14ac:dyDescent="0.3">
      <c r="A602" s="472" t="s">
        <v>795</v>
      </c>
      <c r="B602" s="817" t="s">
        <v>160</v>
      </c>
      <c r="C602" s="817"/>
      <c r="D602" s="817"/>
      <c r="E602" s="465" t="s">
        <v>74</v>
      </c>
      <c r="F602" s="465" t="s">
        <v>86</v>
      </c>
      <c r="G602" s="343">
        <v>400000</v>
      </c>
      <c r="H602" s="344">
        <v>-1</v>
      </c>
      <c r="I602" s="338">
        <f t="shared" si="64"/>
        <v>-400</v>
      </c>
    </row>
    <row r="603" spans="1:9" s="339" customFormat="1" ht="18" customHeight="1" x14ac:dyDescent="0.3">
      <c r="A603" s="472" t="s">
        <v>796</v>
      </c>
      <c r="B603" s="817" t="s">
        <v>160</v>
      </c>
      <c r="C603" s="817"/>
      <c r="D603" s="817"/>
      <c r="E603" s="465" t="s">
        <v>74</v>
      </c>
      <c r="F603" s="465" t="s">
        <v>86</v>
      </c>
      <c r="G603" s="343">
        <v>300000</v>
      </c>
      <c r="H603" s="344">
        <v>-1</v>
      </c>
      <c r="I603" s="338">
        <f t="shared" si="64"/>
        <v>-300</v>
      </c>
    </row>
    <row r="604" spans="1:9" s="339" customFormat="1" ht="18" customHeight="1" x14ac:dyDescent="0.3">
      <c r="A604" s="472" t="s">
        <v>797</v>
      </c>
      <c r="B604" s="817" t="s">
        <v>160</v>
      </c>
      <c r="C604" s="817"/>
      <c r="D604" s="817"/>
      <c r="E604" s="465" t="s">
        <v>74</v>
      </c>
      <c r="F604" s="465" t="s">
        <v>86</v>
      </c>
      <c r="G604" s="343">
        <v>300000</v>
      </c>
      <c r="H604" s="344">
        <v>-1</v>
      </c>
      <c r="I604" s="338">
        <f t="shared" si="64"/>
        <v>-300</v>
      </c>
    </row>
    <row r="605" spans="1:9" s="339" customFormat="1" ht="18" customHeight="1" x14ac:dyDescent="0.3">
      <c r="A605" s="472" t="s">
        <v>798</v>
      </c>
      <c r="B605" s="817" t="s">
        <v>160</v>
      </c>
      <c r="C605" s="817"/>
      <c r="D605" s="817"/>
      <c r="E605" s="465" t="s">
        <v>74</v>
      </c>
      <c r="F605" s="465" t="s">
        <v>86</v>
      </c>
      <c r="G605" s="343">
        <v>400000</v>
      </c>
      <c r="H605" s="344">
        <v>-1</v>
      </c>
      <c r="I605" s="338">
        <f t="shared" ref="I605:I608" si="65">+ROUND(H605*G605/1000,1)</f>
        <v>-400</v>
      </c>
    </row>
    <row r="606" spans="1:9" s="339" customFormat="1" ht="18" customHeight="1" x14ac:dyDescent="0.3">
      <c r="A606" s="472" t="s">
        <v>799</v>
      </c>
      <c r="B606" s="817" t="s">
        <v>160</v>
      </c>
      <c r="C606" s="817"/>
      <c r="D606" s="817"/>
      <c r="E606" s="465" t="s">
        <v>74</v>
      </c>
      <c r="F606" s="465" t="s">
        <v>86</v>
      </c>
      <c r="G606" s="343">
        <v>400000</v>
      </c>
      <c r="H606" s="344">
        <v>-1</v>
      </c>
      <c r="I606" s="338">
        <f t="shared" si="65"/>
        <v>-400</v>
      </c>
    </row>
    <row r="607" spans="1:9" s="339" customFormat="1" ht="18" customHeight="1" x14ac:dyDescent="0.3">
      <c r="A607" s="472" t="s">
        <v>800</v>
      </c>
      <c r="B607" s="817" t="s">
        <v>160</v>
      </c>
      <c r="C607" s="817"/>
      <c r="D607" s="817"/>
      <c r="E607" s="465" t="s">
        <v>74</v>
      </c>
      <c r="F607" s="465" t="s">
        <v>86</v>
      </c>
      <c r="G607" s="343">
        <v>400000</v>
      </c>
      <c r="H607" s="344">
        <v>-1</v>
      </c>
      <c r="I607" s="338">
        <f t="shared" si="65"/>
        <v>-400</v>
      </c>
    </row>
    <row r="608" spans="1:9" s="339" customFormat="1" ht="18" customHeight="1" x14ac:dyDescent="0.3">
      <c r="A608" s="472" t="s">
        <v>801</v>
      </c>
      <c r="B608" s="817" t="s">
        <v>160</v>
      </c>
      <c r="C608" s="817"/>
      <c r="D608" s="817"/>
      <c r="E608" s="465" t="s">
        <v>74</v>
      </c>
      <c r="F608" s="465" t="s">
        <v>86</v>
      </c>
      <c r="G608" s="343">
        <v>400000</v>
      </c>
      <c r="H608" s="344">
        <v>-1</v>
      </c>
      <c r="I608" s="338">
        <f t="shared" si="65"/>
        <v>-400</v>
      </c>
    </row>
    <row r="609" spans="1:9" s="339" customFormat="1" ht="18" customHeight="1" x14ac:dyDescent="0.3">
      <c r="A609" s="472" t="s">
        <v>802</v>
      </c>
      <c r="B609" s="817" t="s">
        <v>160</v>
      </c>
      <c r="C609" s="817"/>
      <c r="D609" s="817"/>
      <c r="E609" s="465" t="s">
        <v>74</v>
      </c>
      <c r="F609" s="465" t="s">
        <v>86</v>
      </c>
      <c r="G609" s="343">
        <v>300000</v>
      </c>
      <c r="H609" s="344">
        <v>-1</v>
      </c>
      <c r="I609" s="338">
        <f t="shared" ref="I609:I617" si="66">+ROUND(H609*G609/1000,1)</f>
        <v>-300</v>
      </c>
    </row>
    <row r="610" spans="1:9" s="339" customFormat="1" ht="18" customHeight="1" x14ac:dyDescent="0.3">
      <c r="A610" s="472" t="s">
        <v>803</v>
      </c>
      <c r="B610" s="817" t="s">
        <v>160</v>
      </c>
      <c r="C610" s="817"/>
      <c r="D610" s="817"/>
      <c r="E610" s="465" t="s">
        <v>74</v>
      </c>
      <c r="F610" s="465" t="s">
        <v>86</v>
      </c>
      <c r="G610" s="343">
        <v>300000</v>
      </c>
      <c r="H610" s="344">
        <v>-1</v>
      </c>
      <c r="I610" s="338">
        <f t="shared" si="66"/>
        <v>-300</v>
      </c>
    </row>
    <row r="611" spans="1:9" s="339" customFormat="1" ht="18" customHeight="1" x14ac:dyDescent="0.3">
      <c r="A611" s="472" t="s">
        <v>804</v>
      </c>
      <c r="B611" s="817" t="s">
        <v>160</v>
      </c>
      <c r="C611" s="817"/>
      <c r="D611" s="817"/>
      <c r="E611" s="465" t="s">
        <v>74</v>
      </c>
      <c r="F611" s="465" t="s">
        <v>86</v>
      </c>
      <c r="G611" s="343">
        <v>400000</v>
      </c>
      <c r="H611" s="344">
        <v>-1</v>
      </c>
      <c r="I611" s="338">
        <f t="shared" si="66"/>
        <v>-400</v>
      </c>
    </row>
    <row r="612" spans="1:9" s="339" customFormat="1" ht="18" customHeight="1" x14ac:dyDescent="0.3">
      <c r="A612" s="472" t="s">
        <v>805</v>
      </c>
      <c r="B612" s="817" t="s">
        <v>160</v>
      </c>
      <c r="C612" s="817"/>
      <c r="D612" s="817"/>
      <c r="E612" s="465" t="s">
        <v>74</v>
      </c>
      <c r="F612" s="465" t="s">
        <v>86</v>
      </c>
      <c r="G612" s="343">
        <v>300000</v>
      </c>
      <c r="H612" s="344">
        <v>-1</v>
      </c>
      <c r="I612" s="338">
        <f t="shared" si="66"/>
        <v>-300</v>
      </c>
    </row>
    <row r="613" spans="1:9" s="339" customFormat="1" ht="18" customHeight="1" x14ac:dyDescent="0.3">
      <c r="A613" s="472" t="s">
        <v>806</v>
      </c>
      <c r="B613" s="817" t="s">
        <v>160</v>
      </c>
      <c r="C613" s="817"/>
      <c r="D613" s="817"/>
      <c r="E613" s="465" t="s">
        <v>74</v>
      </c>
      <c r="F613" s="465" t="s">
        <v>86</v>
      </c>
      <c r="G613" s="343">
        <v>300000</v>
      </c>
      <c r="H613" s="344">
        <v>-1</v>
      </c>
      <c r="I613" s="338">
        <f t="shared" si="66"/>
        <v>-300</v>
      </c>
    </row>
    <row r="614" spans="1:9" s="339" customFormat="1" ht="18" customHeight="1" x14ac:dyDescent="0.3">
      <c r="A614" s="472" t="s">
        <v>807</v>
      </c>
      <c r="B614" s="817" t="s">
        <v>160</v>
      </c>
      <c r="C614" s="817"/>
      <c r="D614" s="817"/>
      <c r="E614" s="465" t="s">
        <v>74</v>
      </c>
      <c r="F614" s="465" t="s">
        <v>86</v>
      </c>
      <c r="G614" s="343">
        <v>300000</v>
      </c>
      <c r="H614" s="344">
        <v>-1</v>
      </c>
      <c r="I614" s="338">
        <f t="shared" si="66"/>
        <v>-300</v>
      </c>
    </row>
    <row r="615" spans="1:9" s="339" customFormat="1" ht="18" customHeight="1" x14ac:dyDescent="0.3">
      <c r="A615" s="472" t="s">
        <v>808</v>
      </c>
      <c r="B615" s="817" t="s">
        <v>160</v>
      </c>
      <c r="C615" s="817"/>
      <c r="D615" s="817"/>
      <c r="E615" s="465" t="s">
        <v>74</v>
      </c>
      <c r="F615" s="465" t="s">
        <v>86</v>
      </c>
      <c r="G615" s="343">
        <v>300000</v>
      </c>
      <c r="H615" s="344">
        <v>-1</v>
      </c>
      <c r="I615" s="338">
        <f t="shared" si="66"/>
        <v>-300</v>
      </c>
    </row>
    <row r="616" spans="1:9" s="339" customFormat="1" ht="18" customHeight="1" x14ac:dyDescent="0.3">
      <c r="A616" s="472" t="s">
        <v>809</v>
      </c>
      <c r="B616" s="817" t="s">
        <v>160</v>
      </c>
      <c r="C616" s="817"/>
      <c r="D616" s="817"/>
      <c r="E616" s="465" t="s">
        <v>74</v>
      </c>
      <c r="F616" s="465" t="s">
        <v>86</v>
      </c>
      <c r="G616" s="343">
        <v>300000</v>
      </c>
      <c r="H616" s="344">
        <v>-1</v>
      </c>
      <c r="I616" s="338">
        <f t="shared" si="66"/>
        <v>-300</v>
      </c>
    </row>
    <row r="617" spans="1:9" s="339" customFormat="1" ht="18" customHeight="1" x14ac:dyDescent="0.3">
      <c r="A617" s="472" t="s">
        <v>810</v>
      </c>
      <c r="B617" s="817" t="s">
        <v>160</v>
      </c>
      <c r="C617" s="817"/>
      <c r="D617" s="817"/>
      <c r="E617" s="465" t="s">
        <v>74</v>
      </c>
      <c r="F617" s="465" t="s">
        <v>86</v>
      </c>
      <c r="G617" s="343">
        <v>300000</v>
      </c>
      <c r="H617" s="344">
        <v>-1</v>
      </c>
      <c r="I617" s="338">
        <f t="shared" si="66"/>
        <v>-300</v>
      </c>
    </row>
    <row r="618" spans="1:9" s="339" customFormat="1" ht="18" customHeight="1" x14ac:dyDescent="0.3">
      <c r="A618" s="472" t="s">
        <v>811</v>
      </c>
      <c r="B618" s="817" t="s">
        <v>160</v>
      </c>
      <c r="C618" s="817"/>
      <c r="D618" s="817"/>
      <c r="E618" s="465" t="s">
        <v>74</v>
      </c>
      <c r="F618" s="465" t="s">
        <v>86</v>
      </c>
      <c r="G618" s="343">
        <v>300000</v>
      </c>
      <c r="H618" s="344">
        <v>-1</v>
      </c>
      <c r="I618" s="338">
        <f t="shared" ref="I618:I622" si="67">+ROUND(H618*G618/1000,1)</f>
        <v>-300</v>
      </c>
    </row>
    <row r="619" spans="1:9" s="339" customFormat="1" ht="18" customHeight="1" x14ac:dyDescent="0.3">
      <c r="A619" s="472" t="s">
        <v>812</v>
      </c>
      <c r="B619" s="817" t="s">
        <v>160</v>
      </c>
      <c r="C619" s="817"/>
      <c r="D619" s="817"/>
      <c r="E619" s="465" t="s">
        <v>74</v>
      </c>
      <c r="F619" s="465" t="s">
        <v>86</v>
      </c>
      <c r="G619" s="343">
        <v>400000</v>
      </c>
      <c r="H619" s="344">
        <v>-1</v>
      </c>
      <c r="I619" s="338">
        <f t="shared" si="67"/>
        <v>-400</v>
      </c>
    </row>
    <row r="620" spans="1:9" s="339" customFormat="1" ht="18" customHeight="1" x14ac:dyDescent="0.3">
      <c r="A620" s="472" t="s">
        <v>813</v>
      </c>
      <c r="B620" s="817" t="s">
        <v>160</v>
      </c>
      <c r="C620" s="817"/>
      <c r="D620" s="817"/>
      <c r="E620" s="465" t="s">
        <v>74</v>
      </c>
      <c r="F620" s="465" t="s">
        <v>86</v>
      </c>
      <c r="G620" s="343">
        <v>400000</v>
      </c>
      <c r="H620" s="344">
        <v>-1</v>
      </c>
      <c r="I620" s="338">
        <f t="shared" si="67"/>
        <v>-400</v>
      </c>
    </row>
    <row r="621" spans="1:9" s="339" customFormat="1" ht="18" customHeight="1" x14ac:dyDescent="0.3">
      <c r="A621" s="472" t="s">
        <v>814</v>
      </c>
      <c r="B621" s="817" t="s">
        <v>160</v>
      </c>
      <c r="C621" s="817"/>
      <c r="D621" s="817"/>
      <c r="E621" s="465" t="s">
        <v>74</v>
      </c>
      <c r="F621" s="465" t="s">
        <v>86</v>
      </c>
      <c r="G621" s="343">
        <v>400000</v>
      </c>
      <c r="H621" s="344">
        <v>-1</v>
      </c>
      <c r="I621" s="338">
        <f t="shared" si="67"/>
        <v>-400</v>
      </c>
    </row>
    <row r="622" spans="1:9" s="339" customFormat="1" ht="18" customHeight="1" x14ac:dyDescent="0.3">
      <c r="A622" s="472" t="s">
        <v>815</v>
      </c>
      <c r="B622" s="817" t="s">
        <v>160</v>
      </c>
      <c r="C622" s="817"/>
      <c r="D622" s="817"/>
      <c r="E622" s="465" t="s">
        <v>74</v>
      </c>
      <c r="F622" s="465" t="s">
        <v>86</v>
      </c>
      <c r="G622" s="343">
        <v>300000</v>
      </c>
      <c r="H622" s="344">
        <v>-1</v>
      </c>
      <c r="I622" s="338">
        <f t="shared" si="67"/>
        <v>-300</v>
      </c>
    </row>
    <row r="623" spans="1:9" s="339" customFormat="1" ht="18" customHeight="1" x14ac:dyDescent="0.3">
      <c r="A623" s="472" t="s">
        <v>816</v>
      </c>
      <c r="B623" s="817" t="s">
        <v>160</v>
      </c>
      <c r="C623" s="817"/>
      <c r="D623" s="817"/>
      <c r="E623" s="465" t="s">
        <v>74</v>
      </c>
      <c r="F623" s="465" t="s">
        <v>86</v>
      </c>
      <c r="G623" s="343">
        <v>400000</v>
      </c>
      <c r="H623" s="344">
        <v>-1</v>
      </c>
      <c r="I623" s="338">
        <f t="shared" ref="I623:I629" si="68">+ROUND(H623*G623/1000,1)</f>
        <v>-400</v>
      </c>
    </row>
    <row r="624" spans="1:9" s="339" customFormat="1" ht="18" customHeight="1" x14ac:dyDescent="0.3">
      <c r="A624" s="472" t="s">
        <v>817</v>
      </c>
      <c r="B624" s="817" t="s">
        <v>160</v>
      </c>
      <c r="C624" s="817"/>
      <c r="D624" s="817"/>
      <c r="E624" s="465" t="s">
        <v>74</v>
      </c>
      <c r="F624" s="465" t="s">
        <v>86</v>
      </c>
      <c r="G624" s="343">
        <v>400000</v>
      </c>
      <c r="H624" s="344">
        <v>-1</v>
      </c>
      <c r="I624" s="338">
        <f t="shared" si="68"/>
        <v>-400</v>
      </c>
    </row>
    <row r="625" spans="1:9" s="339" customFormat="1" ht="18" customHeight="1" x14ac:dyDescent="0.3">
      <c r="A625" s="472" t="s">
        <v>818</v>
      </c>
      <c r="B625" s="817" t="s">
        <v>160</v>
      </c>
      <c r="C625" s="817"/>
      <c r="D625" s="817"/>
      <c r="E625" s="465" t="s">
        <v>74</v>
      </c>
      <c r="F625" s="465" t="s">
        <v>86</v>
      </c>
      <c r="G625" s="343">
        <v>300000</v>
      </c>
      <c r="H625" s="344">
        <v>-1</v>
      </c>
      <c r="I625" s="338">
        <f t="shared" si="68"/>
        <v>-300</v>
      </c>
    </row>
    <row r="626" spans="1:9" s="339" customFormat="1" ht="18" customHeight="1" x14ac:dyDescent="0.3">
      <c r="A626" s="472" t="s">
        <v>819</v>
      </c>
      <c r="B626" s="817" t="s">
        <v>160</v>
      </c>
      <c r="C626" s="817"/>
      <c r="D626" s="817"/>
      <c r="E626" s="465" t="s">
        <v>74</v>
      </c>
      <c r="F626" s="465" t="s">
        <v>86</v>
      </c>
      <c r="G626" s="343">
        <v>400000</v>
      </c>
      <c r="H626" s="344">
        <v>-1</v>
      </c>
      <c r="I626" s="338">
        <f t="shared" si="68"/>
        <v>-400</v>
      </c>
    </row>
    <row r="627" spans="1:9" s="339" customFormat="1" ht="18" customHeight="1" x14ac:dyDescent="0.3">
      <c r="A627" s="472" t="s">
        <v>820</v>
      </c>
      <c r="B627" s="817" t="s">
        <v>160</v>
      </c>
      <c r="C627" s="817"/>
      <c r="D627" s="817"/>
      <c r="E627" s="465" t="s">
        <v>74</v>
      </c>
      <c r="F627" s="465" t="s">
        <v>86</v>
      </c>
      <c r="G627" s="343">
        <v>400000</v>
      </c>
      <c r="H627" s="344">
        <v>-1</v>
      </c>
      <c r="I627" s="338">
        <f t="shared" si="68"/>
        <v>-400</v>
      </c>
    </row>
    <row r="628" spans="1:9" s="339" customFormat="1" ht="18" customHeight="1" x14ac:dyDescent="0.3">
      <c r="A628" s="472" t="s">
        <v>821</v>
      </c>
      <c r="B628" s="817" t="s">
        <v>160</v>
      </c>
      <c r="C628" s="817"/>
      <c r="D628" s="817"/>
      <c r="E628" s="465" t="s">
        <v>74</v>
      </c>
      <c r="F628" s="465" t="s">
        <v>86</v>
      </c>
      <c r="G628" s="343">
        <v>300000</v>
      </c>
      <c r="H628" s="344">
        <v>-1</v>
      </c>
      <c r="I628" s="338">
        <f t="shared" si="68"/>
        <v>-300</v>
      </c>
    </row>
    <row r="629" spans="1:9" s="339" customFormat="1" ht="18" customHeight="1" x14ac:dyDescent="0.3">
      <c r="A629" s="472" t="s">
        <v>822</v>
      </c>
      <c r="B629" s="817" t="s">
        <v>160</v>
      </c>
      <c r="C629" s="817"/>
      <c r="D629" s="817"/>
      <c r="E629" s="465" t="s">
        <v>74</v>
      </c>
      <c r="F629" s="465" t="s">
        <v>86</v>
      </c>
      <c r="G629" s="343">
        <v>300000</v>
      </c>
      <c r="H629" s="344">
        <v>-1</v>
      </c>
      <c r="I629" s="338">
        <f t="shared" si="68"/>
        <v>-300</v>
      </c>
    </row>
    <row r="630" spans="1:9" s="339" customFormat="1" ht="18" customHeight="1" x14ac:dyDescent="0.3">
      <c r="A630" s="472" t="s">
        <v>823</v>
      </c>
      <c r="B630" s="817" t="s">
        <v>160</v>
      </c>
      <c r="C630" s="817"/>
      <c r="D630" s="817"/>
      <c r="E630" s="465" t="s">
        <v>74</v>
      </c>
      <c r="F630" s="465" t="s">
        <v>86</v>
      </c>
      <c r="G630" s="343">
        <v>300000</v>
      </c>
      <c r="H630" s="344">
        <v>-1</v>
      </c>
      <c r="I630" s="338">
        <f t="shared" ref="I630:I643" si="69">+ROUND(H630*G630/1000,1)</f>
        <v>-300</v>
      </c>
    </row>
    <row r="631" spans="1:9" s="339" customFormat="1" ht="18" customHeight="1" x14ac:dyDescent="0.3">
      <c r="A631" s="472" t="s">
        <v>824</v>
      </c>
      <c r="B631" s="817" t="s">
        <v>160</v>
      </c>
      <c r="C631" s="817"/>
      <c r="D631" s="817"/>
      <c r="E631" s="465" t="s">
        <v>74</v>
      </c>
      <c r="F631" s="465" t="s">
        <v>86</v>
      </c>
      <c r="G631" s="343">
        <v>300000</v>
      </c>
      <c r="H631" s="344">
        <v>-1</v>
      </c>
      <c r="I631" s="338">
        <f t="shared" si="69"/>
        <v>-300</v>
      </c>
    </row>
    <row r="632" spans="1:9" s="339" customFormat="1" ht="18" customHeight="1" x14ac:dyDescent="0.3">
      <c r="A632" s="472" t="s">
        <v>825</v>
      </c>
      <c r="B632" s="817" t="s">
        <v>160</v>
      </c>
      <c r="C632" s="817"/>
      <c r="D632" s="817"/>
      <c r="E632" s="465" t="s">
        <v>74</v>
      </c>
      <c r="F632" s="465" t="s">
        <v>86</v>
      </c>
      <c r="G632" s="343">
        <v>300000</v>
      </c>
      <c r="H632" s="344">
        <v>-1</v>
      </c>
      <c r="I632" s="338">
        <f t="shared" si="69"/>
        <v>-300</v>
      </c>
    </row>
    <row r="633" spans="1:9" s="339" customFormat="1" ht="18" customHeight="1" x14ac:dyDescent="0.3">
      <c r="A633" s="472" t="s">
        <v>826</v>
      </c>
      <c r="B633" s="817" t="s">
        <v>160</v>
      </c>
      <c r="C633" s="817"/>
      <c r="D633" s="817"/>
      <c r="E633" s="465" t="s">
        <v>74</v>
      </c>
      <c r="F633" s="465" t="s">
        <v>86</v>
      </c>
      <c r="G633" s="343">
        <v>300000</v>
      </c>
      <c r="H633" s="344">
        <v>-1</v>
      </c>
      <c r="I633" s="338">
        <f t="shared" si="69"/>
        <v>-300</v>
      </c>
    </row>
    <row r="634" spans="1:9" s="339" customFormat="1" ht="18" customHeight="1" x14ac:dyDescent="0.3">
      <c r="A634" s="472" t="s">
        <v>827</v>
      </c>
      <c r="B634" s="817" t="s">
        <v>160</v>
      </c>
      <c r="C634" s="817"/>
      <c r="D634" s="817"/>
      <c r="E634" s="465" t="s">
        <v>74</v>
      </c>
      <c r="F634" s="465" t="s">
        <v>86</v>
      </c>
      <c r="G634" s="343">
        <v>300000</v>
      </c>
      <c r="H634" s="344">
        <v>-1</v>
      </c>
      <c r="I634" s="338">
        <f t="shared" si="69"/>
        <v>-300</v>
      </c>
    </row>
    <row r="635" spans="1:9" s="339" customFormat="1" ht="18" customHeight="1" x14ac:dyDescent="0.3">
      <c r="A635" s="472" t="s">
        <v>828</v>
      </c>
      <c r="B635" s="817" t="s">
        <v>160</v>
      </c>
      <c r="C635" s="817"/>
      <c r="D635" s="817"/>
      <c r="E635" s="465" t="s">
        <v>74</v>
      </c>
      <c r="F635" s="465" t="s">
        <v>86</v>
      </c>
      <c r="G635" s="343">
        <v>700000</v>
      </c>
      <c r="H635" s="344">
        <v>-1</v>
      </c>
      <c r="I635" s="338">
        <f t="shared" si="69"/>
        <v>-700</v>
      </c>
    </row>
    <row r="636" spans="1:9" s="339" customFormat="1" ht="18" customHeight="1" x14ac:dyDescent="0.3">
      <c r="A636" s="472" t="s">
        <v>829</v>
      </c>
      <c r="B636" s="817" t="s">
        <v>160</v>
      </c>
      <c r="C636" s="817"/>
      <c r="D636" s="817"/>
      <c r="E636" s="465" t="s">
        <v>74</v>
      </c>
      <c r="F636" s="465" t="s">
        <v>86</v>
      </c>
      <c r="G636" s="343">
        <v>300000</v>
      </c>
      <c r="H636" s="344">
        <v>-1</v>
      </c>
      <c r="I636" s="338">
        <f t="shared" si="69"/>
        <v>-300</v>
      </c>
    </row>
    <row r="637" spans="1:9" s="339" customFormat="1" ht="18" customHeight="1" x14ac:dyDescent="0.3">
      <c r="A637" s="472" t="s">
        <v>830</v>
      </c>
      <c r="B637" s="817" t="s">
        <v>160</v>
      </c>
      <c r="C637" s="817"/>
      <c r="D637" s="817"/>
      <c r="E637" s="465" t="s">
        <v>74</v>
      </c>
      <c r="F637" s="465" t="s">
        <v>86</v>
      </c>
      <c r="G637" s="343">
        <v>300000</v>
      </c>
      <c r="H637" s="344">
        <v>-1</v>
      </c>
      <c r="I637" s="338">
        <f t="shared" si="69"/>
        <v>-300</v>
      </c>
    </row>
    <row r="638" spans="1:9" s="339" customFormat="1" ht="18" customHeight="1" x14ac:dyDescent="0.3">
      <c r="A638" s="472" t="s">
        <v>831</v>
      </c>
      <c r="B638" s="817" t="s">
        <v>160</v>
      </c>
      <c r="C638" s="817"/>
      <c r="D638" s="817"/>
      <c r="E638" s="465" t="s">
        <v>74</v>
      </c>
      <c r="F638" s="465" t="s">
        <v>86</v>
      </c>
      <c r="G638" s="343">
        <v>300000</v>
      </c>
      <c r="H638" s="344">
        <v>-1</v>
      </c>
      <c r="I638" s="338">
        <f t="shared" si="69"/>
        <v>-300</v>
      </c>
    </row>
    <row r="639" spans="1:9" s="339" customFormat="1" ht="18" customHeight="1" x14ac:dyDescent="0.3">
      <c r="A639" s="472" t="s">
        <v>832</v>
      </c>
      <c r="B639" s="817" t="s">
        <v>160</v>
      </c>
      <c r="C639" s="817"/>
      <c r="D639" s="817"/>
      <c r="E639" s="465" t="s">
        <v>74</v>
      </c>
      <c r="F639" s="465" t="s">
        <v>86</v>
      </c>
      <c r="G639" s="343">
        <v>300000</v>
      </c>
      <c r="H639" s="344">
        <v>-1</v>
      </c>
      <c r="I639" s="338">
        <f t="shared" si="69"/>
        <v>-300</v>
      </c>
    </row>
    <row r="640" spans="1:9" s="339" customFormat="1" ht="18" customHeight="1" x14ac:dyDescent="0.3">
      <c r="A640" s="472" t="s">
        <v>833</v>
      </c>
      <c r="B640" s="817" t="s">
        <v>160</v>
      </c>
      <c r="C640" s="817"/>
      <c r="D640" s="817"/>
      <c r="E640" s="465" t="s">
        <v>74</v>
      </c>
      <c r="F640" s="465" t="s">
        <v>86</v>
      </c>
      <c r="G640" s="343">
        <v>300000</v>
      </c>
      <c r="H640" s="344">
        <v>-1</v>
      </c>
      <c r="I640" s="338">
        <f t="shared" si="69"/>
        <v>-300</v>
      </c>
    </row>
    <row r="641" spans="1:9" s="339" customFormat="1" ht="18" customHeight="1" x14ac:dyDescent="0.3">
      <c r="A641" s="472" t="s">
        <v>834</v>
      </c>
      <c r="B641" s="817" t="s">
        <v>160</v>
      </c>
      <c r="C641" s="817"/>
      <c r="D641" s="817"/>
      <c r="E641" s="465" t="s">
        <v>74</v>
      </c>
      <c r="F641" s="465" t="s">
        <v>86</v>
      </c>
      <c r="G641" s="343">
        <v>300000</v>
      </c>
      <c r="H641" s="344">
        <v>-1</v>
      </c>
      <c r="I641" s="338">
        <f t="shared" si="69"/>
        <v>-300</v>
      </c>
    </row>
    <row r="642" spans="1:9" s="339" customFormat="1" ht="18" customHeight="1" x14ac:dyDescent="0.3">
      <c r="A642" s="472" t="s">
        <v>835</v>
      </c>
      <c r="B642" s="817" t="s">
        <v>160</v>
      </c>
      <c r="C642" s="817"/>
      <c r="D642" s="817"/>
      <c r="E642" s="465" t="s">
        <v>74</v>
      </c>
      <c r="F642" s="465" t="s">
        <v>86</v>
      </c>
      <c r="G642" s="343">
        <v>300000</v>
      </c>
      <c r="H642" s="344">
        <v>-1</v>
      </c>
      <c r="I642" s="338">
        <f t="shared" si="69"/>
        <v>-300</v>
      </c>
    </row>
    <row r="643" spans="1:9" s="339" customFormat="1" ht="18" customHeight="1" x14ac:dyDescent="0.3">
      <c r="A643" s="472" t="s">
        <v>836</v>
      </c>
      <c r="B643" s="817" t="s">
        <v>160</v>
      </c>
      <c r="C643" s="817"/>
      <c r="D643" s="817"/>
      <c r="E643" s="465" t="s">
        <v>74</v>
      </c>
      <c r="F643" s="465" t="s">
        <v>86</v>
      </c>
      <c r="G643" s="343">
        <v>300000</v>
      </c>
      <c r="H643" s="344">
        <v>-1</v>
      </c>
      <c r="I643" s="338">
        <f t="shared" si="69"/>
        <v>-300</v>
      </c>
    </row>
    <row r="644" spans="1:9" s="339" customFormat="1" ht="18" customHeight="1" x14ac:dyDescent="0.3">
      <c r="A644" s="472" t="s">
        <v>837</v>
      </c>
      <c r="B644" s="817" t="s">
        <v>160</v>
      </c>
      <c r="C644" s="817"/>
      <c r="D644" s="817"/>
      <c r="E644" s="465" t="s">
        <v>74</v>
      </c>
      <c r="F644" s="465" t="s">
        <v>86</v>
      </c>
      <c r="G644" s="343">
        <v>300000</v>
      </c>
      <c r="H644" s="344">
        <v>-1</v>
      </c>
      <c r="I644" s="338">
        <f t="shared" ref="I644:I648" si="70">+ROUND(H644*G644/1000,1)</f>
        <v>-300</v>
      </c>
    </row>
    <row r="645" spans="1:9" s="339" customFormat="1" ht="18" customHeight="1" x14ac:dyDescent="0.3">
      <c r="A645" s="472" t="s">
        <v>838</v>
      </c>
      <c r="B645" s="817" t="s">
        <v>160</v>
      </c>
      <c r="C645" s="817"/>
      <c r="D645" s="817"/>
      <c r="E645" s="465" t="s">
        <v>74</v>
      </c>
      <c r="F645" s="465" t="s">
        <v>86</v>
      </c>
      <c r="G645" s="343">
        <v>400000</v>
      </c>
      <c r="H645" s="344">
        <v>-1</v>
      </c>
      <c r="I645" s="338">
        <f t="shared" si="70"/>
        <v>-400</v>
      </c>
    </row>
    <row r="646" spans="1:9" s="339" customFormat="1" ht="18" customHeight="1" x14ac:dyDescent="0.3">
      <c r="A646" s="472" t="s">
        <v>839</v>
      </c>
      <c r="B646" s="817" t="s">
        <v>160</v>
      </c>
      <c r="C646" s="817"/>
      <c r="D646" s="817"/>
      <c r="E646" s="465" t="s">
        <v>74</v>
      </c>
      <c r="F646" s="465" t="s">
        <v>86</v>
      </c>
      <c r="G646" s="343">
        <v>300000</v>
      </c>
      <c r="H646" s="344">
        <v>-1</v>
      </c>
      <c r="I646" s="338">
        <f t="shared" si="70"/>
        <v>-300</v>
      </c>
    </row>
    <row r="647" spans="1:9" s="339" customFormat="1" ht="18" customHeight="1" x14ac:dyDescent="0.3">
      <c r="A647" s="472" t="s">
        <v>840</v>
      </c>
      <c r="B647" s="817" t="s">
        <v>160</v>
      </c>
      <c r="C647" s="817"/>
      <c r="D647" s="817"/>
      <c r="E647" s="465" t="s">
        <v>74</v>
      </c>
      <c r="F647" s="465" t="s">
        <v>86</v>
      </c>
      <c r="G647" s="343">
        <v>400000</v>
      </c>
      <c r="H647" s="344">
        <v>-1</v>
      </c>
      <c r="I647" s="338">
        <f t="shared" si="70"/>
        <v>-400</v>
      </c>
    </row>
    <row r="648" spans="1:9" s="339" customFormat="1" ht="18" customHeight="1" x14ac:dyDescent="0.3">
      <c r="A648" s="472" t="s">
        <v>841</v>
      </c>
      <c r="B648" s="817" t="s">
        <v>160</v>
      </c>
      <c r="C648" s="817"/>
      <c r="D648" s="817"/>
      <c r="E648" s="465" t="s">
        <v>74</v>
      </c>
      <c r="F648" s="465" t="s">
        <v>86</v>
      </c>
      <c r="G648" s="343">
        <v>300000</v>
      </c>
      <c r="H648" s="344">
        <v>-1</v>
      </c>
      <c r="I648" s="338">
        <f t="shared" si="70"/>
        <v>-300</v>
      </c>
    </row>
  </sheetData>
  <mergeCells count="649">
    <mergeCell ref="B239:D239"/>
    <mergeCell ref="B240:D240"/>
    <mergeCell ref="B241:D241"/>
    <mergeCell ref="B242:D242"/>
    <mergeCell ref="B267:D267"/>
    <mergeCell ref="B272:D272"/>
    <mergeCell ref="B276:D276"/>
    <mergeCell ref="B254:D254"/>
    <mergeCell ref="B255:D255"/>
    <mergeCell ref="B257:D257"/>
    <mergeCell ref="B250:D250"/>
    <mergeCell ref="B266:D266"/>
    <mergeCell ref="B271:D271"/>
    <mergeCell ref="B265:D265"/>
    <mergeCell ref="B258:D258"/>
    <mergeCell ref="B259:D259"/>
    <mergeCell ref="B274:D274"/>
    <mergeCell ref="B256:D256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644:D644"/>
    <mergeCell ref="B645:D645"/>
    <mergeCell ref="B646:D646"/>
    <mergeCell ref="B647:D647"/>
    <mergeCell ref="B648:D648"/>
    <mergeCell ref="B578:D578"/>
    <mergeCell ref="B629:D629"/>
    <mergeCell ref="B639:D639"/>
    <mergeCell ref="B640:D640"/>
    <mergeCell ref="B641:D641"/>
    <mergeCell ref="B642:D642"/>
    <mergeCell ref="B643:D643"/>
    <mergeCell ref="B593:D593"/>
    <mergeCell ref="B594:D594"/>
    <mergeCell ref="B595:D595"/>
    <mergeCell ref="B596:D596"/>
    <mergeCell ref="B597:D597"/>
    <mergeCell ref="B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27:D627"/>
    <mergeCell ref="B628:D62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  <mergeCell ref="B588:D588"/>
    <mergeCell ref="B589:D589"/>
    <mergeCell ref="B590:D590"/>
    <mergeCell ref="B591:D591"/>
    <mergeCell ref="B592:D592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B626:D626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05:D605"/>
    <mergeCell ref="B606:D606"/>
    <mergeCell ref="B607:D607"/>
    <mergeCell ref="B608:D608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32:D532"/>
    <mergeCell ref="B528:D528"/>
    <mergeCell ref="B601:D601"/>
    <mergeCell ref="B602:D602"/>
    <mergeCell ref="B603:D603"/>
    <mergeCell ref="B604:D604"/>
    <mergeCell ref="B554:D554"/>
    <mergeCell ref="B555:D555"/>
    <mergeCell ref="B556:D556"/>
    <mergeCell ref="B557:D557"/>
    <mergeCell ref="B598:D598"/>
    <mergeCell ref="B599:D599"/>
    <mergeCell ref="B600:D600"/>
    <mergeCell ref="B550:D550"/>
    <mergeCell ref="B551:D551"/>
    <mergeCell ref="B545:H545"/>
    <mergeCell ref="B534:D534"/>
    <mergeCell ref="B535:D535"/>
    <mergeCell ref="B537:D537"/>
    <mergeCell ref="B536:D536"/>
    <mergeCell ref="B538:D538"/>
    <mergeCell ref="B539:D539"/>
    <mergeCell ref="B542:D542"/>
    <mergeCell ref="B541:D541"/>
    <mergeCell ref="B468:D468"/>
    <mergeCell ref="B390:D390"/>
    <mergeCell ref="B552:D552"/>
    <mergeCell ref="B553:D553"/>
    <mergeCell ref="B490:D490"/>
    <mergeCell ref="B491:D491"/>
    <mergeCell ref="B492:D492"/>
    <mergeCell ref="B493:D493"/>
    <mergeCell ref="B494:D494"/>
    <mergeCell ref="B495:D495"/>
    <mergeCell ref="B498:D498"/>
    <mergeCell ref="B512:D512"/>
    <mergeCell ref="B511:D511"/>
    <mergeCell ref="B499:D499"/>
    <mergeCell ref="B510:D510"/>
    <mergeCell ref="B547:D547"/>
    <mergeCell ref="B548:D548"/>
    <mergeCell ref="B529:D529"/>
    <mergeCell ref="B525:D525"/>
    <mergeCell ref="B526:D526"/>
    <mergeCell ref="B533:H533"/>
    <mergeCell ref="B527:D527"/>
    <mergeCell ref="B530:D530"/>
    <mergeCell ref="B531:D531"/>
    <mergeCell ref="B454:D454"/>
    <mergeCell ref="B389:D389"/>
    <mergeCell ref="B73:H73"/>
    <mergeCell ref="B74:D74"/>
    <mergeCell ref="B486:D486"/>
    <mergeCell ref="B488:D488"/>
    <mergeCell ref="B487:D487"/>
    <mergeCell ref="B481:D481"/>
    <mergeCell ref="B482:D482"/>
    <mergeCell ref="B483:D483"/>
    <mergeCell ref="B426:D426"/>
    <mergeCell ref="B427:D427"/>
    <mergeCell ref="B428:D428"/>
    <mergeCell ref="B429:D429"/>
    <mergeCell ref="B484:D484"/>
    <mergeCell ref="B485:D485"/>
    <mergeCell ref="B430:D430"/>
    <mergeCell ref="B431:D431"/>
    <mergeCell ref="B472:D472"/>
    <mergeCell ref="B473:D473"/>
    <mergeCell ref="B474:D474"/>
    <mergeCell ref="B475:D475"/>
    <mergeCell ref="B466:D466"/>
    <mergeCell ref="B467:D467"/>
    <mergeCell ref="B508:D508"/>
    <mergeCell ref="B517:D517"/>
    <mergeCell ref="B489:D489"/>
    <mergeCell ref="B461:D461"/>
    <mergeCell ref="B462:D462"/>
    <mergeCell ref="B463:D463"/>
    <mergeCell ref="B464:D464"/>
    <mergeCell ref="B62:H62"/>
    <mergeCell ref="B63:D63"/>
    <mergeCell ref="B65:D65"/>
    <mergeCell ref="B66:D66"/>
    <mergeCell ref="B67:D67"/>
    <mergeCell ref="B69:D69"/>
    <mergeCell ref="B64:D64"/>
    <mergeCell ref="B68:D68"/>
    <mergeCell ref="B70:D70"/>
    <mergeCell ref="B71:D71"/>
    <mergeCell ref="B72:D72"/>
    <mergeCell ref="B448:D448"/>
    <mergeCell ref="B449:D449"/>
    <mergeCell ref="B450:D450"/>
    <mergeCell ref="B451:D451"/>
    <mergeCell ref="B452:D452"/>
    <mergeCell ref="B453:D453"/>
    <mergeCell ref="B408:D408"/>
    <mergeCell ref="B397:D397"/>
    <mergeCell ref="B523:D523"/>
    <mergeCell ref="B469:D469"/>
    <mergeCell ref="B455:D455"/>
    <mergeCell ref="B456:D456"/>
    <mergeCell ref="B457:D457"/>
    <mergeCell ref="B458:D458"/>
    <mergeCell ref="B459:D459"/>
    <mergeCell ref="B460:D460"/>
    <mergeCell ref="B476:D476"/>
    <mergeCell ref="B477:D477"/>
    <mergeCell ref="B478:D478"/>
    <mergeCell ref="B479:D479"/>
    <mergeCell ref="B480:D480"/>
    <mergeCell ref="B470:D470"/>
    <mergeCell ref="B471:D471"/>
    <mergeCell ref="B465:D465"/>
    <mergeCell ref="B515:D515"/>
    <mergeCell ref="B518:D518"/>
    <mergeCell ref="B514:D514"/>
    <mergeCell ref="B504:D504"/>
    <mergeCell ref="B505:D505"/>
    <mergeCell ref="B516:D516"/>
    <mergeCell ref="B433:D433"/>
    <mergeCell ref="B434:D434"/>
    <mergeCell ref="B435:D435"/>
    <mergeCell ref="B436:D436"/>
    <mergeCell ref="B437:D437"/>
    <mergeCell ref="B432:D432"/>
    <mergeCell ref="B447:D447"/>
    <mergeCell ref="B439:D439"/>
    <mergeCell ref="B440:D440"/>
    <mergeCell ref="B441:D441"/>
    <mergeCell ref="B442:D442"/>
    <mergeCell ref="B443:D443"/>
    <mergeCell ref="B444:D444"/>
    <mergeCell ref="B445:D445"/>
    <mergeCell ref="B438:D438"/>
    <mergeCell ref="B446:D446"/>
    <mergeCell ref="B375:D375"/>
    <mergeCell ref="B377:D377"/>
    <mergeCell ref="B379:D379"/>
    <mergeCell ref="B423:D423"/>
    <mergeCell ref="B424:D424"/>
    <mergeCell ref="B425:D425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12:D412"/>
    <mergeCell ref="B413:D413"/>
    <mergeCell ref="B404:D404"/>
    <mergeCell ref="B405:D405"/>
    <mergeCell ref="B406:D406"/>
    <mergeCell ref="B407:D407"/>
    <mergeCell ref="B409:D409"/>
    <mergeCell ref="B410:D410"/>
    <mergeCell ref="B411:D411"/>
    <mergeCell ref="B403:D403"/>
    <mergeCell ref="B376:D376"/>
    <mergeCell ref="B398:D398"/>
    <mergeCell ref="B399:D399"/>
    <mergeCell ref="B400:D400"/>
    <mergeCell ref="B401:D401"/>
    <mergeCell ref="B402:D402"/>
    <mergeCell ref="B381:D381"/>
    <mergeCell ref="B383:D383"/>
    <mergeCell ref="B384:D384"/>
    <mergeCell ref="B385:D385"/>
    <mergeCell ref="B386:D386"/>
    <mergeCell ref="B387:D387"/>
    <mergeCell ref="B388:D388"/>
    <mergeCell ref="B382:D382"/>
    <mergeCell ref="B380:D380"/>
    <mergeCell ref="B378:D378"/>
    <mergeCell ref="B391:D391"/>
    <mergeCell ref="B392:D392"/>
    <mergeCell ref="B393:D393"/>
    <mergeCell ref="B394:D394"/>
    <mergeCell ref="B395:D395"/>
    <mergeCell ref="B396:D396"/>
    <mergeCell ref="B347:D347"/>
    <mergeCell ref="B348:D348"/>
    <mergeCell ref="B349:D349"/>
    <mergeCell ref="B350:D350"/>
    <mergeCell ref="B352:D352"/>
    <mergeCell ref="B351:D351"/>
    <mergeCell ref="B353:D353"/>
    <mergeCell ref="A244:H244"/>
    <mergeCell ref="B56:H56"/>
    <mergeCell ref="B57:D57"/>
    <mergeCell ref="B58:D58"/>
    <mergeCell ref="B59:D59"/>
    <mergeCell ref="B60:D60"/>
    <mergeCell ref="B61:D61"/>
    <mergeCell ref="B251:D251"/>
    <mergeCell ref="B338:D338"/>
    <mergeCell ref="B339:D339"/>
    <mergeCell ref="B340:D340"/>
    <mergeCell ref="B341:D341"/>
    <mergeCell ref="B342:D342"/>
    <mergeCell ref="B343:D343"/>
    <mergeCell ref="B344:H344"/>
    <mergeCell ref="B345:D345"/>
    <mergeCell ref="B346:D346"/>
    <mergeCell ref="B50:H50"/>
    <mergeCell ref="B51:D51"/>
    <mergeCell ref="B52:D52"/>
    <mergeCell ref="B53:D53"/>
    <mergeCell ref="B54:D54"/>
    <mergeCell ref="B55:D55"/>
    <mergeCell ref="B336:H336"/>
    <mergeCell ref="B337:D337"/>
    <mergeCell ref="B49:D49"/>
    <mergeCell ref="B332:D332"/>
    <mergeCell ref="D245:H245"/>
    <mergeCell ref="B246:H246"/>
    <mergeCell ref="B247:D247"/>
    <mergeCell ref="B301:D301"/>
    <mergeCell ref="B303:D303"/>
    <mergeCell ref="B318:D318"/>
    <mergeCell ref="B287:D287"/>
    <mergeCell ref="B304:D304"/>
    <mergeCell ref="B319:D319"/>
    <mergeCell ref="B298:D298"/>
    <mergeCell ref="B317:D317"/>
    <mergeCell ref="B281:D281"/>
    <mergeCell ref="B279:H279"/>
    <mergeCell ref="B280:D280"/>
    <mergeCell ref="A10:H10"/>
    <mergeCell ref="D35:H35"/>
    <mergeCell ref="B36:H36"/>
    <mergeCell ref="B37:D37"/>
    <mergeCell ref="B38:D38"/>
    <mergeCell ref="B40:D40"/>
    <mergeCell ref="B41:D41"/>
    <mergeCell ref="B44:D44"/>
    <mergeCell ref="B47:D47"/>
    <mergeCell ref="B39:D39"/>
    <mergeCell ref="D11:H11"/>
    <mergeCell ref="B12:H12"/>
    <mergeCell ref="B13:D13"/>
    <mergeCell ref="B14:D14"/>
    <mergeCell ref="B15:D15"/>
    <mergeCell ref="B16:D16"/>
    <mergeCell ref="B17:D17"/>
    <mergeCell ref="B43:D43"/>
    <mergeCell ref="B540:D540"/>
    <mergeCell ref="B546:D546"/>
    <mergeCell ref="B544:D544"/>
    <mergeCell ref="B543:D543"/>
    <mergeCell ref="B549:D549"/>
    <mergeCell ref="B355:D355"/>
    <mergeCell ref="B363:D363"/>
    <mergeCell ref="B359:D359"/>
    <mergeCell ref="B354:H354"/>
    <mergeCell ref="B357:D357"/>
    <mergeCell ref="B366:D366"/>
    <mergeCell ref="B374:D374"/>
    <mergeCell ref="B358:D358"/>
    <mergeCell ref="B367:D367"/>
    <mergeCell ref="B360:D360"/>
    <mergeCell ref="B369:D369"/>
    <mergeCell ref="B362:D362"/>
    <mergeCell ref="B371:D371"/>
    <mergeCell ref="B361:D361"/>
    <mergeCell ref="B364:D364"/>
    <mergeCell ref="B372:D372"/>
    <mergeCell ref="B365:D365"/>
    <mergeCell ref="B368:D368"/>
    <mergeCell ref="B373:D373"/>
    <mergeCell ref="B370:D370"/>
    <mergeCell ref="B282:D282"/>
    <mergeCell ref="B286:D286"/>
    <mergeCell ref="B284:D284"/>
    <mergeCell ref="B283:D283"/>
    <mergeCell ref="B285:H285"/>
    <mergeCell ref="B302:D302"/>
    <mergeCell ref="B521:H521"/>
    <mergeCell ref="B524:D524"/>
    <mergeCell ref="B356:D356"/>
    <mergeCell ref="B323:D323"/>
    <mergeCell ref="B290:D290"/>
    <mergeCell ref="B308:D308"/>
    <mergeCell ref="B324:D324"/>
    <mergeCell ref="B291:D291"/>
    <mergeCell ref="B309:D309"/>
    <mergeCell ref="B325:D325"/>
    <mergeCell ref="B315:D315"/>
    <mergeCell ref="B316:D316"/>
    <mergeCell ref="B334:D334"/>
    <mergeCell ref="B333:D333"/>
    <mergeCell ref="B331:D331"/>
    <mergeCell ref="B297:D297"/>
    <mergeCell ref="B299:D299"/>
    <mergeCell ref="B496:H496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B277:D277"/>
    <mergeCell ref="B275:D275"/>
    <mergeCell ref="B268:D268"/>
    <mergeCell ref="B273:D273"/>
    <mergeCell ref="B248:D248"/>
    <mergeCell ref="B249:D249"/>
    <mergeCell ref="D252:H252"/>
    <mergeCell ref="B253:H253"/>
    <mergeCell ref="B260:D260"/>
    <mergeCell ref="B262:D262"/>
    <mergeCell ref="B264:H264"/>
    <mergeCell ref="B270:D270"/>
    <mergeCell ref="B503:D503"/>
    <mergeCell ref="B506:D506"/>
    <mergeCell ref="B507:D507"/>
    <mergeCell ref="B509:D509"/>
    <mergeCell ref="B513:D513"/>
    <mergeCell ref="B519:D519"/>
    <mergeCell ref="B520:D520"/>
    <mergeCell ref="B261:D261"/>
    <mergeCell ref="B263:D263"/>
    <mergeCell ref="B269:D269"/>
    <mergeCell ref="B330:D330"/>
    <mergeCell ref="B335:D335"/>
    <mergeCell ref="B305:D305"/>
    <mergeCell ref="B300:D300"/>
    <mergeCell ref="B320:D320"/>
    <mergeCell ref="B321:D321"/>
    <mergeCell ref="B306:D306"/>
    <mergeCell ref="B288:D288"/>
    <mergeCell ref="B497:D497"/>
    <mergeCell ref="B500:D500"/>
    <mergeCell ref="B501:D501"/>
    <mergeCell ref="B502:D502"/>
    <mergeCell ref="B328:D328"/>
    <mergeCell ref="B312:D312"/>
    <mergeCell ref="B294:D294"/>
    <mergeCell ref="B295:D295"/>
    <mergeCell ref="B296:D296"/>
    <mergeCell ref="B522:D522"/>
    <mergeCell ref="B329:D329"/>
    <mergeCell ref="B278:D278"/>
    <mergeCell ref="D18:H18"/>
    <mergeCell ref="B19:H19"/>
    <mergeCell ref="B20:D20"/>
    <mergeCell ref="B21:D21"/>
    <mergeCell ref="B26:D26"/>
    <mergeCell ref="B29:D29"/>
    <mergeCell ref="B31:D31"/>
    <mergeCell ref="B32:D32"/>
    <mergeCell ref="B30:D30"/>
    <mergeCell ref="B28:D28"/>
    <mergeCell ref="B25:D25"/>
    <mergeCell ref="B24:D24"/>
    <mergeCell ref="B22:D22"/>
    <mergeCell ref="B27:D27"/>
    <mergeCell ref="B33:D33"/>
    <mergeCell ref="B34:D34"/>
    <mergeCell ref="B23:D23"/>
    <mergeCell ref="B46:D46"/>
    <mergeCell ref="B48:D48"/>
    <mergeCell ref="B42:D42"/>
    <mergeCell ref="B45:D45"/>
    <mergeCell ref="B313:D313"/>
    <mergeCell ref="B314:D314"/>
    <mergeCell ref="B289:D289"/>
    <mergeCell ref="B307:D307"/>
    <mergeCell ref="B322:D322"/>
    <mergeCell ref="B310:D310"/>
    <mergeCell ref="B123:D123"/>
    <mergeCell ref="B122:D122"/>
    <mergeCell ref="B121:D121"/>
    <mergeCell ref="B120:D120"/>
    <mergeCell ref="B80:D80"/>
    <mergeCell ref="B79:D79"/>
    <mergeCell ref="B78:D78"/>
    <mergeCell ref="B77:D77"/>
    <mergeCell ref="B76:D76"/>
    <mergeCell ref="B75:D75"/>
    <mergeCell ref="B106:D106"/>
    <mergeCell ref="B105:D105"/>
    <mergeCell ref="B104:D104"/>
    <mergeCell ref="B103:D103"/>
    <mergeCell ref="B102:D102"/>
    <mergeCell ref="B326:D326"/>
    <mergeCell ref="B292:D292"/>
    <mergeCell ref="B293:D293"/>
    <mergeCell ref="B311:D311"/>
    <mergeCell ref="B327:D327"/>
    <mergeCell ref="B84:D84"/>
    <mergeCell ref="B83:D83"/>
    <mergeCell ref="B82:D82"/>
    <mergeCell ref="B81:D81"/>
    <mergeCell ref="B88:D88"/>
    <mergeCell ref="B87:D87"/>
    <mergeCell ref="B86:D86"/>
    <mergeCell ref="B85:D85"/>
    <mergeCell ref="B110:D110"/>
    <mergeCell ref="B109:D109"/>
    <mergeCell ref="B108:D108"/>
    <mergeCell ref="B107:D107"/>
    <mergeCell ref="B130:D130"/>
    <mergeCell ref="B129:D129"/>
    <mergeCell ref="B128:D128"/>
    <mergeCell ref="B127:D127"/>
    <mergeCell ref="B126:D126"/>
    <mergeCell ref="B125:D125"/>
    <mergeCell ref="B124:D124"/>
    <mergeCell ref="B92:D92"/>
    <mergeCell ref="B91:D91"/>
    <mergeCell ref="B90:D90"/>
    <mergeCell ref="B89:D89"/>
    <mergeCell ref="B119:D119"/>
    <mergeCell ref="B118:D118"/>
    <mergeCell ref="B117:D117"/>
    <mergeCell ref="B116:D116"/>
    <mergeCell ref="B115:D115"/>
    <mergeCell ref="B114:D114"/>
    <mergeCell ref="B113:D113"/>
    <mergeCell ref="B112:D112"/>
    <mergeCell ref="B111:D111"/>
    <mergeCell ref="B101:D101"/>
    <mergeCell ref="B100:D100"/>
    <mergeCell ref="B99:D99"/>
    <mergeCell ref="B98:D98"/>
    <mergeCell ref="B97:D97"/>
    <mergeCell ref="B96:D96"/>
    <mergeCell ref="B95:D95"/>
    <mergeCell ref="B94:D94"/>
    <mergeCell ref="B93:D93"/>
    <mergeCell ref="B150:D150"/>
    <mergeCell ref="B149:D149"/>
    <mergeCell ref="B148:D148"/>
    <mergeCell ref="B147:D147"/>
    <mergeCell ref="B146:D146"/>
    <mergeCell ref="B145:D145"/>
    <mergeCell ref="B144:D144"/>
    <mergeCell ref="B143:D143"/>
    <mergeCell ref="B142:D142"/>
    <mergeCell ref="B132:D132"/>
    <mergeCell ref="B131:D131"/>
    <mergeCell ref="B151:D151"/>
    <mergeCell ref="B163:D163"/>
    <mergeCell ref="B162:D162"/>
    <mergeCell ref="B161:D161"/>
    <mergeCell ref="B160:D160"/>
    <mergeCell ref="B159:D159"/>
    <mergeCell ref="B158:D158"/>
    <mergeCell ref="B157:D157"/>
    <mergeCell ref="B156:D156"/>
    <mergeCell ref="B155:D155"/>
    <mergeCell ref="B154:D154"/>
    <mergeCell ref="B153:D153"/>
    <mergeCell ref="B152:D152"/>
    <mergeCell ref="B141:D141"/>
    <mergeCell ref="B140:D140"/>
    <mergeCell ref="B139:D139"/>
    <mergeCell ref="B138:D138"/>
    <mergeCell ref="B137:D137"/>
    <mergeCell ref="B136:D136"/>
    <mergeCell ref="B135:D135"/>
    <mergeCell ref="B134:D134"/>
    <mergeCell ref="B133:D133"/>
    <mergeCell ref="B169:D169"/>
    <mergeCell ref="B168:D168"/>
    <mergeCell ref="B167:D167"/>
    <mergeCell ref="B166:D166"/>
    <mergeCell ref="B165:D165"/>
    <mergeCell ref="B164:D164"/>
    <mergeCell ref="B175:D175"/>
    <mergeCell ref="B174:D174"/>
    <mergeCell ref="B173:D173"/>
    <mergeCell ref="B172:D172"/>
    <mergeCell ref="B171:D171"/>
    <mergeCell ref="B170:D170"/>
  </mergeCells>
  <phoneticPr fontId="98" type="noConversion"/>
  <pageMargins left="0.25" right="0.25" top="0.75" bottom="0.75" header="0.3" footer="0.3"/>
  <pageSetup paperSize="9" scale="7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A4" zoomScale="70" zoomScaleNormal="70" zoomScaleSheetLayoutView="100" workbookViewId="0">
      <selection activeCell="H10" sqref="H10"/>
    </sheetView>
  </sheetViews>
  <sheetFormatPr defaultColWidth="9.109375" defaultRowHeight="17.399999999999999" x14ac:dyDescent="0.4"/>
  <cols>
    <col min="1" max="3" width="8.88671875" style="8" customWidth="1"/>
    <col min="4" max="4" width="10.33203125" style="8" customWidth="1"/>
    <col min="5" max="5" width="14.5546875" style="8" customWidth="1"/>
    <col min="6" max="6" width="62.109375" style="8" customWidth="1"/>
    <col min="7" max="7" width="32.109375" style="8" customWidth="1"/>
    <col min="8" max="8" width="49.88671875" style="8" customWidth="1"/>
    <col min="9" max="9" width="14.33203125" style="8" customWidth="1"/>
    <col min="10" max="16384" width="9.109375" style="8"/>
  </cols>
  <sheetData>
    <row r="1" spans="1:7" ht="38.1" customHeight="1" x14ac:dyDescent="0.4">
      <c r="F1" s="646" t="s">
        <v>1241</v>
      </c>
      <c r="G1" s="646"/>
    </row>
    <row r="2" spans="1:7" ht="17.399999999999999" customHeight="1" x14ac:dyDescent="0.4">
      <c r="G2" s="462" t="s">
        <v>125</v>
      </c>
    </row>
    <row r="3" spans="1:7" ht="17.399999999999999" customHeight="1" x14ac:dyDescent="0.4">
      <c r="G3" s="462" t="s">
        <v>7</v>
      </c>
    </row>
    <row r="6" spans="1:7" ht="52.5" customHeight="1" x14ac:dyDescent="0.4">
      <c r="A6" s="650" t="s">
        <v>1237</v>
      </c>
      <c r="B6" s="650"/>
      <c r="C6" s="650"/>
      <c r="D6" s="650"/>
      <c r="E6" s="650"/>
      <c r="F6" s="650"/>
      <c r="G6" s="650"/>
    </row>
    <row r="8" spans="1:7" x14ac:dyDescent="0.4">
      <c r="G8" s="615"/>
    </row>
    <row r="9" spans="1:7" s="27" customFormat="1" ht="111.3" customHeight="1" x14ac:dyDescent="0.3">
      <c r="A9" s="785" t="s">
        <v>22</v>
      </c>
      <c r="B9" s="785"/>
      <c r="C9" s="785"/>
      <c r="D9" s="785" t="s">
        <v>10</v>
      </c>
      <c r="E9" s="785"/>
      <c r="F9" s="785" t="s">
        <v>16</v>
      </c>
      <c r="G9" s="517" t="s">
        <v>1238</v>
      </c>
    </row>
    <row r="10" spans="1:7" s="27" customFormat="1" ht="45" customHeight="1" x14ac:dyDescent="0.3">
      <c r="A10" s="517" t="s">
        <v>1239</v>
      </c>
      <c r="B10" s="517" t="s">
        <v>1240</v>
      </c>
      <c r="C10" s="517" t="s">
        <v>23</v>
      </c>
      <c r="D10" s="517" t="s">
        <v>13</v>
      </c>
      <c r="E10" s="517" t="s">
        <v>14</v>
      </c>
      <c r="F10" s="785"/>
      <c r="G10" s="517" t="s">
        <v>12</v>
      </c>
    </row>
    <row r="11" spans="1:7" s="27" customFormat="1" ht="22.65" customHeight="1" x14ac:dyDescent="0.3">
      <c r="A11" s="518"/>
      <c r="B11" s="518"/>
      <c r="C11" s="518"/>
      <c r="D11" s="517"/>
      <c r="E11" s="517"/>
      <c r="F11" s="525" t="s">
        <v>20</v>
      </c>
      <c r="G11" s="526">
        <f t="shared" ref="G11" si="0">+G13+G34</f>
        <v>0</v>
      </c>
    </row>
    <row r="12" spans="1:7" s="27" customFormat="1" ht="22.65" customHeight="1" x14ac:dyDescent="0.3">
      <c r="A12" s="518"/>
      <c r="B12" s="518"/>
      <c r="C12" s="518"/>
      <c r="D12" s="517"/>
      <c r="E12" s="517"/>
      <c r="F12" s="518" t="s">
        <v>38</v>
      </c>
      <c r="G12" s="526"/>
    </row>
    <row r="13" spans="1:7" s="339" customFormat="1" ht="27" customHeight="1" x14ac:dyDescent="0.3">
      <c r="A13" s="503"/>
      <c r="B13" s="503"/>
      <c r="C13" s="503"/>
      <c r="D13" s="517"/>
      <c r="E13" s="517"/>
      <c r="F13" s="525" t="s">
        <v>193</v>
      </c>
      <c r="G13" s="526">
        <f t="shared" ref="G13" si="1">+G14</f>
        <v>-49983.7</v>
      </c>
    </row>
    <row r="14" spans="1:7" ht="36" x14ac:dyDescent="0.4">
      <c r="A14" s="690" t="s">
        <v>194</v>
      </c>
      <c r="B14" s="690"/>
      <c r="C14" s="690"/>
      <c r="D14" s="690"/>
      <c r="E14" s="690"/>
      <c r="F14" s="540" t="s">
        <v>195</v>
      </c>
      <c r="G14" s="526">
        <f t="shared" ref="G14" si="2">+G16</f>
        <v>-49983.7</v>
      </c>
    </row>
    <row r="15" spans="1:7" ht="18" x14ac:dyDescent="0.4">
      <c r="A15" s="690"/>
      <c r="B15" s="690"/>
      <c r="C15" s="690"/>
      <c r="D15" s="690"/>
      <c r="E15" s="690"/>
      <c r="F15" s="518" t="s">
        <v>17</v>
      </c>
      <c r="G15" s="603"/>
    </row>
    <row r="16" spans="1:7" ht="36" x14ac:dyDescent="0.4">
      <c r="A16" s="690"/>
      <c r="B16" s="690" t="s">
        <v>24</v>
      </c>
      <c r="C16" s="690"/>
      <c r="D16" s="690"/>
      <c r="E16" s="690"/>
      <c r="F16" s="540" t="s">
        <v>196</v>
      </c>
      <c r="G16" s="526">
        <f t="shared" ref="G16" si="3">+G18</f>
        <v>-49983.7</v>
      </c>
    </row>
    <row r="17" spans="1:7" ht="18" x14ac:dyDescent="0.4">
      <c r="A17" s="690"/>
      <c r="B17" s="690"/>
      <c r="C17" s="690"/>
      <c r="D17" s="690"/>
      <c r="E17" s="690"/>
      <c r="F17" s="518" t="s">
        <v>17</v>
      </c>
      <c r="G17" s="603"/>
    </row>
    <row r="18" spans="1:7" ht="18" x14ac:dyDescent="0.4">
      <c r="A18" s="690"/>
      <c r="B18" s="690"/>
      <c r="C18" s="690" t="s">
        <v>24</v>
      </c>
      <c r="D18" s="690"/>
      <c r="E18" s="690"/>
      <c r="F18" s="525" t="s">
        <v>197</v>
      </c>
      <c r="G18" s="604">
        <f t="shared" ref="G18" si="4">+G20</f>
        <v>-49983.7</v>
      </c>
    </row>
    <row r="19" spans="1:7" ht="18" customHeight="1" x14ac:dyDescent="0.4">
      <c r="A19" s="690"/>
      <c r="B19" s="690"/>
      <c r="C19" s="690"/>
      <c r="D19" s="690"/>
      <c r="E19" s="690"/>
      <c r="F19" s="518" t="s">
        <v>17</v>
      </c>
      <c r="G19" s="605"/>
    </row>
    <row r="20" spans="1:7" ht="18" x14ac:dyDescent="0.4">
      <c r="A20" s="690"/>
      <c r="B20" s="690"/>
      <c r="C20" s="690"/>
      <c r="D20" s="690"/>
      <c r="E20" s="690"/>
      <c r="F20" s="518" t="s">
        <v>198</v>
      </c>
      <c r="G20" s="604">
        <f t="shared" ref="G20" si="5">+G22</f>
        <v>-49983.7</v>
      </c>
    </row>
    <row r="21" spans="1:7" ht="18" x14ac:dyDescent="0.4">
      <c r="A21" s="690"/>
      <c r="B21" s="690"/>
      <c r="C21" s="690"/>
      <c r="D21" s="690"/>
      <c r="E21" s="690"/>
      <c r="F21" s="518" t="s">
        <v>17</v>
      </c>
      <c r="G21" s="606"/>
    </row>
    <row r="22" spans="1:7" s="31" customFormat="1" ht="22.65" customHeight="1" x14ac:dyDescent="0.3">
      <c r="A22" s="690"/>
      <c r="B22" s="690"/>
      <c r="C22" s="690"/>
      <c r="D22" s="690" t="s">
        <v>199</v>
      </c>
      <c r="E22" s="859" t="s">
        <v>200</v>
      </c>
      <c r="F22" s="859" t="s">
        <v>197</v>
      </c>
      <c r="G22" s="604">
        <f t="shared" ref="G22" si="6">+G24</f>
        <v>-49983.7</v>
      </c>
    </row>
    <row r="23" spans="1:7" ht="17.7" customHeight="1" x14ac:dyDescent="0.4">
      <c r="A23" s="690"/>
      <c r="B23" s="690"/>
      <c r="C23" s="690"/>
      <c r="D23" s="690"/>
      <c r="E23" s="532"/>
      <c r="F23" s="518" t="s">
        <v>17</v>
      </c>
      <c r="G23" s="505"/>
    </row>
    <row r="24" spans="1:7" ht="20.100000000000001" customHeight="1" x14ac:dyDescent="0.4">
      <c r="A24" s="690"/>
      <c r="B24" s="690"/>
      <c r="C24" s="690"/>
      <c r="D24" s="690"/>
      <c r="E24" s="528" t="s">
        <v>221</v>
      </c>
      <c r="F24" s="525" t="s">
        <v>197</v>
      </c>
      <c r="G24" s="607">
        <f t="shared" ref="G24" si="7">+G26</f>
        <v>-49983.7</v>
      </c>
    </row>
    <row r="25" spans="1:7" ht="17.7" customHeight="1" x14ac:dyDescent="0.4">
      <c r="A25" s="690"/>
      <c r="B25" s="690"/>
      <c r="C25" s="690"/>
      <c r="D25" s="690"/>
      <c r="E25" s="689"/>
      <c r="F25" s="518" t="s">
        <v>54</v>
      </c>
      <c r="G25" s="595"/>
    </row>
    <row r="26" spans="1:7" x14ac:dyDescent="0.4">
      <c r="A26" s="690"/>
      <c r="B26" s="690"/>
      <c r="C26" s="690"/>
      <c r="D26" s="690"/>
      <c r="E26" s="689"/>
      <c r="F26" s="539" t="s">
        <v>198</v>
      </c>
      <c r="G26" s="608">
        <f t="shared" ref="G26" si="8">+G28</f>
        <v>-49983.7</v>
      </c>
    </row>
    <row r="27" spans="1:7" ht="52.2" x14ac:dyDescent="0.4">
      <c r="A27" s="690"/>
      <c r="B27" s="690"/>
      <c r="C27" s="690"/>
      <c r="D27" s="690"/>
      <c r="E27" s="689"/>
      <c r="F27" s="518" t="s">
        <v>44</v>
      </c>
      <c r="G27" s="595"/>
    </row>
    <row r="28" spans="1:7" ht="17.7" customHeight="1" x14ac:dyDescent="0.4">
      <c r="A28" s="690"/>
      <c r="B28" s="690"/>
      <c r="C28" s="690"/>
      <c r="D28" s="690"/>
      <c r="E28" s="689"/>
      <c r="F28" s="517" t="s">
        <v>18</v>
      </c>
      <c r="G28" s="505">
        <f t="shared" ref="G28:G31" si="9">+G29</f>
        <v>-49983.7</v>
      </c>
    </row>
    <row r="29" spans="1:7" ht="17.7" customHeight="1" x14ac:dyDescent="0.4">
      <c r="A29" s="690"/>
      <c r="B29" s="690"/>
      <c r="C29" s="690"/>
      <c r="D29" s="690"/>
      <c r="E29" s="689"/>
      <c r="F29" s="609" t="s">
        <v>90</v>
      </c>
      <c r="G29" s="595">
        <f t="shared" si="9"/>
        <v>-49983.7</v>
      </c>
    </row>
    <row r="30" spans="1:7" ht="17.7" customHeight="1" x14ac:dyDescent="0.4">
      <c r="A30" s="690"/>
      <c r="B30" s="690"/>
      <c r="C30" s="690"/>
      <c r="D30" s="690"/>
      <c r="E30" s="689"/>
      <c r="F30" s="609" t="s">
        <v>91</v>
      </c>
      <c r="G30" s="595">
        <f t="shared" si="9"/>
        <v>-49983.7</v>
      </c>
    </row>
    <row r="31" spans="1:7" ht="17.7" customHeight="1" x14ac:dyDescent="0.4">
      <c r="A31" s="690"/>
      <c r="B31" s="690"/>
      <c r="C31" s="690"/>
      <c r="D31" s="690"/>
      <c r="E31" s="689"/>
      <c r="F31" s="609" t="s">
        <v>92</v>
      </c>
      <c r="G31" s="595">
        <f t="shared" si="9"/>
        <v>-49983.7</v>
      </c>
    </row>
    <row r="32" spans="1:7" ht="17.55" customHeight="1" x14ac:dyDescent="0.4">
      <c r="A32" s="690"/>
      <c r="B32" s="690"/>
      <c r="C32" s="690"/>
      <c r="D32" s="690"/>
      <c r="E32" s="689"/>
      <c r="F32" s="609" t="s">
        <v>140</v>
      </c>
      <c r="G32" s="595">
        <f>+'Հավելված N 4'!G370</f>
        <v>-49983.7</v>
      </c>
    </row>
    <row r="33" spans="1:14" ht="9.4499999999999993" customHeight="1" x14ac:dyDescent="0.4">
      <c r="A33" s="270"/>
      <c r="B33" s="610"/>
      <c r="C33" s="542"/>
      <c r="D33" s="518"/>
      <c r="E33" s="518"/>
    </row>
    <row r="34" spans="1:14" s="339" customFormat="1" ht="36" x14ac:dyDescent="0.3">
      <c r="A34" s="503"/>
      <c r="B34" s="503"/>
      <c r="C34" s="503"/>
      <c r="D34" s="503"/>
      <c r="E34" s="503"/>
      <c r="F34" s="525" t="s">
        <v>55</v>
      </c>
      <c r="G34" s="526">
        <f>+G35</f>
        <v>49983.7</v>
      </c>
    </row>
    <row r="35" spans="1:14" s="27" customFormat="1" ht="15.6" customHeight="1" x14ac:dyDescent="0.3">
      <c r="A35" s="666" t="s">
        <v>42</v>
      </c>
      <c r="B35" s="855"/>
      <c r="C35" s="673"/>
      <c r="D35" s="856"/>
      <c r="E35" s="291"/>
      <c r="F35" s="114" t="s">
        <v>40</v>
      </c>
      <c r="G35" s="526">
        <f>+G37</f>
        <v>49983.7</v>
      </c>
    </row>
    <row r="36" spans="1:14" s="27" customFormat="1" ht="16.350000000000001" customHeight="1" x14ac:dyDescent="0.3">
      <c r="A36" s="667"/>
      <c r="B36" s="855"/>
      <c r="C36" s="674"/>
      <c r="D36" s="857"/>
      <c r="E36" s="292"/>
      <c r="F36" s="127" t="s">
        <v>17</v>
      </c>
      <c r="G36" s="521"/>
    </row>
    <row r="37" spans="1:14" s="27" customFormat="1" ht="36" x14ac:dyDescent="0.3">
      <c r="A37" s="667"/>
      <c r="B37" s="666" t="s">
        <v>43</v>
      </c>
      <c r="C37" s="674"/>
      <c r="D37" s="857"/>
      <c r="E37" s="292"/>
      <c r="F37" s="114" t="s">
        <v>41</v>
      </c>
      <c r="G37" s="519">
        <f t="shared" ref="G37" si="10">+G39</f>
        <v>49983.7</v>
      </c>
    </row>
    <row r="38" spans="1:14" s="27" customFormat="1" ht="16.8" customHeight="1" x14ac:dyDescent="0.3">
      <c r="A38" s="667"/>
      <c r="B38" s="667"/>
      <c r="C38" s="664"/>
      <c r="D38" s="857"/>
      <c r="E38" s="292"/>
      <c r="F38" s="127" t="s">
        <v>17</v>
      </c>
      <c r="G38" s="521"/>
    </row>
    <row r="39" spans="1:14" s="27" customFormat="1" ht="36" x14ac:dyDescent="0.3">
      <c r="A39" s="667"/>
      <c r="B39" s="667"/>
      <c r="C39" s="666" t="s">
        <v>1127</v>
      </c>
      <c r="D39" s="857"/>
      <c r="E39" s="292"/>
      <c r="F39" s="114" t="s">
        <v>41</v>
      </c>
      <c r="G39" s="519">
        <f t="shared" ref="G39" si="11">+G41</f>
        <v>49983.7</v>
      </c>
      <c r="H39" s="28"/>
      <c r="I39" s="28"/>
      <c r="J39" s="28"/>
      <c r="K39" s="28"/>
      <c r="L39" s="28"/>
      <c r="M39" s="28"/>
      <c r="N39" s="28"/>
    </row>
    <row r="40" spans="1:14" s="27" customFormat="1" ht="16.8" customHeight="1" x14ac:dyDescent="0.3">
      <c r="A40" s="667"/>
      <c r="B40" s="667"/>
      <c r="C40" s="667"/>
      <c r="D40" s="857"/>
      <c r="E40" s="292"/>
      <c r="F40" s="518" t="s">
        <v>17</v>
      </c>
      <c r="G40" s="611"/>
      <c r="H40" s="28"/>
      <c r="I40" s="28"/>
      <c r="J40" s="28"/>
      <c r="K40" s="28"/>
      <c r="L40" s="28"/>
      <c r="M40" s="28"/>
      <c r="N40" s="28"/>
    </row>
    <row r="41" spans="1:14" s="27" customFormat="1" ht="34.799999999999997" x14ac:dyDescent="0.3">
      <c r="A41" s="667"/>
      <c r="B41" s="667"/>
      <c r="C41" s="667"/>
      <c r="D41" s="857"/>
      <c r="E41" s="292"/>
      <c r="F41" s="503" t="s">
        <v>39</v>
      </c>
      <c r="G41" s="611">
        <f>+G43</f>
        <v>49983.7</v>
      </c>
      <c r="H41" s="28"/>
      <c r="I41" s="28"/>
      <c r="J41" s="28"/>
      <c r="K41" s="28"/>
      <c r="L41" s="28"/>
      <c r="M41" s="28"/>
      <c r="N41" s="28"/>
    </row>
    <row r="42" spans="1:14" s="27" customFormat="1" ht="16.8" customHeight="1" x14ac:dyDescent="0.3">
      <c r="A42" s="667"/>
      <c r="B42" s="667"/>
      <c r="C42" s="667"/>
      <c r="D42" s="858"/>
      <c r="E42" s="292"/>
      <c r="F42" s="522" t="s">
        <v>17</v>
      </c>
      <c r="G42" s="611"/>
      <c r="H42" s="28"/>
      <c r="I42" s="28"/>
      <c r="J42" s="28"/>
      <c r="K42" s="28"/>
      <c r="L42" s="28"/>
      <c r="M42" s="28"/>
      <c r="N42" s="28"/>
    </row>
    <row r="43" spans="1:14" s="27" customFormat="1" ht="18" customHeight="1" x14ac:dyDescent="0.3">
      <c r="A43" s="667"/>
      <c r="B43" s="667"/>
      <c r="C43" s="667"/>
      <c r="D43" s="665">
        <v>1111</v>
      </c>
      <c r="E43" s="653" t="s">
        <v>368</v>
      </c>
      <c r="F43" s="653"/>
      <c r="G43" s="526">
        <f>+G45</f>
        <v>49983.7</v>
      </c>
      <c r="H43" s="28"/>
      <c r="I43" s="28"/>
      <c r="J43" s="28"/>
      <c r="K43" s="28"/>
      <c r="L43" s="28"/>
      <c r="M43" s="28"/>
      <c r="N43" s="28"/>
    </row>
    <row r="44" spans="1:14" s="27" customFormat="1" ht="16.8" customHeight="1" x14ac:dyDescent="0.4">
      <c r="A44" s="667"/>
      <c r="B44" s="667"/>
      <c r="C44" s="667"/>
      <c r="D44" s="665"/>
      <c r="E44" s="154"/>
      <c r="F44" s="149" t="s">
        <v>17</v>
      </c>
      <c r="G44" s="611"/>
      <c r="H44" s="28"/>
      <c r="I44" s="28"/>
      <c r="J44" s="28"/>
      <c r="K44" s="28"/>
      <c r="L44" s="28"/>
      <c r="M44" s="28"/>
      <c r="N44" s="28"/>
    </row>
    <row r="45" spans="1:14" s="27" customFormat="1" ht="72" x14ac:dyDescent="0.3">
      <c r="A45" s="667"/>
      <c r="B45" s="667"/>
      <c r="C45" s="667"/>
      <c r="D45" s="665"/>
      <c r="E45" s="457">
        <v>32003</v>
      </c>
      <c r="F45" s="456" t="s">
        <v>1102</v>
      </c>
      <c r="G45" s="612">
        <f t="shared" ref="G45" si="12">+G47</f>
        <v>49983.7</v>
      </c>
      <c r="H45" s="28"/>
      <c r="I45" s="28"/>
      <c r="J45" s="28"/>
      <c r="K45" s="28"/>
      <c r="L45" s="28"/>
      <c r="M45" s="28"/>
      <c r="N45" s="28"/>
    </row>
    <row r="46" spans="1:14" s="27" customFormat="1" ht="16.8" customHeight="1" x14ac:dyDescent="0.3">
      <c r="A46" s="667"/>
      <c r="B46" s="667"/>
      <c r="C46" s="667"/>
      <c r="D46" s="665"/>
      <c r="E46" s="669"/>
      <c r="F46" s="149" t="s">
        <v>54</v>
      </c>
      <c r="G46" s="521"/>
    </row>
    <row r="47" spans="1:14" s="30" customFormat="1" ht="34.799999999999997" x14ac:dyDescent="0.3">
      <c r="A47" s="667"/>
      <c r="B47" s="667"/>
      <c r="C47" s="667"/>
      <c r="D47" s="665"/>
      <c r="E47" s="670"/>
      <c r="F47" s="155" t="s">
        <v>39</v>
      </c>
      <c r="G47" s="613">
        <f t="shared" ref="G47" si="13">+G49</f>
        <v>49983.7</v>
      </c>
    </row>
    <row r="48" spans="1:14" s="27" customFormat="1" ht="52.2" x14ac:dyDescent="0.3">
      <c r="A48" s="667"/>
      <c r="B48" s="667"/>
      <c r="C48" s="667"/>
      <c r="D48" s="665"/>
      <c r="E48" s="670"/>
      <c r="F48" s="149" t="s">
        <v>44</v>
      </c>
      <c r="G48" s="521"/>
    </row>
    <row r="49" spans="1:7" s="27" customFormat="1" ht="16.8" customHeight="1" x14ac:dyDescent="0.3">
      <c r="A49" s="667"/>
      <c r="B49" s="667"/>
      <c r="C49" s="667"/>
      <c r="D49" s="665"/>
      <c r="E49" s="670"/>
      <c r="F49" s="311" t="s">
        <v>18</v>
      </c>
      <c r="G49" s="614">
        <f t="shared" ref="G49:G52" si="14">+G50</f>
        <v>49983.7</v>
      </c>
    </row>
    <row r="50" spans="1:7" s="27" customFormat="1" ht="16.8" customHeight="1" x14ac:dyDescent="0.3">
      <c r="A50" s="667"/>
      <c r="B50" s="667"/>
      <c r="C50" s="667"/>
      <c r="D50" s="665"/>
      <c r="E50" s="670"/>
      <c r="F50" s="518" t="s">
        <v>1120</v>
      </c>
      <c r="G50" s="520">
        <f t="shared" si="14"/>
        <v>49983.7</v>
      </c>
    </row>
    <row r="51" spans="1:7" s="27" customFormat="1" ht="16.8" customHeight="1" x14ac:dyDescent="0.3">
      <c r="A51" s="667"/>
      <c r="B51" s="667"/>
      <c r="C51" s="667"/>
      <c r="D51" s="665"/>
      <c r="E51" s="670"/>
      <c r="F51" s="518" t="s">
        <v>1121</v>
      </c>
      <c r="G51" s="520">
        <f t="shared" si="14"/>
        <v>49983.7</v>
      </c>
    </row>
    <row r="52" spans="1:7" s="27" customFormat="1" ht="16.8" customHeight="1" x14ac:dyDescent="0.3">
      <c r="A52" s="667"/>
      <c r="B52" s="667"/>
      <c r="C52" s="667"/>
      <c r="D52" s="665"/>
      <c r="E52" s="670"/>
      <c r="F52" s="518" t="s">
        <v>1122</v>
      </c>
      <c r="G52" s="520">
        <f t="shared" si="14"/>
        <v>49983.7</v>
      </c>
    </row>
    <row r="53" spans="1:7" s="27" customFormat="1" ht="34.799999999999997" x14ac:dyDescent="0.3">
      <c r="A53" s="672"/>
      <c r="B53" s="672"/>
      <c r="C53" s="672"/>
      <c r="D53" s="665"/>
      <c r="E53" s="676"/>
      <c r="F53" s="518" t="s">
        <v>1123</v>
      </c>
      <c r="G53" s="520">
        <f>+'Հավելված N 4'!G166</f>
        <v>49983.7</v>
      </c>
    </row>
  </sheetData>
  <mergeCells count="24">
    <mergeCell ref="F1:G1"/>
    <mergeCell ref="A6:G6"/>
    <mergeCell ref="A9:C9"/>
    <mergeCell ref="D9:E9"/>
    <mergeCell ref="F9:F10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5:E32"/>
    <mergeCell ref="E43:F43"/>
    <mergeCell ref="E46:E53"/>
    <mergeCell ref="A35:A53"/>
    <mergeCell ref="B35:B36"/>
    <mergeCell ref="C35:C38"/>
    <mergeCell ref="D35:D42"/>
    <mergeCell ref="B37:B53"/>
    <mergeCell ref="C39:C53"/>
    <mergeCell ref="D43:D5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Հավելված N 1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2023-12-05T15:23:01Z</cp:lastPrinted>
  <dcterms:created xsi:type="dcterms:W3CDTF">2022-01-04T07:12:58Z</dcterms:created>
  <dcterms:modified xsi:type="dcterms:W3CDTF">2023-12-13T16:39:45Z</dcterms:modified>
</cp:coreProperties>
</file>