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0" yWindow="0" windowWidth="28800" windowHeight="9780" tabRatio="991" activeTab="9"/>
  </bookViews>
  <sheets>
    <sheet name="Հավելված N 1 " sheetId="77" r:id="rId1"/>
    <sheet name="Հավելված N 2" sheetId="65" r:id="rId2"/>
    <sheet name="Հավելված N 3" sheetId="32" r:id="rId3"/>
    <sheet name="Հավելված N 4" sheetId="55" r:id="rId4"/>
    <sheet name="Հավելված N 5" sheetId="56" r:id="rId5"/>
    <sheet name="Հավելված N 6" sheetId="75" r:id="rId6"/>
    <sheet name="Հավելված N 7" sheetId="73" r:id="rId7"/>
    <sheet name="Հավելված N 8" sheetId="76" r:id="rId8"/>
    <sheet name="Հավելված N 9" sheetId="54" r:id="rId9"/>
    <sheet name="Հավելված N 10" sheetId="78" r:id="rId10"/>
  </sheets>
  <definedNames>
    <definedName name="a" localSheetId="0">#REF!</definedName>
    <definedName name="a" localSheetId="9">#REF!</definedName>
    <definedName name="a" localSheetId="1">#REF!</definedName>
    <definedName name="a" localSheetId="5">#REF!</definedName>
    <definedName name="a" localSheetId="7">#REF!</definedName>
    <definedName name="a">#REF!</definedName>
    <definedName name="AgencyCode" localSheetId="0">#REF!</definedName>
    <definedName name="AgencyCode" localSheetId="9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7">#REF!</definedName>
    <definedName name="AgencyCode" localSheetId="8">#REF!</definedName>
    <definedName name="AgencyCode">#REF!</definedName>
    <definedName name="AgencyName" localSheetId="0">#REF!</definedName>
    <definedName name="AgencyName" localSheetId="9">#REF!</definedName>
    <definedName name="AgencyName" localSheetId="2">#REF!</definedName>
    <definedName name="AgencyName" localSheetId="5">#REF!</definedName>
    <definedName name="AgencyName" localSheetId="7">#REF!</definedName>
    <definedName name="AgencyName">#REF!</definedName>
    <definedName name="åû" localSheetId="7">#REF!</definedName>
    <definedName name="åû">#REF!</definedName>
    <definedName name="davit" localSheetId="0">#REF!</definedName>
    <definedName name="davit" localSheetId="9">#REF!</definedName>
    <definedName name="davit" localSheetId="5">#REF!</definedName>
    <definedName name="davit" localSheetId="7">#REF!</definedName>
    <definedName name="davit">#REF!</definedName>
    <definedName name="Functional1" localSheetId="0">#REF!</definedName>
    <definedName name="Functional1" localSheetId="9">#REF!</definedName>
    <definedName name="Functional1" localSheetId="2">#REF!</definedName>
    <definedName name="Functional1" localSheetId="5">#REF!</definedName>
    <definedName name="Functional1" localSheetId="7">#REF!</definedName>
    <definedName name="Functional1">#REF!</definedName>
    <definedName name="ggg" localSheetId="0">#REF!</definedName>
    <definedName name="ggg" localSheetId="9">#REF!</definedName>
    <definedName name="ggg" localSheetId="5">#REF!</definedName>
    <definedName name="ggg" localSheetId="7">#REF!</definedName>
    <definedName name="ggg">#REF!</definedName>
    <definedName name="mas" localSheetId="7">#REF!</definedName>
    <definedName name="mas">#REF!</definedName>
    <definedName name="mass" localSheetId="7">#REF!</definedName>
    <definedName name="mass">#REF!</definedName>
    <definedName name="PANature" localSheetId="0">#REF!</definedName>
    <definedName name="PANature" localSheetId="9">#REF!</definedName>
    <definedName name="PANature" localSheetId="2">#REF!</definedName>
    <definedName name="PANature" localSheetId="5">#REF!</definedName>
    <definedName name="PANature" localSheetId="7">#REF!</definedName>
    <definedName name="PANature">#REF!</definedName>
    <definedName name="PAType" localSheetId="0">#REF!</definedName>
    <definedName name="PAType" localSheetId="9">#REF!</definedName>
    <definedName name="PAType" localSheetId="2">#REF!</definedName>
    <definedName name="PAType" localSheetId="5">#REF!</definedName>
    <definedName name="PAType" localSheetId="7">#REF!</definedName>
    <definedName name="PAType">#REF!</definedName>
    <definedName name="Performance2" localSheetId="0">#REF!</definedName>
    <definedName name="Performance2" localSheetId="9">#REF!</definedName>
    <definedName name="Performance2" localSheetId="2">#REF!</definedName>
    <definedName name="Performance2" localSheetId="5">#REF!</definedName>
    <definedName name="Performance2" localSheetId="7">#REF!</definedName>
    <definedName name="Performance2">#REF!</definedName>
    <definedName name="PerformanceType" localSheetId="0">#REF!</definedName>
    <definedName name="PerformanceType" localSheetId="9">#REF!</definedName>
    <definedName name="PerformanceType" localSheetId="2">#REF!</definedName>
    <definedName name="PerformanceType" localSheetId="5">#REF!</definedName>
    <definedName name="PerformanceType" localSheetId="7">#REF!</definedName>
    <definedName name="PerformanceType">#REF!</definedName>
    <definedName name="x" localSheetId="7">#REF!</definedName>
    <definedName name="x">#REF!</definedName>
    <definedName name="Հավելված" localSheetId="0">#REF!</definedName>
    <definedName name="Հավելված" localSheetId="9">#REF!</definedName>
    <definedName name="Հավելված" localSheetId="5">#REF!</definedName>
    <definedName name="Հավելված" localSheetId="7">#REF!</definedName>
    <definedName name="Հավելված">#REF!</definedName>
    <definedName name="Հավելված10" localSheetId="0">#REF!</definedName>
    <definedName name="Հավելված10" localSheetId="5">#REF!</definedName>
    <definedName name="Հավելված10" localSheetId="7">#REF!</definedName>
    <definedName name="Հավելված10">#REF!</definedName>
    <definedName name="Հավելված11" localSheetId="0">#REF!</definedName>
    <definedName name="Հավելված11" localSheetId="5">#REF!</definedName>
    <definedName name="Հավելված11" localSheetId="7">#REF!</definedName>
    <definedName name="Հավելված11">#REF!</definedName>
    <definedName name="Հավելված20" localSheetId="0">#REF!</definedName>
    <definedName name="Հավելված20" localSheetId="5">#REF!</definedName>
    <definedName name="Հավելված20" localSheetId="7">#REF!</definedName>
    <definedName name="Հավելված20">#REF!</definedName>
    <definedName name="Հավելված9" localSheetId="0">#REF!</definedName>
    <definedName name="Հավելված9" localSheetId="5">#REF!</definedName>
    <definedName name="Հավելված9" localSheetId="7">#REF!</definedName>
    <definedName name="Հավելված9">#REF!</definedName>
    <definedName name="Մաս" localSheetId="0">#REF!</definedName>
    <definedName name="Մաս" localSheetId="9">#REF!</definedName>
    <definedName name="Մաս" localSheetId="5">#REF!</definedName>
    <definedName name="Մաս" localSheetId="7">#REF!</definedName>
    <definedName name="Մաս">#REF!</definedName>
    <definedName name="շախմատիստ" localSheetId="0">#REF!</definedName>
    <definedName name="շախմատիստ" localSheetId="9">#REF!</definedName>
    <definedName name="շախմատիստ" localSheetId="5">#REF!</definedName>
    <definedName name="շախմատիստ" localSheetId="7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F50" i="55" l="1"/>
  <c r="G60" i="54" l="1"/>
  <c r="H78" i="32" l="1"/>
  <c r="H77" i="32" s="1"/>
  <c r="H76" i="32" s="1"/>
  <c r="H75" i="32" s="1"/>
  <c r="H74" i="32" s="1"/>
  <c r="H72" i="32" s="1"/>
  <c r="K93" i="76" s="1"/>
  <c r="I78" i="32"/>
  <c r="G78" i="32"/>
  <c r="G77" i="32" s="1"/>
  <c r="G76" i="32" s="1"/>
  <c r="G75" i="32" s="1"/>
  <c r="G74" i="32" s="1"/>
  <c r="G72" i="32" s="1"/>
  <c r="J93" i="76" s="1"/>
  <c r="I77" i="32"/>
  <c r="I76" i="32" s="1"/>
  <c r="I75" i="32" s="1"/>
  <c r="I74" i="32" s="1"/>
  <c r="I72" i="32" s="1"/>
  <c r="L93" i="76" s="1"/>
  <c r="M58" i="76" l="1"/>
  <c r="K58" i="76"/>
  <c r="K64" i="73" l="1"/>
  <c r="M64" i="73"/>
  <c r="G94" i="32" l="1"/>
  <c r="G93" i="32" s="1"/>
  <c r="G92" i="32" s="1"/>
  <c r="G91" i="32" s="1"/>
  <c r="G89" i="32" s="1"/>
  <c r="J94" i="32"/>
  <c r="J93" i="32" s="1"/>
  <c r="J92" i="32" s="1"/>
  <c r="J91" i="32" s="1"/>
  <c r="J89" i="32" s="1"/>
  <c r="I94" i="32"/>
  <c r="I93" i="32" s="1"/>
  <c r="I92" i="32" s="1"/>
  <c r="I91" i="32" s="1"/>
  <c r="I89" i="32" s="1"/>
  <c r="H94" i="32"/>
  <c r="H93" i="32" s="1"/>
  <c r="H92" i="32" s="1"/>
  <c r="H91" i="32" s="1"/>
  <c r="H89" i="32" s="1"/>
  <c r="H120" i="32"/>
  <c r="H119" i="32" s="1"/>
  <c r="H118" i="32" s="1"/>
  <c r="H117" i="32" s="1"/>
  <c r="H116" i="32" s="1"/>
  <c r="H114" i="32" s="1"/>
  <c r="K89" i="76" s="1"/>
  <c r="I120" i="32"/>
  <c r="I119" i="32" s="1"/>
  <c r="I118" i="32" s="1"/>
  <c r="I117" i="32" s="1"/>
  <c r="I116" i="32" s="1"/>
  <c r="I114" i="32" s="1"/>
  <c r="L89" i="76" s="1"/>
  <c r="G120" i="32"/>
  <c r="G119" i="32" s="1"/>
  <c r="G118" i="32" s="1"/>
  <c r="G117" i="32" s="1"/>
  <c r="G116" i="32" s="1"/>
  <c r="G114" i="32" s="1"/>
  <c r="J89" i="76" s="1"/>
  <c r="H62" i="32"/>
  <c r="H61" i="32" s="1"/>
  <c r="H60" i="32" s="1"/>
  <c r="I62" i="32"/>
  <c r="I61" i="32" s="1"/>
  <c r="I60" i="32" s="1"/>
  <c r="G62" i="32"/>
  <c r="G61" i="32" s="1"/>
  <c r="G60" i="32" s="1"/>
  <c r="H87" i="32" l="1"/>
  <c r="H22" i="65" s="1"/>
  <c r="K36" i="73" s="1"/>
  <c r="K30" i="76"/>
  <c r="J87" i="32"/>
  <c r="J22" i="65" s="1"/>
  <c r="M36" i="73" s="1"/>
  <c r="M30" i="76"/>
  <c r="I87" i="32"/>
  <c r="I22" i="65" s="1"/>
  <c r="L36" i="73" s="1"/>
  <c r="L30" i="76"/>
  <c r="G87" i="32"/>
  <c r="G22" i="65" s="1"/>
  <c r="J36" i="73" s="1"/>
  <c r="J30" i="76"/>
  <c r="M28" i="75"/>
  <c r="J28" i="75"/>
  <c r="G28" i="75"/>
  <c r="D28" i="75"/>
  <c r="O27" i="75"/>
  <c r="N27" i="75"/>
  <c r="L27" i="75"/>
  <c r="K27" i="75"/>
  <c r="I27" i="75"/>
  <c r="I26" i="75" s="1"/>
  <c r="H27" i="75"/>
  <c r="H26" i="75" s="1"/>
  <c r="H25" i="75" s="1"/>
  <c r="H24" i="75" s="1"/>
  <c r="H22" i="75" s="1"/>
  <c r="H20" i="75" s="1"/>
  <c r="H18" i="75" s="1"/>
  <c r="H16" i="75" s="1"/>
  <c r="H15" i="75" s="1"/>
  <c r="H13" i="75" s="1"/>
  <c r="G27" i="75"/>
  <c r="F27" i="75"/>
  <c r="E27" i="75"/>
  <c r="N26" i="75"/>
  <c r="L26" i="75"/>
  <c r="L25" i="75" s="1"/>
  <c r="L24" i="75" s="1"/>
  <c r="L22" i="75" s="1"/>
  <c r="L20" i="75" s="1"/>
  <c r="L18" i="75" s="1"/>
  <c r="L16" i="75" s="1"/>
  <c r="L15" i="75" s="1"/>
  <c r="L13" i="75" s="1"/>
  <c r="K26" i="75"/>
  <c r="E26" i="75"/>
  <c r="E25" i="75" s="1"/>
  <c r="E24" i="75" s="1"/>
  <c r="E22" i="75" s="1"/>
  <c r="E20" i="75" s="1"/>
  <c r="E18" i="75" s="1"/>
  <c r="E16" i="75" s="1"/>
  <c r="E15" i="75" s="1"/>
  <c r="E13" i="75" s="1"/>
  <c r="N25" i="75"/>
  <c r="K25" i="75"/>
  <c r="K24" i="75" s="1"/>
  <c r="K22" i="75" s="1"/>
  <c r="K20" i="75" s="1"/>
  <c r="K18" i="75" s="1"/>
  <c r="K16" i="75" s="1"/>
  <c r="K15" i="75" s="1"/>
  <c r="K13" i="75" s="1"/>
  <c r="N24" i="75"/>
  <c r="N22" i="75" s="1"/>
  <c r="N20" i="75" s="1"/>
  <c r="N18" i="75" s="1"/>
  <c r="N16" i="75" s="1"/>
  <c r="N15" i="75" s="1"/>
  <c r="N13" i="75" s="1"/>
  <c r="M27" i="75" l="1"/>
  <c r="D27" i="75"/>
  <c r="J27" i="75"/>
  <c r="O26" i="75"/>
  <c r="J15" i="75"/>
  <c r="J18" i="75"/>
  <c r="J22" i="75"/>
  <c r="I157" i="32" s="1"/>
  <c r="J25" i="75"/>
  <c r="J13" i="75"/>
  <c r="J16" i="75"/>
  <c r="J20" i="75"/>
  <c r="J24" i="75"/>
  <c r="J26" i="75"/>
  <c r="I25" i="75"/>
  <c r="G26" i="75"/>
  <c r="F26" i="75"/>
  <c r="G56" i="55"/>
  <c r="G55" i="55" s="1"/>
  <c r="H56" i="55"/>
  <c r="H55" i="55" s="1"/>
  <c r="E56" i="55"/>
  <c r="E55" i="55" s="1"/>
  <c r="E108" i="56"/>
  <c r="E101" i="56"/>
  <c r="E115" i="56"/>
  <c r="D117" i="56"/>
  <c r="D116" i="56"/>
  <c r="G77" i="55"/>
  <c r="H77" i="55"/>
  <c r="E77" i="55"/>
  <c r="I83" i="54"/>
  <c r="F79" i="55" s="1"/>
  <c r="I82" i="54"/>
  <c r="F78" i="55" s="1"/>
  <c r="D114" i="56"/>
  <c r="D113" i="56"/>
  <c r="D112" i="56"/>
  <c r="D111" i="56"/>
  <c r="D110" i="56"/>
  <c r="D109" i="56"/>
  <c r="G70" i="55"/>
  <c r="H70" i="55"/>
  <c r="E70" i="55"/>
  <c r="I80" i="54"/>
  <c r="F75" i="55" s="1"/>
  <c r="I81" i="54"/>
  <c r="F76" i="55" s="1"/>
  <c r="I79" i="54"/>
  <c r="F74" i="55" s="1"/>
  <c r="F77" i="55" l="1"/>
  <c r="M26" i="75"/>
  <c r="O25" i="75"/>
  <c r="G25" i="75"/>
  <c r="I24" i="75"/>
  <c r="F25" i="75"/>
  <c r="D26" i="75"/>
  <c r="F72" i="55"/>
  <c r="F73" i="55"/>
  <c r="F71" i="55"/>
  <c r="D107" i="56"/>
  <c r="D106" i="56"/>
  <c r="D105" i="56"/>
  <c r="D104" i="56"/>
  <c r="D103" i="56"/>
  <c r="D102" i="56"/>
  <c r="G63" i="55"/>
  <c r="H63" i="55"/>
  <c r="E63" i="55"/>
  <c r="I75" i="54"/>
  <c r="F69" i="55" s="1"/>
  <c r="F65" i="55"/>
  <c r="F66" i="55"/>
  <c r="F67" i="55"/>
  <c r="F68" i="55"/>
  <c r="F64" i="55"/>
  <c r="D100" i="56"/>
  <c r="F62" i="55"/>
  <c r="E97" i="56"/>
  <c r="D98" i="56"/>
  <c r="E94" i="56"/>
  <c r="D96" i="56"/>
  <c r="I68" i="54"/>
  <c r="F58" i="55"/>
  <c r="F57" i="55"/>
  <c r="F56" i="55" s="1"/>
  <c r="F60" i="55" l="1"/>
  <c r="I65" i="54"/>
  <c r="I64" i="54" s="1"/>
  <c r="F70" i="55"/>
  <c r="M25" i="75"/>
  <c r="O24" i="75"/>
  <c r="I22" i="75"/>
  <c r="G24" i="75"/>
  <c r="D25" i="75"/>
  <c r="F24" i="75"/>
  <c r="D56" i="55"/>
  <c r="D55" i="55"/>
  <c r="H118" i="56" s="1"/>
  <c r="J120" i="32" s="1"/>
  <c r="J119" i="32" s="1"/>
  <c r="J118" i="32" s="1"/>
  <c r="J117" i="32" s="1"/>
  <c r="J116" i="32" s="1"/>
  <c r="J114" i="32" s="1"/>
  <c r="M89" i="76" s="1"/>
  <c r="F63" i="55"/>
  <c r="M24" i="75" l="1"/>
  <c r="O22" i="75"/>
  <c r="I20" i="75"/>
  <c r="G22" i="75"/>
  <c r="H157" i="32" s="1"/>
  <c r="D24" i="75"/>
  <c r="F22" i="75"/>
  <c r="D79" i="55"/>
  <c r="H117" i="56" s="1"/>
  <c r="D78" i="55"/>
  <c r="H116" i="56" s="1"/>
  <c r="H115" i="56" s="1"/>
  <c r="D77" i="55"/>
  <c r="D76" i="55"/>
  <c r="H114" i="56" s="1"/>
  <c r="D75" i="55"/>
  <c r="H113" i="56" s="1"/>
  <c r="D74" i="55"/>
  <c r="H112" i="56" s="1"/>
  <c r="D73" i="55"/>
  <c r="H111" i="56" s="1"/>
  <c r="D72" i="55"/>
  <c r="H110" i="56" s="1"/>
  <c r="D71" i="55"/>
  <c r="H109" i="56" s="1"/>
  <c r="D69" i="55"/>
  <c r="H107" i="56" s="1"/>
  <c r="D68" i="55"/>
  <c r="H106" i="56" s="1"/>
  <c r="D67" i="55"/>
  <c r="H105" i="56" s="1"/>
  <c r="D66" i="55"/>
  <c r="H104" i="56" s="1"/>
  <c r="D65" i="55"/>
  <c r="H103" i="56" s="1"/>
  <c r="D64" i="55"/>
  <c r="H102" i="56" s="1"/>
  <c r="D62" i="55"/>
  <c r="H100" i="56" s="1"/>
  <c r="H99" i="56" s="1"/>
  <c r="H61" i="55"/>
  <c r="G61" i="55"/>
  <c r="F61" i="55"/>
  <c r="E61" i="55"/>
  <c r="D60" i="55"/>
  <c r="H98" i="56" s="1"/>
  <c r="H97" i="56" s="1"/>
  <c r="H59" i="55"/>
  <c r="H53" i="55" s="1"/>
  <c r="G59" i="55"/>
  <c r="G53" i="55" s="1"/>
  <c r="F59" i="55"/>
  <c r="E59" i="55"/>
  <c r="E53" i="55" s="1"/>
  <c r="D58" i="55"/>
  <c r="H96" i="56" s="1"/>
  <c r="F127" i="56"/>
  <c r="G127" i="56"/>
  <c r="E127" i="56"/>
  <c r="D130" i="56"/>
  <c r="D129" i="56"/>
  <c r="E131" i="56"/>
  <c r="F131" i="56"/>
  <c r="G131" i="56"/>
  <c r="H131" i="56"/>
  <c r="E84" i="55"/>
  <c r="D86" i="55"/>
  <c r="H130" i="56" s="1"/>
  <c r="D85" i="55"/>
  <c r="H129" i="56" s="1"/>
  <c r="H84" i="55"/>
  <c r="G84" i="55"/>
  <c r="F84" i="55"/>
  <c r="F156" i="56"/>
  <c r="G156" i="56"/>
  <c r="H156" i="56"/>
  <c r="E156" i="56"/>
  <c r="F152" i="56"/>
  <c r="G152" i="56"/>
  <c r="H152" i="56"/>
  <c r="E152" i="56"/>
  <c r="F142" i="56"/>
  <c r="G142" i="56"/>
  <c r="E142" i="56"/>
  <c r="D151" i="56"/>
  <c r="D150" i="56"/>
  <c r="F87" i="55"/>
  <c r="G87" i="55"/>
  <c r="H87" i="55"/>
  <c r="F53" i="55" l="1"/>
  <c r="M22" i="75"/>
  <c r="J157" i="32" s="1"/>
  <c r="O20" i="75"/>
  <c r="G20" i="75"/>
  <c r="I18" i="75"/>
  <c r="D22" i="75"/>
  <c r="G157" i="32" s="1"/>
  <c r="F20" i="75"/>
  <c r="H101" i="56"/>
  <c r="H108" i="56"/>
  <c r="F116" i="56"/>
  <c r="G116" i="56"/>
  <c r="F117" i="56"/>
  <c r="G117" i="56"/>
  <c r="G111" i="56"/>
  <c r="F111" i="56"/>
  <c r="G109" i="56"/>
  <c r="F109" i="56"/>
  <c r="G110" i="56"/>
  <c r="F110" i="56"/>
  <c r="F106" i="56"/>
  <c r="G106" i="56"/>
  <c r="F103" i="56"/>
  <c r="G103" i="56"/>
  <c r="G104" i="56"/>
  <c r="F104" i="56"/>
  <c r="G102" i="56"/>
  <c r="F102" i="56"/>
  <c r="F107" i="56"/>
  <c r="G107" i="56"/>
  <c r="G105" i="56"/>
  <c r="F105" i="56"/>
  <c r="G100" i="56"/>
  <c r="G99" i="56" s="1"/>
  <c r="E100" i="56"/>
  <c r="E99" i="56" s="1"/>
  <c r="E92" i="56" s="1"/>
  <c r="F100" i="56"/>
  <c r="F99" i="56" s="1"/>
  <c r="F98" i="56"/>
  <c r="F97" i="56" s="1"/>
  <c r="G98" i="56"/>
  <c r="G97" i="56" s="1"/>
  <c r="F96" i="56"/>
  <c r="G96" i="56"/>
  <c r="D70" i="55"/>
  <c r="D63" i="55"/>
  <c r="D61" i="55"/>
  <c r="D59" i="55"/>
  <c r="D84" i="55"/>
  <c r="H127" i="56"/>
  <c r="G108" i="56" l="1"/>
  <c r="G115" i="56"/>
  <c r="E90" i="56"/>
  <c r="G113" i="32"/>
  <c r="F101" i="56"/>
  <c r="F115" i="56"/>
  <c r="M20" i="75"/>
  <c r="O18" i="75"/>
  <c r="I16" i="75"/>
  <c r="G18" i="75"/>
  <c r="D20" i="75"/>
  <c r="F18" i="75"/>
  <c r="G101" i="56"/>
  <c r="F108" i="56"/>
  <c r="M18" i="75" l="1"/>
  <c r="O16" i="75"/>
  <c r="I15" i="75"/>
  <c r="G16" i="75"/>
  <c r="D18" i="75"/>
  <c r="F16" i="75"/>
  <c r="F139" i="56"/>
  <c r="G139" i="56"/>
  <c r="E139" i="56"/>
  <c r="D141" i="56"/>
  <c r="M16" i="75" l="1"/>
  <c r="O15" i="75"/>
  <c r="G15" i="75"/>
  <c r="I13" i="75"/>
  <c r="G13" i="75" s="1"/>
  <c r="D16" i="75"/>
  <c r="F15" i="75"/>
  <c r="F136" i="56"/>
  <c r="G136" i="56"/>
  <c r="H136" i="56"/>
  <c r="E136" i="56"/>
  <c r="H125" i="56"/>
  <c r="G125" i="56"/>
  <c r="F125" i="56"/>
  <c r="E125" i="56"/>
  <c r="H123" i="56"/>
  <c r="G123" i="56"/>
  <c r="F123" i="56"/>
  <c r="E123" i="56"/>
  <c r="H88" i="56"/>
  <c r="G88" i="56"/>
  <c r="F88" i="56"/>
  <c r="E88" i="56"/>
  <c r="F83" i="56"/>
  <c r="G83" i="56"/>
  <c r="H83" i="56"/>
  <c r="E83" i="56"/>
  <c r="H81" i="56"/>
  <c r="G81" i="56"/>
  <c r="F81" i="56"/>
  <c r="E81" i="56"/>
  <c r="F78" i="56"/>
  <c r="G78" i="56"/>
  <c r="H78" i="56"/>
  <c r="E78" i="56"/>
  <c r="F76" i="56"/>
  <c r="G76" i="56"/>
  <c r="H76" i="56"/>
  <c r="E76" i="56"/>
  <c r="F72" i="56"/>
  <c r="G72" i="56"/>
  <c r="H72" i="56"/>
  <c r="E72" i="56"/>
  <c r="F68" i="56"/>
  <c r="G68" i="56"/>
  <c r="H68" i="56"/>
  <c r="E68" i="56"/>
  <c r="F63" i="56"/>
  <c r="G63" i="56"/>
  <c r="H63" i="56"/>
  <c r="E63" i="56"/>
  <c r="M15" i="75" l="1"/>
  <c r="O13" i="75"/>
  <c r="M13" i="75" s="1"/>
  <c r="D15" i="75"/>
  <c r="F13" i="75"/>
  <c r="D13" i="75" s="1"/>
  <c r="G121" i="56"/>
  <c r="I129" i="32" s="1"/>
  <c r="F121" i="56"/>
  <c r="H129" i="32" s="1"/>
  <c r="E121" i="56"/>
  <c r="G129" i="32" s="1"/>
  <c r="F61" i="56"/>
  <c r="H104" i="32" s="1"/>
  <c r="E61" i="56"/>
  <c r="G104" i="32" s="1"/>
  <c r="G61" i="56"/>
  <c r="I104" i="32" s="1"/>
  <c r="H61" i="56"/>
  <c r="J104" i="32" s="1"/>
  <c r="D57" i="56" l="1"/>
  <c r="I60" i="54"/>
  <c r="I59" i="54" s="1"/>
  <c r="I62" i="54"/>
  <c r="I61" i="54" s="1"/>
  <c r="H51" i="55"/>
  <c r="H50" i="55" s="1"/>
  <c r="H48" i="55" s="1"/>
  <c r="G51" i="55"/>
  <c r="G50" i="55" s="1"/>
  <c r="G48" i="55" s="1"/>
  <c r="E49" i="56"/>
  <c r="G50" i="56"/>
  <c r="G49" i="56" s="1"/>
  <c r="F50" i="56"/>
  <c r="F49" i="56" s="1"/>
  <c r="D50" i="56"/>
  <c r="G46" i="56"/>
  <c r="F46" i="56"/>
  <c r="E46" i="56"/>
  <c r="I52" i="54"/>
  <c r="I42" i="54"/>
  <c r="E47" i="55" s="1"/>
  <c r="I51" i="54"/>
  <c r="I41" i="54"/>
  <c r="E44" i="55"/>
  <c r="G48" i="56"/>
  <c r="F48" i="56"/>
  <c r="D48" i="56"/>
  <c r="D47" i="56"/>
  <c r="E43" i="56"/>
  <c r="E41" i="56"/>
  <c r="D46" i="56"/>
  <c r="E43" i="55"/>
  <c r="G44" i="56"/>
  <c r="G43" i="56" s="1"/>
  <c r="F44" i="56"/>
  <c r="F43" i="56" s="1"/>
  <c r="D44" i="56"/>
  <c r="I48" i="54"/>
  <c r="I38" i="54"/>
  <c r="I47" i="54"/>
  <c r="I37" i="54"/>
  <c r="G42" i="56"/>
  <c r="G41" i="56" s="1"/>
  <c r="F42" i="56"/>
  <c r="F41" i="56" s="1"/>
  <c r="D42" i="56"/>
  <c r="E35" i="56"/>
  <c r="G40" i="56"/>
  <c r="F40" i="56"/>
  <c r="D40" i="56"/>
  <c r="I46" i="54"/>
  <c r="I36" i="54"/>
  <c r="G39" i="56"/>
  <c r="F39" i="56"/>
  <c r="E39" i="56"/>
  <c r="E37" i="55" l="1"/>
  <c r="I58" i="54"/>
  <c r="F52" i="55"/>
  <c r="E51" i="55"/>
  <c r="E50" i="55" s="1"/>
  <c r="E48" i="55" s="1"/>
  <c r="E41" i="55"/>
  <c r="E39" i="55"/>
  <c r="E45" i="55"/>
  <c r="F51" i="55" l="1"/>
  <c r="F48" i="55" s="1"/>
  <c r="D52" i="55"/>
  <c r="H57" i="56" s="1"/>
  <c r="D50" i="55" l="1"/>
  <c r="H58" i="56" s="1"/>
  <c r="J78" i="32" s="1"/>
  <c r="J77" i="32" s="1"/>
  <c r="J76" i="32" s="1"/>
  <c r="J75" i="32" s="1"/>
  <c r="J74" i="32" s="1"/>
  <c r="J72" i="32" s="1"/>
  <c r="M93" i="76" s="1"/>
  <c r="D51" i="55"/>
  <c r="G57" i="56"/>
  <c r="G56" i="56" s="1"/>
  <c r="G54" i="56" s="1"/>
  <c r="G52" i="56" s="1"/>
  <c r="H56" i="56"/>
  <c r="H54" i="56" s="1"/>
  <c r="F57" i="56"/>
  <c r="F56" i="56" s="1"/>
  <c r="F54" i="56" s="1"/>
  <c r="F52" i="56" s="1"/>
  <c r="E57" i="56"/>
  <c r="E56" i="56" s="1"/>
  <c r="E54" i="56" s="1"/>
  <c r="E52" i="56" s="1"/>
  <c r="H52" i="56" l="1"/>
  <c r="G71" i="32"/>
  <c r="G70" i="32" s="1"/>
  <c r="G69" i="32" s="1"/>
  <c r="G68" i="32" s="1"/>
  <c r="G67" i="32" s="1"/>
  <c r="G65" i="32" s="1"/>
  <c r="G63" i="32" s="1"/>
  <c r="I71" i="32"/>
  <c r="I70" i="32" s="1"/>
  <c r="I69" i="32" s="1"/>
  <c r="I68" i="32" s="1"/>
  <c r="I67" i="32" s="1"/>
  <c r="I65" i="32" s="1"/>
  <c r="I63" i="32" s="1"/>
  <c r="H71" i="32"/>
  <c r="H70" i="32" s="1"/>
  <c r="H69" i="32" s="1"/>
  <c r="H68" i="32" s="1"/>
  <c r="H67" i="32" s="1"/>
  <c r="H65" i="32" s="1"/>
  <c r="H63" i="32" s="1"/>
  <c r="J71" i="32"/>
  <c r="J70" i="32" s="1"/>
  <c r="J69" i="32" s="1"/>
  <c r="J68" i="32" s="1"/>
  <c r="J67" i="32" s="1"/>
  <c r="J65" i="32" s="1"/>
  <c r="J63" i="32" s="1"/>
  <c r="D39" i="56"/>
  <c r="D38" i="56"/>
  <c r="G36" i="56"/>
  <c r="G35" i="56" s="1"/>
  <c r="F36" i="56"/>
  <c r="F35" i="56" s="1"/>
  <c r="D36" i="56"/>
  <c r="I53" i="54"/>
  <c r="I34" i="54"/>
  <c r="I24" i="65" l="1"/>
  <c r="L47" i="73" s="1"/>
  <c r="L41" i="76"/>
  <c r="J24" i="65"/>
  <c r="M47" i="73" s="1"/>
  <c r="M41" i="76"/>
  <c r="H24" i="65"/>
  <c r="K47" i="73" s="1"/>
  <c r="K41" i="76"/>
  <c r="G24" i="65"/>
  <c r="J47" i="73" s="1"/>
  <c r="J41" i="76"/>
  <c r="E35" i="55"/>
  <c r="E36" i="55" l="1"/>
  <c r="F46" i="55" l="1"/>
  <c r="F42" i="55"/>
  <c r="H42" i="55"/>
  <c r="E42" i="55"/>
  <c r="F34" i="55"/>
  <c r="G34" i="55"/>
  <c r="H34" i="55"/>
  <c r="E34" i="55"/>
  <c r="E38" i="55"/>
  <c r="F38" i="55"/>
  <c r="G38" i="55"/>
  <c r="H38" i="55"/>
  <c r="H32" i="55"/>
  <c r="H31" i="55" s="1"/>
  <c r="G32" i="55"/>
  <c r="G31" i="55" s="1"/>
  <c r="F32" i="55"/>
  <c r="F31" i="55" s="1"/>
  <c r="H40" i="55"/>
  <c r="G40" i="55"/>
  <c r="F40" i="55"/>
  <c r="E40" i="55"/>
  <c r="G46" i="55"/>
  <c r="H46" i="55"/>
  <c r="E46" i="55"/>
  <c r="D47" i="55"/>
  <c r="H50" i="56" s="1"/>
  <c r="H49" i="56" s="1"/>
  <c r="D39" i="55"/>
  <c r="H42" i="56" s="1"/>
  <c r="H41" i="56" s="1"/>
  <c r="D41" i="55"/>
  <c r="H44" i="56" s="1"/>
  <c r="H43" i="56" s="1"/>
  <c r="D45" i="55"/>
  <c r="H48" i="56" s="1"/>
  <c r="D37" i="55"/>
  <c r="H40" i="56" s="1"/>
  <c r="I57" i="54"/>
  <c r="G44" i="55" s="1"/>
  <c r="D36" i="55"/>
  <c r="H39" i="56" s="1"/>
  <c r="D30" i="56"/>
  <c r="D28" i="56"/>
  <c r="D26" i="56"/>
  <c r="D24" i="56"/>
  <c r="G18" i="56"/>
  <c r="F18" i="56"/>
  <c r="G42" i="55" l="1"/>
  <c r="G29" i="55" s="1"/>
  <c r="G55" i="32"/>
  <c r="G47" i="56"/>
  <c r="G45" i="56" s="1"/>
  <c r="E47" i="56"/>
  <c r="E45" i="56" s="1"/>
  <c r="F47" i="56"/>
  <c r="F45" i="56" s="1"/>
  <c r="D44" i="55"/>
  <c r="H47" i="56" s="1"/>
  <c r="F29" i="55"/>
  <c r="D40" i="55"/>
  <c r="H29" i="55"/>
  <c r="D38" i="55"/>
  <c r="D35" i="55"/>
  <c r="H38" i="56" s="1"/>
  <c r="H37" i="56" s="1"/>
  <c r="D42" i="55"/>
  <c r="D43" i="55"/>
  <c r="H46" i="56" s="1"/>
  <c r="H45" i="56" s="1"/>
  <c r="I23" i="54"/>
  <c r="I24" i="54"/>
  <c r="I25" i="54"/>
  <c r="I22" i="54"/>
  <c r="G54" i="32" l="1"/>
  <c r="H55" i="32"/>
  <c r="E38" i="56"/>
  <c r="E37" i="56" s="1"/>
  <c r="E33" i="56" s="1"/>
  <c r="G38" i="56"/>
  <c r="G37" i="56" s="1"/>
  <c r="G33" i="56" s="1"/>
  <c r="F38" i="56"/>
  <c r="F37" i="56" s="1"/>
  <c r="F33" i="56" s="1"/>
  <c r="D34" i="55"/>
  <c r="E31" i="56" l="1"/>
  <c r="G53" i="32"/>
  <c r="I55" i="32"/>
  <c r="H54" i="32"/>
  <c r="G31" i="56"/>
  <c r="I53" i="32"/>
  <c r="F31" i="56"/>
  <c r="H53" i="32"/>
  <c r="I29" i="54"/>
  <c r="I28" i="54"/>
  <c r="I27" i="54"/>
  <c r="I26" i="54"/>
  <c r="I20" i="54"/>
  <c r="I19" i="54"/>
  <c r="I18" i="54"/>
  <c r="E24" i="55" s="1"/>
  <c r="D24" i="55" s="1"/>
  <c r="H26" i="56" s="1"/>
  <c r="I17" i="54"/>
  <c r="H27" i="55"/>
  <c r="G27" i="55"/>
  <c r="F27" i="55"/>
  <c r="H25" i="55"/>
  <c r="G25" i="55"/>
  <c r="F25" i="55"/>
  <c r="H23" i="55"/>
  <c r="G23" i="55"/>
  <c r="F23" i="55"/>
  <c r="H21" i="55"/>
  <c r="G21" i="55"/>
  <c r="F21" i="55"/>
  <c r="I54" i="32" l="1"/>
  <c r="J55" i="32"/>
  <c r="J54" i="32" s="1"/>
  <c r="I16" i="54"/>
  <c r="I21" i="54"/>
  <c r="H19" i="55"/>
  <c r="G19" i="55"/>
  <c r="E26" i="55"/>
  <c r="D26" i="55" s="1"/>
  <c r="H28" i="56" s="1"/>
  <c r="G28" i="56" s="1"/>
  <c r="G27" i="56" s="1"/>
  <c r="E28" i="55"/>
  <c r="D28" i="55" s="1"/>
  <c r="H30" i="56" s="1"/>
  <c r="E30" i="56" s="1"/>
  <c r="E29" i="56" s="1"/>
  <c r="E22" i="55"/>
  <c r="D22" i="55" s="1"/>
  <c r="H24" i="56" s="1"/>
  <c r="F24" i="56" s="1"/>
  <c r="F23" i="56" s="1"/>
  <c r="G26" i="56"/>
  <c r="G25" i="56" s="1"/>
  <c r="E26" i="56"/>
  <c r="E25" i="56" s="1"/>
  <c r="F26" i="56"/>
  <c r="F25" i="56" s="1"/>
  <c r="H25" i="56"/>
  <c r="F19" i="55"/>
  <c r="E23" i="55"/>
  <c r="D23" i="55" s="1"/>
  <c r="I15" i="54" l="1"/>
  <c r="I14" i="54" s="1"/>
  <c r="F28" i="56"/>
  <c r="F27" i="56" s="1"/>
  <c r="E28" i="56"/>
  <c r="E27" i="56" s="1"/>
  <c r="F30" i="56"/>
  <c r="F29" i="56" s="1"/>
  <c r="H27" i="56"/>
  <c r="G30" i="56"/>
  <c r="G29" i="56" s="1"/>
  <c r="H29" i="56"/>
  <c r="H23" i="56"/>
  <c r="E27" i="55"/>
  <c r="D27" i="55" s="1"/>
  <c r="E25" i="55"/>
  <c r="D25" i="55" s="1"/>
  <c r="E21" i="55"/>
  <c r="D21" i="55" s="1"/>
  <c r="G24" i="56"/>
  <c r="G23" i="56" s="1"/>
  <c r="E24" i="56"/>
  <c r="E23" i="56" s="1"/>
  <c r="E21" i="56" l="1"/>
  <c r="H21" i="56"/>
  <c r="G21" i="56"/>
  <c r="F21" i="56"/>
  <c r="E19" i="55"/>
  <c r="D19" i="55" s="1"/>
  <c r="F19" i="56" l="1"/>
  <c r="H34" i="32"/>
  <c r="G19" i="56"/>
  <c r="I34" i="32"/>
  <c r="H19" i="56"/>
  <c r="J34" i="32"/>
  <c r="E19" i="56"/>
  <c r="G34" i="32"/>
  <c r="I89" i="54"/>
  <c r="I88" i="54" s="1"/>
  <c r="F17" i="55"/>
  <c r="F15" i="55" s="1"/>
  <c r="G17" i="55"/>
  <c r="G15" i="55" s="1"/>
  <c r="H17" i="55"/>
  <c r="H15" i="55" s="1"/>
  <c r="D18" i="56"/>
  <c r="I93" i="54"/>
  <c r="I92" i="54" s="1"/>
  <c r="J33" i="32" l="1"/>
  <c r="J32" i="32" s="1"/>
  <c r="J31" i="32" s="1"/>
  <c r="J30" i="32" s="1"/>
  <c r="J28" i="32" s="1"/>
  <c r="J26" i="32" s="1"/>
  <c r="J177" i="32" s="1"/>
  <c r="J185" i="32" s="1"/>
  <c r="J52" i="78"/>
  <c r="J51" i="78" s="1"/>
  <c r="J50" i="78" s="1"/>
  <c r="J49" i="78" s="1"/>
  <c r="J48" i="78" s="1"/>
  <c r="J46" i="78" s="1"/>
  <c r="J44" i="78" s="1"/>
  <c r="J42" i="78" s="1"/>
  <c r="J40" i="78" s="1"/>
  <c r="J38" i="78" s="1"/>
  <c r="J36" i="78" s="1"/>
  <c r="J34" i="78" s="1"/>
  <c r="J33" i="78" s="1"/>
  <c r="H33" i="32"/>
  <c r="H32" i="32" s="1"/>
  <c r="H31" i="32" s="1"/>
  <c r="H30" i="32" s="1"/>
  <c r="H28" i="32" s="1"/>
  <c r="H26" i="32" s="1"/>
  <c r="H177" i="32" s="1"/>
  <c r="H185" i="32" s="1"/>
  <c r="H52" i="78"/>
  <c r="H51" i="78" s="1"/>
  <c r="H50" i="78" s="1"/>
  <c r="H49" i="78" s="1"/>
  <c r="H48" i="78" s="1"/>
  <c r="H46" i="78" s="1"/>
  <c r="H44" i="78" s="1"/>
  <c r="H42" i="78" s="1"/>
  <c r="H40" i="78" s="1"/>
  <c r="H38" i="78" s="1"/>
  <c r="H36" i="78" s="1"/>
  <c r="H34" i="78" s="1"/>
  <c r="H33" i="78" s="1"/>
  <c r="G33" i="32"/>
  <c r="G32" i="32" s="1"/>
  <c r="G31" i="32" s="1"/>
  <c r="G30" i="32" s="1"/>
  <c r="G28" i="32" s="1"/>
  <c r="G52" i="78"/>
  <c r="G51" i="78" s="1"/>
  <c r="G50" i="78" s="1"/>
  <c r="G49" i="78" s="1"/>
  <c r="G48" i="78" s="1"/>
  <c r="G46" i="78" s="1"/>
  <c r="G44" i="78" s="1"/>
  <c r="G42" i="78" s="1"/>
  <c r="G40" i="78" s="1"/>
  <c r="G38" i="78" s="1"/>
  <c r="G36" i="78" s="1"/>
  <c r="G34" i="78" s="1"/>
  <c r="G33" i="78" s="1"/>
  <c r="I33" i="32"/>
  <c r="I32" i="32" s="1"/>
  <c r="I31" i="32" s="1"/>
  <c r="I30" i="32" s="1"/>
  <c r="I28" i="32" s="1"/>
  <c r="I52" i="78"/>
  <c r="I51" i="78" s="1"/>
  <c r="I50" i="78" s="1"/>
  <c r="I49" i="78" s="1"/>
  <c r="I48" i="78" s="1"/>
  <c r="I46" i="78" s="1"/>
  <c r="I44" i="78" s="1"/>
  <c r="I42" i="78" s="1"/>
  <c r="I40" i="78" s="1"/>
  <c r="I38" i="78" s="1"/>
  <c r="I36" i="78" s="1"/>
  <c r="I34" i="78" s="1"/>
  <c r="I33" i="78" s="1"/>
  <c r="G26" i="32"/>
  <c r="G177" i="32" s="1"/>
  <c r="J20" i="76"/>
  <c r="I26" i="32"/>
  <c r="I177" i="32" s="1"/>
  <c r="I185" i="32" s="1"/>
  <c r="L20" i="76"/>
  <c r="K20" i="76"/>
  <c r="M20" i="76"/>
  <c r="I87" i="54"/>
  <c r="E88" i="55" s="1"/>
  <c r="E87" i="55" s="1"/>
  <c r="I86" i="54"/>
  <c r="H184" i="32" l="1"/>
  <c r="H183" i="32" s="1"/>
  <c r="H182" i="32" s="1"/>
  <c r="H180" i="32" s="1"/>
  <c r="H31" i="78"/>
  <c r="H30" i="78" s="1"/>
  <c r="H29" i="78" s="1"/>
  <c r="H28" i="78" s="1"/>
  <c r="H26" i="78" s="1"/>
  <c r="H24" i="78" s="1"/>
  <c r="H22" i="78" s="1"/>
  <c r="H20" i="78" s="1"/>
  <c r="H18" i="78" s="1"/>
  <c r="H16" i="78" s="1"/>
  <c r="H14" i="78" s="1"/>
  <c r="H13" i="78" s="1"/>
  <c r="H11" i="78" s="1"/>
  <c r="J184" i="32"/>
  <c r="J183" i="32" s="1"/>
  <c r="J182" i="32" s="1"/>
  <c r="J180" i="32" s="1"/>
  <c r="J31" i="78"/>
  <c r="J30" i="78" s="1"/>
  <c r="J29" i="78" s="1"/>
  <c r="J28" i="78" s="1"/>
  <c r="J26" i="78" s="1"/>
  <c r="J24" i="78" s="1"/>
  <c r="J22" i="78" s="1"/>
  <c r="J20" i="78" s="1"/>
  <c r="J18" i="78" s="1"/>
  <c r="J16" i="78" s="1"/>
  <c r="J14" i="78" s="1"/>
  <c r="J13" i="78" s="1"/>
  <c r="J11" i="78" s="1"/>
  <c r="I31" i="78"/>
  <c r="I30" i="78" s="1"/>
  <c r="I29" i="78" s="1"/>
  <c r="I28" i="78" s="1"/>
  <c r="I26" i="78" s="1"/>
  <c r="I24" i="78" s="1"/>
  <c r="I22" i="78" s="1"/>
  <c r="I20" i="78" s="1"/>
  <c r="I18" i="78" s="1"/>
  <c r="I16" i="78" s="1"/>
  <c r="I14" i="78" s="1"/>
  <c r="I13" i="78" s="1"/>
  <c r="I11" i="78" s="1"/>
  <c r="I184" i="32"/>
  <c r="I183" i="32" s="1"/>
  <c r="I182" i="32" s="1"/>
  <c r="I180" i="32" s="1"/>
  <c r="J24" i="32"/>
  <c r="J22" i="32" s="1"/>
  <c r="J20" i="32" s="1"/>
  <c r="J18" i="32" s="1"/>
  <c r="J16" i="32" s="1"/>
  <c r="J18" i="65"/>
  <c r="M20" i="73" s="1"/>
  <c r="I24" i="32"/>
  <c r="I22" i="32" s="1"/>
  <c r="I20" i="32" s="1"/>
  <c r="I18" i="32" s="1"/>
  <c r="I16" i="32" s="1"/>
  <c r="I18" i="65"/>
  <c r="H24" i="32"/>
  <c r="H22" i="32" s="1"/>
  <c r="H20" i="32" s="1"/>
  <c r="H18" i="32" s="1"/>
  <c r="H16" i="32" s="1"/>
  <c r="H18" i="65"/>
  <c r="G24" i="32"/>
  <c r="G22" i="32" s="1"/>
  <c r="G20" i="32" s="1"/>
  <c r="G18" i="32" s="1"/>
  <c r="G16" i="32" s="1"/>
  <c r="G18" i="65"/>
  <c r="E83" i="55"/>
  <c r="I85" i="54"/>
  <c r="I84" i="54" s="1"/>
  <c r="I63" i="54" s="1"/>
  <c r="I128" i="32"/>
  <c r="I127" i="32" s="1"/>
  <c r="H128" i="32"/>
  <c r="H127" i="32" s="1"/>
  <c r="G128" i="32"/>
  <c r="G127" i="32" s="1"/>
  <c r="D89" i="55"/>
  <c r="H151" i="56" s="1"/>
  <c r="D88" i="55"/>
  <c r="H150" i="56" s="1"/>
  <c r="H142" i="56" s="1"/>
  <c r="I178" i="32" l="1"/>
  <c r="I32" i="65" s="1"/>
  <c r="L78" i="73" s="1"/>
  <c r="L79" i="76"/>
  <c r="H178" i="32"/>
  <c r="H32" i="65" s="1"/>
  <c r="K78" i="73" s="1"/>
  <c r="K79" i="76"/>
  <c r="J178" i="32"/>
  <c r="J32" i="65" s="1"/>
  <c r="M78" i="73" s="1"/>
  <c r="M79" i="76"/>
  <c r="J20" i="73"/>
  <c r="K20" i="73"/>
  <c r="L20" i="73"/>
  <c r="D87" i="55"/>
  <c r="D95" i="56" l="1"/>
  <c r="G112" i="32" l="1"/>
  <c r="G111" i="32" s="1"/>
  <c r="G110" i="32" s="1"/>
  <c r="G109" i="32" s="1"/>
  <c r="G107" i="32" s="1"/>
  <c r="D57" i="55"/>
  <c r="H95" i="56" s="1"/>
  <c r="H94" i="56" s="1"/>
  <c r="H92" i="56" s="1"/>
  <c r="H90" i="56" l="1"/>
  <c r="J113" i="32"/>
  <c r="G105" i="32"/>
  <c r="G26" i="65" s="1"/>
  <c r="J57" i="73" s="1"/>
  <c r="J51" i="76"/>
  <c r="G95" i="56"/>
  <c r="F95" i="56"/>
  <c r="F94" i="56" l="1"/>
  <c r="F92" i="56" s="1"/>
  <c r="G94" i="56"/>
  <c r="G92" i="56" s="1"/>
  <c r="G90" i="56" l="1"/>
  <c r="I113" i="32"/>
  <c r="F90" i="56"/>
  <c r="H113" i="32"/>
  <c r="I33" i="54"/>
  <c r="I32" i="54" s="1"/>
  <c r="I44" i="54"/>
  <c r="I43" i="54" s="1"/>
  <c r="I31" i="54" l="1"/>
  <c r="I30" i="54" s="1"/>
  <c r="E33" i="55"/>
  <c r="E32" i="55" s="1"/>
  <c r="D31" i="55" l="1"/>
  <c r="H51" i="56" s="1"/>
  <c r="J62" i="32" s="1"/>
  <c r="J61" i="32" s="1"/>
  <c r="J60" i="32" s="1"/>
  <c r="E29" i="55"/>
  <c r="D33" i="55"/>
  <c r="H36" i="56" s="1"/>
  <c r="H35" i="56" s="1"/>
  <c r="H33" i="56" s="1"/>
  <c r="D32" i="55"/>
  <c r="H82" i="55"/>
  <c r="H80" i="55" s="1"/>
  <c r="H13" i="55" s="1"/>
  <c r="F82" i="55"/>
  <c r="F80" i="55" s="1"/>
  <c r="F13" i="55" s="1"/>
  <c r="E82" i="55"/>
  <c r="E80" i="55" s="1"/>
  <c r="H31" i="56" l="1"/>
  <c r="J53" i="32"/>
  <c r="G82" i="55"/>
  <c r="G80" i="55" s="1"/>
  <c r="G13" i="55" s="1"/>
  <c r="D82" i="55" l="1"/>
  <c r="D83" i="55"/>
  <c r="H141" i="56" s="1"/>
  <c r="H139" i="56" l="1"/>
  <c r="H121" i="56" s="1"/>
  <c r="J129" i="32" s="1"/>
  <c r="J128" i="32" s="1"/>
  <c r="J127" i="32" s="1"/>
  <c r="I96" i="54" l="1"/>
  <c r="I95" i="54"/>
  <c r="E18" i="55" l="1"/>
  <c r="D18" i="55" s="1"/>
  <c r="H18" i="56" s="1"/>
  <c r="I94" i="54"/>
  <c r="I91" i="54" s="1"/>
  <c r="I90" i="54" s="1"/>
  <c r="I13" i="54" s="1"/>
  <c r="G156" i="32"/>
  <c r="G155" i="32" s="1"/>
  <c r="J156" i="32"/>
  <c r="J155" i="32" s="1"/>
  <c r="I156" i="32"/>
  <c r="I155" i="32" s="1"/>
  <c r="H156" i="32"/>
  <c r="H155" i="32" s="1"/>
  <c r="E17" i="55" l="1"/>
  <c r="D17" i="55" s="1"/>
  <c r="H17" i="56"/>
  <c r="H15" i="56" s="1"/>
  <c r="J146" i="32" s="1"/>
  <c r="G17" i="56"/>
  <c r="G15" i="56" s="1"/>
  <c r="I146" i="32" s="1"/>
  <c r="E15" i="55"/>
  <c r="E13" i="55" s="1"/>
  <c r="H154" i="32"/>
  <c r="H153" i="32" s="1"/>
  <c r="H151" i="32" s="1"/>
  <c r="K68" i="76" s="1"/>
  <c r="K67" i="76" s="1"/>
  <c r="K66" i="76" s="1"/>
  <c r="I154" i="32"/>
  <c r="I153" i="32" s="1"/>
  <c r="I151" i="32" s="1"/>
  <c r="L68" i="76" s="1"/>
  <c r="L67" i="76" s="1"/>
  <c r="L66" i="76" s="1"/>
  <c r="J154" i="32"/>
  <c r="J153" i="32" s="1"/>
  <c r="J151" i="32" s="1"/>
  <c r="M68" i="76" s="1"/>
  <c r="M67" i="76" s="1"/>
  <c r="M66" i="76" s="1"/>
  <c r="G154" i="32"/>
  <c r="G153" i="32" s="1"/>
  <c r="G151" i="32" s="1"/>
  <c r="J68" i="76" s="1"/>
  <c r="J67" i="76" s="1"/>
  <c r="J66" i="76" s="1"/>
  <c r="F17" i="56" l="1"/>
  <c r="F15" i="56" s="1"/>
  <c r="H146" i="32" s="1"/>
  <c r="E17" i="56"/>
  <c r="E15" i="56" s="1"/>
  <c r="G146" i="32" s="1"/>
  <c r="H119" i="56"/>
  <c r="J149" i="32"/>
  <c r="I149" i="32"/>
  <c r="H149" i="32"/>
  <c r="G149" i="32"/>
  <c r="D53" i="55"/>
  <c r="E119" i="56"/>
  <c r="J147" i="32" l="1"/>
  <c r="J20" i="65"/>
  <c r="G147" i="32"/>
  <c r="G20" i="65"/>
  <c r="H147" i="32"/>
  <c r="H20" i="65"/>
  <c r="I147" i="32"/>
  <c r="I20" i="65"/>
  <c r="J112" i="32"/>
  <c r="J111" i="32" s="1"/>
  <c r="J110" i="32" s="1"/>
  <c r="J109" i="32" s="1"/>
  <c r="J107" i="32" s="1"/>
  <c r="G119" i="56"/>
  <c r="F119" i="56"/>
  <c r="D80" i="55"/>
  <c r="D48" i="55"/>
  <c r="I19" i="65" l="1"/>
  <c r="L30" i="73"/>
  <c r="L29" i="73" s="1"/>
  <c r="H19" i="65"/>
  <c r="K30" i="73"/>
  <c r="K29" i="73" s="1"/>
  <c r="G19" i="65"/>
  <c r="J30" i="73"/>
  <c r="J29" i="73" s="1"/>
  <c r="J19" i="65"/>
  <c r="M30" i="73"/>
  <c r="M29" i="73" s="1"/>
  <c r="J105" i="32"/>
  <c r="M51" i="76"/>
  <c r="H112" i="32"/>
  <c r="H111" i="32" s="1"/>
  <c r="H110" i="32" s="1"/>
  <c r="H109" i="32" s="1"/>
  <c r="H107" i="32" s="1"/>
  <c r="I112" i="32"/>
  <c r="I111" i="32" s="1"/>
  <c r="I110" i="32" s="1"/>
  <c r="I109" i="32" s="1"/>
  <c r="I107" i="32" s="1"/>
  <c r="J26" i="65"/>
  <c r="M57" i="73" s="1"/>
  <c r="D46" i="55"/>
  <c r="I126" i="32"/>
  <c r="I125" i="32" s="1"/>
  <c r="I123" i="32" s="1"/>
  <c r="L59" i="76" s="1"/>
  <c r="H126" i="32"/>
  <c r="H125" i="32" s="1"/>
  <c r="H123" i="32" s="1"/>
  <c r="K59" i="76" s="1"/>
  <c r="J126" i="32"/>
  <c r="J125" i="32" s="1"/>
  <c r="J123" i="32" s="1"/>
  <c r="M59" i="76" s="1"/>
  <c r="G126" i="32"/>
  <c r="G125" i="32" s="1"/>
  <c r="G123" i="32" s="1"/>
  <c r="J59" i="76" s="1"/>
  <c r="H105" i="32" l="1"/>
  <c r="K51" i="76"/>
  <c r="I105" i="32"/>
  <c r="I26" i="65" s="1"/>
  <c r="L57" i="73" s="1"/>
  <c r="L51" i="76"/>
  <c r="H26" i="65"/>
  <c r="K57" i="73" s="1"/>
  <c r="E59" i="56"/>
  <c r="J121" i="32"/>
  <c r="H121" i="32"/>
  <c r="I121" i="32"/>
  <c r="G121" i="32"/>
  <c r="G27" i="65" l="1"/>
  <c r="J65" i="73" s="1"/>
  <c r="I27" i="65"/>
  <c r="L65" i="73" s="1"/>
  <c r="H27" i="65"/>
  <c r="K65" i="73" s="1"/>
  <c r="J27" i="65"/>
  <c r="M65" i="73" l="1"/>
  <c r="H59" i="56"/>
  <c r="G59" i="56"/>
  <c r="F59" i="56"/>
  <c r="I103" i="32"/>
  <c r="I102" i="32" s="1"/>
  <c r="J103" i="32"/>
  <c r="J102" i="32" s="1"/>
  <c r="H103" i="32"/>
  <c r="H102" i="32" s="1"/>
  <c r="I101" i="32" l="1"/>
  <c r="H101" i="32"/>
  <c r="J101" i="32"/>
  <c r="G103" i="32"/>
  <c r="G102" i="32" s="1"/>
  <c r="G101" i="32" l="1"/>
  <c r="G100" i="32" s="1"/>
  <c r="G98" i="32" s="1"/>
  <c r="J47" i="76" s="1"/>
  <c r="H100" i="32"/>
  <c r="H98" i="32" s="1"/>
  <c r="K47" i="76" s="1"/>
  <c r="H96" i="32" l="1"/>
  <c r="H85" i="32" s="1"/>
  <c r="G96" i="32"/>
  <c r="I100" i="32"/>
  <c r="I98" i="32" s="1"/>
  <c r="L47" i="76" s="1"/>
  <c r="G85" i="32" l="1"/>
  <c r="G83" i="32" s="1"/>
  <c r="H25" i="65"/>
  <c r="K53" i="73" s="1"/>
  <c r="H83" i="32"/>
  <c r="H81" i="32" s="1"/>
  <c r="H79" i="32" s="1"/>
  <c r="G25" i="65"/>
  <c r="J53" i="73" s="1"/>
  <c r="I96" i="32"/>
  <c r="I85" i="32" s="1"/>
  <c r="I25" i="65" l="1"/>
  <c r="L53" i="73" s="1"/>
  <c r="I83" i="32"/>
  <c r="H59" i="32"/>
  <c r="H58" i="32" s="1"/>
  <c r="H56" i="32" s="1"/>
  <c r="K85" i="76" s="1"/>
  <c r="K84" i="76" l="1"/>
  <c r="I81" i="32"/>
  <c r="I79" i="32" s="1"/>
  <c r="D13" i="55"/>
  <c r="I59" i="32" l="1"/>
  <c r="I58" i="32" s="1"/>
  <c r="I56" i="32" s="1"/>
  <c r="L85" i="76" s="1"/>
  <c r="D15" i="55"/>
  <c r="L84" i="76" l="1"/>
  <c r="H13" i="56"/>
  <c r="H11" i="56" s="1"/>
  <c r="J145" i="32"/>
  <c r="J144" i="32" s="1"/>
  <c r="J143" i="32" l="1"/>
  <c r="J142" i="32" s="1"/>
  <c r="J140" i="32" s="1"/>
  <c r="M15" i="76" s="1"/>
  <c r="M14" i="76" s="1"/>
  <c r="E13" i="56"/>
  <c r="E11" i="56" s="1"/>
  <c r="G145" i="32"/>
  <c r="G144" i="32" s="1"/>
  <c r="F13" i="56"/>
  <c r="F11" i="56" s="1"/>
  <c r="H145" i="32"/>
  <c r="H144" i="32" s="1"/>
  <c r="G13" i="56"/>
  <c r="G11" i="56" s="1"/>
  <c r="I145" i="32"/>
  <c r="I144" i="32" s="1"/>
  <c r="J138" i="32" l="1"/>
  <c r="G143" i="32"/>
  <c r="G142" i="32" s="1"/>
  <c r="G140" i="32" s="1"/>
  <c r="J15" i="76" s="1"/>
  <c r="J14" i="76" s="1"/>
  <c r="I143" i="32"/>
  <c r="I142" i="32" s="1"/>
  <c r="I140" i="32" s="1"/>
  <c r="L15" i="76" s="1"/>
  <c r="L14" i="76" s="1"/>
  <c r="H143" i="32"/>
  <c r="H142" i="32" s="1"/>
  <c r="H140" i="32" s="1"/>
  <c r="K15" i="76" s="1"/>
  <c r="K14" i="76" s="1"/>
  <c r="J100" i="32"/>
  <c r="J98" i="32" s="1"/>
  <c r="M47" i="76" s="1"/>
  <c r="J136" i="32" l="1"/>
  <c r="J134" i="32" s="1"/>
  <c r="J132" i="32" s="1"/>
  <c r="J130" i="32" s="1"/>
  <c r="J17" i="65"/>
  <c r="J52" i="32"/>
  <c r="I138" i="32"/>
  <c r="I17" i="65" s="1"/>
  <c r="G138" i="32"/>
  <c r="G17" i="65" s="1"/>
  <c r="H138" i="32"/>
  <c r="J96" i="32"/>
  <c r="J85" i="32" s="1"/>
  <c r="L15" i="73" l="1"/>
  <c r="L14" i="73" s="1"/>
  <c r="I16" i="65"/>
  <c r="H136" i="32"/>
  <c r="H134" i="32" s="1"/>
  <c r="H132" i="32" s="1"/>
  <c r="H130" i="32" s="1"/>
  <c r="H17" i="65"/>
  <c r="J15" i="73"/>
  <c r="J14" i="73" s="1"/>
  <c r="G16" i="65"/>
  <c r="J16" i="65"/>
  <c r="M15" i="73"/>
  <c r="M14" i="73" s="1"/>
  <c r="G136" i="32"/>
  <c r="I136" i="32"/>
  <c r="J25" i="65"/>
  <c r="M53" i="73" s="1"/>
  <c r="J83" i="32"/>
  <c r="J81" i="32" s="1"/>
  <c r="J79" i="32" s="1"/>
  <c r="J51" i="32"/>
  <c r="J50" i="32" s="1"/>
  <c r="J49" i="32" s="1"/>
  <c r="J47" i="32" s="1"/>
  <c r="M34" i="76" s="1"/>
  <c r="M29" i="76" s="1"/>
  <c r="M13" i="76" s="1"/>
  <c r="I52" i="32"/>
  <c r="H52" i="32"/>
  <c r="G52" i="32"/>
  <c r="K15" i="73" l="1"/>
  <c r="K14" i="73" s="1"/>
  <c r="H16" i="65"/>
  <c r="I134" i="32"/>
  <c r="I132" i="32" s="1"/>
  <c r="I130" i="32" s="1"/>
  <c r="G134" i="32"/>
  <c r="G132" i="32" s="1"/>
  <c r="G130" i="32" s="1"/>
  <c r="J59" i="32"/>
  <c r="J58" i="32" s="1"/>
  <c r="J56" i="32" s="1"/>
  <c r="M85" i="76" s="1"/>
  <c r="J45" i="32"/>
  <c r="J43" i="32" s="1"/>
  <c r="I51" i="32"/>
  <c r="I50" i="32" s="1"/>
  <c r="I49" i="32" s="1"/>
  <c r="I47" i="32" s="1"/>
  <c r="G51" i="32"/>
  <c r="G50" i="32" s="1"/>
  <c r="G49" i="32" s="1"/>
  <c r="G47" i="32" s="1"/>
  <c r="J34" i="76" s="1"/>
  <c r="J29" i="76" s="1"/>
  <c r="J13" i="76" s="1"/>
  <c r="H51" i="32"/>
  <c r="H50" i="32" s="1"/>
  <c r="H49" i="32" s="1"/>
  <c r="H47" i="32" s="1"/>
  <c r="M84" i="76" l="1"/>
  <c r="H45" i="32"/>
  <c r="H43" i="32" s="1"/>
  <c r="H41" i="32" s="1"/>
  <c r="K34" i="76"/>
  <c r="K29" i="76" s="1"/>
  <c r="K13" i="76" s="1"/>
  <c r="I45" i="32"/>
  <c r="I43" i="32" s="1"/>
  <c r="L34" i="76"/>
  <c r="L29" i="76" s="1"/>
  <c r="L13" i="76" s="1"/>
  <c r="J23" i="65"/>
  <c r="H23" i="65" l="1"/>
  <c r="K40" i="73"/>
  <c r="K35" i="73" s="1"/>
  <c r="K13" i="73" s="1"/>
  <c r="H21" i="65"/>
  <c r="I23" i="65"/>
  <c r="M40" i="73"/>
  <c r="M35" i="73" s="1"/>
  <c r="M13" i="73" s="1"/>
  <c r="J21" i="65"/>
  <c r="J15" i="65" s="1"/>
  <c r="H15" i="65"/>
  <c r="I41" i="32"/>
  <c r="L40" i="73" l="1"/>
  <c r="L35" i="73" s="1"/>
  <c r="L13" i="73" s="1"/>
  <c r="I21" i="65"/>
  <c r="I15" i="65" s="1"/>
  <c r="D29" i="55"/>
  <c r="H39" i="32" l="1"/>
  <c r="I39" i="32"/>
  <c r="H37" i="32" l="1"/>
  <c r="H35" i="32" s="1"/>
  <c r="H15" i="32" s="1"/>
  <c r="H176" i="32"/>
  <c r="H175" i="32" s="1"/>
  <c r="H174" i="32" s="1"/>
  <c r="H172" i="32" s="1"/>
  <c r="I37" i="32"/>
  <c r="I35" i="32" s="1"/>
  <c r="I15" i="32" s="1"/>
  <c r="I176" i="32"/>
  <c r="I175" i="32" s="1"/>
  <c r="I174" i="32" s="1"/>
  <c r="I172" i="32" s="1"/>
  <c r="G11" i="55"/>
  <c r="H11" i="55"/>
  <c r="F11" i="55"/>
  <c r="H170" i="32" l="1"/>
  <c r="K75" i="76"/>
  <c r="K74" i="76" s="1"/>
  <c r="K73" i="76" s="1"/>
  <c r="K11" i="76" s="1"/>
  <c r="I170" i="32"/>
  <c r="L75" i="76"/>
  <c r="L74" i="76" s="1"/>
  <c r="L73" i="76" s="1"/>
  <c r="L11" i="76" s="1"/>
  <c r="J41" i="32"/>
  <c r="E11" i="55"/>
  <c r="D11" i="55" s="1"/>
  <c r="H168" i="32" l="1"/>
  <c r="H166" i="32" s="1"/>
  <c r="H164" i="32" s="1"/>
  <c r="H162" i="32" s="1"/>
  <c r="H160" i="32" s="1"/>
  <c r="H159" i="32" s="1"/>
  <c r="H13" i="32" s="1"/>
  <c r="H31" i="65"/>
  <c r="I168" i="32"/>
  <c r="I166" i="32" s="1"/>
  <c r="I164" i="32" s="1"/>
  <c r="I162" i="32" s="1"/>
  <c r="I160" i="32" s="1"/>
  <c r="I159" i="32" s="1"/>
  <c r="I13" i="32" s="1"/>
  <c r="I31" i="65"/>
  <c r="J39" i="32"/>
  <c r="H30" i="65" l="1"/>
  <c r="H29" i="65" s="1"/>
  <c r="H13" i="65" s="1"/>
  <c r="C18" i="77" s="1"/>
  <c r="C16" i="77" s="1"/>
  <c r="C14" i="77" s="1"/>
  <c r="C12" i="77" s="1"/>
  <c r="C10" i="77" s="1"/>
  <c r="K74" i="73"/>
  <c r="K73" i="73" s="1"/>
  <c r="K72" i="73" s="1"/>
  <c r="K11" i="73" s="1"/>
  <c r="L74" i="73"/>
  <c r="L73" i="73" s="1"/>
  <c r="L72" i="73" s="1"/>
  <c r="L11" i="73" s="1"/>
  <c r="I30" i="65"/>
  <c r="I29" i="65" s="1"/>
  <c r="I13" i="65" s="1"/>
  <c r="D18" i="77" s="1"/>
  <c r="D16" i="77" s="1"/>
  <c r="D14" i="77" s="1"/>
  <c r="D12" i="77" s="1"/>
  <c r="D10" i="77" s="1"/>
  <c r="J37" i="32"/>
  <c r="J35" i="32" s="1"/>
  <c r="J15" i="32" s="1"/>
  <c r="J176" i="32"/>
  <c r="J175" i="32" s="1"/>
  <c r="J174" i="32" s="1"/>
  <c r="J172" i="32" s="1"/>
  <c r="G81" i="32"/>
  <c r="G79" i="32" s="1"/>
  <c r="J170" i="32" l="1"/>
  <c r="M75" i="76"/>
  <c r="M74" i="76" s="1"/>
  <c r="M73" i="76" s="1"/>
  <c r="M11" i="76" s="1"/>
  <c r="G59" i="32"/>
  <c r="G58" i="32" s="1"/>
  <c r="G56" i="32" s="1"/>
  <c r="J168" i="32" l="1"/>
  <c r="J166" i="32" s="1"/>
  <c r="J164" i="32" s="1"/>
  <c r="J162" i="32" s="1"/>
  <c r="J160" i="32" s="1"/>
  <c r="J159" i="32" s="1"/>
  <c r="J13" i="32" s="1"/>
  <c r="J31" i="65"/>
  <c r="G45" i="32"/>
  <c r="J85" i="76"/>
  <c r="G43" i="32"/>
  <c r="G41" i="32" s="1"/>
  <c r="G39" i="32" s="1"/>
  <c r="G23" i="65"/>
  <c r="M74" i="73" l="1"/>
  <c r="M73" i="73" s="1"/>
  <c r="M72" i="73" s="1"/>
  <c r="M11" i="73" s="1"/>
  <c r="J30" i="65"/>
  <c r="J29" i="65" s="1"/>
  <c r="J13" i="65" s="1"/>
  <c r="E18" i="77" s="1"/>
  <c r="E16" i="77" s="1"/>
  <c r="E14" i="77" s="1"/>
  <c r="E12" i="77" s="1"/>
  <c r="E10" i="77" s="1"/>
  <c r="J84" i="76"/>
  <c r="G37" i="32"/>
  <c r="G35" i="32" s="1"/>
  <c r="G15" i="32" s="1"/>
  <c r="J40" i="73"/>
  <c r="J35" i="73" s="1"/>
  <c r="J13" i="73" s="1"/>
  <c r="G21" i="65"/>
  <c r="G15" i="65" s="1"/>
  <c r="G176" i="32" l="1"/>
  <c r="G175" i="32" s="1"/>
  <c r="G174" i="32" s="1"/>
  <c r="G172" i="32" s="1"/>
  <c r="G185" i="32"/>
  <c r="G184" i="32" l="1"/>
  <c r="G183" i="32" s="1"/>
  <c r="G182" i="32" s="1"/>
  <c r="G180" i="32" s="1"/>
  <c r="G31" i="78"/>
  <c r="G30" i="78" s="1"/>
  <c r="G29" i="78" s="1"/>
  <c r="G28" i="78" s="1"/>
  <c r="G26" i="78" s="1"/>
  <c r="G24" i="78" s="1"/>
  <c r="G22" i="78" s="1"/>
  <c r="G20" i="78" s="1"/>
  <c r="G18" i="78" s="1"/>
  <c r="G16" i="78" s="1"/>
  <c r="G14" i="78" s="1"/>
  <c r="G13" i="78" s="1"/>
  <c r="G11" i="78" s="1"/>
  <c r="J75" i="76"/>
  <c r="G170" i="32"/>
  <c r="G178" i="32" l="1"/>
  <c r="G32" i="65" s="1"/>
  <c r="J78" i="73" s="1"/>
  <c r="J79" i="76"/>
  <c r="J74" i="76" s="1"/>
  <c r="J73" i="76" s="1"/>
  <c r="J11" i="76" s="1"/>
  <c r="G31" i="65"/>
  <c r="G168" i="32" l="1"/>
  <c r="G166" i="32" s="1"/>
  <c r="G164" i="32" s="1"/>
  <c r="G162" i="32" s="1"/>
  <c r="G160" i="32" s="1"/>
  <c r="G159" i="32" s="1"/>
  <c r="G13" i="32" s="1"/>
  <c r="J74" i="73"/>
  <c r="J73" i="73" s="1"/>
  <c r="J72" i="73" s="1"/>
  <c r="J11" i="73" s="1"/>
  <c r="G30" i="65"/>
  <c r="G29" i="65" s="1"/>
  <c r="G13" i="65" s="1"/>
  <c r="B18" i="77" s="1"/>
  <c r="B16" i="77" s="1"/>
  <c r="B14" i="77" s="1"/>
  <c r="B12" i="77" s="1"/>
  <c r="B10" i="77" s="1"/>
</calcChain>
</file>

<file path=xl/sharedStrings.xml><?xml version="1.0" encoding="utf-8"?>
<sst xmlns="http://schemas.openxmlformats.org/spreadsheetml/2006/main" count="1144" uniqueCount="409">
  <si>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</si>
  <si>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</si>
  <si>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</si>
  <si>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</si>
  <si>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</si>
  <si>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</si>
  <si>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</si>
  <si>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</si>
  <si>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</si>
  <si>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</si>
  <si>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</si>
  <si>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</si>
  <si>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</si>
  <si>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</si>
  <si>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</si>
  <si>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</si>
  <si>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</si>
  <si>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</si>
  <si>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</si>
  <si>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</si>
  <si>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</si>
  <si>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</si>
  <si>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</si>
  <si>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</si>
  <si>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</si>
  <si>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</si>
  <si>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</si>
  <si>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</si>
  <si>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</si>
  <si>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</si>
  <si>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</si>
  <si>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</si>
  <si>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</si>
  <si>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</si>
  <si>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</si>
  <si>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</si>
  <si>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</si>
  <si>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</si>
  <si>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</si>
  <si>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</si>
  <si>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</si>
  <si>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</si>
  <si>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</si>
  <si>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</si>
  <si>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</si>
  <si>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Առաջին կիսամյակ</t>
  </si>
  <si>
    <t>Առաջին եռամսյակ</t>
  </si>
  <si>
    <t xml:space="preserve"> - Շենքերի և շինությունների շինարարություն</t>
  </si>
  <si>
    <t>ՀՀ Արմավիրի մարզ</t>
  </si>
  <si>
    <t>դրամ</t>
  </si>
  <si>
    <t xml:space="preserve"> ՄԱՍ III. ԾԱՌԱՅՈՒԹՅՈՒՆՆԵՐ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</si>
  <si>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</si>
  <si>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</si>
  <si>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</si>
  <si>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</si>
  <si>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</si>
  <si>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</si>
  <si>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 xml:space="preserve"> տեխնիկական հսկողության ծառայություններ</t>
  </si>
  <si>
    <t xml:space="preserve"> հեղինակային հսկողության ծառայություններ</t>
  </si>
  <si>
    <t xml:space="preserve"> - Նախագծահետազոտական ծախսեր</t>
  </si>
  <si>
    <t xml:space="preserve"> այդ թվում՝</t>
  </si>
  <si>
    <t>ՀՀ Արագածոտնի մարզ</t>
  </si>
  <si>
    <t xml:space="preserve"> դրամ</t>
  </si>
  <si>
    <t>Բաժին N 09</t>
  </si>
  <si>
    <t>Խումբ N 06</t>
  </si>
  <si>
    <t>Դաս N 01</t>
  </si>
  <si>
    <t xml:space="preserve"> ՄԱՍ II.  ԱՇԽԱՏԱՆՔՆԵՐ</t>
  </si>
  <si>
    <t xml:space="preserve"> </t>
  </si>
  <si>
    <t>09</t>
  </si>
  <si>
    <t>06</t>
  </si>
  <si>
    <t>01</t>
  </si>
  <si>
    <t>Կրթությանը տրամադրվող օժանդակ ծառայություններ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</si>
  <si>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</si>
  <si>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</si>
  <si>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>ԱՅԼ ՀԻՄՆԱԿԱՆ ՄԻՋՈՑՆԵՐ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</si>
  <si>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</si>
  <si>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</si>
  <si>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1236-32001</t>
  </si>
  <si>
    <t xml:space="preserve"> Մանկապարտեզների նոր շենքերի կառուցում</t>
  </si>
  <si>
    <t>Հավելված N 4</t>
  </si>
  <si>
    <t>1163-32001</t>
  </si>
  <si>
    <t>Մասսայական սպորտ</t>
  </si>
  <si>
    <t xml:space="preserve"> Մարզական օբյեկտների շինարարություն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</si>
  <si>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</si>
  <si>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>Մանկապարտեզների նոր շենքերի կառուցում</t>
  </si>
  <si>
    <t>ՀՀ Շիրակի մարզ</t>
  </si>
  <si>
    <t>Մարզական օբյեկտների շինարարություն</t>
  </si>
  <si>
    <t>ԲՄ</t>
  </si>
  <si>
    <t>Խումբ N 01</t>
  </si>
  <si>
    <t xml:space="preserve"> Նախադպրոցական կրթություն</t>
  </si>
  <si>
    <t xml:space="preserve"> Նախադպրոցական և տարրական ընդհանուր կրթություն</t>
  </si>
  <si>
    <t xml:space="preserve"> - Շենքերի և շինությունների կապիտալ վերանորոգում</t>
  </si>
  <si>
    <t>Հավելված N 5</t>
  </si>
  <si>
    <t>Հանրակրթական դպրոցների նոր շենքերի կառուցում</t>
  </si>
  <si>
    <t>ՀՀ Արարատի մարզ</t>
  </si>
  <si>
    <t>ՀՀ Վայոց Ձորի մարզ</t>
  </si>
  <si>
    <t>Կրթահամալիրների կառուցում</t>
  </si>
  <si>
    <t>02</t>
  </si>
  <si>
    <t xml:space="preserve"> Միջնակարգ ընդհանուր կրթություն</t>
  </si>
  <si>
    <t xml:space="preserve"> Հիմնական ընդհանուր կրթություն</t>
  </si>
  <si>
    <t xml:space="preserve"> Հանրակրթական դպրոցների նոր շենքերի կառուցում</t>
  </si>
  <si>
    <t xml:space="preserve"> Կրթահամալիրների կառուցում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</si>
  <si>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</si>
  <si>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>Խումբ N 02</t>
  </si>
  <si>
    <t>ՀԲՄ</t>
  </si>
  <si>
    <t>ՀՀ Գեղարքունիքի մարզ</t>
  </si>
  <si>
    <t>ՀՀ Լոռու մարզ</t>
  </si>
  <si>
    <t>1236-32005</t>
  </si>
  <si>
    <t>ՀՀ Կոտայքի մարզ</t>
  </si>
  <si>
    <t>ՀՀ Տավուշի մարզ</t>
  </si>
  <si>
    <t xml:space="preserve"> ՄԱՍ II. ԱՇԽԱՏԱՆՔՆԵՐ</t>
  </si>
  <si>
    <t xml:space="preserve">  ընդհանուր շինարարական աշխատանքներ</t>
  </si>
  <si>
    <t>այդ թվում՝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</si>
  <si>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ՓՈՓՈԽՈՒԹՅՈՒՆՆԵՐԸ ԵՎ ԼՐԱՑՈՒՄՆԵՐԸ</t>
  </si>
  <si>
    <t>ՀՀ կառավարության  2025 թվականի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</si>
  <si>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</si>
  <si>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>71351540-3</t>
  </si>
  <si>
    <t>98111140-2</t>
  </si>
  <si>
    <t>ՀՀ Սյունիքի մարզ</t>
  </si>
  <si>
    <t>Հանրակրթական դպրոցների շենքերի վերակառուցում, հիմնանորոգում</t>
  </si>
  <si>
    <t>1236-32004</t>
  </si>
  <si>
    <t xml:space="preserve"> Հանրակրթական դպրոցների շենքերի վերակառուցում, հիմնանորոգում</t>
  </si>
  <si>
    <t xml:space="preserve"> նախագծերի պատրաստում, ծախսերի գնահատում</t>
  </si>
  <si>
    <t xml:space="preserve"> մարզական օբյեկտների շինարարական աշխատանքներ</t>
  </si>
  <si>
    <t>71351540-1</t>
  </si>
  <si>
    <t>98111140-1</t>
  </si>
  <si>
    <t xml:space="preserve">ՀՀ կառավարության  2025 թվականի </t>
  </si>
  <si>
    <t xml:space="preserve">ՀԱՅԱՍՏԱՆԻ ՀԱՆՐԱՊԵՏՈՒԹՅԱՆ ԿԱՌԱՎԱՐՈՒԹՅԱՆ 2024 ԹՎԱԿԱՆԻ ԴԵԿՏԵՄԲԵՐԻ 27-Ի N 2060-Ն N 10 ՀԱՎԵԼՎԱԾՈՒՄ ԿԱՏԱՐՎՈՂ  ՓՈՓՈԽՈՒԹՅՈՒՆՆԵՐԸ ԵՎ ԼՐԱՑՈՒՄՆԵՐԸ
</t>
  </si>
  <si>
    <t>Ցուցանիշների փոփոխությունը (ավելացումները նշված են դրական նշանով, իսկ նվազեցումները՝ փակագծերում)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</si>
  <si>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</si>
  <si>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 xml:space="preserve"> ՈՉ ՖԻՆԱՆՍԱԿԱՆ ԱԿՏԻՎՆԵՐԻ ԳԾՈՎ ԾԱԽՍԵՐ</t>
  </si>
  <si>
    <t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</si>
  <si>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</si>
  <si>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</si>
  <si>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</si>
  <si>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</si>
  <si>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եռամսյակ</t>
  </si>
  <si>
    <t xml:space="preserve"> Առաջին կիսամյակ</t>
  </si>
  <si>
    <t>ԸՆԴԱՄԵՆԸ</t>
  </si>
  <si>
    <t>1163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</si>
  <si>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</si>
  <si>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</si>
  <si>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>1163 - 32001</t>
  </si>
  <si>
    <t>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</si>
  <si>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>Այլ պետական կազմակերպությունների կողմից օգտագործվող ոչ ֆինանսական ակտիվների հետ գործառնություններ</t>
  </si>
  <si>
    <t>1236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</si>
  <si>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</si>
  <si>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</si>
  <si>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</si>
  <si>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1236 - 32001</t>
  </si>
  <si>
    <t>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</si>
  <si>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>1236 - 32003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</si>
  <si>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</si>
  <si>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1236 - 32004</t>
  </si>
  <si>
    <t>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</si>
  <si>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>1236 - 32005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</si>
  <si>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</si>
  <si>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</si>
  <si>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</si>
  <si>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</si>
  <si>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</si>
  <si>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</si>
  <si>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</si>
  <si>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</si>
  <si>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</si>
  <si>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</si>
  <si>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</si>
  <si>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</si>
  <si>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</si>
  <si>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</si>
  <si>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</si>
  <si>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</si>
  <si>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 1163 </t>
  </si>
  <si>
    <t xml:space="preserve"> Մասսայական սպորտ </t>
  </si>
  <si>
    <t/>
  </si>
  <si>
    <t xml:space="preserve"> Ակտիվն օգտագործող կազմակերպության անվանումը` Մարզական հաստատություններ </t>
  </si>
  <si>
    <t>Կառուցման ենթակա օբյյեկտների թիվ, հատ</t>
  </si>
  <si>
    <t xml:space="preserve">1163 - 32001 </t>
  </si>
  <si>
    <t xml:space="preserve"> Նախադպրոցական կրթության հասանելիության ապահովման նպատակով՛ մանկապարտեզների հիմնում, նոր շենքերի (մասնաշենքերի), ներառյալ՛ «Մոդուլային» տիպի շենքերի կառուցում և նախագծում </t>
  </si>
  <si>
    <t xml:space="preserve"> Ակտիվն օգտագործող կազմակերպության անվանումը` Նախադպրոցական կրթություն իրականացնող ուսումնական հաստատություններ </t>
  </si>
  <si>
    <t>Կառուցվող մանկապարտեզների քանակ, հատ</t>
  </si>
  <si>
    <t xml:space="preserve"> Հաստատությունների քանակ, որոնց շինարարական աշխատանքների ավարտվածության աստիճանը 100 տոկոս է</t>
  </si>
  <si>
    <t xml:space="preserve">  Ակտիվն օգտագործող կազմակերպությունների անվանումները` Հանրակրթական դպրոցներ 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</si>
  <si>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</si>
  <si>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 xml:space="preserve"> Ակտիվն օգտագործող կազմակերպությունների անվանումները` Ստեղծվող կրթահամալիրներ </t>
  </si>
  <si>
    <t>Սյունիքի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</si>
  <si>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</si>
  <si>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</si>
  <si>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>Արմավիր համայնքի Մյասնիկյան բնակավայրի մարզադպրոց</t>
  </si>
  <si>
    <t>71351540-646</t>
  </si>
  <si>
    <t>«Վորքաութ» տեսակի մարզահրապարակների կառուցում</t>
  </si>
  <si>
    <t>Ճամբարակ քաղաքի Տիգրան Մեծի փ. 18/5, Նադարյան փ. 3/4 շենքերի բակերում գտնվող տարածքներում  «Վորքաութ» տեսակի մարզահրապարակներ</t>
  </si>
  <si>
    <t>Կապան քաղաքի Մանուկյան փ. 1-ին նրբ. թիվ 2 և 3 շենքերի, Թումանյան փ. թիվ 18, Շահումյան փ. թիվ 15 և 19 շենքերի բակերում գտնվող տարածքներում  «Վորքաութ» տեսակի մարզահրապարակներ</t>
  </si>
  <si>
    <t>Ջերմուկ քաղաքի Ս. Շահումյանի փ. թիվ 1 շենքի, Ջերմուկի կրթահամալիրի բակերում գտնվող տարածքներում  «Վորքաութ» տեսակի մարզահրապարակներ</t>
  </si>
  <si>
    <t>Բերդ քաղաքի Սայաթ-Նովա 1 շենքերի, թիվ 4 դպրոցի և թիվ 3 դպրոցի բակերում գտնվող տարածքներում  «Վորքաութ» տեսակի մարզահրապարակներ</t>
  </si>
  <si>
    <t>1163-32005</t>
  </si>
  <si>
    <t xml:space="preserve"> «Վորքաութ» տեսակի մարզահրապարակների կառուցում</t>
  </si>
  <si>
    <t xml:space="preserve"> այդ թվում`ըստ ուղղությունների</t>
  </si>
  <si>
    <t>Բաժին N 08</t>
  </si>
  <si>
    <t xml:space="preserve"> Հանգստի և սպորտի ծառայություններ</t>
  </si>
  <si>
    <t>Արաքս համայնքի Ակնաշեն բնակավայրի մանկապարտեզ</t>
  </si>
  <si>
    <t>Խոյ համայնքի Ծաղկունք բնակավայրի մանկապարտեզ</t>
  </si>
  <si>
    <t>Անի համայնքի Քարաբերդ բնակավայրի մանկապարտեզ</t>
  </si>
  <si>
    <t>Անի համայնքի Մարալիկ բնակավայրի մանկապարտեզ</t>
  </si>
  <si>
    <t>Խոյ համայնքի Հովտամեջ բնակավայրի մանկապարտեզ</t>
  </si>
  <si>
    <t>Աշոցք համայնքի Ղազանչի բնակավայրի մանկապարտեզ</t>
  </si>
  <si>
    <t>Ակունք համայնքի Զառ բնակավայրի մանկապարտեզ</t>
  </si>
  <si>
    <t>Վարդենիս համայնքի Խաչաղբյուր բնակավայրի մանկապարտեզ</t>
  </si>
  <si>
    <t>Նոյեմբերյան համայնքի Բաղանիս բնակավայրի մանկապարտեզ</t>
  </si>
  <si>
    <t>Ծաղկահովիտ համայնքի Գեղադիր բնակավայրի մանկապարտեզ</t>
  </si>
  <si>
    <t xml:space="preserve"> շինարարական աշխատանքներ մանկապարտեզների  համար</t>
  </si>
  <si>
    <t xml:space="preserve"> մարզական հրապարակների հետ կապված կառույցների  կառուցման աշխատանքներ</t>
  </si>
  <si>
    <t>45211228-1</t>
  </si>
  <si>
    <t>45211228-2</t>
  </si>
  <si>
    <t>45211228-3</t>
  </si>
  <si>
    <t>71351540-2</t>
  </si>
  <si>
    <t>98111140-3</t>
  </si>
  <si>
    <t>ՀՀ կառավարություն</t>
  </si>
  <si>
    <t xml:space="preserve"> Մանկապարտեզների շենքերի վերակառուցում, հիմնանորոգում</t>
  </si>
  <si>
    <t>Աշտարակ համայնքի Ուշի բնակավայրի մանկապարտեզ</t>
  </si>
  <si>
    <t>1236-32002</t>
  </si>
  <si>
    <t>ք. Ապարանի միջնակարգ դպրոց (ք. Ապարանի Վ.Եղիազարյան անվ. թիվ 1 հիմնական դպրոցի տեղակայման վայրում)</t>
  </si>
  <si>
    <t>ք. Թալինի միջնակարգ դպրոց (ք. Թալինի թիվ 2 հիմնական դպրոցի տեղակայման վայրում)</t>
  </si>
  <si>
    <t>գ. Արագածավանի թիվ 2 միջնակարգ դպրոց</t>
  </si>
  <si>
    <t>ք. Աշտարակի Վ.Պետրոսյան անվ. հիմնական դպրոց</t>
  </si>
  <si>
    <t>Գետազատ բնակավայրի միջնակարգ դպրոց</t>
  </si>
  <si>
    <t>Վերին Դվին բնակավայրի միջնակարգ դպրոց</t>
  </si>
  <si>
    <t>Այգեստան բնակավայրի միջնակարգ դպրոց</t>
  </si>
  <si>
    <t>գ. Ջրառատի Թ.Խաչատրյանի անվ. միջնակարգ դպրոց</t>
  </si>
  <si>
    <t xml:space="preserve">գ. Վանանդի միջնակարգ դպրոց            </t>
  </si>
  <si>
    <t>գ. Նոր Կեսարիայի միջնակարգ դպրոց</t>
  </si>
  <si>
    <t>գ. Մեծավանի թիվ 2 միջնակարգ դպրոց</t>
  </si>
  <si>
    <t>Կոտայք և Նոր Գյուղ բնակավայրերի միջնակարգ դպրոց</t>
  </si>
  <si>
    <t>Գողթ բնակավայրի միջնակարգ դպրոց</t>
  </si>
  <si>
    <t>գ․ Մայիսյանի միջնակարգ դպրոց</t>
  </si>
  <si>
    <t xml:space="preserve">«գ. Խնձորեսկի միջնակարգ դպրոց» ՊՈԱԿ </t>
  </si>
  <si>
    <t xml:space="preserve">«ք. Գորիսի Ս. Խանզադյանի անվան թիվ 6 հիմնական դպրոց» ՊՈԱԿ </t>
  </si>
  <si>
    <t>գ. Շինուհայրի միջնակարգ դպրոց</t>
  </si>
  <si>
    <t>գ. Խոտի միջնակարգ դպրոց</t>
  </si>
  <si>
    <t>գ. Արենիի միջնակարգ դպրոց</t>
  </si>
  <si>
    <t>գ. Զարինջայի կրթահամալիր</t>
  </si>
  <si>
    <t>գ. Պարույր Սևակի կրթահամալիր</t>
  </si>
  <si>
    <t>գ. Վարդանաշենի կրթահամալիր</t>
  </si>
  <si>
    <t>գ. Մադինայի  կրթահամալիր</t>
  </si>
  <si>
    <t>գ. Կախակնի կրթահամալիր</t>
  </si>
  <si>
    <t>գ. Արեգունու կրթահամալիր</t>
  </si>
  <si>
    <t>գ. Փոքր Մասրիկի  կրթահամալիր</t>
  </si>
  <si>
    <t>գ. Նորաշենի կրթահամալիր</t>
  </si>
  <si>
    <t>գ. Լորուտի կրթահամալիր</t>
  </si>
  <si>
    <t>գ․ Բավրայի կրթահամալիր</t>
  </si>
  <si>
    <t>գ․ Գետափի կրթահամալիր</t>
  </si>
  <si>
    <t xml:space="preserve"> շինարարական աշխատանքներ դպրոցների  համար</t>
  </si>
  <si>
    <t>Սիսիան համայնքի Շաքիի կրթահամալիր</t>
  </si>
  <si>
    <t>Տեղ համայնքի Տեղի թիվ 2 կրթահամալիր</t>
  </si>
  <si>
    <t>Կապան համայնքի Սյունիքի կրթահամալիր</t>
  </si>
  <si>
    <t>Կապան համայնքի Արծվանիկի կրթահամալիր</t>
  </si>
  <si>
    <t>Կապան համայնքի Վերին Խոտանանի կրթահամալիր</t>
  </si>
  <si>
    <t>Կապան համայնքի Ծավի կրթահամալիր</t>
  </si>
  <si>
    <t>գ. Ակների կրթահամալիր</t>
  </si>
  <si>
    <t>Կապան համայնքի Աճանանի կրթահամալիր</t>
  </si>
  <si>
    <t>Կապան համայնքի Եղվարդի կրթահամալիր</t>
  </si>
  <si>
    <t>45211229-163</t>
  </si>
  <si>
    <t>71351540-148</t>
  </si>
  <si>
    <t>գ. Արփիի կրթահամալիր</t>
  </si>
  <si>
    <t>գ. Մարտիրոսի կրթահամալիր</t>
  </si>
  <si>
    <t>գ. Քարագլխի կրթահամալիր</t>
  </si>
  <si>
    <t>գ. Պտղավանի կրթահամալիր</t>
  </si>
  <si>
    <t>գ. Երվանդաշատի կրթահամալիր</t>
  </si>
  <si>
    <t>գ. Հայկավանի կրթահամալիր</t>
  </si>
  <si>
    <t xml:space="preserve">«Հնաբերդի միջնակարգ դպրոց» ՊՈԱԿ </t>
  </si>
  <si>
    <t xml:space="preserve">«Վարդաշենի միջնակարգ դպրոց» ՊՈԱԿ </t>
  </si>
  <si>
    <t>«Այգեկի Մուշեղ Մովսիսյանի անվան միջնակարգ դպրոց» ՊՈԱԿ</t>
  </si>
  <si>
    <t xml:space="preserve">«Վաղաշենի միջնակարգ դպրոց» ՊՈԱԿ </t>
  </si>
  <si>
    <t xml:space="preserve">«Ստեփանավանի Ստ․ Շահումյանի անվան թիվ 1 հիմնական դպրոց» ՊՈԱԿ </t>
  </si>
  <si>
    <t xml:space="preserve">«ք. Վանաձորի Ա.Մաթևոսյանի անվան թիվ 8 հիմնական դպրոց» ՊՈԱԿ </t>
  </si>
  <si>
    <t xml:space="preserve">«ք. Վանաձորի Խ.Աբովյանի անվան թիվ 9 հիմնական դպրոց» ՊՈԱԿ </t>
  </si>
  <si>
    <t xml:space="preserve">«Ագարակի միջնակարգ դպրոց» ՊՈԱԿ </t>
  </si>
  <si>
    <t xml:space="preserve">«Ստեփանավանի Սուրբ Գրիգոր Լուսավորիչի անվան թիվ 2 հիմնական դպրոց» ՊՈԱԿ </t>
  </si>
  <si>
    <t>«Վանաձորի ծովակալ Իսակովի անվան թիվ 23 հիմնական դպրոց» ՊՈԱԿ</t>
  </si>
  <si>
    <t xml:space="preserve">«ք․ Գյումրու թիվ 32 հիմնական դպրոց» ՊՈԱԿ </t>
  </si>
  <si>
    <t xml:space="preserve">«ք․ Գյումրու թիվ 38 հիմնական դպրոց» ՊՈԱԿ </t>
  </si>
  <si>
    <t xml:space="preserve">«ք․ Գյումրու թիվ 28 հիմնական դպրոց» ՊՈԱԿ </t>
  </si>
  <si>
    <t>«Գյումրու թիվ 11 հիմնական դպրոց» ՊՈԱԿ</t>
  </si>
  <si>
    <t>«Գյումրու թիվ 20 հիմնական դպրոց» ՊՈԱԿ</t>
  </si>
  <si>
    <t>«Գյումրու թիվ 23 միջնակարգ դպրոց» ՊՈԱԿ</t>
  </si>
  <si>
    <t>«Մ. Սաղումյանի անվան Բերդի ավագ դպրոց» ՊՈԱԿ</t>
  </si>
  <si>
    <t>«Կայանի Հովհաննես Հինդլյանի անվան միջնակարգ դպրոց» ՊՈԱԿ</t>
  </si>
  <si>
    <t>45211229-174</t>
  </si>
  <si>
    <t>45211229-175</t>
  </si>
  <si>
    <t>45211229-176</t>
  </si>
  <si>
    <t>45211229-177</t>
  </si>
  <si>
    <t>45211229-178</t>
  </si>
  <si>
    <t>45211229-179</t>
  </si>
  <si>
    <t>45211229-180</t>
  </si>
  <si>
    <t>45211229-181</t>
  </si>
  <si>
    <t>45211229-182</t>
  </si>
  <si>
    <t>45211229-183</t>
  </si>
  <si>
    <t>45211229-185</t>
  </si>
  <si>
    <t>45211229-501</t>
  </si>
  <si>
    <t>45211229-664</t>
  </si>
  <si>
    <t>45211229-666</t>
  </si>
  <si>
    <t>45211229-502</t>
  </si>
  <si>
    <t>45211229-652</t>
  </si>
  <si>
    <t>45211229-655</t>
  </si>
  <si>
    <t xml:space="preserve">Առաջին եռամսյակ
</t>
  </si>
  <si>
    <t xml:space="preserve">Կիսամյակ
</t>
  </si>
  <si>
    <t xml:space="preserve">Ինն ամիս
</t>
  </si>
  <si>
    <t xml:space="preserve">Տարի
</t>
  </si>
  <si>
    <t xml:space="preserve"> Ընդամենը  </t>
  </si>
  <si>
    <t xml:space="preserve"> Միջոցառում</t>
  </si>
  <si>
    <t xml:space="preserve"> Վարկային միջոցներ</t>
  </si>
  <si>
    <t xml:space="preserve"> Համաֆինան սավորում</t>
  </si>
  <si>
    <t xml:space="preserve"> ՀՀ  կրթության, գիտության, մշակույթի և սպորտի նախարարություն</t>
  </si>
  <si>
    <t xml:space="preserve"> 1189</t>
  </si>
  <si>
    <t xml:space="preserve"> Դպրոցների սեյսմիկ անվտանգության մակարդակի բարձրացման ծրագիր</t>
  </si>
  <si>
    <t xml:space="preserve"> ՀՀ տարածքային կառավարման և ենթակառուցվածքների նախարարություն</t>
  </si>
  <si>
    <t xml:space="preserve"> այդ թվում` բյուջետային ծախսերի տնտեսագիտական դասակարգման հոդվածներ</t>
  </si>
  <si>
    <t xml:space="preserve"> Ասիական զարգացման բանկի աջակցությամբ իրականացվող դպրոցների սեյսմիկ պաշտպանության ծրագրի կառավարում</t>
  </si>
  <si>
    <t xml:space="preserve"> ԸՆԹԱՑԻԿ ԾԱԽՍԵՐ</t>
  </si>
  <si>
    <t xml:space="preserve"> ԱՅԼ  ԾԱԽՍԵՐ</t>
  </si>
  <si>
    <t xml:space="preserve"> - Այլ հարկեր</t>
  </si>
  <si>
    <t xml:space="preserve"> ՀԱՐԿԵՐ, ՊԱՐՏԱԴԻՐ ՎՃԱՐՆԵՐ ԵՎ ՏՈՒՅԺԵՐ, ՈՐՈՆՔ ԿԱՌԱՎԱՐՄԱՆ ՏԱՐԲԵՐ ՄԱԿԱՐԴԱԿՆԵՐԻ ԿՈՂՄԻՑ ԿԻՐԱՌՎՈՒՄ ԵՆ ՄԻՄՅԱՆՑ ՆԿԱՏՄԱՄԲ</t>
  </si>
  <si>
    <t>Հավելված N 7</t>
  </si>
  <si>
    <t>08</t>
  </si>
  <si>
    <t xml:space="preserve"> ՀԱՆԳԻՍՏ, ՄՇԱԿՈՒՅԹ ԵՎ ԿՐՈՆ</t>
  </si>
  <si>
    <t>Դպրոցների սեյսմիկ անվտանգության մակարդակի բարձրացման ծրագիր</t>
  </si>
  <si>
    <t>ՀՀ տարածքային կառավարման և ենթակառուցվածքների նախարարություն</t>
  </si>
  <si>
    <t xml:space="preserve"> Հանրակրթական և նախադպրոցական հաստատությունների  կառուցման, վերակառուցման, հիմնանորոգման ծրագրերի  համակարգման և մոնիտորինգի ծառայություններ</t>
  </si>
  <si>
    <t xml:space="preserve"> Մասսայական սպորտ</t>
  </si>
  <si>
    <t>1163 - 32005</t>
  </si>
  <si>
    <t>Առողջ ապրելակերպի զարգացման նպատակով բնակելի շենքերի, դպրոցների բակերում և այլ հասարակական վայրերում «Վորքաութ» տեսակի մարզահրապարակների կառուցում, նախագծում</t>
  </si>
  <si>
    <t xml:space="preserve">Ծառայությունների մատուցում </t>
  </si>
  <si>
    <t>1189 - 11001</t>
  </si>
  <si>
    <t>Ասիական զարգացման բանկի աջակցությամբ իրականացվող դպրոցների սեյսմիկ պաշտպանության ծրագրի կառավարում</t>
  </si>
  <si>
    <t>Դպրոցների սեյսմիկ պաշտպանության ծրագիր` ՀՀ դպրոցների սեյսմիկ անվտանգության բարելավման նպատակով</t>
  </si>
  <si>
    <t>Նպաստել երկրի սեյսմակայունության ապահովմանը, անհատական և հասարակական անվտանգության մակարդակի բարձրացմանը</t>
  </si>
  <si>
    <t>Դպրոցական շենքերի սեյսմակայունության մակարդակի բարձրացում</t>
  </si>
  <si>
    <t>Ծառայությունների մատուցում</t>
  </si>
  <si>
    <t>1236 - 11001</t>
  </si>
  <si>
    <t>Հանրակրթական և նախադպրոցական հաստատությունների  կառուցման, վերակառուցման, հիմնանորոգման ծրագրերի  համակարգման և մոնիտորինգի ծառայություններ</t>
  </si>
  <si>
    <t>Հանրակրթական և նախադպրոցական հաստատություններիկառուցման, վերակառուցման, հիմնանորոգման ծրագրերիհամակարգման և մոնիտորինգի ծառայությունների ապահովում</t>
  </si>
  <si>
    <t>1236 - 32002</t>
  </si>
  <si>
    <t>Մանկապարտեզների շենքերի վերակառուցում, հիմնանորոգում</t>
  </si>
  <si>
    <t>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</si>
  <si>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 xml:space="preserve">1163 - 32005 </t>
  </si>
  <si>
    <t xml:space="preserve"> Միջոցառումն իրականացնողի անվանումը` «Գնումների մասին» ՀՀ օրենքի համաձայն ընտրված կազմակերպություն  </t>
  </si>
  <si>
    <t xml:space="preserve">ՀՀ Գեղարքունիքի մարզում կառուցվող «Վորքաութ» տեսակի մարզահրապարակների քանակ, հատ </t>
  </si>
  <si>
    <t xml:space="preserve">ՀՀ Սյունիքի մարզում կառուցվող «Վորքաութ» տեսակի մարզահրապարակների քանակ, հատ </t>
  </si>
  <si>
    <t xml:space="preserve">ՀՀ Վայոց Ձորի մարզում կառուցվող «Վորքաութ» տեսակի մարզահրապարակների քանակ, հատ </t>
  </si>
  <si>
    <t xml:space="preserve">ՀՀ Տավուշի մարզում կառուցվող «Վորքաութ» տեսակի մարզահրապարակների քանակ, հատ </t>
  </si>
  <si>
    <t xml:space="preserve">Դպրոցների սեյսմիկ անվտանգության մակարդակի բարձրացման ծրագիր </t>
  </si>
  <si>
    <t xml:space="preserve"> Ասիական զարգացման բանկի աջակցությամբ իրականացվող դպրոցների սեյսմիկ պաշտպանության ծրագրի կառավարում </t>
  </si>
  <si>
    <t xml:space="preserve"> Դպրոցների սեյսմիկ պաշտպանության ծրագիր` ՀՀ դպրոցների սեյսմիկ անվտանգության բարելավման նպատակով </t>
  </si>
  <si>
    <t xml:space="preserve"> Ծառայությունների մատուցում  </t>
  </si>
  <si>
    <t xml:space="preserve"> Միջոցառումն իրականացնողի անվանումը՝ Մասնագիտացված միավոր</t>
  </si>
  <si>
    <t xml:space="preserve"> Հանրակրթական և նախադպրոցական հաստատություններիկառուցման, վերակառուցման, հիմնանորոգման ծրագրերիհամակարգման և մոնիտորինգի ծառայությունների ապահովում </t>
  </si>
  <si>
    <t xml:space="preserve"> Ծառայությունների մատուցում </t>
  </si>
  <si>
    <t xml:space="preserve"> Նախագծանահաշվային փաստաթղթերի քանակ, հատ</t>
  </si>
  <si>
    <t xml:space="preserve">Մանկապարտեզների շենքերի վերակառուցում, հիմնանորոգում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</si>
  <si>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</si>
  <si>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Վերակառուցվող մանկապարտեզների քանակ, հատ </t>
  </si>
  <si>
    <t xml:space="preserve">Հաստատությունների քանակ, որոնց շինարարական աշխատանքների ավարտվածության աստիճանը 100% է, հատ </t>
  </si>
  <si>
    <t>ՀՀ-ում կրթական որակյալ ծառայությունների հասանելիության ապահովման ծրագրի շրջանակներում հիմնանորոգվող / վերանորոգվող դպրոցների թիվը</t>
  </si>
  <si>
    <t>ՀՀ-ում կրթական որակյալ ծառայությունների հասանելիության ապահովման ծրագրի շրջանակներում հիմնանորոգվող / վերանորոգվող դպրոցների թիվը , որոնց շինարարական աշխատանքների ավարտվածության աստիճանը 100 տոկոս է, հատ</t>
  </si>
  <si>
    <t>Տարվա ընթացքում վերակառուցումն ավարտված դպրոցների ընդհանուր հզորությունը (շահառուների թիվը), մարդ</t>
  </si>
  <si>
    <t>Տարվա ընթացքում հիմնանորոգումն/վերանորոգումն ավարտված դպրոցների ընդհանուր հզորությունը (շահառուների թիվը), մարդ</t>
  </si>
  <si>
    <t>Շիրակի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</t>
  </si>
  <si>
    <t xml:space="preserve"> ԲՍԿ </t>
  </si>
  <si>
    <t>ՀՀ ՏԱՐԱԾՔԱՅԻՆ ԿԱՌԱՎԱՐՄԱՆ ԵՎ ԵՆԹԱԿԱՌՈՒՑՎԱԾՔՆԵՐԻ ՆԱԽԱՐԱՐՈՒԹՅՈՒՆ</t>
  </si>
  <si>
    <t>ՀՀ ԿԱՌԱՎԱՐՈՒԹՅՈՒՆ</t>
  </si>
  <si>
    <t>հազ. դրամ</t>
  </si>
  <si>
    <t>Պետական բյուջեի դեֆիցիտի ֆինանսավորման աղբյուրներն ու դրանց տարրերի անվանումները</t>
  </si>
  <si>
    <t xml:space="preserve">Ցուցանիշների փոփոխությունը
(ավելացումները նշված են դրական նշանով) </t>
  </si>
  <si>
    <t>Ա.Ներքին աղբյուրներ-ընդամենը</t>
  </si>
  <si>
    <t>2. Ֆինանսական զուտ ակտիվներ</t>
  </si>
  <si>
    <t>2.6.Այլ</t>
  </si>
  <si>
    <t>որից՝</t>
  </si>
  <si>
    <t xml:space="preserve"> Ժամանակավորապես ազատ միջոցներ </t>
  </si>
  <si>
    <t xml:space="preserve">Հավելված N 9 </t>
  </si>
  <si>
    <t>Հավելված N 8</t>
  </si>
  <si>
    <t>ՀՀ կառավարության 2025 թվականի</t>
  </si>
  <si>
    <t>«ՀԱՅԱՍՏԱՆԻ ՀԱՆՐԱՊԵՏՈՒԹՅԱՆ 2025 ԹՎԱԿԱՆԻ ՊԵՏԱԿԱՆ ԲՅՈՒՋԵԻ ՄԱՍԻՆ» ՕՐԵՆՔԻ 3-ՐԴ ՀՈԴՎԱԾԻ, N 3 ՀԱՎԵԼՎԱԾԻ N 1 ԱՂՅՈՒՍԱԿՈՒՄ ԵՎ ՀԱՅԱՍՏԱՆԻ ՀԱՆՐԱՊԵՏՈՒԹՅԱՆ ԿԱՌԱՎԱՐՈՒԹՅԱՆ 2024 ԹՎԱԿԱՆԻ ԴԵԿՏԵՄԲԵՐԻ 27-Ի N 2060-Ն ՈՐՈՇՄԱՆ N 1 ՀԱՎԵԼՎԱԾԻ N 1 ԱՂՅՈՒՍԱԿՈՒՄ ԿԱՏԱՐՎՈՂ ՓՈՓՈԽՈՒԹՅՈՒՆԸ</t>
  </si>
  <si>
    <t>«ՀԱՅԱՍՏԱՆԻ ՀԱՆՐԱՊԵՏՈՒԹՅԱՆ 2025 ԹՎԱԿԱՆԻ ՊԵՏԱԿԱՆ ԲՅՈՒՋԵԻ ՄԱՍԻՆ» ՕՐԵՆՔԻ N 1 ՀԱՎԵԼՎԱԾԻ N 4 ԱՂՅՈՒՍԱԿՈՒՄ ԵՎ ՀԱՅԱՍՏԱՆԻ ՀԱՆՐԱՊԵՏՈՒԹՅԱՆ ԿԱՌԱՎԱՐՈՒԹՅԱՆ 2024 ԹՎԱԿԱՆԻ ԴԵԿՏԵՄԲԵՐԻ 27-Ի N 2060-Ն ՈՐՈՇՄԱՆ N 5 ՀԱՎԵԼՎԱԾԻ N 3 ԱՂՅՈՒՍԱԿՈՒՄ ԿԱՏԱՐՎՈՂ ԼՐԱՑՈՒՄԸ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</si>
  <si>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</si>
  <si>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</si>
  <si>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</si>
  <si>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>այդ թվում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</si>
  <si>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</si>
  <si>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</si>
  <si>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</si>
  <si>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</si>
  <si>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</si>
  <si>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</si>
  <si>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</si>
  <si>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</si>
  <si>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11001</t>
  </si>
  <si>
    <t>Հավելված N 10</t>
  </si>
  <si>
    <t>ՀԱՅԱՍՏԱՆԻ ՀԱՆՐԱՊԵՏՈՒԹՅԱՆ 2025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</si>
  <si>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ՀՀ ԿԱՌԱՎԱՐՈՒԹՅՈՒՆ</t>
  </si>
  <si>
    <t>11</t>
  </si>
  <si>
    <t xml:space="preserve"> - Պահուստային միջոցներ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</si>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</sst>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General_)"/>
    <numFmt numFmtId="173" formatCode="_-* #,##0.0\ _р_._-;\-* #,##0.0\ _р_._-;_-* &quot;-&quot;?\ _р_._-;_-@_-"/>
    <numFmt numFmtId="174" formatCode="_-* #,##0.00\ _р_._-;\-* #,##0.00\ _р_._-;_-* &quot;-&quot;??\ _р_._-;_-@_-"/>
    <numFmt numFmtId="175" formatCode="0_);\(0\)"/>
    <numFmt numFmtId="176" formatCode="_(* #,##0_);_(* \(#,##0\);_(* &quot;-&quot;??_);_(@_)"/>
    <numFmt numFmtId="177" formatCode="_(* #,##0.000_);_(* \(#,##0.000\);_(* &quot;-&quot;??_);_(@_)"/>
  </numFmts>
  <fonts count="10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12"/>
      <name val="GHEA Grapalat"/>
      <family val="3"/>
    </font>
    <font>
      <sz val="12"/>
      <color rgb="FFFF0000"/>
      <name val="GHEA Grapalat"/>
      <family val="3"/>
    </font>
    <font>
      <sz val="8"/>
      <name val="Calibri"/>
      <family val="2"/>
      <charset val="1"/>
      <scheme val="minor"/>
    </font>
    <font>
      <b/>
      <u/>
      <sz val="12"/>
      <name val="GHEA Grapalat"/>
      <family val="3"/>
    </font>
    <font>
      <b/>
      <sz val="11"/>
      <name val="GHEA Grapalat"/>
      <family val="3"/>
    </font>
    <font>
      <b/>
      <sz val="12"/>
      <color rgb="FFFF0000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3117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4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2" fontId="82" fillId="0" borderId="25">
      <protection locked="0"/>
    </xf>
    <xf numFmtId="172" fontId="83" fillId="56" borderId="25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4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1" fillId="0" borderId="0" applyNumberFormat="0" applyFill="0" applyBorder="0" applyAlignment="0" applyProtection="0"/>
    <xf numFmtId="0" fontId="92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0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3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2" applyNumberFormat="0" applyAlignment="0" applyProtection="0"/>
    <xf numFmtId="0" fontId="9" fillId="0" borderId="0"/>
    <xf numFmtId="0" fontId="63" fillId="42" borderId="12" applyNumberFormat="0" applyAlignment="0" applyProtection="0"/>
    <xf numFmtId="43" fontId="16" fillId="0" borderId="0" applyFont="0" applyFill="0" applyBorder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4" applyNumberFormat="0" applyFont="0" applyAlignment="0" applyProtection="0"/>
    <xf numFmtId="0" fontId="68" fillId="0" borderId="2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4" applyNumberFormat="0" applyFont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" fillId="0" borderId="0"/>
    <xf numFmtId="0" fontId="1" fillId="0" borderId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51" fillId="55" borderId="24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1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51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0" borderId="0"/>
  </cellStyleXfs>
  <cellXfs count="512">
    <xf numFmtId="0" fontId="0" fillId="0" borderId="0" xfId="0"/>
    <xf numFmtId="169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9" fontId="73" fillId="2" borderId="21" xfId="7" applyNumberFormat="1" applyFont="1" applyFill="1" applyBorder="1" applyAlignment="1">
      <alignment horizontal="center" vertical="center" wrapText="1"/>
    </xf>
    <xf numFmtId="166" fontId="73" fillId="2" borderId="21" xfId="7" applyNumberFormat="1" applyFont="1" applyFill="1" applyBorder="1" applyAlignment="1">
      <alignment horizontal="right" vertical="center" wrapText="1"/>
    </xf>
    <xf numFmtId="169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1" xfId="7" applyFont="1" applyFill="1" applyBorder="1" applyAlignment="1">
      <alignment horizontal="center" vertical="center" wrapText="1"/>
    </xf>
    <xf numFmtId="169" fontId="17" fillId="2" borderId="21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vertical="top" wrapText="1"/>
    </xf>
    <xf numFmtId="169" fontId="73" fillId="2" borderId="26" xfId="7" applyNumberFormat="1" applyFont="1" applyFill="1" applyBorder="1" applyAlignment="1">
      <alignment horizontal="right" vertical="center" wrapText="1"/>
    </xf>
    <xf numFmtId="0" fontId="73" fillId="2" borderId="0" xfId="0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1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17" fillId="2" borderId="26" xfId="0" applyFont="1" applyFill="1" applyBorder="1" applyAlignment="1">
      <alignment horizontal="center" vertical="center" wrapText="1"/>
    </xf>
    <xf numFmtId="0" fontId="73" fillId="2" borderId="0" xfId="299" applyFont="1" applyFill="1"/>
    <xf numFmtId="0" fontId="17" fillId="2" borderId="26" xfId="96" applyFont="1" applyFill="1" applyBorder="1" applyAlignment="1">
      <alignment horizontal="center" vertical="center" wrapText="1"/>
    </xf>
    <xf numFmtId="165" fontId="17" fillId="2" borderId="26" xfId="6" applyFont="1" applyFill="1" applyBorder="1" applyAlignment="1">
      <alignment horizontal="center" vertical="center"/>
    </xf>
    <xf numFmtId="169" fontId="17" fillId="2" borderId="26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87" fillId="2" borderId="29" xfId="96" applyFont="1" applyFill="1" applyBorder="1" applyAlignment="1">
      <alignment horizontal="center" vertical="center" wrapText="1"/>
    </xf>
    <xf numFmtId="0" fontId="17" fillId="0" borderId="26" xfId="96" applyFont="1" applyBorder="1" applyAlignment="1">
      <alignment horizontal="left" vertical="center" wrapText="1"/>
    </xf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166" fontId="73" fillId="2" borderId="26" xfId="7" applyNumberFormat="1" applyFont="1" applyFill="1" applyBorder="1" applyAlignment="1">
      <alignment horizontal="right" vertical="center" wrapText="1"/>
    </xf>
    <xf numFmtId="0" fontId="85" fillId="2" borderId="26" xfId="0" applyFont="1" applyFill="1" applyBorder="1" applyAlignment="1">
      <alignment vertical="center" wrapText="1"/>
    </xf>
    <xf numFmtId="175" fontId="73" fillId="0" borderId="26" xfId="0" applyNumberFormat="1" applyFont="1" applyBorder="1" applyAlignment="1">
      <alignment horizontal="center" vertical="center"/>
    </xf>
    <xf numFmtId="169" fontId="73" fillId="2" borderId="26" xfId="0" applyNumberFormat="1" applyFont="1" applyFill="1" applyBorder="1" applyAlignment="1">
      <alignment horizontal="right" vertical="center" wrapText="1"/>
    </xf>
    <xf numFmtId="0" fontId="87" fillId="2" borderId="29" xfId="96" applyFont="1" applyFill="1" applyBorder="1" applyAlignment="1">
      <alignment horizontal="left" vertical="center" wrapText="1"/>
    </xf>
    <xf numFmtId="0" fontId="17" fillId="2" borderId="22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73" fillId="2" borderId="2" xfId="0" applyFont="1" applyFill="1" applyBorder="1" applyAlignment="1">
      <alignment vertical="top" wrapText="1"/>
    </xf>
    <xf numFmtId="169" fontId="85" fillId="2" borderId="21" xfId="7" applyNumberFormat="1" applyFont="1" applyFill="1" applyBorder="1" applyAlignment="1">
      <alignment horizontal="right" vertical="center" wrapText="1"/>
    </xf>
    <xf numFmtId="169" fontId="73" fillId="2" borderId="21" xfId="7" applyNumberFormat="1" applyFont="1" applyFill="1" applyBorder="1" applyAlignment="1">
      <alignment horizontal="right" vertical="center" wrapText="1"/>
    </xf>
    <xf numFmtId="0" fontId="73" fillId="2" borderId="0" xfId="299" applyFont="1" applyFill="1" applyAlignment="1">
      <alignment vertical="center"/>
    </xf>
    <xf numFmtId="0" fontId="17" fillId="2" borderId="0" xfId="0" applyFont="1" applyFill="1" applyAlignment="1">
      <alignment horizontal="center" wrapText="1"/>
    </xf>
    <xf numFmtId="0" fontId="73" fillId="2" borderId="26" xfId="208" applyFont="1" applyFill="1" applyBorder="1" applyAlignment="1">
      <alignment horizontal="center"/>
    </xf>
    <xf numFmtId="0" fontId="73" fillId="2" borderId="26" xfId="208" applyFont="1" applyFill="1" applyBorder="1" applyAlignment="1">
      <alignment horizontal="left"/>
    </xf>
    <xf numFmtId="169" fontId="73" fillId="0" borderId="26" xfId="208" applyNumberFormat="1" applyFont="1" applyBorder="1"/>
    <xf numFmtId="43" fontId="73" fillId="2" borderId="26" xfId="217" applyFont="1" applyFill="1" applyBorder="1"/>
    <xf numFmtId="0" fontId="73" fillId="2" borderId="26" xfId="208" applyFont="1" applyFill="1" applyBorder="1"/>
    <xf numFmtId="0" fontId="89" fillId="2" borderId="0" xfId="208" applyFont="1" applyFill="1"/>
    <xf numFmtId="169" fontId="87" fillId="2" borderId="26" xfId="2030" applyNumberFormat="1" applyFont="1" applyFill="1" applyBorder="1" applyAlignment="1">
      <alignment vertical="center"/>
    </xf>
    <xf numFmtId="166" fontId="87" fillId="2" borderId="26" xfId="2030" applyNumberFormat="1" applyFont="1" applyFill="1" applyBorder="1" applyAlignment="1">
      <alignment vertical="center"/>
    </xf>
    <xf numFmtId="0" fontId="88" fillId="2" borderId="0" xfId="208" applyFont="1" applyFill="1"/>
    <xf numFmtId="0" fontId="85" fillId="2" borderId="29" xfId="208" applyFont="1" applyFill="1" applyBorder="1" applyAlignment="1">
      <alignment vertical="center" wrapText="1"/>
    </xf>
    <xf numFmtId="169" fontId="85" fillId="2" borderId="26" xfId="2030" applyNumberFormat="1" applyFont="1" applyFill="1" applyBorder="1" applyAlignment="1">
      <alignment vertical="center"/>
    </xf>
    <xf numFmtId="166" fontId="85" fillId="2" borderId="26" xfId="2030" applyNumberFormat="1" applyFont="1" applyFill="1" applyBorder="1" applyAlignment="1">
      <alignment vertical="center"/>
    </xf>
    <xf numFmtId="0" fontId="85" fillId="2" borderId="26" xfId="208" applyFont="1" applyFill="1" applyBorder="1" applyAlignment="1">
      <alignment vertical="center"/>
    </xf>
    <xf numFmtId="0" fontId="88" fillId="2" borderId="0" xfId="208" applyFont="1" applyFill="1" applyAlignment="1">
      <alignment vertical="center"/>
    </xf>
    <xf numFmtId="0" fontId="73" fillId="2" borderId="27" xfId="0" applyFont="1" applyFill="1" applyBorder="1" applyAlignment="1">
      <alignment vertical="center"/>
    </xf>
    <xf numFmtId="0" fontId="73" fillId="2" borderId="28" xfId="0" applyFont="1" applyFill="1" applyBorder="1" applyAlignment="1">
      <alignment vertical="center"/>
    </xf>
    <xf numFmtId="0" fontId="73" fillId="2" borderId="29" xfId="0" applyFont="1" applyFill="1" applyBorder="1" applyAlignment="1">
      <alignment vertical="center"/>
    </xf>
    <xf numFmtId="39" fontId="73" fillId="57" borderId="29" xfId="0" applyNumberFormat="1" applyFont="1" applyFill="1" applyBorder="1" applyAlignment="1">
      <alignment horizontal="right" vertical="center" wrapText="1"/>
    </xf>
    <xf numFmtId="169" fontId="73" fillId="2" borderId="29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vertical="top"/>
    </xf>
    <xf numFmtId="0" fontId="73" fillId="2" borderId="26" xfId="0" applyFont="1" applyFill="1" applyBorder="1" applyAlignment="1">
      <alignment horizontal="center" vertical="center" wrapText="1"/>
    </xf>
    <xf numFmtId="165" fontId="73" fillId="2" borderId="26" xfId="6" applyFont="1" applyFill="1" applyBorder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73" fillId="2" borderId="29" xfId="0" applyFont="1" applyFill="1" applyBorder="1" applyAlignment="1">
      <alignment horizontal="center" vertical="center"/>
    </xf>
    <xf numFmtId="0" fontId="90" fillId="2" borderId="1" xfId="0" applyFont="1" applyFill="1" applyBorder="1"/>
    <xf numFmtId="0" fontId="90" fillId="2" borderId="26" xfId="0" applyFont="1" applyFill="1" applyBorder="1"/>
    <xf numFmtId="166" fontId="74" fillId="2" borderId="0" xfId="253" applyNumberFormat="1" applyFont="1" applyFill="1" applyAlignment="1">
      <alignment wrapText="1"/>
    </xf>
    <xf numFmtId="166" fontId="73" fillId="2" borderId="26" xfId="96" applyNumberFormat="1" applyFont="1" applyFill="1" applyBorder="1" applyAlignment="1">
      <alignment vertical="center" wrapText="1"/>
    </xf>
    <xf numFmtId="166" fontId="87" fillId="2" borderId="26" xfId="6" applyNumberFormat="1" applyFont="1" applyFill="1" applyBorder="1" applyAlignment="1">
      <alignment horizontal="center" vertical="center"/>
    </xf>
    <xf numFmtId="166" fontId="17" fillId="2" borderId="26" xfId="96" applyNumberFormat="1" applyFont="1" applyFill="1" applyBorder="1" applyAlignment="1">
      <alignment horizontal="center" vertical="center" wrapText="1"/>
    </xf>
    <xf numFmtId="0" fontId="73" fillId="2" borderId="0" xfId="253" applyFont="1" applyFill="1"/>
    <xf numFmtId="166" fontId="17" fillId="2" borderId="26" xfId="253" applyNumberFormat="1" applyFont="1" applyFill="1" applyBorder="1" applyAlignment="1">
      <alignment vertical="center"/>
    </xf>
    <xf numFmtId="166" fontId="73" fillId="2" borderId="33" xfId="7" applyNumberFormat="1" applyFont="1" applyFill="1" applyBorder="1" applyAlignment="1">
      <alignment horizontal="right" vertical="center" wrapText="1"/>
    </xf>
    <xf numFmtId="0" fontId="17" fillId="2" borderId="1" xfId="0" applyFont="1" applyFill="1" applyBorder="1" applyAlignment="1">
      <alignment vertical="top" wrapText="1"/>
    </xf>
    <xf numFmtId="169" fontId="73" fillId="2" borderId="33" xfId="7" applyNumberFormat="1" applyFont="1" applyFill="1" applyBorder="1" applyAlignment="1">
      <alignment horizontal="center" vertical="center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left" vertical="center" wrapText="1"/>
    </xf>
    <xf numFmtId="169" fontId="17" fillId="2" borderId="33" xfId="7" applyNumberFormat="1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169" fontId="17" fillId="2" borderId="33" xfId="7" applyNumberFormat="1" applyFont="1" applyFill="1" applyBorder="1" applyAlignment="1">
      <alignment horizontal="right" vertical="center" wrapText="1"/>
    </xf>
    <xf numFmtId="0" fontId="85" fillId="2" borderId="33" xfId="165" applyFont="1" applyFill="1" applyBorder="1">
      <alignment horizontal="left" vertical="top" wrapText="1"/>
    </xf>
    <xf numFmtId="169" fontId="85" fillId="2" borderId="33" xfId="7" applyNumberFormat="1" applyFont="1" applyFill="1" applyBorder="1" applyAlignment="1">
      <alignment horizontal="right" vertical="center" wrapText="1"/>
    </xf>
    <xf numFmtId="166" fontId="73" fillId="2" borderId="33" xfId="7" applyNumberFormat="1" applyFont="1" applyFill="1" applyBorder="1" applyAlignment="1">
      <alignment horizontal="center" vertical="center" wrapText="1"/>
    </xf>
    <xf numFmtId="169" fontId="73" fillId="2" borderId="33" xfId="7" applyNumberFormat="1" applyFont="1" applyFill="1" applyBorder="1" applyAlignment="1">
      <alignment horizontal="right" vertical="center" wrapText="1"/>
    </xf>
    <xf numFmtId="0" fontId="73" fillId="2" borderId="33" xfId="0" applyFont="1" applyFill="1" applyBorder="1" applyAlignment="1">
      <alignment horizontal="center" vertical="top" wrapText="1"/>
    </xf>
    <xf numFmtId="0" fontId="73" fillId="57" borderId="33" xfId="0" applyFont="1" applyFill="1" applyBorder="1" applyAlignment="1">
      <alignment wrapText="1"/>
    </xf>
    <xf numFmtId="0" fontId="73" fillId="2" borderId="33" xfId="0" applyFont="1" applyFill="1" applyBorder="1" applyAlignment="1">
      <alignment vertical="top" wrapText="1"/>
    </xf>
    <xf numFmtId="0" fontId="85" fillId="2" borderId="29" xfId="0" applyFont="1" applyFill="1" applyBorder="1" applyAlignment="1">
      <alignment vertical="center" wrapText="1"/>
    </xf>
    <xf numFmtId="0" fontId="17" fillId="2" borderId="33" xfId="96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horizontal="left" vertical="center" wrapText="1"/>
    </xf>
    <xf numFmtId="169" fontId="17" fillId="2" borderId="33" xfId="96" applyNumberFormat="1" applyFont="1" applyFill="1" applyBorder="1" applyAlignment="1">
      <alignment horizontal="center" vertical="center" wrapText="1"/>
    </xf>
    <xf numFmtId="0" fontId="73" fillId="2" borderId="33" xfId="0" applyFont="1" applyFill="1" applyBorder="1" applyAlignment="1">
      <alignment horizontal="center" vertical="center" wrapText="1"/>
    </xf>
    <xf numFmtId="169" fontId="73" fillId="57" borderId="29" xfId="0" applyNumberFormat="1" applyFont="1" applyFill="1" applyBorder="1" applyAlignment="1">
      <alignment horizontal="right" vertical="center" wrapText="1"/>
    </xf>
    <xf numFmtId="0" fontId="73" fillId="2" borderId="31" xfId="1737" applyFont="1" applyFill="1" applyBorder="1" applyAlignment="1">
      <alignment vertical="center"/>
    </xf>
    <xf numFmtId="0" fontId="73" fillId="2" borderId="32" xfId="1737" applyFont="1" applyFill="1" applyBorder="1" applyAlignment="1">
      <alignment vertical="center"/>
    </xf>
    <xf numFmtId="0" fontId="73" fillId="2" borderId="32" xfId="1737" applyFont="1" applyFill="1" applyBorder="1" applyAlignment="1">
      <alignment horizontal="center" vertical="center"/>
    </xf>
    <xf numFmtId="169" fontId="73" fillId="2" borderId="29" xfId="1737" applyNumberFormat="1" applyFont="1" applyFill="1" applyBorder="1" applyAlignment="1">
      <alignment vertical="center"/>
    </xf>
    <xf numFmtId="0" fontId="73" fillId="2" borderId="33" xfId="299" applyFont="1" applyFill="1" applyBorder="1" applyAlignment="1">
      <alignment horizontal="center" vertical="center" wrapText="1"/>
    </xf>
    <xf numFmtId="165" fontId="73" fillId="2" borderId="33" xfId="6" applyFont="1" applyFill="1" applyBorder="1" applyAlignment="1">
      <alignment horizontal="center" vertical="center"/>
    </xf>
    <xf numFmtId="171" fontId="73" fillId="2" borderId="33" xfId="6" applyNumberFormat="1" applyFont="1" applyFill="1" applyBorder="1" applyAlignment="1">
      <alignment horizontal="center" vertical="center"/>
    </xf>
    <xf numFmtId="169" fontId="73" fillId="2" borderId="33" xfId="299" applyNumberFormat="1" applyFont="1" applyFill="1" applyBorder="1" applyAlignment="1">
      <alignment horizontal="right" vertical="center" wrapText="1"/>
    </xf>
    <xf numFmtId="0" fontId="73" fillId="2" borderId="0" xfId="299" applyFont="1" applyFill="1" applyAlignment="1">
      <alignment horizontal="left" vertical="center" wrapText="1"/>
    </xf>
    <xf numFmtId="169" fontId="73" fillId="2" borderId="33" xfId="0" applyNumberFormat="1" applyFont="1" applyFill="1" applyBorder="1" applyAlignment="1">
      <alignment horizontal="right" vertical="center" wrapText="1"/>
    </xf>
    <xf numFmtId="166" fontId="85" fillId="2" borderId="33" xfId="7" applyNumberFormat="1" applyFont="1" applyFill="1" applyBorder="1" applyAlignment="1">
      <alignment vertical="center"/>
    </xf>
    <xf numFmtId="0" fontId="73" fillId="2" borderId="33" xfId="208" applyFont="1" applyFill="1" applyBorder="1" applyAlignment="1">
      <alignment horizontal="center"/>
    </xf>
    <xf numFmtId="0" fontId="73" fillId="2" borderId="33" xfId="208" applyFont="1" applyFill="1" applyBorder="1"/>
    <xf numFmtId="169" fontId="73" fillId="0" borderId="33" xfId="0" applyNumberFormat="1" applyFont="1" applyBorder="1" applyAlignment="1">
      <alignment horizontal="right" vertical="center" wrapText="1"/>
    </xf>
    <xf numFmtId="175" fontId="73" fillId="0" borderId="33" xfId="0" applyNumberFormat="1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left" vertical="center" wrapText="1"/>
    </xf>
    <xf numFmtId="0" fontId="17" fillId="2" borderId="33" xfId="0" applyFont="1" applyFill="1" applyBorder="1" applyAlignment="1">
      <alignment horizontal="center" vertical="top" wrapText="1"/>
    </xf>
    <xf numFmtId="0" fontId="95" fillId="2" borderId="0" xfId="299" applyFont="1" applyFill="1"/>
    <xf numFmtId="0" fontId="95" fillId="2" borderId="0" xfId="253" applyFont="1" applyFill="1"/>
    <xf numFmtId="0" fontId="73" fillId="2" borderId="26" xfId="299" applyFont="1" applyFill="1" applyBorder="1" applyAlignment="1">
      <alignment horizontal="center"/>
    </xf>
    <xf numFmtId="0" fontId="73" fillId="2" borderId="26" xfId="0" applyFont="1" applyFill="1" applyBorder="1" applyAlignment="1">
      <alignment horizontal="center"/>
    </xf>
    <xf numFmtId="166" fontId="73" fillId="2" borderId="26" xfId="253" applyNumberFormat="1" applyFont="1" applyFill="1" applyBorder="1"/>
    <xf numFmtId="166" fontId="73" fillId="2" borderId="26" xfId="7" applyNumberFormat="1" applyFont="1" applyFill="1" applyBorder="1" applyAlignment="1">
      <alignment vertical="center"/>
    </xf>
    <xf numFmtId="0" fontId="73" fillId="2" borderId="33" xfId="299" applyFont="1" applyFill="1" applyBorder="1" applyAlignment="1">
      <alignment vertical="top"/>
    </xf>
    <xf numFmtId="169" fontId="73" fillId="2" borderId="33" xfId="7" applyNumberFormat="1" applyFont="1" applyFill="1" applyBorder="1" applyAlignment="1">
      <alignment horizontal="right" vertical="top" wrapText="1"/>
    </xf>
    <xf numFmtId="0" fontId="73" fillId="2" borderId="33" xfId="96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74" fillId="2" borderId="33" xfId="0" applyFont="1" applyFill="1" applyBorder="1" applyAlignment="1">
      <alignment vertical="center" wrapText="1"/>
    </xf>
    <xf numFmtId="0" fontId="73" fillId="2" borderId="33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top" wrapText="1"/>
    </xf>
    <xf numFmtId="0" fontId="17" fillId="2" borderId="35" xfId="0" applyFont="1" applyFill="1" applyBorder="1" applyAlignment="1">
      <alignment vertical="top" wrapText="1"/>
    </xf>
    <xf numFmtId="0" fontId="17" fillId="2" borderId="33" xfId="0" applyFont="1" applyFill="1" applyBorder="1" applyAlignment="1">
      <alignment vertical="center" wrapText="1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74" fillId="0" borderId="0" xfId="0" applyFont="1" applyAlignment="1">
      <alignment horizontal="left" vertical="center" wrapText="1"/>
    </xf>
    <xf numFmtId="43" fontId="73" fillId="2" borderId="33" xfId="7" applyFont="1" applyFill="1" applyBorder="1" applyAlignment="1">
      <alignment vertical="center" wrapText="1"/>
    </xf>
    <xf numFmtId="43" fontId="17" fillId="2" borderId="33" xfId="7" applyFont="1" applyFill="1" applyBorder="1" applyAlignment="1">
      <alignment vertical="center" wrapText="1"/>
    </xf>
    <xf numFmtId="43" fontId="17" fillId="2" borderId="33" xfId="0" applyNumberFormat="1" applyFont="1" applyFill="1" applyBorder="1" applyAlignment="1">
      <alignment vertical="center" wrapText="1"/>
    </xf>
    <xf numFmtId="0" fontId="90" fillId="0" borderId="0" xfId="0" applyFont="1" applyAlignment="1">
      <alignment horizontal="left" vertical="top" wrapText="1"/>
    </xf>
    <xf numFmtId="0" fontId="74" fillId="2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43" fontId="14" fillId="2" borderId="33" xfId="7" applyFont="1" applyFill="1" applyBorder="1" applyAlignment="1">
      <alignment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center" vertical="center" wrapText="1"/>
    </xf>
    <xf numFmtId="0" fontId="73" fillId="2" borderId="0" xfId="0" applyFont="1" applyFill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73" fillId="2" borderId="33" xfId="0" applyFont="1" applyFill="1" applyBorder="1" applyAlignment="1">
      <alignment horizontal="right" vertical="center" wrapText="1"/>
    </xf>
    <xf numFmtId="0" fontId="73" fillId="0" borderId="0" xfId="0" applyFont="1" applyAlignment="1">
      <alignment horizontal="left" vertical="top" wrapText="1"/>
    </xf>
    <xf numFmtId="0" fontId="74" fillId="2" borderId="37" xfId="0" applyFont="1" applyFill="1" applyBorder="1" applyAlignment="1">
      <alignment vertical="center" wrapText="1"/>
    </xf>
    <xf numFmtId="0" fontId="74" fillId="2" borderId="23" xfId="0" applyFont="1" applyFill="1" applyBorder="1" applyAlignment="1">
      <alignment vertical="center" wrapText="1"/>
    </xf>
    <xf numFmtId="0" fontId="14" fillId="2" borderId="23" xfId="0" applyFont="1" applyFill="1" applyBorder="1" applyAlignment="1">
      <alignment vertical="center" wrapText="1"/>
    </xf>
    <xf numFmtId="176" fontId="73" fillId="2" borderId="33" xfId="7" applyNumberFormat="1" applyFont="1" applyFill="1" applyBorder="1" applyAlignment="1">
      <alignment vertical="center" wrapText="1"/>
    </xf>
    <xf numFmtId="176" fontId="73" fillId="2" borderId="33" xfId="7" applyNumberFormat="1" applyFont="1" applyFill="1" applyBorder="1" applyAlignment="1">
      <alignment horizontal="right" vertical="center" wrapText="1"/>
    </xf>
    <xf numFmtId="0" fontId="73" fillId="2" borderId="23" xfId="0" applyFont="1" applyFill="1" applyBorder="1" applyAlignment="1">
      <alignment vertical="center" wrapText="1"/>
    </xf>
    <xf numFmtId="166" fontId="74" fillId="2" borderId="0" xfId="253" applyNumberFormat="1" applyFont="1" applyFill="1" applyAlignment="1">
      <alignment vertical="top" wrapText="1"/>
    </xf>
    <xf numFmtId="169" fontId="17" fillId="57" borderId="26" xfId="96" applyNumberFormat="1" applyFont="1" applyFill="1" applyBorder="1" applyAlignment="1">
      <alignment horizontal="center" vertical="center" wrapText="1"/>
    </xf>
    <xf numFmtId="169" fontId="17" fillId="59" borderId="26" xfId="96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0" fontId="73" fillId="2" borderId="22" xfId="208" applyFont="1" applyFill="1" applyBorder="1" applyAlignment="1">
      <alignment horizontal="center"/>
    </xf>
    <xf numFmtId="0" fontId="73" fillId="2" borderId="2" xfId="208" applyFont="1" applyFill="1" applyBorder="1" applyAlignment="1">
      <alignment horizontal="center"/>
    </xf>
    <xf numFmtId="0" fontId="73" fillId="2" borderId="22" xfId="253" applyFont="1" applyFill="1" applyBorder="1" applyAlignment="1">
      <alignment horizontal="center"/>
    </xf>
    <xf numFmtId="0" fontId="73" fillId="2" borderId="2" xfId="253" applyFont="1" applyFill="1" applyBorder="1" applyAlignment="1">
      <alignment horizontal="center"/>
    </xf>
    <xf numFmtId="0" fontId="73" fillId="2" borderId="33" xfId="299" applyFont="1" applyFill="1" applyBorder="1" applyAlignment="1">
      <alignment horizontal="left" vertical="center" wrapText="1"/>
    </xf>
    <xf numFmtId="0" fontId="73" fillId="2" borderId="26" xfId="0" applyFont="1" applyFill="1" applyBorder="1" applyAlignment="1">
      <alignment horizontal="left" vertical="center" wrapText="1"/>
    </xf>
    <xf numFmtId="0" fontId="73" fillId="0" borderId="33" xfId="0" applyFont="1" applyBorder="1" applyAlignment="1">
      <alignment horizontal="left" vertical="center" wrapText="1"/>
    </xf>
    <xf numFmtId="0" fontId="73" fillId="0" borderId="33" xfId="0" applyFont="1" applyBorder="1" applyAlignment="1">
      <alignment horizontal="center" vertical="center" wrapText="1"/>
    </xf>
    <xf numFmtId="0" fontId="74" fillId="2" borderId="0" xfId="0" applyFont="1" applyFill="1" applyAlignment="1">
      <alignment horizontal="left" vertical="center" wrapText="1"/>
    </xf>
    <xf numFmtId="169" fontId="85" fillId="2" borderId="33" xfId="2030" applyNumberFormat="1" applyFont="1" applyFill="1" applyBorder="1" applyAlignment="1">
      <alignment vertical="center"/>
    </xf>
    <xf numFmtId="166" fontId="85" fillId="2" borderId="33" xfId="2030" applyNumberFormat="1" applyFont="1" applyFill="1" applyBorder="1" applyAlignment="1">
      <alignment vertical="center"/>
    </xf>
    <xf numFmtId="0" fontId="85" fillId="2" borderId="33" xfId="208" applyFont="1" applyFill="1" applyBorder="1" applyAlignment="1">
      <alignment vertical="center"/>
    </xf>
    <xf numFmtId="0" fontId="17" fillId="0" borderId="33" xfId="96" applyFont="1" applyBorder="1" applyAlignment="1">
      <alignment horizontal="left" vertical="center" wrapText="1"/>
    </xf>
    <xf numFmtId="165" fontId="17" fillId="2" borderId="33" xfId="6" applyFont="1" applyFill="1" applyBorder="1" applyAlignment="1">
      <alignment horizontal="center" vertical="center"/>
    </xf>
    <xf numFmtId="0" fontId="73" fillId="2" borderId="33" xfId="208" applyFont="1" applyFill="1" applyBorder="1" applyAlignment="1">
      <alignment horizontal="left"/>
    </xf>
    <xf numFmtId="169" fontId="73" fillId="0" borderId="33" xfId="208" applyNumberFormat="1" applyFont="1" applyBorder="1"/>
    <xf numFmtId="43" fontId="73" fillId="2" borderId="33" xfId="217" applyFont="1" applyFill="1" applyBorder="1"/>
    <xf numFmtId="169" fontId="87" fillId="2" borderId="33" xfId="2030" applyNumberFormat="1" applyFont="1" applyFill="1" applyBorder="1" applyAlignment="1">
      <alignment vertical="center"/>
    </xf>
    <xf numFmtId="166" fontId="87" fillId="2" borderId="33" xfId="2030" applyNumberFormat="1" applyFont="1" applyFill="1" applyBorder="1" applyAlignment="1">
      <alignment vertical="center"/>
    </xf>
    <xf numFmtId="166" fontId="85" fillId="0" borderId="33" xfId="7" applyNumberFormat="1" applyFont="1" applyFill="1" applyBorder="1" applyAlignment="1">
      <alignment vertical="center"/>
    </xf>
    <xf numFmtId="169" fontId="73" fillId="2" borderId="0" xfId="0" applyNumberFormat="1" applyFont="1" applyFill="1" applyAlignment="1">
      <alignment vertical="top"/>
    </xf>
    <xf numFmtId="0" fontId="73" fillId="2" borderId="37" xfId="0" applyFont="1" applyFill="1" applyBorder="1" applyAlignment="1">
      <alignment vertical="center"/>
    </xf>
    <xf numFmtId="165" fontId="73" fillId="0" borderId="33" xfId="6" applyFont="1" applyFill="1" applyBorder="1" applyAlignment="1">
      <alignment horizontal="center" vertical="center"/>
    </xf>
    <xf numFmtId="171" fontId="73" fillId="0" borderId="33" xfId="6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left" vertical="center" wrapText="1"/>
    </xf>
    <xf numFmtId="0" fontId="95" fillId="2" borderId="0" xfId="299" applyFont="1" applyFill="1" applyAlignment="1">
      <alignment vertical="center"/>
    </xf>
    <xf numFmtId="0" fontId="95" fillId="2" borderId="0" xfId="299" applyFont="1" applyFill="1" applyAlignment="1">
      <alignment horizontal="center" vertical="center"/>
    </xf>
    <xf numFmtId="0" fontId="95" fillId="2" borderId="33" xfId="208" applyFont="1" applyFill="1" applyBorder="1" applyAlignment="1">
      <alignment horizontal="center"/>
    </xf>
    <xf numFmtId="166" fontId="95" fillId="2" borderId="0" xfId="253" applyNumberFormat="1" applyFont="1" applyFill="1"/>
    <xf numFmtId="0" fontId="74" fillId="2" borderId="33" xfId="299" applyFont="1" applyFill="1" applyBorder="1" applyAlignment="1">
      <alignment horizontal="center"/>
    </xf>
    <xf numFmtId="168" fontId="73" fillId="2" borderId="33" xfId="96" applyNumberFormat="1" applyFont="1" applyFill="1" applyBorder="1" applyAlignment="1">
      <alignment vertical="center" wrapText="1"/>
    </xf>
    <xf numFmtId="0" fontId="90" fillId="2" borderId="33" xfId="0" applyFont="1" applyFill="1" applyBorder="1"/>
    <xf numFmtId="165" fontId="87" fillId="2" borderId="33" xfId="6" applyFont="1" applyFill="1" applyBorder="1" applyAlignment="1">
      <alignment horizontal="center" vertical="center"/>
    </xf>
    <xf numFmtId="0" fontId="74" fillId="2" borderId="33" xfId="253" applyFont="1" applyFill="1" applyBorder="1"/>
    <xf numFmtId="0" fontId="87" fillId="0" borderId="33" xfId="0" applyFont="1" applyBorder="1" applyAlignment="1">
      <alignment vertical="center" wrapText="1"/>
    </xf>
    <xf numFmtId="43" fontId="14" fillId="2" borderId="33" xfId="253" applyNumberFormat="1" applyFont="1" applyFill="1" applyBorder="1" applyAlignment="1">
      <alignment vertical="center"/>
    </xf>
    <xf numFmtId="0" fontId="90" fillId="2" borderId="33" xfId="0" applyFont="1" applyFill="1" applyBorder="1" applyAlignment="1">
      <alignment horizontal="center"/>
    </xf>
    <xf numFmtId="0" fontId="85" fillId="0" borderId="29" xfId="0" applyFont="1" applyBorder="1" applyAlignment="1">
      <alignment vertical="center" wrapText="1"/>
    </xf>
    <xf numFmtId="43" fontId="74" fillId="2" borderId="33" xfId="7" applyFont="1" applyFill="1" applyBorder="1" applyAlignment="1">
      <alignment vertical="center"/>
    </xf>
    <xf numFmtId="166" fontId="73" fillId="2" borderId="0" xfId="0" applyNumberFormat="1" applyFont="1" applyFill="1"/>
    <xf numFmtId="0" fontId="73" fillId="0" borderId="26" xfId="0" applyFont="1" applyBorder="1" applyAlignment="1">
      <alignment horizontal="left" vertical="center" wrapText="1"/>
    </xf>
    <xf numFmtId="166" fontId="85" fillId="0" borderId="33" xfId="2030" applyNumberFormat="1" applyFont="1" applyFill="1" applyBorder="1" applyAlignment="1">
      <alignment vertical="center"/>
    </xf>
    <xf numFmtId="0" fontId="90" fillId="2" borderId="22" xfId="0" applyFont="1" applyFill="1" applyBorder="1" applyAlignment="1">
      <alignment horizontal="center"/>
    </xf>
    <xf numFmtId="43" fontId="73" fillId="2" borderId="33" xfId="7" applyFont="1" applyFill="1" applyBorder="1" applyAlignment="1">
      <alignment vertical="center"/>
    </xf>
    <xf numFmtId="0" fontId="73" fillId="2" borderId="33" xfId="253" applyFont="1" applyFill="1" applyBorder="1" applyAlignment="1">
      <alignment horizontal="center"/>
    </xf>
    <xf numFmtId="0" fontId="17" fillId="2" borderId="33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33" xfId="0" applyFont="1" applyFill="1" applyBorder="1" applyAlignment="1">
      <alignment horizontal="left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49" fontId="94" fillId="2" borderId="35" xfId="0" applyNumberFormat="1" applyFont="1" applyFill="1" applyBorder="1" applyAlignment="1">
      <alignment horizontal="center" vertical="top" wrapText="1"/>
    </xf>
    <xf numFmtId="49" fontId="94" fillId="2" borderId="1" xfId="0" applyNumberFormat="1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horizontal="center" vertical="center" wrapText="1"/>
    </xf>
    <xf numFmtId="0" fontId="74" fillId="2" borderId="33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left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4" fillId="2" borderId="34" xfId="0" applyFont="1" applyFill="1" applyBorder="1" applyAlignment="1">
      <alignment horizontal="center" vertical="center" wrapText="1"/>
    </xf>
    <xf numFmtId="0" fontId="17" fillId="0" borderId="26" xfId="96" applyFont="1" applyBorder="1" applyAlignment="1">
      <alignment horizontal="center" vertical="center" wrapText="1"/>
    </xf>
    <xf numFmtId="169" fontId="17" fillId="0" borderId="26" xfId="96" applyNumberFormat="1" applyFont="1" applyBorder="1" applyAlignment="1">
      <alignment horizontal="center" vertical="center" wrapText="1"/>
    </xf>
    <xf numFmtId="165" fontId="17" fillId="0" borderId="26" xfId="6" applyFont="1" applyFill="1" applyBorder="1" applyAlignment="1">
      <alignment horizontal="center" vertical="center"/>
    </xf>
    <xf numFmtId="0" fontId="73" fillId="0" borderId="0" xfId="299" applyFont="1"/>
    <xf numFmtId="0" fontId="73" fillId="0" borderId="26" xfId="208" applyFont="1" applyBorder="1" applyAlignment="1">
      <alignment horizontal="center"/>
    </xf>
    <xf numFmtId="0" fontId="73" fillId="0" borderId="26" xfId="208" applyFont="1" applyBorder="1" applyAlignment="1">
      <alignment horizontal="left"/>
    </xf>
    <xf numFmtId="43" fontId="73" fillId="0" borderId="26" xfId="217" applyFont="1" applyFill="1" applyBorder="1"/>
    <xf numFmtId="0" fontId="73" fillId="0" borderId="26" xfId="208" applyFont="1" applyBorder="1"/>
    <xf numFmtId="0" fontId="89" fillId="0" borderId="0" xfId="208" applyFont="1"/>
    <xf numFmtId="0" fontId="73" fillId="2" borderId="0" xfId="253" applyFont="1" applyFill="1" applyAlignment="1">
      <alignment vertical="top"/>
    </xf>
    <xf numFmtId="0" fontId="73" fillId="2" borderId="0" xfId="253" applyFont="1" applyFill="1" applyAlignment="1">
      <alignment wrapText="1"/>
    </xf>
    <xf numFmtId="166" fontId="73" fillId="2" borderId="0" xfId="253" applyNumberFormat="1" applyFont="1" applyFill="1" applyAlignment="1">
      <alignment wrapText="1"/>
    </xf>
    <xf numFmtId="166" fontId="73" fillId="2" borderId="0" xfId="253" applyNumberFormat="1" applyFont="1" applyFill="1"/>
    <xf numFmtId="166" fontId="73" fillId="2" borderId="0" xfId="253" applyNumberFormat="1" applyFont="1" applyFill="1" applyAlignment="1">
      <alignment horizontal="center"/>
    </xf>
    <xf numFmtId="49" fontId="17" fillId="2" borderId="26" xfId="96" applyNumberFormat="1" applyFont="1" applyFill="1" applyBorder="1" applyAlignment="1">
      <alignment horizontal="center" vertical="center" textRotation="90" wrapText="1"/>
    </xf>
    <xf numFmtId="166" fontId="17" fillId="2" borderId="26" xfId="165" applyNumberFormat="1" applyFont="1" applyFill="1" applyBorder="1" applyAlignment="1">
      <alignment horizontal="center" vertical="center" wrapText="1"/>
    </xf>
    <xf numFmtId="0" fontId="97" fillId="2" borderId="26" xfId="253" applyFont="1" applyFill="1" applyBorder="1" applyAlignment="1">
      <alignment horizontal="center" vertical="center" wrapText="1"/>
    </xf>
    <xf numFmtId="0" fontId="73" fillId="57" borderId="26" xfId="0" applyFont="1" applyFill="1" applyBorder="1" applyAlignment="1">
      <alignment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26" xfId="1735" applyFont="1" applyFill="1" applyBorder="1" applyAlignment="1">
      <alignment horizontal="center" vertical="center" wrapText="1"/>
    </xf>
    <xf numFmtId="0" fontId="73" fillId="2" borderId="26" xfId="1736" applyFont="1" applyFill="1" applyBorder="1" applyAlignment="1">
      <alignment horizontal="center" vertical="center"/>
    </xf>
    <xf numFmtId="0" fontId="73" fillId="2" borderId="26" xfId="1735" applyFont="1" applyFill="1" applyBorder="1" applyAlignment="1">
      <alignment horizontal="center"/>
    </xf>
    <xf numFmtId="169" fontId="17" fillId="58" borderId="21" xfId="7" applyNumberFormat="1" applyFont="1" applyFill="1" applyBorder="1" applyAlignment="1">
      <alignment horizontal="center" vertical="center" wrapText="1"/>
    </xf>
    <xf numFmtId="169" fontId="73" fillId="2" borderId="0" xfId="299" applyNumberFormat="1" applyFont="1" applyFill="1"/>
    <xf numFmtId="0" fontId="74" fillId="2" borderId="0" xfId="0" applyFont="1" applyFill="1"/>
    <xf numFmtId="166" fontId="74" fillId="2" borderId="0" xfId="253" applyNumberFormat="1" applyFont="1" applyFill="1" applyAlignment="1">
      <alignment horizontal="center"/>
    </xf>
    <xf numFmtId="169" fontId="73" fillId="2" borderId="0" xfId="0" applyNumberFormat="1" applyFont="1" applyFill="1" applyAlignment="1">
      <alignment horizontal="left" vertical="top" wrapText="1"/>
    </xf>
    <xf numFmtId="165" fontId="73" fillId="2" borderId="33" xfId="6" applyFont="1" applyFill="1" applyBorder="1">
      <alignment horizontal="right" vertical="top"/>
    </xf>
    <xf numFmtId="43" fontId="73" fillId="2" borderId="33" xfId="7" applyFont="1" applyFill="1" applyBorder="1" applyAlignment="1">
      <alignment horizontal="center" vertical="center" wrapText="1"/>
    </xf>
    <xf numFmtId="0" fontId="74" fillId="0" borderId="29" xfId="0" applyFont="1" applyBorder="1" applyAlignment="1">
      <alignment horizontal="left" vertical="top" wrapText="1"/>
    </xf>
    <xf numFmtId="169" fontId="73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3" fillId="2" borderId="0" xfId="2028" applyFont="1" applyFill="1"/>
    <xf numFmtId="174" fontId="73" fillId="2" borderId="0" xfId="2027" applyFont="1" applyFill="1"/>
    <xf numFmtId="168" fontId="17" fillId="2" borderId="26" xfId="96" applyNumberFormat="1" applyFont="1" applyFill="1" applyBorder="1" applyAlignment="1">
      <alignment horizontal="center" vertical="center" wrapText="1"/>
    </xf>
    <xf numFmtId="173" fontId="73" fillId="2" borderId="0" xfId="299" applyNumberFormat="1" applyFont="1" applyFill="1"/>
    <xf numFmtId="43" fontId="73" fillId="2" borderId="0" xfId="299" applyNumberFormat="1" applyFont="1" applyFill="1"/>
    <xf numFmtId="0" fontId="73" fillId="2" borderId="26" xfId="96" applyFont="1" applyFill="1" applyBorder="1" applyAlignment="1">
      <alignment horizontal="center" vertical="center" wrapText="1"/>
    </xf>
    <xf numFmtId="0" fontId="97" fillId="2" borderId="26" xfId="96" applyFont="1" applyFill="1" applyBorder="1" applyAlignment="1">
      <alignment horizontal="center" vertical="center" wrapText="1"/>
    </xf>
    <xf numFmtId="39" fontId="17" fillId="2" borderId="26" xfId="96" applyNumberFormat="1" applyFont="1" applyFill="1" applyBorder="1" applyAlignment="1">
      <alignment horizontal="center" vertical="center" wrapText="1"/>
    </xf>
    <xf numFmtId="168" fontId="73" fillId="2" borderId="26" xfId="96" applyNumberFormat="1" applyFont="1" applyFill="1" applyBorder="1" applyAlignment="1">
      <alignment horizontal="center" vertical="center" wrapText="1"/>
    </xf>
    <xf numFmtId="0" fontId="73" fillId="0" borderId="29" xfId="0" applyFont="1" applyBorder="1" applyAlignment="1">
      <alignment horizontal="left" vertical="top" wrapText="1"/>
    </xf>
    <xf numFmtId="43" fontId="73" fillId="2" borderId="33" xfId="7" applyFont="1" applyFill="1" applyBorder="1" applyAlignment="1">
      <alignment horizontal="left" vertical="top" wrapText="1"/>
    </xf>
    <xf numFmtId="43" fontId="85" fillId="2" borderId="33" xfId="7" applyFont="1" applyFill="1" applyBorder="1" applyAlignment="1">
      <alignment horizontal="left" vertical="top" wrapText="1"/>
    </xf>
    <xf numFmtId="43" fontId="85" fillId="2" borderId="33" xfId="7" applyFont="1" applyFill="1" applyBorder="1" applyAlignment="1">
      <alignment horizontal="right" vertical="top"/>
    </xf>
    <xf numFmtId="43" fontId="73" fillId="2" borderId="0" xfId="7" applyFont="1" applyFill="1" applyAlignment="1">
      <alignment horizontal="left" vertical="top" wrapText="1"/>
    </xf>
    <xf numFmtId="43" fontId="73" fillId="2" borderId="33" xfId="7" applyFont="1" applyFill="1" applyBorder="1" applyAlignment="1">
      <alignment horizontal="center" vertical="top" wrapText="1"/>
    </xf>
    <xf numFmtId="43" fontId="73" fillId="2" borderId="33" xfId="7" applyFont="1" applyFill="1" applyBorder="1" applyAlignment="1">
      <alignment horizontal="center" vertical="top"/>
    </xf>
    <xf numFmtId="43" fontId="73" fillId="2" borderId="0" xfId="7" applyFont="1" applyFill="1" applyAlignment="1">
      <alignment horizontal="center" vertical="top" wrapText="1"/>
    </xf>
    <xf numFmtId="1" fontId="73" fillId="2" borderId="33" xfId="7" applyNumberFormat="1" applyFont="1" applyFill="1" applyBorder="1" applyAlignment="1">
      <alignment horizontal="center" vertical="top" wrapText="1"/>
    </xf>
    <xf numFmtId="43" fontId="90" fillId="2" borderId="33" xfId="7" applyFont="1" applyFill="1" applyBorder="1" applyAlignment="1">
      <alignment horizontal="center" vertical="top" wrapText="1"/>
    </xf>
    <xf numFmtId="43" fontId="98" fillId="2" borderId="33" xfId="7" applyFont="1" applyFill="1" applyBorder="1" applyAlignment="1">
      <alignment horizontal="center" vertical="top" wrapText="1"/>
    </xf>
    <xf numFmtId="43" fontId="17" fillId="2" borderId="33" xfId="7" applyFont="1" applyFill="1" applyBorder="1" applyAlignment="1">
      <alignment horizontal="center" vertical="top"/>
    </xf>
    <xf numFmtId="43" fontId="98" fillId="2" borderId="33" xfId="7" applyFont="1" applyFill="1" applyBorder="1" applyAlignment="1">
      <alignment horizontal="center" vertical="top"/>
    </xf>
    <xf numFmtId="43" fontId="90" fillId="2" borderId="0" xfId="7" applyFont="1" applyFill="1" applyAlignment="1">
      <alignment horizontal="center" vertical="top" wrapText="1"/>
    </xf>
    <xf numFmtId="43" fontId="90" fillId="2" borderId="33" xfId="7" applyFont="1" applyFill="1" applyBorder="1" applyAlignment="1">
      <alignment horizontal="left" vertical="top" wrapText="1"/>
    </xf>
    <xf numFmtId="43" fontId="90" fillId="2" borderId="0" xfId="7" applyFont="1" applyFill="1" applyAlignment="1">
      <alignment horizontal="left" vertical="top" wrapText="1"/>
    </xf>
    <xf numFmtId="43" fontId="98" fillId="2" borderId="33" xfId="7" applyFont="1" applyFill="1" applyBorder="1" applyAlignment="1">
      <alignment horizontal="left" vertical="top" wrapText="1"/>
    </xf>
    <xf numFmtId="43" fontId="17" fillId="2" borderId="33" xfId="7" applyFont="1" applyFill="1" applyBorder="1" applyAlignment="1">
      <alignment horizontal="right" vertical="top"/>
    </xf>
    <xf numFmtId="43" fontId="98" fillId="2" borderId="33" xfId="7" applyFont="1" applyFill="1" applyBorder="1" applyAlignment="1">
      <alignment horizontal="right" vertical="top"/>
    </xf>
    <xf numFmtId="43" fontId="17" fillId="2" borderId="33" xfId="7" applyFont="1" applyFill="1" applyBorder="1" applyAlignment="1">
      <alignment horizontal="left" vertical="top" wrapText="1"/>
    </xf>
    <xf numFmtId="43" fontId="17" fillId="2" borderId="0" xfId="7" applyFont="1" applyFill="1" applyAlignment="1">
      <alignment horizontal="left" vertical="top" wrapText="1"/>
    </xf>
    <xf numFmtId="0" fontId="17" fillId="2" borderId="29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center" vertical="center" wrapText="1"/>
    </xf>
    <xf numFmtId="0" fontId="85" fillId="2" borderId="26" xfId="253" applyFont="1" applyFill="1" applyBorder="1" applyAlignment="1">
      <alignment horizontal="center" vertical="center" wrapText="1"/>
    </xf>
    <xf numFmtId="166" fontId="17" fillId="0" borderId="26" xfId="96" applyNumberFormat="1" applyFont="1" applyBorder="1" applyAlignment="1">
      <alignment horizontal="center" vertical="center" wrapText="1"/>
    </xf>
    <xf numFmtId="0" fontId="73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175" fontId="73" fillId="2" borderId="33" xfId="0" applyNumberFormat="1" applyFont="1" applyFill="1" applyBorder="1" applyAlignment="1">
      <alignment horizontal="right" vertical="center" wrapText="1"/>
    </xf>
    <xf numFmtId="0" fontId="73" fillId="2" borderId="0" xfId="162" applyFont="1" applyFill="1" applyAlignment="1">
      <alignment horizontal="right" vertical="top"/>
    </xf>
    <xf numFmtId="0" fontId="73" fillId="2" borderId="0" xfId="162" applyFont="1" applyFill="1" applyAlignment="1">
      <alignment horizontal="right" vertical="center"/>
    </xf>
    <xf numFmtId="0" fontId="73" fillId="2" borderId="0" xfId="162" applyFont="1" applyFill="1" applyAlignment="1">
      <alignment horizontal="left" vertical="top" wrapText="1"/>
    </xf>
    <xf numFmtId="166" fontId="73" fillId="2" borderId="0" xfId="3116" applyNumberFormat="1" applyFont="1" applyFill="1" applyAlignment="1">
      <alignment horizontal="center" vertical="center"/>
    </xf>
    <xf numFmtId="43" fontId="73" fillId="2" borderId="0" xfId="2022" applyFont="1" applyFill="1" applyAlignment="1">
      <alignment horizontal="center" wrapText="1"/>
    </xf>
    <xf numFmtId="166" fontId="74" fillId="2" borderId="0" xfId="2022" applyNumberFormat="1" applyFont="1" applyFill="1" applyAlignment="1">
      <alignment horizontal="right"/>
    </xf>
    <xf numFmtId="43" fontId="17" fillId="2" borderId="33" xfId="2022" applyFont="1" applyFill="1" applyBorder="1" applyAlignment="1">
      <alignment wrapText="1"/>
    </xf>
    <xf numFmtId="169" fontId="17" fillId="2" borderId="33" xfId="7" applyNumberFormat="1" applyFont="1" applyFill="1" applyBorder="1" applyAlignment="1">
      <alignment horizontal="center" vertical="top" wrapText="1"/>
    </xf>
    <xf numFmtId="0" fontId="14" fillId="2" borderId="0" xfId="0" applyFont="1" applyFill="1"/>
    <xf numFmtId="166" fontId="14" fillId="2" borderId="0" xfId="0" applyNumberFormat="1" applyFont="1" applyFill="1"/>
    <xf numFmtId="43" fontId="73" fillId="2" borderId="33" xfId="2022" applyFont="1" applyFill="1" applyBorder="1" applyAlignment="1">
      <alignment vertical="center" wrapText="1"/>
    </xf>
    <xf numFmtId="166" fontId="73" fillId="2" borderId="33" xfId="2022" applyNumberFormat="1" applyFont="1" applyFill="1" applyBorder="1" applyAlignment="1">
      <alignment horizontal="center" vertical="center"/>
    </xf>
    <xf numFmtId="43" fontId="17" fillId="2" borderId="33" xfId="2022" applyFont="1" applyFill="1" applyBorder="1" applyAlignment="1">
      <alignment vertical="center" wrapText="1"/>
    </xf>
    <xf numFmtId="166" fontId="17" fillId="2" borderId="33" xfId="2022" applyNumberFormat="1" applyFont="1" applyFill="1" applyBorder="1" applyAlignment="1">
      <alignment horizontal="left" vertical="center"/>
    </xf>
    <xf numFmtId="43" fontId="17" fillId="2" borderId="0" xfId="2022" applyFont="1" applyFill="1" applyBorder="1"/>
    <xf numFmtId="43" fontId="17" fillId="2" borderId="0" xfId="2022" applyFont="1" applyFill="1"/>
    <xf numFmtId="166" fontId="73" fillId="2" borderId="33" xfId="2022" applyNumberFormat="1" applyFont="1" applyFill="1" applyBorder="1" applyAlignment="1">
      <alignment horizontal="left" vertical="center"/>
    </xf>
    <xf numFmtId="43" fontId="73" fillId="2" borderId="0" xfId="2022" applyFont="1" applyFill="1"/>
    <xf numFmtId="43" fontId="85" fillId="2" borderId="33" xfId="2022" applyFont="1" applyFill="1" applyBorder="1" applyAlignment="1">
      <alignment vertical="center" wrapText="1"/>
    </xf>
    <xf numFmtId="166" fontId="85" fillId="2" borderId="33" xfId="2022" applyNumberFormat="1" applyFont="1" applyFill="1" applyBorder="1" applyAlignment="1">
      <alignment horizontal="left" vertical="center"/>
    </xf>
    <xf numFmtId="43" fontId="85" fillId="2" borderId="0" xfId="2022" applyFont="1" applyFill="1"/>
    <xf numFmtId="0" fontId="74" fillId="2" borderId="0" xfId="2025" applyFont="1" applyFill="1"/>
    <xf numFmtId="0" fontId="73" fillId="2" borderId="0" xfId="1660" applyFont="1" applyFill="1" applyAlignment="1">
      <alignment vertical="top"/>
    </xf>
    <xf numFmtId="169" fontId="73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0" fontId="73" fillId="2" borderId="30" xfId="0" applyFont="1" applyFill="1" applyBorder="1" applyAlignment="1">
      <alignment horizontal="right"/>
    </xf>
    <xf numFmtId="165" fontId="17" fillId="2" borderId="33" xfId="8" applyNumberFormat="1" applyFont="1" applyFill="1" applyBorder="1" applyAlignment="1">
      <alignment horizontal="center" vertical="center" wrapText="1"/>
    </xf>
    <xf numFmtId="169" fontId="17" fillId="2" borderId="33" xfId="0" applyNumberFormat="1" applyFont="1" applyFill="1" applyBorder="1" applyAlignment="1">
      <alignment horizontal="center" vertical="center"/>
    </xf>
    <xf numFmtId="165" fontId="73" fillId="2" borderId="33" xfId="8" applyNumberFormat="1" applyFont="1" applyFill="1" applyBorder="1" applyAlignment="1">
      <alignment horizontal="center" vertical="center" wrapText="1"/>
    </xf>
    <xf numFmtId="168" fontId="17" fillId="2" borderId="33" xfId="0" applyNumberFormat="1" applyFont="1" applyFill="1" applyBorder="1" applyAlignment="1">
      <alignment horizontal="center" vertical="center"/>
    </xf>
    <xf numFmtId="0" fontId="17" fillId="2" borderId="33" xfId="0" applyFont="1" applyFill="1" applyBorder="1" applyAlignment="1">
      <alignment wrapText="1"/>
    </xf>
    <xf numFmtId="0" fontId="17" fillId="2" borderId="33" xfId="0" applyFont="1" applyFill="1" applyBorder="1" applyAlignment="1">
      <alignment horizontal="center" wrapText="1"/>
    </xf>
    <xf numFmtId="165" fontId="17" fillId="2" borderId="33" xfId="6" applyFont="1" applyFill="1" applyBorder="1" applyAlignment="1">
      <alignment horizontal="right" vertical="center"/>
    </xf>
    <xf numFmtId="165" fontId="73" fillId="2" borderId="33" xfId="6" applyFont="1" applyFill="1" applyBorder="1" applyAlignment="1">
      <alignment horizontal="right" vertical="center"/>
    </xf>
    <xf numFmtId="0" fontId="85" fillId="2" borderId="33" xfId="0" applyFont="1" applyFill="1" applyBorder="1" applyAlignment="1">
      <alignment horizontal="left" vertical="top" wrapText="1"/>
    </xf>
    <xf numFmtId="165" fontId="85" fillId="2" borderId="33" xfId="6" applyFont="1" applyFill="1" applyBorder="1" applyAlignment="1">
      <alignment horizontal="right" vertical="center"/>
    </xf>
    <xf numFmtId="0" fontId="73" fillId="2" borderId="29" xfId="0" applyFont="1" applyFill="1" applyBorder="1" applyAlignment="1">
      <alignment horizontal="left" vertical="top" wrapText="1"/>
    </xf>
    <xf numFmtId="0" fontId="17" fillId="2" borderId="40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vertical="top" wrapText="1"/>
    </xf>
    <xf numFmtId="0" fontId="73" fillId="2" borderId="33" xfId="8" applyFont="1" applyFill="1" applyBorder="1">
      <alignment horizontal="left" vertical="top" wrapText="1"/>
    </xf>
    <xf numFmtId="0" fontId="73" fillId="2" borderId="22" xfId="0" applyFont="1" applyFill="1" applyBorder="1" applyAlignment="1">
      <alignment horizontal="left" vertical="top" wrapText="1"/>
    </xf>
    <xf numFmtId="166" fontId="17" fillId="2" borderId="33" xfId="7" applyNumberFormat="1" applyFont="1" applyFill="1" applyBorder="1" applyAlignment="1">
      <alignment horizontal="right" vertical="center" wrapText="1"/>
    </xf>
    <xf numFmtId="166" fontId="85" fillId="2" borderId="33" xfId="7" applyNumberFormat="1" applyFont="1" applyFill="1" applyBorder="1" applyAlignment="1">
      <alignment horizontal="center" vertical="center" wrapText="1"/>
    </xf>
    <xf numFmtId="166" fontId="73" fillId="2" borderId="33" xfId="7" applyNumberFormat="1" applyFont="1" applyFill="1" applyBorder="1" applyAlignment="1">
      <alignment vertical="center" wrapText="1"/>
    </xf>
    <xf numFmtId="169" fontId="17" fillId="2" borderId="22" xfId="96" applyNumberFormat="1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169" fontId="99" fillId="0" borderId="21" xfId="7" applyNumberFormat="1" applyFont="1" applyFill="1" applyBorder="1" applyAlignment="1">
      <alignment horizontal="center" vertical="center" wrapText="1"/>
    </xf>
    <xf numFmtId="169" fontId="99" fillId="0" borderId="26" xfId="96" applyNumberFormat="1" applyFont="1" applyFill="1" applyBorder="1" applyAlignment="1">
      <alignment horizontal="center" vertical="center" wrapText="1"/>
    </xf>
    <xf numFmtId="43" fontId="73" fillId="2" borderId="0" xfId="253" applyNumberFormat="1" applyFont="1" applyFill="1"/>
    <xf numFmtId="0" fontId="74" fillId="2" borderId="0" xfId="0" applyFont="1" applyFill="1" applyAlignment="1">
      <alignment horizontal="center" wrapText="1"/>
    </xf>
    <xf numFmtId="43" fontId="73" fillId="2" borderId="22" xfId="2022" applyFont="1" applyFill="1" applyBorder="1" applyAlignment="1">
      <alignment horizontal="center" vertical="center" wrapText="1"/>
    </xf>
    <xf numFmtId="43" fontId="73" fillId="2" borderId="2" xfId="2022" applyFont="1" applyFill="1" applyBorder="1" applyAlignment="1">
      <alignment horizontal="center" vertical="center" wrapText="1"/>
    </xf>
    <xf numFmtId="43" fontId="73" fillId="2" borderId="31" xfId="2022" applyFont="1" applyFill="1" applyBorder="1" applyAlignment="1">
      <alignment horizontal="center" vertical="center" wrapText="1"/>
    </xf>
    <xf numFmtId="43" fontId="73" fillId="2" borderId="37" xfId="2022" applyFont="1" applyFill="1" applyBorder="1" applyAlignment="1">
      <alignment horizontal="center" vertical="center" wrapText="1"/>
    </xf>
    <xf numFmtId="43" fontId="73" fillId="2" borderId="29" xfId="2022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center"/>
    </xf>
    <xf numFmtId="0" fontId="17" fillId="0" borderId="33" xfId="0" applyFont="1" applyBorder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73" fillId="2" borderId="27" xfId="0" applyFont="1" applyFill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73" fillId="0" borderId="33" xfId="0" applyFont="1" applyBorder="1" applyAlignment="1">
      <alignment horizontal="left" vertical="center" wrapText="1"/>
    </xf>
    <xf numFmtId="0" fontId="17" fillId="2" borderId="33" xfId="0" applyFont="1" applyFill="1" applyBorder="1" applyAlignment="1">
      <alignment horizontal="left" vertical="top" wrapText="1"/>
    </xf>
    <xf numFmtId="0" fontId="17" fillId="2" borderId="22" xfId="0" applyFont="1" applyFill="1" applyBorder="1" applyAlignment="1">
      <alignment horizontal="center" wrapText="1"/>
    </xf>
    <xf numFmtId="0" fontId="17" fillId="2" borderId="1" xfId="0" applyFont="1" applyFill="1" applyBorder="1" applyAlignment="1">
      <alignment horizontal="center" wrapText="1"/>
    </xf>
    <xf numFmtId="0" fontId="17" fillId="2" borderId="33" xfId="0" applyFont="1" applyFill="1" applyBorder="1" applyAlignment="1">
      <alignment horizontal="center" wrapText="1"/>
    </xf>
    <xf numFmtId="49" fontId="17" fillId="2" borderId="33" xfId="0" applyNumberFormat="1" applyFont="1" applyFill="1" applyBorder="1" applyAlignment="1">
      <alignment horizontal="center" vertical="top"/>
    </xf>
    <xf numFmtId="0" fontId="73" fillId="2" borderId="33" xfId="0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49" fontId="17" fillId="2" borderId="33" xfId="0" applyNumberFormat="1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left" vertical="top" wrapText="1"/>
    </xf>
    <xf numFmtId="0" fontId="17" fillId="2" borderId="29" xfId="0" applyFont="1" applyFill="1" applyBorder="1" applyAlignment="1">
      <alignment horizontal="left" vertical="top" wrapText="1"/>
    </xf>
    <xf numFmtId="0" fontId="17" fillId="2" borderId="2" xfId="0" applyFont="1" applyFill="1" applyBorder="1" applyAlignment="1">
      <alignment horizontal="center" wrapText="1"/>
    </xf>
    <xf numFmtId="0" fontId="17" fillId="2" borderId="22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94" fillId="2" borderId="34" xfId="0" applyNumberFormat="1" applyFont="1" applyFill="1" applyBorder="1" applyAlignment="1">
      <alignment horizontal="center" vertical="top" wrapText="1"/>
    </xf>
    <xf numFmtId="49" fontId="94" fillId="2" borderId="35" xfId="0" applyNumberFormat="1" applyFont="1" applyFill="1" applyBorder="1" applyAlignment="1">
      <alignment horizontal="center" vertical="top" wrapText="1"/>
    </xf>
    <xf numFmtId="0" fontId="73" fillId="2" borderId="29" xfId="0" applyFont="1" applyFill="1" applyBorder="1" applyAlignment="1">
      <alignment horizontal="center" vertical="top" wrapText="1"/>
    </xf>
    <xf numFmtId="0" fontId="17" fillId="2" borderId="34" xfId="0" applyFont="1" applyFill="1" applyBorder="1" applyAlignment="1">
      <alignment horizontal="center"/>
    </xf>
    <xf numFmtId="0" fontId="17" fillId="2" borderId="35" xfId="0" applyFont="1" applyFill="1" applyBorder="1" applyAlignment="1">
      <alignment horizontal="center"/>
    </xf>
    <xf numFmtId="0" fontId="17" fillId="2" borderId="36" xfId="0" applyFont="1" applyFill="1" applyBorder="1" applyAlignment="1">
      <alignment horizontal="center"/>
    </xf>
    <xf numFmtId="0" fontId="17" fillId="2" borderId="33" xfId="0" applyFont="1" applyFill="1" applyBorder="1" applyAlignment="1">
      <alignment horizontal="center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49" fontId="94" fillId="2" borderId="22" xfId="0" applyNumberFormat="1" applyFont="1" applyFill="1" applyBorder="1" applyAlignment="1">
      <alignment horizontal="center" vertical="top" wrapText="1"/>
    </xf>
    <xf numFmtId="49" fontId="94" fillId="2" borderId="1" xfId="0" applyNumberFormat="1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73" fillId="2" borderId="22" xfId="208" applyFont="1" applyFill="1" applyBorder="1" applyAlignment="1">
      <alignment horizontal="center"/>
    </xf>
    <xf numFmtId="0" fontId="73" fillId="2" borderId="1" xfId="208" applyFont="1" applyFill="1" applyBorder="1" applyAlignment="1">
      <alignment horizontal="center"/>
    </xf>
    <xf numFmtId="0" fontId="73" fillId="2" borderId="2" xfId="208" applyFont="1" applyFill="1" applyBorder="1" applyAlignment="1">
      <alignment horizontal="center"/>
    </xf>
    <xf numFmtId="0" fontId="95" fillId="2" borderId="22" xfId="208" applyFont="1" applyFill="1" applyBorder="1" applyAlignment="1">
      <alignment horizontal="center"/>
    </xf>
    <xf numFmtId="0" fontId="95" fillId="2" borderId="2" xfId="208" applyFont="1" applyFill="1" applyBorder="1" applyAlignment="1">
      <alignment horizontal="center"/>
    </xf>
    <xf numFmtId="168" fontId="73" fillId="2" borderId="27" xfId="96" applyNumberFormat="1" applyFont="1" applyFill="1" applyBorder="1" applyAlignment="1">
      <alignment horizontal="center" vertical="center" wrapText="1"/>
    </xf>
    <xf numFmtId="168" fontId="73" fillId="2" borderId="28" xfId="96" applyNumberFormat="1" applyFont="1" applyFill="1" applyBorder="1" applyAlignment="1">
      <alignment horizontal="center" vertical="center" wrapText="1"/>
    </xf>
    <xf numFmtId="168" fontId="73" fillId="2" borderId="29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30" xfId="2028" applyFont="1" applyFill="1" applyBorder="1" applyAlignment="1">
      <alignment horizontal="right"/>
    </xf>
    <xf numFmtId="49" fontId="17" fillId="2" borderId="27" xfId="96" applyNumberFormat="1" applyFont="1" applyFill="1" applyBorder="1" applyAlignment="1">
      <alignment horizontal="center" vertical="center" wrapText="1"/>
    </xf>
    <xf numFmtId="49" fontId="17" fillId="2" borderId="29" xfId="96" applyNumberFormat="1" applyFont="1" applyFill="1" applyBorder="1" applyAlignment="1">
      <alignment horizontal="center" vertical="center" wrapText="1"/>
    </xf>
    <xf numFmtId="168" fontId="17" fillId="2" borderId="22" xfId="96" applyNumberFormat="1" applyFont="1" applyFill="1" applyBorder="1" applyAlignment="1">
      <alignment horizontal="center" vertical="center" wrapText="1"/>
    </xf>
    <xf numFmtId="168" fontId="17" fillId="2" borderId="2" xfId="96" applyNumberFormat="1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0" fontId="90" fillId="2" borderId="22" xfId="0" applyFont="1" applyFill="1" applyBorder="1" applyAlignment="1">
      <alignment horizontal="center"/>
    </xf>
    <xf numFmtId="0" fontId="90" fillId="2" borderId="1" xfId="0" applyFont="1" applyFill="1" applyBorder="1" applyAlignment="1">
      <alignment horizontal="center"/>
    </xf>
    <xf numFmtId="0" fontId="90" fillId="2" borderId="2" xfId="0" applyFont="1" applyFill="1" applyBorder="1" applyAlignment="1">
      <alignment horizontal="center"/>
    </xf>
    <xf numFmtId="0" fontId="73" fillId="2" borderId="22" xfId="253" applyFont="1" applyFill="1" applyBorder="1" applyAlignment="1">
      <alignment horizontal="center"/>
    </xf>
    <xf numFmtId="0" fontId="73" fillId="2" borderId="2" xfId="253" applyFont="1" applyFill="1" applyBorder="1" applyAlignment="1">
      <alignment horizontal="center"/>
    </xf>
    <xf numFmtId="0" fontId="73" fillId="2" borderId="1" xfId="253" applyFont="1" applyFill="1" applyBorder="1" applyAlignment="1">
      <alignment horizontal="center"/>
    </xf>
    <xf numFmtId="166" fontId="73" fillId="2" borderId="0" xfId="253" applyNumberFormat="1" applyFont="1" applyFill="1" applyAlignment="1">
      <alignment horizontal="right" vertical="top" wrapText="1"/>
    </xf>
    <xf numFmtId="166" fontId="73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6" fontId="73" fillId="2" borderId="27" xfId="96" applyNumberFormat="1" applyFont="1" applyFill="1" applyBorder="1" applyAlignment="1">
      <alignment horizontal="center" vertical="center" wrapText="1"/>
    </xf>
    <xf numFmtId="166" fontId="73" fillId="2" borderId="28" xfId="96" applyNumberFormat="1" applyFont="1" applyFill="1" applyBorder="1" applyAlignment="1">
      <alignment horizontal="center" vertical="center" wrapText="1"/>
    </xf>
    <xf numFmtId="166" fontId="73" fillId="2" borderId="29" xfId="96" applyNumberFormat="1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center" vertical="top" wrapText="1"/>
    </xf>
    <xf numFmtId="0" fontId="73" fillId="2" borderId="34" xfId="0" applyFont="1" applyFill="1" applyBorder="1" applyAlignment="1">
      <alignment horizontal="center" vertical="top" wrapText="1"/>
    </xf>
    <xf numFmtId="0" fontId="73" fillId="2" borderId="39" xfId="0" applyFont="1" applyFill="1" applyBorder="1" applyAlignment="1">
      <alignment horizontal="center" vertical="top" wrapText="1"/>
    </xf>
    <xf numFmtId="0" fontId="73" fillId="2" borderId="35" xfId="0" applyFont="1" applyFill="1" applyBorder="1" applyAlignment="1">
      <alignment horizontal="center" vertical="top" wrapText="1"/>
    </xf>
    <xf numFmtId="0" fontId="73" fillId="2" borderId="40" xfId="0" applyFont="1" applyFill="1" applyBorder="1" applyAlignment="1">
      <alignment horizontal="center" vertical="top" wrapText="1"/>
    </xf>
    <xf numFmtId="0" fontId="73" fillId="2" borderId="36" xfId="0" applyFont="1" applyFill="1" applyBorder="1" applyAlignment="1">
      <alignment horizontal="center" vertical="top" wrapText="1"/>
    </xf>
    <xf numFmtId="177" fontId="73" fillId="2" borderId="31" xfId="0" applyNumberFormat="1" applyFont="1" applyFill="1" applyBorder="1" applyAlignment="1">
      <alignment horizontal="center" vertical="top" wrapText="1"/>
    </xf>
    <xf numFmtId="177" fontId="73" fillId="2" borderId="37" xfId="0" applyNumberFormat="1" applyFont="1" applyFill="1" applyBorder="1" applyAlignment="1">
      <alignment horizontal="center" vertical="top" wrapText="1"/>
    </xf>
    <xf numFmtId="177" fontId="73" fillId="2" borderId="29" xfId="0" applyNumberFormat="1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73" fillId="2" borderId="31" xfId="0" applyFont="1" applyFill="1" applyBorder="1" applyAlignment="1">
      <alignment horizontal="center" vertical="top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left" vertical="center" wrapText="1"/>
    </xf>
    <xf numFmtId="0" fontId="74" fillId="2" borderId="33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left" vertical="center" wrapText="1"/>
    </xf>
    <xf numFmtId="0" fontId="73" fillId="2" borderId="33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left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left" vertical="center" wrapText="1"/>
    </xf>
    <xf numFmtId="0" fontId="14" fillId="2" borderId="37" xfId="0" applyFont="1" applyFill="1" applyBorder="1" applyAlignment="1">
      <alignment horizontal="left" vertical="center" wrapText="1"/>
    </xf>
    <xf numFmtId="0" fontId="14" fillId="2" borderId="23" xfId="0" applyFont="1" applyFill="1" applyBorder="1" applyAlignment="1">
      <alignment horizontal="left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17" fillId="57" borderId="33" xfId="0" applyFont="1" applyFill="1" applyBorder="1" applyAlignment="1">
      <alignment horizontal="left" vertical="top" wrapText="1"/>
    </xf>
    <xf numFmtId="0" fontId="14" fillId="2" borderId="22" xfId="0" applyFont="1" applyFill="1" applyBorder="1" applyAlignment="1">
      <alignment horizontal="left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left" vertical="center" wrapText="1"/>
    </xf>
    <xf numFmtId="0" fontId="17" fillId="2" borderId="37" xfId="0" applyFont="1" applyFill="1" applyBorder="1" applyAlignment="1">
      <alignment horizontal="left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41" xfId="0" applyFont="1" applyFill="1" applyBorder="1" applyAlignment="1">
      <alignment horizontal="left" vertical="center" wrapText="1"/>
    </xf>
    <xf numFmtId="0" fontId="14" fillId="2" borderId="34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/>
    </xf>
    <xf numFmtId="0" fontId="73" fillId="0" borderId="33" xfId="0" applyFont="1" applyBorder="1" applyAlignment="1">
      <alignment horizontal="center" vertical="center" wrapText="1"/>
    </xf>
    <xf numFmtId="0" fontId="17" fillId="59" borderId="33" xfId="0" applyFont="1" applyFill="1" applyBorder="1" applyAlignment="1">
      <alignment horizontal="center" vertical="top" wrapText="1"/>
    </xf>
    <xf numFmtId="0" fontId="90" fillId="0" borderId="33" xfId="0" applyFont="1" applyBorder="1" applyAlignment="1">
      <alignment horizontal="left" vertical="top" wrapText="1"/>
    </xf>
    <xf numFmtId="0" fontId="74" fillId="2" borderId="29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center" wrapText="1"/>
    </xf>
    <xf numFmtId="0" fontId="74" fillId="2" borderId="22" xfId="0" applyFont="1" applyFill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73" fillId="2" borderId="33" xfId="0" applyFont="1" applyFill="1" applyBorder="1" applyAlignment="1">
      <alignment horizontal="left" vertical="center" wrapText="1"/>
    </xf>
    <xf numFmtId="0" fontId="73" fillId="2" borderId="31" xfId="0" applyFont="1" applyFill="1" applyBorder="1" applyAlignment="1">
      <alignment horizontal="left" vertical="center" wrapText="1"/>
    </xf>
    <xf numFmtId="0" fontId="73" fillId="2" borderId="32" xfId="0" applyFont="1" applyFill="1" applyBorder="1" applyAlignment="1">
      <alignment horizontal="left" vertical="center" wrapText="1"/>
    </xf>
    <xf numFmtId="0" fontId="73" fillId="2" borderId="29" xfId="0" applyFont="1" applyFill="1" applyBorder="1" applyAlignment="1">
      <alignment horizontal="left" vertical="center" wrapText="1"/>
    </xf>
    <xf numFmtId="0" fontId="73" fillId="2" borderId="26" xfId="0" applyFont="1" applyFill="1" applyBorder="1" applyAlignment="1">
      <alignment horizontal="left" vertical="center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31" xfId="0" applyFont="1" applyFill="1" applyBorder="1" applyAlignment="1">
      <alignment horizontal="center" vertical="center" wrapText="1"/>
    </xf>
    <xf numFmtId="0" fontId="73" fillId="2" borderId="37" xfId="0" applyFont="1" applyFill="1" applyBorder="1" applyAlignment="1">
      <alignment horizontal="center" vertic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26" xfId="1734" applyFont="1" applyFill="1" applyBorder="1" applyAlignment="1">
      <alignment horizontal="center" vertical="center" wrapText="1"/>
    </xf>
    <xf numFmtId="0" fontId="73" fillId="2" borderId="26" xfId="1735" applyFont="1" applyFill="1" applyBorder="1" applyAlignment="1">
      <alignment horizontal="center" vertical="center" wrapText="1"/>
    </xf>
    <xf numFmtId="0" fontId="73" fillId="2" borderId="26" xfId="8" applyFont="1" applyFill="1" applyBorder="1" applyAlignment="1">
      <alignment horizontal="center" vertical="center" wrapText="1"/>
    </xf>
    <xf numFmtId="0" fontId="73" fillId="2" borderId="27" xfId="1735" applyFont="1" applyFill="1" applyBorder="1" applyAlignment="1">
      <alignment horizontal="center" wrapText="1"/>
    </xf>
    <xf numFmtId="0" fontId="73" fillId="2" borderId="28" xfId="1735" applyFont="1" applyFill="1" applyBorder="1" applyAlignment="1">
      <alignment horizontal="center" wrapText="1"/>
    </xf>
    <xf numFmtId="0" fontId="73" fillId="2" borderId="29" xfId="1735" applyFont="1" applyFill="1" applyBorder="1" applyAlignment="1">
      <alignment horizontal="center" wrapText="1"/>
    </xf>
    <xf numFmtId="0" fontId="17" fillId="58" borderId="26" xfId="0" applyFont="1" applyFill="1" applyBorder="1" applyAlignment="1">
      <alignment vertical="top" wrapText="1"/>
    </xf>
    <xf numFmtId="0" fontId="73" fillId="57" borderId="31" xfId="0" applyFont="1" applyFill="1" applyBorder="1" applyAlignment="1">
      <alignment horizontal="left" vertical="center" wrapText="1"/>
    </xf>
    <xf numFmtId="0" fontId="73" fillId="57" borderId="32" xfId="0" applyFont="1" applyFill="1" applyBorder="1" applyAlignment="1">
      <alignment horizontal="left" vertical="center" wrapText="1"/>
    </xf>
    <xf numFmtId="0" fontId="73" fillId="57" borderId="29" xfId="0" applyFont="1" applyFill="1" applyBorder="1" applyAlignment="1">
      <alignment horizontal="left" vertical="center" wrapText="1"/>
    </xf>
    <xf numFmtId="0" fontId="73" fillId="2" borderId="31" xfId="299" applyFont="1" applyFill="1" applyBorder="1" applyAlignment="1">
      <alignment horizontal="left" vertical="top" wrapText="1"/>
    </xf>
    <xf numFmtId="0" fontId="73" fillId="2" borderId="32" xfId="299" applyFont="1" applyFill="1" applyBorder="1" applyAlignment="1">
      <alignment horizontal="left" vertical="top" wrapText="1"/>
    </xf>
    <xf numFmtId="0" fontId="73" fillId="2" borderId="29" xfId="299" applyFont="1" applyFill="1" applyBorder="1" applyAlignment="1">
      <alignment horizontal="left" vertical="top" wrapText="1"/>
    </xf>
    <xf numFmtId="0" fontId="73" fillId="2" borderId="31" xfId="299" applyFont="1" applyFill="1" applyBorder="1" applyAlignment="1">
      <alignment horizontal="center" vertical="top" wrapText="1"/>
    </xf>
    <xf numFmtId="0" fontId="73" fillId="2" borderId="32" xfId="299" applyFont="1" applyFill="1" applyBorder="1" applyAlignment="1">
      <alignment horizontal="center" vertical="top" wrapText="1"/>
    </xf>
    <xf numFmtId="0" fontId="73" fillId="2" borderId="29" xfId="299" applyFont="1" applyFill="1" applyBorder="1" applyAlignment="1">
      <alignment horizontal="center" vertical="top" wrapText="1"/>
    </xf>
    <xf numFmtId="0" fontId="73" fillId="0" borderId="31" xfId="0" applyFont="1" applyBorder="1" applyAlignment="1">
      <alignment horizontal="left" vertical="center" wrapText="1"/>
    </xf>
    <xf numFmtId="0" fontId="73" fillId="0" borderId="37" xfId="0" applyFont="1" applyBorder="1" applyAlignment="1">
      <alignment horizontal="left" vertical="center" wrapText="1"/>
    </xf>
    <xf numFmtId="0" fontId="73" fillId="0" borderId="29" xfId="0" applyFont="1" applyBorder="1" applyAlignment="1">
      <alignment horizontal="left" vertical="center" wrapText="1"/>
    </xf>
    <xf numFmtId="0" fontId="73" fillId="2" borderId="33" xfId="299" applyFont="1" applyFill="1" applyBorder="1" applyAlignment="1">
      <alignment horizontal="left" vertical="center" wrapText="1"/>
    </xf>
    <xf numFmtId="0" fontId="73" fillId="57" borderId="27" xfId="0" applyFont="1" applyFill="1" applyBorder="1" applyAlignment="1">
      <alignment horizontal="left" vertical="center" wrapText="1"/>
    </xf>
    <xf numFmtId="0" fontId="73" fillId="57" borderId="28" xfId="0" applyFont="1" applyFill="1" applyBorder="1" applyAlignment="1">
      <alignment horizontal="left" vertical="center" wrapText="1"/>
    </xf>
    <xf numFmtId="0" fontId="73" fillId="57" borderId="37" xfId="0" applyFont="1" applyFill="1" applyBorder="1" applyAlignment="1">
      <alignment horizontal="left" vertical="center" wrapText="1"/>
    </xf>
    <xf numFmtId="0" fontId="73" fillId="2" borderId="26" xfId="0" applyFont="1" applyFill="1" applyBorder="1" applyAlignment="1">
      <alignment horizontal="left" vertical="top" wrapText="1"/>
    </xf>
    <xf numFmtId="0" fontId="17" fillId="2" borderId="33" xfId="8" applyFont="1" applyFill="1" applyBorder="1" applyAlignment="1">
      <alignment horizontal="center" vertical="top" wrapText="1"/>
    </xf>
    <xf numFmtId="0" fontId="73" fillId="2" borderId="33" xfId="8" applyFont="1" applyFill="1" applyBorder="1" applyAlignment="1">
      <alignment horizontal="center" vertical="top" wrapText="1"/>
    </xf>
    <xf numFmtId="0" fontId="74" fillId="2" borderId="0" xfId="0" applyFont="1" applyFill="1" applyAlignment="1">
      <alignment horizontal="right" vertical="top"/>
    </xf>
  </cellXfs>
  <cellStyles count="3117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rmal_General 17.02.04" xfId="3116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C18"/>
  <sheetViews>
    <sheetView topLeftCell="A7" workbookViewId="0">
      <selection activeCell="A6" sqref="A6"/>
    </sheetView>
  </sheetViews>
  <sheetFormatPr defaultColWidth="9.140625" defaultRowHeight="17.25"/>
  <cols>
    <col min="1" max="1" width="64" style="242" customWidth="1"/>
    <col min="2" max="4" width="22.7109375" style="310" customWidth="1"/>
    <col min="5" max="5" width="23.85546875" style="242" customWidth="1"/>
    <col min="6" max="6" width="15.85546875" style="242" customWidth="1"/>
    <col min="7" max="7" width="18.28515625" style="242" customWidth="1"/>
    <col min="8" max="8" width="17.5703125" style="242" customWidth="1"/>
    <col min="9" max="10" width="15.85546875" style="242" customWidth="1"/>
    <col min="11" max="16384" width="9.140625" style="242"/>
  </cols>
  <sheetData>
    <row r="1" spans="1:55" ht="37.15" customHeight="1">
      <c r="B1" s="242"/>
      <c r="C1" s="242"/>
      <c r="D1" s="242"/>
      <c r="E1" s="289" t="s">
        <v>18</v>
      </c>
    </row>
    <row r="2" spans="1:55">
      <c r="B2" s="242"/>
      <c r="C2" s="242"/>
      <c r="D2" s="242"/>
      <c r="E2" s="290" t="s">
        <v>380</v>
      </c>
    </row>
    <row r="3" spans="1:55">
      <c r="B3" s="242"/>
      <c r="C3" s="242"/>
      <c r="D3" s="242"/>
      <c r="E3" s="290" t="s">
        <v>0</v>
      </c>
    </row>
    <row r="4" spans="1:55">
      <c r="B4" s="2"/>
      <c r="C4" s="2"/>
      <c r="D4" s="2"/>
      <c r="E4" s="291"/>
    </row>
    <row r="5" spans="1:55" ht="99.4" customHeight="1">
      <c r="A5" s="338" t="s">
        <v>381</v>
      </c>
      <c r="B5" s="338"/>
      <c r="C5" s="338"/>
      <c r="D5" s="338"/>
      <c r="E5" s="338"/>
    </row>
    <row r="6" spans="1:55">
      <c r="B6" s="292"/>
      <c r="C6" s="292"/>
      <c r="D6" s="292"/>
    </row>
    <row r="7" spans="1:55">
      <c r="A7" s="293"/>
      <c r="B7" s="293"/>
      <c r="C7" s="293"/>
      <c r="D7" s="293"/>
      <c r="E7" s="294" t="s">
        <v>370</v>
      </c>
    </row>
    <row r="8" spans="1:55" ht="37.15" customHeight="1">
      <c r="A8" s="339" t="s">
        <v>371</v>
      </c>
      <c r="B8" s="341" t="s">
        <v>372</v>
      </c>
      <c r="C8" s="342"/>
      <c r="D8" s="342"/>
      <c r="E8" s="343"/>
    </row>
    <row r="9" spans="1:55">
      <c r="A9" s="340"/>
      <c r="B9" s="97" t="s">
        <v>46</v>
      </c>
      <c r="C9" s="97" t="s">
        <v>45</v>
      </c>
      <c r="D9" s="97" t="s">
        <v>2</v>
      </c>
      <c r="E9" s="97" t="s">
        <v>3</v>
      </c>
    </row>
    <row r="10" spans="1:55" s="297" customFormat="1">
      <c r="A10" s="295" t="s">
        <v>8</v>
      </c>
      <c r="B10" s="296">
        <f>+B12</f>
        <v>397083.30000000016</v>
      </c>
      <c r="C10" s="296">
        <f t="shared" ref="C10:E10" si="0">+C12</f>
        <v>4153217.7999999993</v>
      </c>
      <c r="D10" s="296">
        <f t="shared" si="0"/>
        <v>1948553.2000000002</v>
      </c>
      <c r="E10" s="296">
        <f t="shared" si="0"/>
        <v>0</v>
      </c>
      <c r="H10" s="298"/>
    </row>
    <row r="11" spans="1:55">
      <c r="A11" s="299" t="s">
        <v>112</v>
      </c>
      <c r="B11" s="300"/>
      <c r="C11" s="300"/>
      <c r="D11" s="300"/>
      <c r="E11" s="300"/>
    </row>
    <row r="12" spans="1:55" s="304" customFormat="1">
      <c r="A12" s="301" t="s">
        <v>373</v>
      </c>
      <c r="B12" s="302">
        <f>+B14</f>
        <v>397083.30000000016</v>
      </c>
      <c r="C12" s="302">
        <f t="shared" ref="C12:E12" si="1">+C14</f>
        <v>4153217.7999999993</v>
      </c>
      <c r="D12" s="302">
        <f t="shared" si="1"/>
        <v>1948553.2000000002</v>
      </c>
      <c r="E12" s="302">
        <f t="shared" si="1"/>
        <v>0</v>
      </c>
      <c r="F12" s="303"/>
      <c r="G12" s="303"/>
      <c r="I12" s="303"/>
      <c r="J12" s="303"/>
      <c r="K12" s="303"/>
      <c r="L12" s="303"/>
      <c r="M12" s="303"/>
      <c r="N12" s="303"/>
      <c r="O12" s="303"/>
      <c r="P12" s="303"/>
      <c r="Q12" s="303"/>
      <c r="R12" s="303"/>
      <c r="S12" s="303"/>
      <c r="T12" s="303"/>
      <c r="U12" s="303"/>
      <c r="V12" s="303"/>
      <c r="W12" s="303"/>
      <c r="X12" s="303"/>
      <c r="Y12" s="303"/>
      <c r="Z12" s="303"/>
      <c r="AA12" s="303"/>
      <c r="AB12" s="303"/>
      <c r="AC12" s="303"/>
      <c r="AD12" s="303"/>
      <c r="AE12" s="303"/>
      <c r="AF12" s="303"/>
      <c r="AG12" s="303"/>
      <c r="AH12" s="303"/>
      <c r="AI12" s="303"/>
      <c r="AJ12" s="303"/>
      <c r="AK12" s="303"/>
      <c r="AL12" s="303"/>
      <c r="AM12" s="303"/>
      <c r="AN12" s="303"/>
      <c r="AO12" s="303"/>
      <c r="AP12" s="303"/>
      <c r="AQ12" s="303"/>
      <c r="AR12" s="303"/>
      <c r="AS12" s="303"/>
      <c r="AT12" s="303"/>
      <c r="AU12" s="303"/>
      <c r="AV12" s="303"/>
      <c r="AW12" s="303"/>
      <c r="AX12" s="303"/>
      <c r="AY12" s="303"/>
      <c r="AZ12" s="303"/>
      <c r="BA12" s="303"/>
      <c r="BB12" s="303"/>
      <c r="BC12" s="303"/>
    </row>
    <row r="13" spans="1:55" s="306" customFormat="1">
      <c r="A13" s="299" t="s">
        <v>112</v>
      </c>
      <c r="B13" s="305"/>
      <c r="C13" s="305"/>
      <c r="D13" s="305"/>
      <c r="E13" s="305"/>
    </row>
    <row r="14" spans="1:55" s="306" customFormat="1">
      <c r="A14" s="299" t="s">
        <v>374</v>
      </c>
      <c r="B14" s="305">
        <f>+B16</f>
        <v>397083.30000000016</v>
      </c>
      <c r="C14" s="305">
        <f t="shared" ref="C14:E14" si="2">+C16</f>
        <v>4153217.7999999993</v>
      </c>
      <c r="D14" s="305">
        <f t="shared" si="2"/>
        <v>1948553.2000000002</v>
      </c>
      <c r="E14" s="305">
        <f t="shared" si="2"/>
        <v>0</v>
      </c>
    </row>
    <row r="15" spans="1:55" s="306" customFormat="1">
      <c r="A15" s="299" t="s">
        <v>112</v>
      </c>
      <c r="B15" s="305"/>
      <c r="C15" s="305"/>
      <c r="D15" s="305"/>
      <c r="E15" s="305"/>
    </row>
    <row r="16" spans="1:55" s="306" customFormat="1">
      <c r="A16" s="299" t="s">
        <v>375</v>
      </c>
      <c r="B16" s="305">
        <f>+B18</f>
        <v>397083.30000000016</v>
      </c>
      <c r="C16" s="305">
        <f t="shared" ref="C16:E16" si="3">+C18</f>
        <v>4153217.7999999993</v>
      </c>
      <c r="D16" s="305">
        <f t="shared" si="3"/>
        <v>1948553.2000000002</v>
      </c>
      <c r="E16" s="305">
        <f t="shared" si="3"/>
        <v>0</v>
      </c>
    </row>
    <row r="17" spans="1:5" s="306" customFormat="1">
      <c r="A17" s="299" t="s">
        <v>376</v>
      </c>
      <c r="B17" s="305"/>
      <c r="C17" s="305"/>
      <c r="D17" s="305"/>
      <c r="E17" s="305"/>
    </row>
    <row r="18" spans="1:5" s="309" customFormat="1">
      <c r="A18" s="307" t="s">
        <v>377</v>
      </c>
      <c r="B18" s="308">
        <f>+'Հավելված N 2'!G13</f>
        <v>397083.30000000016</v>
      </c>
      <c r="C18" s="308">
        <f>+'Հավելված N 2'!H13</f>
        <v>4153217.7999999993</v>
      </c>
      <c r="D18" s="308">
        <f>+'Հավելված N 2'!I13</f>
        <v>1948553.2000000002</v>
      </c>
      <c r="E18" s="308">
        <f>+'Հավելված N 2'!J13</f>
        <v>0</v>
      </c>
    </row>
  </sheetData>
  <mergeCells count="3">
    <mergeCell ref="A5:E5"/>
    <mergeCell ref="A8:A9"/>
    <mergeCell ref="B8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M32"/>
  <sheetViews>
    <sheetView zoomScale="55" zoomScaleNormal="55" zoomScaleSheetLayoutView="100" workbookViewId="0">
      <selection activeCell="F17" sqref="F17"/>
    </sheetView>
  </sheetViews>
  <sheetFormatPr defaultColWidth="9.140625" defaultRowHeight="17.25"/>
  <cols>
    <col min="1" max="1" width="6.85546875" style="17" customWidth="1"/>
    <col min="2" max="2" width="10.42578125" style="286" customWidth="1"/>
    <col min="3" max="3" width="15.140625" style="17" customWidth="1"/>
    <col min="4" max="6" width="46.28515625" style="17" customWidth="1"/>
    <col min="7" max="7" width="22.7109375" style="17" customWidth="1"/>
    <col min="8" max="8" width="19.28515625" style="17" customWidth="1"/>
    <col min="9" max="9" width="23.7109375" style="17" customWidth="1"/>
    <col min="10" max="10" width="20.5703125" style="17" customWidth="1"/>
    <col min="11" max="12" width="12.140625" style="17" customWidth="1"/>
    <col min="13" max="16384" width="9.140625" style="17"/>
  </cols>
  <sheetData>
    <row r="1" spans="1:39" ht="37.35" customHeight="1">
      <c r="F1" s="344" t="s">
        <v>19</v>
      </c>
      <c r="G1" s="344"/>
      <c r="H1" s="344"/>
      <c r="I1" s="344"/>
      <c r="J1" s="344"/>
    </row>
    <row r="2" spans="1:39" ht="17.649999999999999" customHeight="1">
      <c r="F2" s="344" t="s">
        <v>126</v>
      </c>
      <c r="G2" s="344"/>
      <c r="H2" s="344"/>
      <c r="I2" s="344"/>
      <c r="J2" s="344"/>
    </row>
    <row r="3" spans="1:39" ht="17.649999999999999" customHeight="1">
      <c r="F3" s="344" t="s">
        <v>0</v>
      </c>
      <c r="G3" s="344"/>
      <c r="H3" s="344"/>
      <c r="I3" s="344"/>
      <c r="J3" s="344"/>
    </row>
    <row r="6" spans="1:39" ht="75.95" customHeight="1">
      <c r="A6" s="346" t="s">
        <v>131</v>
      </c>
      <c r="B6" s="346"/>
      <c r="C6" s="346"/>
      <c r="D6" s="346"/>
      <c r="E6" s="346"/>
      <c r="F6" s="346"/>
      <c r="G6" s="346"/>
      <c r="H6" s="346"/>
      <c r="I6" s="346"/>
      <c r="J6" s="346"/>
    </row>
    <row r="7" spans="1:39">
      <c r="A7" s="133"/>
      <c r="B7" s="133"/>
      <c r="C7" s="133"/>
      <c r="D7" s="133"/>
      <c r="E7" s="133"/>
      <c r="F7" s="133"/>
      <c r="G7" s="133"/>
    </row>
    <row r="9" spans="1:39">
      <c r="D9" s="132"/>
      <c r="E9" s="132"/>
      <c r="F9" s="132"/>
      <c r="G9" s="132"/>
      <c r="J9" s="132" t="s">
        <v>9</v>
      </c>
    </row>
    <row r="10" spans="1:39" ht="45.2" customHeight="1">
      <c r="A10" s="350" t="s">
        <v>132</v>
      </c>
      <c r="B10" s="350" t="s">
        <v>1</v>
      </c>
      <c r="C10" s="350"/>
      <c r="D10" s="350" t="s">
        <v>133</v>
      </c>
      <c r="E10" s="350" t="s">
        <v>134</v>
      </c>
      <c r="F10" s="350" t="s">
        <v>135</v>
      </c>
      <c r="G10" s="347" t="s">
        <v>24</v>
      </c>
      <c r="H10" s="348"/>
      <c r="I10" s="348"/>
      <c r="J10" s="349"/>
    </row>
    <row r="11" spans="1:39" ht="17.850000000000001" customHeight="1">
      <c r="A11" s="350"/>
      <c r="B11" s="350"/>
      <c r="C11" s="350"/>
      <c r="D11" s="350"/>
      <c r="E11" s="350"/>
      <c r="F11" s="350"/>
      <c r="G11" s="351" t="s">
        <v>136</v>
      </c>
      <c r="H11" s="350" t="s">
        <v>137</v>
      </c>
      <c r="I11" s="350" t="s">
        <v>2</v>
      </c>
      <c r="J11" s="350" t="s">
        <v>3</v>
      </c>
    </row>
    <row r="12" spans="1:39" ht="34.5">
      <c r="A12" s="350"/>
      <c r="B12" s="114" t="s">
        <v>14</v>
      </c>
      <c r="C12" s="114" t="s">
        <v>15</v>
      </c>
      <c r="D12" s="350"/>
      <c r="E12" s="350"/>
      <c r="F12" s="350"/>
      <c r="G12" s="351"/>
      <c r="H12" s="350"/>
      <c r="I12" s="350"/>
      <c r="J12" s="350"/>
    </row>
    <row r="13" spans="1:39" s="134" customFormat="1" ht="24.95" customHeight="1">
      <c r="A13" s="345" t="s">
        <v>138</v>
      </c>
      <c r="B13" s="345"/>
      <c r="C13" s="345"/>
      <c r="D13" s="345"/>
      <c r="E13" s="345"/>
      <c r="F13" s="345"/>
      <c r="G13" s="1">
        <f>+G15+G29</f>
        <v>397083.30000000016</v>
      </c>
      <c r="H13" s="1">
        <f t="shared" ref="H13:J13" si="0">+H15+H29</f>
        <v>4153217.7999999993</v>
      </c>
      <c r="I13" s="1">
        <f t="shared" si="0"/>
        <v>1948553.2000000002</v>
      </c>
      <c r="J13" s="1">
        <f t="shared" si="0"/>
        <v>0</v>
      </c>
      <c r="K13" s="166"/>
      <c r="L13" s="166"/>
      <c r="M13" s="166"/>
      <c r="N13" s="166"/>
      <c r="O13" s="166"/>
      <c r="P13" s="166"/>
      <c r="Q13" s="166"/>
      <c r="R13" s="166"/>
      <c r="S13" s="166"/>
      <c r="T13" s="166"/>
      <c r="U13" s="166"/>
      <c r="V13" s="166"/>
      <c r="W13" s="166"/>
      <c r="X13" s="166"/>
      <c r="Y13" s="166"/>
      <c r="Z13" s="166"/>
      <c r="AA13" s="166"/>
      <c r="AB13" s="166"/>
      <c r="AC13" s="166"/>
      <c r="AD13" s="166"/>
      <c r="AE13" s="166"/>
      <c r="AF13" s="166"/>
      <c r="AG13" s="166"/>
      <c r="AH13" s="166"/>
      <c r="AI13" s="166"/>
      <c r="AJ13" s="166"/>
      <c r="AK13" s="166"/>
      <c r="AL13" s="166"/>
      <c r="AM13" s="166"/>
    </row>
    <row r="14" spans="1:39" s="134" customFormat="1">
      <c r="A14" s="352" t="s">
        <v>112</v>
      </c>
      <c r="B14" s="352"/>
      <c r="C14" s="352"/>
      <c r="D14" s="352"/>
      <c r="E14" s="352"/>
      <c r="F14" s="352"/>
      <c r="G14" s="1"/>
      <c r="H14" s="1"/>
      <c r="I14" s="1"/>
      <c r="J14" s="1"/>
      <c r="K14" s="166"/>
      <c r="L14" s="166"/>
      <c r="M14" s="166"/>
      <c r="N14" s="166"/>
      <c r="O14" s="166"/>
      <c r="P14" s="166"/>
      <c r="Q14" s="166"/>
      <c r="R14" s="166"/>
      <c r="S14" s="166"/>
      <c r="T14" s="166"/>
      <c r="U14" s="166"/>
      <c r="V14" s="166"/>
      <c r="W14" s="166"/>
      <c r="X14" s="166"/>
      <c r="Y14" s="166"/>
      <c r="Z14" s="166"/>
      <c r="AA14" s="166"/>
      <c r="AB14" s="166"/>
      <c r="AC14" s="166"/>
      <c r="AD14" s="166"/>
      <c r="AE14" s="166"/>
      <c r="AF14" s="166"/>
      <c r="AG14" s="166"/>
      <c r="AH14" s="166"/>
      <c r="AI14" s="166"/>
      <c r="AJ14" s="166"/>
      <c r="AK14" s="166"/>
      <c r="AL14" s="166"/>
      <c r="AM14" s="166"/>
    </row>
    <row r="15" spans="1:39" s="134" customFormat="1">
      <c r="A15" s="345" t="s">
        <v>17</v>
      </c>
      <c r="B15" s="345"/>
      <c r="C15" s="345"/>
      <c r="D15" s="345"/>
      <c r="E15" s="345"/>
      <c r="F15" s="345"/>
      <c r="G15" s="1">
        <f>+G16+G19+G21</f>
        <v>397083.30000000016</v>
      </c>
      <c r="H15" s="1">
        <f t="shared" ref="H15:J15" si="1">+H16+H19+H21</f>
        <v>4153217.7999999993</v>
      </c>
      <c r="I15" s="1">
        <f t="shared" si="1"/>
        <v>1948553.2000000002</v>
      </c>
      <c r="J15" s="1">
        <f t="shared" si="1"/>
        <v>0</v>
      </c>
      <c r="K15" s="166"/>
      <c r="L15" s="166"/>
      <c r="M15" s="166"/>
      <c r="N15" s="166"/>
      <c r="O15" s="166"/>
      <c r="P15" s="166"/>
      <c r="Q15" s="166"/>
      <c r="R15" s="166"/>
      <c r="S15" s="166"/>
      <c r="T15" s="166"/>
      <c r="U15" s="166"/>
      <c r="V15" s="166"/>
      <c r="W15" s="166"/>
      <c r="X15" s="166"/>
      <c r="Y15" s="166"/>
      <c r="Z15" s="166"/>
      <c r="AA15" s="166"/>
      <c r="AB15" s="166"/>
      <c r="AC15" s="166"/>
      <c r="AD15" s="166"/>
      <c r="AE15" s="166"/>
      <c r="AF15" s="166"/>
      <c r="AG15" s="166"/>
      <c r="AH15" s="166"/>
      <c r="AI15" s="166"/>
      <c r="AJ15" s="166"/>
      <c r="AK15" s="166"/>
      <c r="AL15" s="166"/>
      <c r="AM15" s="166"/>
    </row>
    <row r="16" spans="1:39" ht="103.5">
      <c r="A16" s="128"/>
      <c r="B16" s="84" t="s">
        <v>139</v>
      </c>
      <c r="C16" s="131"/>
      <c r="D16" s="131" t="s">
        <v>81</v>
      </c>
      <c r="E16" s="131" t="s">
        <v>140</v>
      </c>
      <c r="F16" s="131" t="s">
        <v>141</v>
      </c>
      <c r="G16" s="136">
        <f>+G17+G18</f>
        <v>134230.1</v>
      </c>
      <c r="H16" s="136">
        <f t="shared" ref="H16:J16" si="2">+H17+H18</f>
        <v>324237.3</v>
      </c>
      <c r="I16" s="136">
        <f t="shared" si="2"/>
        <v>387573</v>
      </c>
      <c r="J16" s="136">
        <f t="shared" si="2"/>
        <v>450908.9</v>
      </c>
    </row>
    <row r="17" spans="1:39" ht="103.5">
      <c r="A17" s="128"/>
      <c r="B17" s="97"/>
      <c r="C17" s="128" t="s">
        <v>142</v>
      </c>
      <c r="D17" s="128" t="s">
        <v>86</v>
      </c>
      <c r="E17" s="128" t="s">
        <v>143</v>
      </c>
      <c r="F17" s="128" t="s">
        <v>144</v>
      </c>
      <c r="G17" s="135">
        <f>+'Հավելված N 3'!G138</f>
        <v>0</v>
      </c>
      <c r="H17" s="135">
        <f>+'Հավելված N 3'!H138</f>
        <v>190007.19999999998</v>
      </c>
      <c r="I17" s="135">
        <f>+'Հավելված N 3'!I138</f>
        <v>253342.89999999997</v>
      </c>
      <c r="J17" s="135">
        <f>+'Հավելված N 3'!J138</f>
        <v>316678.8</v>
      </c>
    </row>
    <row r="18" spans="1:39" ht="103.5">
      <c r="A18" s="128"/>
      <c r="B18" s="97"/>
      <c r="C18" s="128" t="s">
        <v>329</v>
      </c>
      <c r="D18" s="128" t="s">
        <v>190</v>
      </c>
      <c r="E18" s="128" t="s">
        <v>330</v>
      </c>
      <c r="F18" s="128" t="s">
        <v>331</v>
      </c>
      <c r="G18" s="135">
        <f>+'Հավելված N 3'!G26</f>
        <v>134230.1</v>
      </c>
      <c r="H18" s="135">
        <f>+'Հավելված N 3'!H26</f>
        <v>134230.1</v>
      </c>
      <c r="I18" s="135">
        <f>+'Հավելված N 3'!I26</f>
        <v>134230.1</v>
      </c>
      <c r="J18" s="135">
        <f>+'Հավելված N 3'!J26</f>
        <v>134230.1</v>
      </c>
    </row>
    <row r="19" spans="1:39" ht="69">
      <c r="A19" s="128"/>
      <c r="B19" s="84">
        <v>1189</v>
      </c>
      <c r="C19" s="131"/>
      <c r="D19" s="131" t="s">
        <v>325</v>
      </c>
      <c r="E19" s="131" t="s">
        <v>335</v>
      </c>
      <c r="F19" s="131" t="s">
        <v>336</v>
      </c>
      <c r="G19" s="136">
        <f>+G20</f>
        <v>10000</v>
      </c>
      <c r="H19" s="136">
        <f t="shared" ref="H19:J19" si="3">+H20</f>
        <v>10000</v>
      </c>
      <c r="I19" s="136">
        <f t="shared" si="3"/>
        <v>10000</v>
      </c>
      <c r="J19" s="136">
        <f t="shared" si="3"/>
        <v>10000</v>
      </c>
    </row>
    <row r="20" spans="1:39" ht="69">
      <c r="A20" s="128"/>
      <c r="B20" s="97"/>
      <c r="C20" s="128" t="s">
        <v>332</v>
      </c>
      <c r="D20" s="128" t="s">
        <v>333</v>
      </c>
      <c r="E20" s="128" t="s">
        <v>334</v>
      </c>
      <c r="F20" s="128" t="s">
        <v>337</v>
      </c>
      <c r="G20" s="135">
        <f>+'Հավելված N 3'!G149</f>
        <v>10000</v>
      </c>
      <c r="H20" s="135">
        <f>+'Հավելված N 3'!H149</f>
        <v>10000</v>
      </c>
      <c r="I20" s="135">
        <f>+'Հավելված N 3'!I149</f>
        <v>10000</v>
      </c>
      <c r="J20" s="135">
        <f>+'Հավելված N 3'!J149</f>
        <v>10000</v>
      </c>
    </row>
    <row r="21" spans="1:39" ht="103.5">
      <c r="A21" s="128"/>
      <c r="B21" s="84" t="s">
        <v>145</v>
      </c>
      <c r="C21" s="131"/>
      <c r="D21" s="131" t="s">
        <v>146</v>
      </c>
      <c r="E21" s="131" t="s">
        <v>147</v>
      </c>
      <c r="F21" s="131" t="s">
        <v>148</v>
      </c>
      <c r="G21" s="137">
        <f>+G22+G23+G24+G25+G26+G27</f>
        <v>252853.20000000019</v>
      </c>
      <c r="H21" s="137">
        <f t="shared" ref="H21:J21" si="4">+H22+H23+H24+H25+H26+H27</f>
        <v>3818980.4999999995</v>
      </c>
      <c r="I21" s="137">
        <f t="shared" si="4"/>
        <v>1550980.2000000002</v>
      </c>
      <c r="J21" s="137">
        <f t="shared" si="4"/>
        <v>-460908.90000000008</v>
      </c>
    </row>
    <row r="22" spans="1:39" ht="103.5">
      <c r="A22" s="128"/>
      <c r="B22" s="97"/>
      <c r="C22" s="128" t="s">
        <v>338</v>
      </c>
      <c r="D22" s="128" t="s">
        <v>339</v>
      </c>
      <c r="E22" s="128" t="s">
        <v>340</v>
      </c>
      <c r="F22" s="128" t="s">
        <v>337</v>
      </c>
      <c r="G22" s="135">
        <f>+'Հավելված N 3'!G87</f>
        <v>30000</v>
      </c>
      <c r="H22" s="135">
        <f>+'Հավելված N 3'!H87</f>
        <v>70000</v>
      </c>
      <c r="I22" s="135">
        <f>+'Հավելված N 3'!I87</f>
        <v>80000</v>
      </c>
      <c r="J22" s="135">
        <f>+'Հավելված N 3'!J87</f>
        <v>80000</v>
      </c>
    </row>
    <row r="23" spans="1:39" ht="103.5">
      <c r="A23" s="128"/>
      <c r="B23" s="97"/>
      <c r="C23" s="128" t="s">
        <v>149</v>
      </c>
      <c r="D23" s="128" t="s">
        <v>84</v>
      </c>
      <c r="E23" s="128" t="s">
        <v>150</v>
      </c>
      <c r="F23" s="128" t="s">
        <v>144</v>
      </c>
      <c r="G23" s="135">
        <f>+'Հավելված N 3'!G45</f>
        <v>329868.2</v>
      </c>
      <c r="H23" s="135">
        <f>+'Հավելված N 3'!H45</f>
        <v>828614.3</v>
      </c>
      <c r="I23" s="135">
        <f>+'Հավելված N 3'!I45</f>
        <v>34756.800000000279</v>
      </c>
      <c r="J23" s="135">
        <f>+'Հավելված N 3'!J45</f>
        <v>-444822</v>
      </c>
    </row>
    <row r="24" spans="1:39" ht="103.5">
      <c r="A24" s="128"/>
      <c r="B24" s="97"/>
      <c r="C24" s="128" t="s">
        <v>341</v>
      </c>
      <c r="D24" s="128" t="s">
        <v>342</v>
      </c>
      <c r="E24" s="128" t="s">
        <v>343</v>
      </c>
      <c r="F24" s="128" t="s">
        <v>144</v>
      </c>
      <c r="G24" s="135">
        <f>+'Հավելված N 3'!G63</f>
        <v>122351.8</v>
      </c>
      <c r="H24" s="135">
        <f>+'Հավելված N 3'!H63</f>
        <v>122351.8</v>
      </c>
      <c r="I24" s="135">
        <f>+'Հավելված N 3'!I63</f>
        <v>122351.8</v>
      </c>
      <c r="J24" s="135">
        <f>+'Հավելված N 3'!J63</f>
        <v>-15815.800000000003</v>
      </c>
    </row>
    <row r="25" spans="1:39" ht="120.75">
      <c r="A25" s="128"/>
      <c r="B25" s="97"/>
      <c r="C25" s="128" t="s">
        <v>151</v>
      </c>
      <c r="D25" s="128" t="s">
        <v>93</v>
      </c>
      <c r="E25" s="128" t="s">
        <v>152</v>
      </c>
      <c r="F25" s="128" t="s">
        <v>144</v>
      </c>
      <c r="G25" s="135">
        <f>+'Հավելված N 3'!G96</f>
        <v>1741068.6</v>
      </c>
      <c r="H25" s="135">
        <f>+'Հավելված N 3'!H96</f>
        <v>1938885.6999999997</v>
      </c>
      <c r="I25" s="135">
        <f>+'Հավելված N 3'!I96</f>
        <v>969442.69999999972</v>
      </c>
      <c r="J25" s="135">
        <f>+'Հավելված N 3'!J96</f>
        <v>0</v>
      </c>
    </row>
    <row r="26" spans="1:39" ht="103.5">
      <c r="A26" s="128"/>
      <c r="B26" s="97"/>
      <c r="C26" s="128" t="s">
        <v>153</v>
      </c>
      <c r="D26" s="128" t="s">
        <v>119</v>
      </c>
      <c r="E26" s="128" t="s">
        <v>154</v>
      </c>
      <c r="F26" s="128" t="s">
        <v>144</v>
      </c>
      <c r="G26" s="135">
        <f>+'Հավելված N 3'!G105</f>
        <v>381989.5</v>
      </c>
      <c r="H26" s="135">
        <f>+'Հավելված N 3'!H105</f>
        <v>709780.89999999991</v>
      </c>
      <c r="I26" s="135">
        <f>+'Հավելված N 3'!I105</f>
        <v>536979.80000000005</v>
      </c>
      <c r="J26" s="135">
        <f>+'Հավելված N 3'!J105</f>
        <v>454178.69999999995</v>
      </c>
    </row>
    <row r="27" spans="1:39" ht="120.75">
      <c r="A27" s="128"/>
      <c r="B27" s="97"/>
      <c r="C27" s="128" t="s">
        <v>155</v>
      </c>
      <c r="D27" s="128" t="s">
        <v>96</v>
      </c>
      <c r="E27" s="128" t="s">
        <v>152</v>
      </c>
      <c r="F27" s="128" t="s">
        <v>144</v>
      </c>
      <c r="G27" s="135">
        <f>+'Հավելված N 3'!G121</f>
        <v>-2352424.9</v>
      </c>
      <c r="H27" s="135">
        <f>+'Հավելված N 3'!H121</f>
        <v>149347.79999999993</v>
      </c>
      <c r="I27" s="135">
        <f>+'Հավելված N 3'!I121</f>
        <v>-192550.89999999991</v>
      </c>
      <c r="J27" s="135">
        <f>+'Հավելված N 3'!J121</f>
        <v>-534449.80000000005</v>
      </c>
    </row>
    <row r="29" spans="1:39" s="134" customFormat="1">
      <c r="A29" s="345" t="s">
        <v>369</v>
      </c>
      <c r="B29" s="345"/>
      <c r="C29" s="345"/>
      <c r="D29" s="345"/>
      <c r="E29" s="345"/>
      <c r="F29" s="345"/>
      <c r="G29" s="1">
        <f>+G30+G33+G35</f>
        <v>0</v>
      </c>
      <c r="H29" s="1">
        <f t="shared" ref="H29:J29" si="5">+H30+H33+H35</f>
        <v>0</v>
      </c>
      <c r="I29" s="1">
        <f t="shared" si="5"/>
        <v>0</v>
      </c>
      <c r="J29" s="1">
        <f t="shared" si="5"/>
        <v>0</v>
      </c>
      <c r="K29" s="166"/>
      <c r="L29" s="166"/>
      <c r="M29" s="166"/>
      <c r="N29" s="166"/>
      <c r="O29" s="166"/>
      <c r="P29" s="166"/>
      <c r="Q29" s="166"/>
      <c r="R29" s="166"/>
      <c r="S29" s="166"/>
      <c r="T29" s="166"/>
      <c r="U29" s="166"/>
      <c r="V29" s="166"/>
      <c r="W29" s="166"/>
      <c r="X29" s="166"/>
      <c r="Y29" s="166"/>
      <c r="Z29" s="166"/>
      <c r="AA29" s="166"/>
      <c r="AB29" s="166"/>
      <c r="AC29" s="166"/>
      <c r="AD29" s="166"/>
      <c r="AE29" s="166"/>
      <c r="AF29" s="166"/>
      <c r="AG29" s="166"/>
      <c r="AH29" s="166"/>
      <c r="AI29" s="166"/>
      <c r="AJ29" s="166"/>
      <c r="AK29" s="166"/>
      <c r="AL29" s="166"/>
      <c r="AM29" s="166"/>
    </row>
    <row r="30" spans="1:39" ht="69">
      <c r="A30" s="128"/>
      <c r="B30" s="84">
        <v>1139</v>
      </c>
      <c r="C30" s="131"/>
      <c r="D30" s="131" t="s">
        <v>394</v>
      </c>
      <c r="E30" s="131" t="s">
        <v>401</v>
      </c>
      <c r="F30" s="131" t="s">
        <v>402</v>
      </c>
      <c r="G30" s="11">
        <f>+G31+G32</f>
        <v>0</v>
      </c>
      <c r="H30" s="11">
        <f t="shared" ref="H30:J30" si="6">+H31+H32</f>
        <v>0</v>
      </c>
      <c r="I30" s="11">
        <f t="shared" si="6"/>
        <v>0</v>
      </c>
      <c r="J30" s="11">
        <f t="shared" si="6"/>
        <v>0</v>
      </c>
    </row>
    <row r="31" spans="1:39" ht="103.5">
      <c r="A31" s="128"/>
      <c r="B31" s="97"/>
      <c r="C31" s="128" t="s">
        <v>403</v>
      </c>
      <c r="D31" s="128" t="s">
        <v>394</v>
      </c>
      <c r="E31" s="128" t="s">
        <v>404</v>
      </c>
      <c r="F31" s="128" t="s">
        <v>337</v>
      </c>
      <c r="G31" s="135">
        <f>+'Հավելված N 3'!G170</f>
        <v>134230.1</v>
      </c>
      <c r="H31" s="135">
        <f>+'Հավելված N 3'!H170</f>
        <v>134230.1</v>
      </c>
      <c r="I31" s="135">
        <f>+'Հավելված N 3'!I170</f>
        <v>134230.1</v>
      </c>
      <c r="J31" s="135">
        <f>+'Հավելված N 3'!J170</f>
        <v>134230.1</v>
      </c>
    </row>
    <row r="32" spans="1:39" ht="103.5">
      <c r="A32" s="128"/>
      <c r="B32" s="97"/>
      <c r="C32" s="128" t="s">
        <v>403</v>
      </c>
      <c r="D32" s="128" t="s">
        <v>394</v>
      </c>
      <c r="E32" s="128" t="s">
        <v>404</v>
      </c>
      <c r="F32" s="128" t="s">
        <v>337</v>
      </c>
      <c r="G32" s="135">
        <f>+'Հավելված N 3'!G178</f>
        <v>-134230.1</v>
      </c>
      <c r="H32" s="135">
        <f>+'Հավելված N 3'!H178</f>
        <v>-134230.1</v>
      </c>
      <c r="I32" s="135">
        <f>+'Հավելված N 3'!I178</f>
        <v>-134230.1</v>
      </c>
      <c r="J32" s="135">
        <f>+'Հավելված N 3'!J178</f>
        <v>-134230.1</v>
      </c>
    </row>
  </sheetData>
  <mergeCells count="18">
    <mergeCell ref="A29:F29"/>
    <mergeCell ref="A15:F15"/>
    <mergeCell ref="A14:F14"/>
    <mergeCell ref="F1:J1"/>
    <mergeCell ref="F3:J3"/>
    <mergeCell ref="F2:J2"/>
    <mergeCell ref="A13:F13"/>
    <mergeCell ref="A6:J6"/>
    <mergeCell ref="G10:J10"/>
    <mergeCell ref="D10:D12"/>
    <mergeCell ref="E10:E12"/>
    <mergeCell ref="F10:F12"/>
    <mergeCell ref="B10:C11"/>
    <mergeCell ref="A10:A12"/>
    <mergeCell ref="H11:H12"/>
    <mergeCell ref="I11:I12"/>
    <mergeCell ref="J11:J12"/>
    <mergeCell ref="G11:G12"/>
  </mergeCells>
  <pageMargins left="0" right="0" top="0" bottom="0" header="0.3" footer="0.3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K185"/>
  <sheetViews>
    <sheetView zoomScale="70" zoomScaleNormal="70" zoomScaleSheetLayoutView="100" workbookViewId="0">
      <selection activeCell="F33" sqref="F33:F34"/>
    </sheetView>
  </sheetViews>
  <sheetFormatPr defaultColWidth="9.140625" defaultRowHeight="17.25"/>
  <cols>
    <col min="1" max="3" width="8.140625" style="2" customWidth="1"/>
    <col min="4" max="4" width="11.5703125" style="2" customWidth="1"/>
    <col min="5" max="5" width="13.85546875" style="2" customWidth="1"/>
    <col min="6" max="6" width="62.140625" style="2" customWidth="1"/>
    <col min="7" max="10" width="19.7109375" style="2" customWidth="1"/>
    <col min="11" max="13" width="15" style="2" customWidth="1"/>
    <col min="14" max="16384" width="9.140625" style="2"/>
  </cols>
  <sheetData>
    <row r="1" spans="1:10" s="20" customFormat="1" ht="37.5" customHeight="1">
      <c r="F1" s="383" t="s">
        <v>21</v>
      </c>
      <c r="G1" s="383"/>
      <c r="H1" s="383"/>
      <c r="I1" s="383"/>
      <c r="J1" s="383"/>
    </row>
    <row r="2" spans="1:10" s="18" customFormat="1" ht="17.649999999999999" customHeight="1">
      <c r="F2" s="384" t="s">
        <v>126</v>
      </c>
      <c r="G2" s="384"/>
      <c r="H2" s="384"/>
      <c r="I2" s="384"/>
      <c r="J2" s="384"/>
    </row>
    <row r="3" spans="1:10" s="18" customFormat="1" ht="17.649999999999999" customHeight="1">
      <c r="F3" s="384" t="s">
        <v>0</v>
      </c>
      <c r="G3" s="384"/>
      <c r="H3" s="384"/>
      <c r="I3" s="384"/>
      <c r="J3" s="384"/>
    </row>
    <row r="4" spans="1:10" ht="13.7" customHeight="1"/>
    <row r="5" spans="1:10" ht="13.7" customHeight="1"/>
    <row r="6" spans="1:10" ht="13.7" customHeight="1"/>
    <row r="7" spans="1:10" ht="52.5" customHeight="1">
      <c r="A7" s="385" t="s">
        <v>129</v>
      </c>
      <c r="B7" s="385"/>
      <c r="C7" s="385"/>
      <c r="D7" s="385"/>
      <c r="E7" s="385"/>
      <c r="F7" s="385"/>
      <c r="G7" s="385"/>
      <c r="H7" s="385"/>
      <c r="I7" s="385"/>
      <c r="J7" s="385"/>
    </row>
    <row r="8" spans="1:10">
      <c r="A8" s="45"/>
      <c r="B8" s="45"/>
      <c r="C8" s="45"/>
      <c r="D8" s="45"/>
      <c r="E8" s="45"/>
      <c r="F8" s="45"/>
      <c r="G8" s="45"/>
      <c r="H8" s="45"/>
      <c r="I8" s="45"/>
      <c r="J8" s="45"/>
    </row>
    <row r="10" spans="1:10">
      <c r="H10" s="18"/>
      <c r="J10" s="18" t="s">
        <v>9</v>
      </c>
    </row>
    <row r="11" spans="1:10" s="9" customFormat="1" ht="36.6" customHeight="1">
      <c r="A11" s="386" t="s">
        <v>10</v>
      </c>
      <c r="B11" s="386"/>
      <c r="C11" s="386"/>
      <c r="D11" s="386" t="s">
        <v>1</v>
      </c>
      <c r="E11" s="386"/>
      <c r="F11" s="386" t="s">
        <v>5</v>
      </c>
      <c r="G11" s="347" t="s">
        <v>128</v>
      </c>
      <c r="H11" s="348"/>
      <c r="I11" s="348"/>
      <c r="J11" s="349"/>
    </row>
    <row r="12" spans="1:10" s="9" customFormat="1" ht="34.5">
      <c r="A12" s="19" t="s">
        <v>22</v>
      </c>
      <c r="B12" s="19" t="s">
        <v>23</v>
      </c>
      <c r="C12" s="19" t="s">
        <v>11</v>
      </c>
      <c r="D12" s="19" t="s">
        <v>4</v>
      </c>
      <c r="E12" s="19" t="s">
        <v>15</v>
      </c>
      <c r="F12" s="386"/>
      <c r="G12" s="19" t="s">
        <v>46</v>
      </c>
      <c r="H12" s="19" t="s">
        <v>45</v>
      </c>
      <c r="I12" s="19" t="s">
        <v>2</v>
      </c>
      <c r="J12" s="19" t="s">
        <v>3</v>
      </c>
    </row>
    <row r="13" spans="1:10" s="9" customFormat="1" ht="34.9" customHeight="1">
      <c r="A13" s="8"/>
      <c r="B13" s="8"/>
      <c r="C13" s="8"/>
      <c r="D13" s="19"/>
      <c r="E13" s="19"/>
      <c r="F13" s="14" t="s">
        <v>8</v>
      </c>
      <c r="G13" s="7">
        <f>+G15+G159</f>
        <v>397083.30000000016</v>
      </c>
      <c r="H13" s="7">
        <f t="shared" ref="H13:J13" si="0">+H15+H159</f>
        <v>4153217.8</v>
      </c>
      <c r="I13" s="7">
        <f t="shared" si="0"/>
        <v>1948553.2000000002</v>
      </c>
      <c r="J13" s="7">
        <f t="shared" si="0"/>
        <v>0</v>
      </c>
    </row>
    <row r="14" spans="1:10" s="9" customFormat="1">
      <c r="A14" s="8"/>
      <c r="B14" s="8"/>
      <c r="C14" s="8"/>
      <c r="D14" s="19"/>
      <c r="E14" s="19"/>
      <c r="F14" s="8" t="s">
        <v>60</v>
      </c>
      <c r="G14" s="1"/>
      <c r="H14" s="1"/>
      <c r="I14" s="1"/>
      <c r="J14" s="1"/>
    </row>
    <row r="15" spans="1:10" s="9" customFormat="1" ht="34.5">
      <c r="A15" s="8"/>
      <c r="B15" s="8"/>
      <c r="C15" s="8"/>
      <c r="D15" s="19"/>
      <c r="E15" s="19"/>
      <c r="F15" s="3" t="s">
        <v>17</v>
      </c>
      <c r="G15" s="1">
        <f>+G16+G35</f>
        <v>397083.30000000016</v>
      </c>
      <c r="H15" s="1">
        <f t="shared" ref="H15:J15" si="1">+H16+H35</f>
        <v>4153217.8</v>
      </c>
      <c r="I15" s="1">
        <f t="shared" si="1"/>
        <v>1948553.2000000002</v>
      </c>
      <c r="J15" s="1">
        <f t="shared" si="1"/>
        <v>0</v>
      </c>
    </row>
    <row r="16" spans="1:10" s="9" customFormat="1" ht="17.649999999999999" customHeight="1">
      <c r="A16" s="370" t="s">
        <v>323</v>
      </c>
      <c r="B16" s="372"/>
      <c r="C16" s="372"/>
      <c r="D16" s="38"/>
      <c r="E16" s="31"/>
      <c r="F16" s="205" t="s">
        <v>324</v>
      </c>
      <c r="G16" s="83">
        <f>+G18</f>
        <v>134230.1</v>
      </c>
      <c r="H16" s="83">
        <f t="shared" ref="H16:J16" si="2">+H18</f>
        <v>134230.1</v>
      </c>
      <c r="I16" s="83">
        <f t="shared" si="2"/>
        <v>134230.1</v>
      </c>
      <c r="J16" s="83">
        <f t="shared" si="2"/>
        <v>134230.1</v>
      </c>
    </row>
    <row r="17" spans="1:10" s="9" customFormat="1" ht="16.899999999999999" customHeight="1">
      <c r="A17" s="371"/>
      <c r="B17" s="373"/>
      <c r="C17" s="374"/>
      <c r="D17" s="39"/>
      <c r="E17" s="32"/>
      <c r="F17" s="81" t="s">
        <v>6</v>
      </c>
      <c r="G17" s="88"/>
      <c r="H17" s="88"/>
      <c r="I17" s="80"/>
      <c r="J17" s="88"/>
    </row>
    <row r="18" spans="1:10" s="9" customFormat="1">
      <c r="A18" s="371"/>
      <c r="B18" s="370" t="s">
        <v>70</v>
      </c>
      <c r="C18" s="374"/>
      <c r="D18" s="39"/>
      <c r="E18" s="32"/>
      <c r="F18" s="205" t="s">
        <v>199</v>
      </c>
      <c r="G18" s="80">
        <f>+G20</f>
        <v>134230.1</v>
      </c>
      <c r="H18" s="80">
        <f t="shared" ref="H18:J18" si="3">+H20</f>
        <v>134230.1</v>
      </c>
      <c r="I18" s="80">
        <f t="shared" si="3"/>
        <v>134230.1</v>
      </c>
      <c r="J18" s="80">
        <f t="shared" si="3"/>
        <v>134230.1</v>
      </c>
    </row>
    <row r="19" spans="1:10" s="9" customFormat="1" ht="16.899999999999999" customHeight="1">
      <c r="A19" s="371"/>
      <c r="B19" s="371"/>
      <c r="C19" s="373"/>
      <c r="D19" s="39"/>
      <c r="E19" s="32"/>
      <c r="F19" s="81" t="s">
        <v>6</v>
      </c>
      <c r="G19" s="80"/>
      <c r="H19" s="88"/>
      <c r="I19" s="80"/>
      <c r="J19" s="88"/>
    </row>
    <row r="20" spans="1:10" s="9" customFormat="1">
      <c r="A20" s="371"/>
      <c r="B20" s="371"/>
      <c r="C20" s="370" t="s">
        <v>70</v>
      </c>
      <c r="D20" s="39"/>
      <c r="E20" s="32"/>
      <c r="F20" s="205" t="s">
        <v>199</v>
      </c>
      <c r="G20" s="80">
        <f t="shared" ref="G20:J20" si="4">+G22</f>
        <v>134230.1</v>
      </c>
      <c r="H20" s="80">
        <f t="shared" si="4"/>
        <v>134230.1</v>
      </c>
      <c r="I20" s="80">
        <f t="shared" si="4"/>
        <v>134230.1</v>
      </c>
      <c r="J20" s="80">
        <f t="shared" si="4"/>
        <v>134230.1</v>
      </c>
    </row>
    <row r="21" spans="1:10" s="9" customFormat="1" ht="16.899999999999999" customHeight="1">
      <c r="A21" s="371"/>
      <c r="B21" s="371"/>
      <c r="C21" s="371"/>
      <c r="D21" s="39"/>
      <c r="E21" s="32"/>
      <c r="F21" s="81" t="s">
        <v>6</v>
      </c>
      <c r="G21" s="80"/>
      <c r="H21" s="246"/>
      <c r="I21" s="80"/>
      <c r="J21" s="246"/>
    </row>
    <row r="22" spans="1:10" s="9" customFormat="1" ht="34.5">
      <c r="A22" s="371"/>
      <c r="B22" s="371"/>
      <c r="C22" s="371"/>
      <c r="D22" s="39"/>
      <c r="E22" s="32"/>
      <c r="F22" s="82" t="s">
        <v>12</v>
      </c>
      <c r="G22" s="80">
        <f t="shared" ref="G22:J22" si="5">+G24</f>
        <v>134230.1</v>
      </c>
      <c r="H22" s="246">
        <f t="shared" si="5"/>
        <v>134230.1</v>
      </c>
      <c r="I22" s="80">
        <f t="shared" si="5"/>
        <v>134230.1</v>
      </c>
      <c r="J22" s="246">
        <f t="shared" si="5"/>
        <v>134230.1</v>
      </c>
    </row>
    <row r="23" spans="1:10" s="9" customFormat="1" ht="16.899999999999999" customHeight="1">
      <c r="A23" s="371"/>
      <c r="B23" s="371"/>
      <c r="C23" s="371"/>
      <c r="D23" s="40"/>
      <c r="E23" s="41"/>
      <c r="F23" s="81" t="s">
        <v>6</v>
      </c>
      <c r="G23" s="80"/>
      <c r="H23" s="246"/>
      <c r="I23" s="80"/>
      <c r="J23" s="246"/>
    </row>
    <row r="24" spans="1:10" s="9" customFormat="1" ht="18" customHeight="1">
      <c r="A24" s="371"/>
      <c r="B24" s="371"/>
      <c r="C24" s="371"/>
      <c r="D24" s="116">
        <v>1163</v>
      </c>
      <c r="E24" s="364" t="s">
        <v>328</v>
      </c>
      <c r="F24" s="365"/>
      <c r="G24" s="83">
        <f>+G26</f>
        <v>134230.1</v>
      </c>
      <c r="H24" s="83">
        <f t="shared" ref="H24:J24" si="6">+H26</f>
        <v>134230.1</v>
      </c>
      <c r="I24" s="83">
        <f t="shared" si="6"/>
        <v>134230.1</v>
      </c>
      <c r="J24" s="83">
        <f t="shared" si="6"/>
        <v>134230.1</v>
      </c>
    </row>
    <row r="25" spans="1:10" s="9" customFormat="1" ht="16.899999999999999" customHeight="1">
      <c r="A25" s="371"/>
      <c r="B25" s="371"/>
      <c r="C25" s="371"/>
      <c r="D25" s="79"/>
      <c r="E25" s="203"/>
      <c r="F25" s="81" t="s">
        <v>6</v>
      </c>
      <c r="G25" s="83"/>
      <c r="H25" s="83"/>
      <c r="I25" s="83"/>
      <c r="J25" s="83"/>
    </row>
    <row r="26" spans="1:10" s="9" customFormat="1" ht="34.5">
      <c r="A26" s="371"/>
      <c r="B26" s="371"/>
      <c r="C26" s="371"/>
      <c r="D26" s="79"/>
      <c r="E26" s="84">
        <v>32005</v>
      </c>
      <c r="F26" s="211" t="s">
        <v>190</v>
      </c>
      <c r="G26" s="85">
        <f t="shared" ref="G26:J26" si="7">+G28</f>
        <v>134230.1</v>
      </c>
      <c r="H26" s="85">
        <f t="shared" si="7"/>
        <v>134230.1</v>
      </c>
      <c r="I26" s="85">
        <f t="shared" si="7"/>
        <v>134230.1</v>
      </c>
      <c r="J26" s="85">
        <f t="shared" si="7"/>
        <v>134230.1</v>
      </c>
    </row>
    <row r="27" spans="1:10" s="9" customFormat="1">
      <c r="A27" s="371"/>
      <c r="B27" s="371"/>
      <c r="C27" s="371"/>
      <c r="D27" s="79"/>
      <c r="E27" s="354"/>
      <c r="F27" s="81" t="s">
        <v>16</v>
      </c>
      <c r="G27" s="80"/>
      <c r="H27" s="88"/>
      <c r="I27" s="80"/>
      <c r="J27" s="88"/>
    </row>
    <row r="28" spans="1:10" s="12" customFormat="1" ht="36.6" customHeight="1">
      <c r="A28" s="371"/>
      <c r="B28" s="371"/>
      <c r="C28" s="371"/>
      <c r="D28" s="79"/>
      <c r="E28" s="355"/>
      <c r="F28" s="86" t="s">
        <v>12</v>
      </c>
      <c r="G28" s="87">
        <f t="shared" ref="G28:J28" si="8">+G30</f>
        <v>134230.1</v>
      </c>
      <c r="H28" s="87">
        <f t="shared" si="8"/>
        <v>134230.1</v>
      </c>
      <c r="I28" s="87">
        <f t="shared" si="8"/>
        <v>134230.1</v>
      </c>
      <c r="J28" s="87">
        <f t="shared" si="8"/>
        <v>134230.1</v>
      </c>
    </row>
    <row r="29" spans="1:10" s="9" customFormat="1" ht="51.75">
      <c r="A29" s="371"/>
      <c r="B29" s="371"/>
      <c r="C29" s="371"/>
      <c r="D29" s="79"/>
      <c r="E29" s="355"/>
      <c r="F29" s="81" t="s">
        <v>13</v>
      </c>
      <c r="G29" s="78"/>
      <c r="H29" s="88"/>
      <c r="I29" s="89"/>
      <c r="J29" s="88"/>
    </row>
    <row r="30" spans="1:10" s="9" customFormat="1" ht="16.899999999999999" customHeight="1">
      <c r="A30" s="371"/>
      <c r="B30" s="371"/>
      <c r="C30" s="371"/>
      <c r="D30" s="79"/>
      <c r="E30" s="355"/>
      <c r="F30" s="90" t="s">
        <v>7</v>
      </c>
      <c r="G30" s="80">
        <f>+G31</f>
        <v>134230.1</v>
      </c>
      <c r="H30" s="80">
        <f t="shared" ref="H30:J33" si="9">+H31</f>
        <v>134230.1</v>
      </c>
      <c r="I30" s="80">
        <f t="shared" si="9"/>
        <v>134230.1</v>
      </c>
      <c r="J30" s="80">
        <f t="shared" si="9"/>
        <v>134230.1</v>
      </c>
    </row>
    <row r="31" spans="1:10" s="9" customFormat="1" ht="16.899999999999999" customHeight="1">
      <c r="A31" s="371"/>
      <c r="B31" s="371"/>
      <c r="C31" s="371"/>
      <c r="D31" s="79"/>
      <c r="E31" s="355"/>
      <c r="F31" s="81" t="s">
        <v>54</v>
      </c>
      <c r="G31" s="78">
        <f>+G32</f>
        <v>134230.1</v>
      </c>
      <c r="H31" s="78">
        <f t="shared" si="9"/>
        <v>134230.1</v>
      </c>
      <c r="I31" s="89">
        <f t="shared" si="9"/>
        <v>134230.1</v>
      </c>
      <c r="J31" s="78">
        <f t="shared" si="9"/>
        <v>134230.1</v>
      </c>
    </row>
    <row r="32" spans="1:10" s="9" customFormat="1">
      <c r="A32" s="371"/>
      <c r="B32" s="371"/>
      <c r="C32" s="371"/>
      <c r="D32" s="79"/>
      <c r="E32" s="355"/>
      <c r="F32" s="81" t="s">
        <v>55</v>
      </c>
      <c r="G32" s="78">
        <f>+G33</f>
        <v>134230.1</v>
      </c>
      <c r="H32" s="78">
        <f t="shared" si="9"/>
        <v>134230.1</v>
      </c>
      <c r="I32" s="78">
        <f t="shared" si="9"/>
        <v>134230.1</v>
      </c>
      <c r="J32" s="78">
        <f t="shared" si="9"/>
        <v>134230.1</v>
      </c>
    </row>
    <row r="33" spans="1:11" s="9" customFormat="1">
      <c r="A33" s="371"/>
      <c r="B33" s="371"/>
      <c r="C33" s="371"/>
      <c r="D33" s="79"/>
      <c r="E33" s="355"/>
      <c r="F33" s="247" t="s">
        <v>56</v>
      </c>
      <c r="G33" s="78">
        <f>+G34</f>
        <v>134230.1</v>
      </c>
      <c r="H33" s="78">
        <f t="shared" si="9"/>
        <v>134230.1</v>
      </c>
      <c r="I33" s="89">
        <f t="shared" si="9"/>
        <v>134230.1</v>
      </c>
      <c r="J33" s="78">
        <f t="shared" si="9"/>
        <v>134230.1</v>
      </c>
      <c r="K33" s="13"/>
    </row>
    <row r="34" spans="1:11" s="9" customFormat="1">
      <c r="A34" s="371"/>
      <c r="B34" s="375"/>
      <c r="C34" s="375"/>
      <c r="D34" s="129"/>
      <c r="E34" s="366"/>
      <c r="F34" s="247" t="s">
        <v>47</v>
      </c>
      <c r="G34" s="78">
        <f>+'Հավելված N 5'!E21</f>
        <v>134230.1</v>
      </c>
      <c r="H34" s="78">
        <f>+'Հավելված N 5'!F21</f>
        <v>134230.1</v>
      </c>
      <c r="I34" s="78">
        <f>+'Հավելված N 5'!G21</f>
        <v>134230.1</v>
      </c>
      <c r="J34" s="78">
        <f>+'Հավելված N 5'!H21</f>
        <v>134230.1</v>
      </c>
      <c r="K34" s="13"/>
    </row>
    <row r="35" spans="1:11" s="9" customFormat="1" ht="17.649999999999999" customHeight="1">
      <c r="A35" s="370" t="s">
        <v>68</v>
      </c>
      <c r="B35" s="378"/>
      <c r="C35" s="372"/>
      <c r="D35" s="38"/>
      <c r="E35" s="31"/>
      <c r="F35" s="205" t="s">
        <v>72</v>
      </c>
      <c r="G35" s="1">
        <f>+G37+G79+G130</f>
        <v>262853.20000000019</v>
      </c>
      <c r="H35" s="1">
        <f t="shared" ref="H35:J35" si="10">+H37+H79+H130</f>
        <v>4018987.6999999997</v>
      </c>
      <c r="I35" s="1">
        <f t="shared" si="10"/>
        <v>1814323.1</v>
      </c>
      <c r="J35" s="1">
        <f t="shared" si="10"/>
        <v>-134230.10000000009</v>
      </c>
    </row>
    <row r="36" spans="1:11" s="9" customFormat="1" ht="16.899999999999999" customHeight="1">
      <c r="A36" s="371"/>
      <c r="B36" s="378"/>
      <c r="C36" s="374"/>
      <c r="D36" s="39"/>
      <c r="E36" s="32"/>
      <c r="F36" s="81" t="s">
        <v>6</v>
      </c>
      <c r="G36" s="4"/>
      <c r="H36" s="4"/>
      <c r="I36" s="5"/>
      <c r="J36" s="4"/>
    </row>
    <row r="37" spans="1:11" s="9" customFormat="1" ht="34.5">
      <c r="A37" s="371"/>
      <c r="B37" s="376" t="s">
        <v>70</v>
      </c>
      <c r="C37" s="374"/>
      <c r="D37" s="39"/>
      <c r="E37" s="32"/>
      <c r="F37" s="205" t="s">
        <v>90</v>
      </c>
      <c r="G37" s="5">
        <f>+G39</f>
        <v>452220</v>
      </c>
      <c r="H37" s="5">
        <f t="shared" ref="H37:J37" si="11">+H39</f>
        <v>950966.10000000009</v>
      </c>
      <c r="I37" s="5">
        <f t="shared" si="11"/>
        <v>157108.60000000027</v>
      </c>
      <c r="J37" s="5">
        <f t="shared" si="11"/>
        <v>-460637.8</v>
      </c>
    </row>
    <row r="38" spans="1:11" s="9" customFormat="1" ht="16.899999999999999" customHeight="1">
      <c r="A38" s="371"/>
      <c r="B38" s="377"/>
      <c r="C38" s="373"/>
      <c r="D38" s="39"/>
      <c r="E38" s="32"/>
      <c r="F38" s="81" t="s">
        <v>6</v>
      </c>
      <c r="G38" s="5"/>
      <c r="H38" s="4"/>
      <c r="I38" s="5"/>
      <c r="J38" s="4"/>
    </row>
    <row r="39" spans="1:11" s="9" customFormat="1">
      <c r="A39" s="371"/>
      <c r="B39" s="377"/>
      <c r="C39" s="389" t="s">
        <v>70</v>
      </c>
      <c r="D39" s="39"/>
      <c r="E39" s="32"/>
      <c r="F39" s="205" t="s">
        <v>89</v>
      </c>
      <c r="G39" s="5">
        <f t="shared" ref="G39:J39" si="12">+G41</f>
        <v>452220</v>
      </c>
      <c r="H39" s="5">
        <f t="shared" si="12"/>
        <v>950966.10000000009</v>
      </c>
      <c r="I39" s="5">
        <f t="shared" si="12"/>
        <v>157108.60000000027</v>
      </c>
      <c r="J39" s="5">
        <f t="shared" si="12"/>
        <v>-460637.8</v>
      </c>
    </row>
    <row r="40" spans="1:11" s="9" customFormat="1" ht="16.899999999999999" customHeight="1">
      <c r="A40" s="371"/>
      <c r="B40" s="377"/>
      <c r="C40" s="390"/>
      <c r="D40" s="39"/>
      <c r="E40" s="32"/>
      <c r="F40" s="81" t="s">
        <v>6</v>
      </c>
      <c r="G40" s="5"/>
      <c r="H40" s="10"/>
      <c r="I40" s="5"/>
      <c r="J40" s="10"/>
    </row>
    <row r="41" spans="1:11" s="9" customFormat="1" ht="34.5">
      <c r="A41" s="371"/>
      <c r="B41" s="377"/>
      <c r="C41" s="390"/>
      <c r="D41" s="39"/>
      <c r="E41" s="32"/>
      <c r="F41" s="82" t="s">
        <v>12</v>
      </c>
      <c r="G41" s="5">
        <f>+G43</f>
        <v>452220</v>
      </c>
      <c r="H41" s="5">
        <f t="shared" ref="H41:J41" si="13">+H43</f>
        <v>950966.10000000009</v>
      </c>
      <c r="I41" s="5">
        <f t="shared" si="13"/>
        <v>157108.60000000027</v>
      </c>
      <c r="J41" s="5">
        <f t="shared" si="13"/>
        <v>-460637.8</v>
      </c>
    </row>
    <row r="42" spans="1:11" s="9" customFormat="1" ht="16.899999999999999" customHeight="1">
      <c r="A42" s="371"/>
      <c r="B42" s="377"/>
      <c r="C42" s="390"/>
      <c r="D42" s="40"/>
      <c r="E42" s="41"/>
      <c r="F42" s="81" t="s">
        <v>6</v>
      </c>
      <c r="G42" s="5"/>
      <c r="H42" s="5"/>
      <c r="I42" s="5"/>
      <c r="J42" s="5"/>
    </row>
    <row r="43" spans="1:11" s="9" customFormat="1" ht="39.6" customHeight="1">
      <c r="A43" s="371"/>
      <c r="B43" s="377"/>
      <c r="C43" s="390"/>
      <c r="D43" s="84">
        <v>1236</v>
      </c>
      <c r="E43" s="353" t="s">
        <v>73</v>
      </c>
      <c r="F43" s="353"/>
      <c r="G43" s="1">
        <f>+G45+G63</f>
        <v>452220</v>
      </c>
      <c r="H43" s="1">
        <f t="shared" ref="H43:J43" si="14">+H45+H63</f>
        <v>950966.10000000009</v>
      </c>
      <c r="I43" s="1">
        <f t="shared" si="14"/>
        <v>157108.60000000027</v>
      </c>
      <c r="J43" s="1">
        <f t="shared" si="14"/>
        <v>-460637.8</v>
      </c>
    </row>
    <row r="44" spans="1:11" s="9" customFormat="1" ht="16.899999999999999" customHeight="1">
      <c r="A44" s="371"/>
      <c r="B44" s="377"/>
      <c r="C44" s="390"/>
      <c r="D44" s="79"/>
      <c r="E44" s="203"/>
      <c r="F44" s="81" t="s">
        <v>6</v>
      </c>
      <c r="G44" s="1"/>
      <c r="H44" s="1"/>
      <c r="I44" s="1"/>
      <c r="J44" s="1"/>
    </row>
    <row r="45" spans="1:11" s="9" customFormat="1">
      <c r="A45" s="371"/>
      <c r="B45" s="377"/>
      <c r="C45" s="390"/>
      <c r="D45" s="79"/>
      <c r="E45" s="84">
        <v>32001</v>
      </c>
      <c r="F45" s="211" t="s">
        <v>78</v>
      </c>
      <c r="G45" s="11">
        <f>+G47+G56</f>
        <v>329868.2</v>
      </c>
      <c r="H45" s="11">
        <f t="shared" ref="H45:J45" si="15">+H47+H56</f>
        <v>828614.3</v>
      </c>
      <c r="I45" s="11">
        <f t="shared" si="15"/>
        <v>34756.800000000279</v>
      </c>
      <c r="J45" s="11">
        <f t="shared" si="15"/>
        <v>-444822</v>
      </c>
    </row>
    <row r="46" spans="1:11" s="9" customFormat="1" ht="16.350000000000001" customHeight="1">
      <c r="A46" s="371"/>
      <c r="B46" s="377"/>
      <c r="C46" s="390"/>
      <c r="D46" s="79"/>
      <c r="E46" s="367"/>
      <c r="F46" s="81" t="s">
        <v>16</v>
      </c>
      <c r="G46" s="5"/>
      <c r="H46" s="4"/>
      <c r="I46" s="5"/>
      <c r="J46" s="4"/>
    </row>
    <row r="47" spans="1:11" s="12" customFormat="1" ht="36.6" customHeight="1">
      <c r="A47" s="371"/>
      <c r="B47" s="377"/>
      <c r="C47" s="390"/>
      <c r="D47" s="79"/>
      <c r="E47" s="368"/>
      <c r="F47" s="86" t="s">
        <v>12</v>
      </c>
      <c r="G47" s="42">
        <f t="shared" ref="G47:J47" si="16">+G49</f>
        <v>329868.2</v>
      </c>
      <c r="H47" s="42">
        <f t="shared" si="16"/>
        <v>1668614.3</v>
      </c>
      <c r="I47" s="42">
        <f t="shared" si="16"/>
        <v>1994756.8000000003</v>
      </c>
      <c r="J47" s="42">
        <f t="shared" si="16"/>
        <v>2355178</v>
      </c>
    </row>
    <row r="48" spans="1:11" s="9" customFormat="1" ht="51.75">
      <c r="A48" s="371"/>
      <c r="B48" s="377"/>
      <c r="C48" s="390"/>
      <c r="D48" s="79"/>
      <c r="E48" s="368"/>
      <c r="F48" s="81" t="s">
        <v>13</v>
      </c>
      <c r="G48" s="6"/>
      <c r="H48" s="4"/>
      <c r="I48" s="43"/>
      <c r="J48" s="4"/>
    </row>
    <row r="49" spans="1:11" s="9" customFormat="1" ht="16.899999999999999" customHeight="1">
      <c r="A49" s="371"/>
      <c r="B49" s="377"/>
      <c r="C49" s="390"/>
      <c r="D49" s="79"/>
      <c r="E49" s="368"/>
      <c r="F49" s="90" t="s">
        <v>7</v>
      </c>
      <c r="G49" s="5">
        <f>G50</f>
        <v>329868.2</v>
      </c>
      <c r="H49" s="5">
        <f t="shared" ref="H49:J49" si="17">H50</f>
        <v>1668614.3</v>
      </c>
      <c r="I49" s="5">
        <f t="shared" si="17"/>
        <v>1994756.8000000003</v>
      </c>
      <c r="J49" s="5">
        <f t="shared" si="17"/>
        <v>2355178</v>
      </c>
    </row>
    <row r="50" spans="1:11" s="9" customFormat="1" ht="16.899999999999999" customHeight="1">
      <c r="A50" s="371"/>
      <c r="B50" s="377"/>
      <c r="C50" s="390"/>
      <c r="D50" s="79"/>
      <c r="E50" s="368"/>
      <c r="F50" s="81" t="s">
        <v>54</v>
      </c>
      <c r="G50" s="6">
        <f>+G51</f>
        <v>329868.2</v>
      </c>
      <c r="H50" s="6">
        <f t="shared" ref="H50:J54" si="18">+H51</f>
        <v>1668614.3</v>
      </c>
      <c r="I50" s="43">
        <f t="shared" si="18"/>
        <v>1994756.8000000003</v>
      </c>
      <c r="J50" s="6">
        <f t="shared" si="18"/>
        <v>2355178</v>
      </c>
    </row>
    <row r="51" spans="1:11" s="9" customFormat="1" ht="16.350000000000001" customHeight="1">
      <c r="A51" s="371"/>
      <c r="B51" s="377"/>
      <c r="C51" s="390"/>
      <c r="D51" s="79"/>
      <c r="E51" s="368"/>
      <c r="F51" s="81" t="s">
        <v>55</v>
      </c>
      <c r="G51" s="6">
        <f>+G52+G54</f>
        <v>329868.2</v>
      </c>
      <c r="H51" s="6">
        <f t="shared" ref="H51:J51" si="19">+H52+H54</f>
        <v>1668614.3</v>
      </c>
      <c r="I51" s="6">
        <f t="shared" si="19"/>
        <v>1994756.8000000003</v>
      </c>
      <c r="J51" s="6">
        <f t="shared" si="19"/>
        <v>2355178</v>
      </c>
    </row>
    <row r="52" spans="1:11" s="9" customFormat="1" ht="16.350000000000001" customHeight="1">
      <c r="A52" s="371"/>
      <c r="B52" s="377"/>
      <c r="C52" s="390"/>
      <c r="D52" s="79"/>
      <c r="E52" s="368"/>
      <c r="F52" s="247" t="s">
        <v>56</v>
      </c>
      <c r="G52" s="33">
        <f>+G53</f>
        <v>319118.2</v>
      </c>
      <c r="H52" s="33">
        <f t="shared" si="18"/>
        <v>1657864.3</v>
      </c>
      <c r="I52" s="16">
        <f t="shared" si="18"/>
        <v>1984006.8000000003</v>
      </c>
      <c r="J52" s="33">
        <f t="shared" si="18"/>
        <v>2344428</v>
      </c>
      <c r="K52" s="13"/>
    </row>
    <row r="53" spans="1:11" s="9" customFormat="1" ht="16.350000000000001" customHeight="1">
      <c r="A53" s="371"/>
      <c r="B53" s="377"/>
      <c r="C53" s="390"/>
      <c r="D53" s="79"/>
      <c r="E53" s="368"/>
      <c r="F53" s="247" t="s">
        <v>47</v>
      </c>
      <c r="G53" s="33">
        <f>+'Հավելված N 5'!E33-'Հավելված N 4'!G44</f>
        <v>319118.2</v>
      </c>
      <c r="H53" s="33">
        <f>+'Հավելված N 5'!F33-'Հավելված N 4'!G44</f>
        <v>1657864.3</v>
      </c>
      <c r="I53" s="33">
        <f>+'Հավելված N 5'!G33-'Հավելված N 4'!G44</f>
        <v>1984006.8000000003</v>
      </c>
      <c r="J53" s="33">
        <f>+'Հավելված N 5'!H33-'Հավելված N 4'!G44</f>
        <v>2344428</v>
      </c>
      <c r="K53" s="13"/>
    </row>
    <row r="54" spans="1:11" s="9" customFormat="1" ht="16.350000000000001" customHeight="1">
      <c r="A54" s="371"/>
      <c r="B54" s="207"/>
      <c r="C54" s="208"/>
      <c r="D54" s="79"/>
      <c r="E54" s="204"/>
      <c r="F54" s="247" t="s">
        <v>74</v>
      </c>
      <c r="G54" s="33">
        <f>+G55</f>
        <v>10750</v>
      </c>
      <c r="H54" s="33">
        <f t="shared" si="18"/>
        <v>10750</v>
      </c>
      <c r="I54" s="16">
        <f t="shared" si="18"/>
        <v>10750</v>
      </c>
      <c r="J54" s="33">
        <f t="shared" si="18"/>
        <v>10750</v>
      </c>
      <c r="K54" s="13"/>
    </row>
    <row r="55" spans="1:11" s="9" customFormat="1" ht="16.350000000000001" customHeight="1">
      <c r="A55" s="371"/>
      <c r="B55" s="207"/>
      <c r="C55" s="208"/>
      <c r="D55" s="79"/>
      <c r="E55" s="204"/>
      <c r="F55" s="247" t="s">
        <v>59</v>
      </c>
      <c r="G55" s="33">
        <f>+'Հավելված N 4'!G44</f>
        <v>10750</v>
      </c>
      <c r="H55" s="33">
        <f>+G55</f>
        <v>10750</v>
      </c>
      <c r="I55" s="33">
        <f>+H55</f>
        <v>10750</v>
      </c>
      <c r="J55" s="33">
        <f>+I55</f>
        <v>10750</v>
      </c>
      <c r="K55" s="13"/>
    </row>
    <row r="56" spans="1:11" s="12" customFormat="1" ht="36.6" customHeight="1">
      <c r="A56" s="371"/>
      <c r="B56" s="207"/>
      <c r="C56" s="208"/>
      <c r="D56" s="79"/>
      <c r="E56" s="204"/>
      <c r="F56" s="86" t="s">
        <v>217</v>
      </c>
      <c r="G56" s="42">
        <f t="shared" ref="G56:J56" si="20">+G58</f>
        <v>0</v>
      </c>
      <c r="H56" s="42">
        <f t="shared" si="20"/>
        <v>-840000</v>
      </c>
      <c r="I56" s="42">
        <f t="shared" si="20"/>
        <v>-1960000</v>
      </c>
      <c r="J56" s="42">
        <f t="shared" si="20"/>
        <v>-2800000</v>
      </c>
    </row>
    <row r="57" spans="1:11" s="9" customFormat="1" ht="51.75">
      <c r="A57" s="371"/>
      <c r="B57" s="207"/>
      <c r="C57" s="208"/>
      <c r="D57" s="79"/>
      <c r="E57" s="204"/>
      <c r="F57" s="81" t="s">
        <v>13</v>
      </c>
      <c r="G57" s="6"/>
      <c r="H57" s="4"/>
      <c r="I57" s="43"/>
      <c r="J57" s="4"/>
    </row>
    <row r="58" spans="1:11" s="9" customFormat="1" ht="16.899999999999999" customHeight="1">
      <c r="A58" s="371"/>
      <c r="B58" s="207"/>
      <c r="C58" s="208"/>
      <c r="D58" s="79"/>
      <c r="E58" s="204"/>
      <c r="F58" s="90" t="s">
        <v>7</v>
      </c>
      <c r="G58" s="5">
        <f>G59</f>
        <v>0</v>
      </c>
      <c r="H58" s="5">
        <f t="shared" ref="H58:J58" si="21">H59</f>
        <v>-840000</v>
      </c>
      <c r="I58" s="5">
        <f t="shared" si="21"/>
        <v>-1960000</v>
      </c>
      <c r="J58" s="5">
        <f t="shared" si="21"/>
        <v>-2800000</v>
      </c>
    </row>
    <row r="59" spans="1:11" s="9" customFormat="1" ht="16.899999999999999" customHeight="1">
      <c r="A59" s="371"/>
      <c r="B59" s="207"/>
      <c r="C59" s="208"/>
      <c r="D59" s="79"/>
      <c r="E59" s="204"/>
      <c r="F59" s="81" t="s">
        <v>54</v>
      </c>
      <c r="G59" s="6">
        <f>+G60</f>
        <v>0</v>
      </c>
      <c r="H59" s="6">
        <f t="shared" ref="H59:J61" si="22">+H60</f>
        <v>-840000</v>
      </c>
      <c r="I59" s="43">
        <f t="shared" si="22"/>
        <v>-1960000</v>
      </c>
      <c r="J59" s="6">
        <f t="shared" si="22"/>
        <v>-2800000</v>
      </c>
    </row>
    <row r="60" spans="1:11" s="9" customFormat="1" ht="16.350000000000001" customHeight="1">
      <c r="A60" s="371"/>
      <c r="B60" s="207"/>
      <c r="C60" s="208"/>
      <c r="D60" s="79"/>
      <c r="E60" s="204"/>
      <c r="F60" s="81" t="s">
        <v>55</v>
      </c>
      <c r="G60" s="6">
        <f>+G61</f>
        <v>0</v>
      </c>
      <c r="H60" s="6">
        <f t="shared" si="22"/>
        <v>-840000</v>
      </c>
      <c r="I60" s="6">
        <f t="shared" si="22"/>
        <v>-1960000</v>
      </c>
      <c r="J60" s="6">
        <f t="shared" si="22"/>
        <v>-2800000</v>
      </c>
    </row>
    <row r="61" spans="1:11" s="9" customFormat="1" ht="16.350000000000001" customHeight="1">
      <c r="A61" s="371"/>
      <c r="B61" s="207"/>
      <c r="C61" s="208"/>
      <c r="D61" s="79"/>
      <c r="E61" s="204"/>
      <c r="F61" s="247" t="s">
        <v>56</v>
      </c>
      <c r="G61" s="33">
        <f>+G62</f>
        <v>0</v>
      </c>
      <c r="H61" s="33">
        <f t="shared" si="22"/>
        <v>-840000</v>
      </c>
      <c r="I61" s="33">
        <f t="shared" si="22"/>
        <v>-1960000</v>
      </c>
      <c r="J61" s="33">
        <f t="shared" si="22"/>
        <v>-2800000</v>
      </c>
      <c r="K61" s="13"/>
    </row>
    <row r="62" spans="1:11" s="9" customFormat="1" ht="16.350000000000001" customHeight="1">
      <c r="A62" s="371"/>
      <c r="B62" s="207"/>
      <c r="C62" s="208"/>
      <c r="D62" s="79"/>
      <c r="E62" s="204"/>
      <c r="F62" s="247" t="s">
        <v>47</v>
      </c>
      <c r="G62" s="33">
        <f>+'Հավելված N 5'!E51</f>
        <v>0</v>
      </c>
      <c r="H62" s="33">
        <f>+'Հավելված N 5'!F51</f>
        <v>-840000</v>
      </c>
      <c r="I62" s="33">
        <f>+'Հավելված N 5'!G51</f>
        <v>-1960000</v>
      </c>
      <c r="J62" s="33">
        <f>+'Հավելված N 5'!H51</f>
        <v>-2800000</v>
      </c>
      <c r="K62" s="13"/>
    </row>
    <row r="63" spans="1:11" s="9" customFormat="1" ht="34.5">
      <c r="A63" s="371"/>
      <c r="B63" s="207"/>
      <c r="C63" s="208"/>
      <c r="D63" s="79"/>
      <c r="E63" s="84">
        <v>32002</v>
      </c>
      <c r="F63" s="211" t="s">
        <v>218</v>
      </c>
      <c r="G63" s="11">
        <f>+G65+G72</f>
        <v>122351.8</v>
      </c>
      <c r="H63" s="11">
        <f t="shared" ref="H63:J63" si="23">+H65+H72</f>
        <v>122351.8</v>
      </c>
      <c r="I63" s="11">
        <f t="shared" si="23"/>
        <v>122351.8</v>
      </c>
      <c r="J63" s="11">
        <f t="shared" si="23"/>
        <v>-15815.800000000003</v>
      </c>
    </row>
    <row r="64" spans="1:11" s="9" customFormat="1" ht="16.350000000000001" customHeight="1">
      <c r="A64" s="371"/>
      <c r="B64" s="207"/>
      <c r="C64" s="208"/>
      <c r="D64" s="79"/>
      <c r="E64" s="367"/>
      <c r="F64" s="81" t="s">
        <v>16</v>
      </c>
      <c r="G64" s="5"/>
      <c r="H64" s="4"/>
      <c r="I64" s="5"/>
      <c r="J64" s="4"/>
    </row>
    <row r="65" spans="1:11" s="12" customFormat="1" ht="36.6" customHeight="1">
      <c r="A65" s="371"/>
      <c r="B65" s="207"/>
      <c r="C65" s="208"/>
      <c r="D65" s="79"/>
      <c r="E65" s="368"/>
      <c r="F65" s="86" t="s">
        <v>12</v>
      </c>
      <c r="G65" s="42">
        <f t="shared" ref="G65:J65" si="24">+G67</f>
        <v>122351.8</v>
      </c>
      <c r="H65" s="42">
        <f t="shared" si="24"/>
        <v>122351.8</v>
      </c>
      <c r="I65" s="42">
        <f t="shared" si="24"/>
        <v>122351.8</v>
      </c>
      <c r="J65" s="42">
        <f t="shared" si="24"/>
        <v>122351.8</v>
      </c>
    </row>
    <row r="66" spans="1:11" s="9" customFormat="1" ht="51.75">
      <c r="A66" s="371"/>
      <c r="B66" s="207"/>
      <c r="C66" s="208"/>
      <c r="D66" s="79"/>
      <c r="E66" s="368"/>
      <c r="F66" s="81" t="s">
        <v>13</v>
      </c>
      <c r="G66" s="6"/>
      <c r="H66" s="4"/>
      <c r="I66" s="43"/>
      <c r="J66" s="4"/>
    </row>
    <row r="67" spans="1:11" s="9" customFormat="1" ht="16.899999999999999" customHeight="1">
      <c r="A67" s="371"/>
      <c r="B67" s="207"/>
      <c r="C67" s="208"/>
      <c r="D67" s="79"/>
      <c r="E67" s="368"/>
      <c r="F67" s="90" t="s">
        <v>7</v>
      </c>
      <c r="G67" s="5">
        <f>G68</f>
        <v>122351.8</v>
      </c>
      <c r="H67" s="5">
        <f t="shared" ref="H67:J67" si="25">H68</f>
        <v>122351.8</v>
      </c>
      <c r="I67" s="5">
        <f t="shared" si="25"/>
        <v>122351.8</v>
      </c>
      <c r="J67" s="5">
        <f t="shared" si="25"/>
        <v>122351.8</v>
      </c>
    </row>
    <row r="68" spans="1:11" s="9" customFormat="1" ht="16.899999999999999" customHeight="1">
      <c r="A68" s="371"/>
      <c r="B68" s="207"/>
      <c r="C68" s="208"/>
      <c r="D68" s="79"/>
      <c r="E68" s="368"/>
      <c r="F68" s="81" t="s">
        <v>54</v>
      </c>
      <c r="G68" s="6">
        <f>+G69</f>
        <v>122351.8</v>
      </c>
      <c r="H68" s="6">
        <f t="shared" ref="H68:J70" si="26">+H69</f>
        <v>122351.8</v>
      </c>
      <c r="I68" s="43">
        <f t="shared" si="26"/>
        <v>122351.8</v>
      </c>
      <c r="J68" s="6">
        <f t="shared" si="26"/>
        <v>122351.8</v>
      </c>
    </row>
    <row r="69" spans="1:11" s="9" customFormat="1" ht="16.350000000000001" customHeight="1">
      <c r="A69" s="371"/>
      <c r="B69" s="207"/>
      <c r="C69" s="208"/>
      <c r="D69" s="79"/>
      <c r="E69" s="368"/>
      <c r="F69" s="81" t="s">
        <v>55</v>
      </c>
      <c r="G69" s="6">
        <f>+G70</f>
        <v>122351.8</v>
      </c>
      <c r="H69" s="6">
        <f t="shared" si="26"/>
        <v>122351.8</v>
      </c>
      <c r="I69" s="6">
        <f t="shared" si="26"/>
        <v>122351.8</v>
      </c>
      <c r="J69" s="6">
        <f t="shared" si="26"/>
        <v>122351.8</v>
      </c>
    </row>
    <row r="70" spans="1:11" s="9" customFormat="1" ht="16.350000000000001" customHeight="1">
      <c r="A70" s="371"/>
      <c r="B70" s="207"/>
      <c r="C70" s="208"/>
      <c r="D70" s="79"/>
      <c r="E70" s="368"/>
      <c r="F70" s="247" t="s">
        <v>56</v>
      </c>
      <c r="G70" s="33">
        <f>+G71</f>
        <v>122351.8</v>
      </c>
      <c r="H70" s="33">
        <f t="shared" si="26"/>
        <v>122351.8</v>
      </c>
      <c r="I70" s="16">
        <f t="shared" si="26"/>
        <v>122351.8</v>
      </c>
      <c r="J70" s="33">
        <f t="shared" si="26"/>
        <v>122351.8</v>
      </c>
      <c r="K70" s="13"/>
    </row>
    <row r="71" spans="1:11" s="9" customFormat="1" ht="16.350000000000001" customHeight="1">
      <c r="A71" s="371"/>
      <c r="B71" s="207"/>
      <c r="C71" s="208"/>
      <c r="D71" s="79"/>
      <c r="E71" s="368"/>
      <c r="F71" s="247" t="s">
        <v>91</v>
      </c>
      <c r="G71" s="33">
        <f>+'Հավելված N 5'!E54</f>
        <v>122351.8</v>
      </c>
      <c r="H71" s="33">
        <f>+'Հավելված N 5'!F54</f>
        <v>122351.8</v>
      </c>
      <c r="I71" s="33">
        <f>+'Հավելված N 5'!G54</f>
        <v>122351.8</v>
      </c>
      <c r="J71" s="33">
        <f>+'Հավելված N 5'!H54</f>
        <v>122351.8</v>
      </c>
      <c r="K71" s="13"/>
    </row>
    <row r="72" spans="1:11" s="12" customFormat="1" ht="36.6" customHeight="1">
      <c r="A72" s="371"/>
      <c r="B72" s="207"/>
      <c r="C72" s="208"/>
      <c r="D72" s="79"/>
      <c r="E72" s="204"/>
      <c r="F72" s="86" t="s">
        <v>217</v>
      </c>
      <c r="G72" s="42">
        <f t="shared" ref="G72:J72" si="27">+G74</f>
        <v>0</v>
      </c>
      <c r="H72" s="42">
        <f t="shared" si="27"/>
        <v>0</v>
      </c>
      <c r="I72" s="42">
        <f t="shared" si="27"/>
        <v>0</v>
      </c>
      <c r="J72" s="42">
        <f t="shared" si="27"/>
        <v>-138167.6</v>
      </c>
    </row>
    <row r="73" spans="1:11" s="9" customFormat="1" ht="51.75">
      <c r="A73" s="371"/>
      <c r="B73" s="207"/>
      <c r="C73" s="208"/>
      <c r="D73" s="79"/>
      <c r="E73" s="204"/>
      <c r="F73" s="81" t="s">
        <v>13</v>
      </c>
      <c r="G73" s="6"/>
      <c r="H73" s="4"/>
      <c r="I73" s="43"/>
      <c r="J73" s="4"/>
    </row>
    <row r="74" spans="1:11" s="9" customFormat="1" ht="16.899999999999999" customHeight="1">
      <c r="A74" s="371"/>
      <c r="B74" s="207"/>
      <c r="C74" s="208"/>
      <c r="D74" s="79"/>
      <c r="E74" s="204"/>
      <c r="F74" s="90" t="s">
        <v>7</v>
      </c>
      <c r="G74" s="5">
        <f>G75</f>
        <v>0</v>
      </c>
      <c r="H74" s="5">
        <f t="shared" ref="H74:J74" si="28">H75</f>
        <v>0</v>
      </c>
      <c r="I74" s="5">
        <f t="shared" si="28"/>
        <v>0</v>
      </c>
      <c r="J74" s="5">
        <f t="shared" si="28"/>
        <v>-138167.6</v>
      </c>
    </row>
    <row r="75" spans="1:11" s="9" customFormat="1" ht="16.899999999999999" customHeight="1">
      <c r="A75" s="371"/>
      <c r="B75" s="207"/>
      <c r="C75" s="208"/>
      <c r="D75" s="79"/>
      <c r="E75" s="204"/>
      <c r="F75" s="81" t="s">
        <v>54</v>
      </c>
      <c r="G75" s="6">
        <f>+G76</f>
        <v>0</v>
      </c>
      <c r="H75" s="6">
        <f t="shared" ref="H75:J77" si="29">+H76</f>
        <v>0</v>
      </c>
      <c r="I75" s="43">
        <f t="shared" si="29"/>
        <v>0</v>
      </c>
      <c r="J75" s="6">
        <f t="shared" si="29"/>
        <v>-138167.6</v>
      </c>
    </row>
    <row r="76" spans="1:11" s="9" customFormat="1" ht="16.350000000000001" customHeight="1">
      <c r="A76" s="371"/>
      <c r="B76" s="207"/>
      <c r="C76" s="208"/>
      <c r="D76" s="79"/>
      <c r="E76" s="204"/>
      <c r="F76" s="81" t="s">
        <v>55</v>
      </c>
      <c r="G76" s="6">
        <f>+G77</f>
        <v>0</v>
      </c>
      <c r="H76" s="6">
        <f t="shared" si="29"/>
        <v>0</v>
      </c>
      <c r="I76" s="6">
        <f t="shared" si="29"/>
        <v>0</v>
      </c>
      <c r="J76" s="6">
        <f t="shared" si="29"/>
        <v>-138167.6</v>
      </c>
    </row>
    <row r="77" spans="1:11" s="9" customFormat="1" ht="16.350000000000001" customHeight="1">
      <c r="A77" s="371"/>
      <c r="B77" s="207"/>
      <c r="C77" s="208"/>
      <c r="D77" s="79"/>
      <c r="E77" s="204"/>
      <c r="F77" s="247" t="s">
        <v>56</v>
      </c>
      <c r="G77" s="33">
        <f>+G78</f>
        <v>0</v>
      </c>
      <c r="H77" s="33">
        <f t="shared" si="29"/>
        <v>0</v>
      </c>
      <c r="I77" s="16">
        <f t="shared" si="29"/>
        <v>0</v>
      </c>
      <c r="J77" s="33">
        <f t="shared" si="29"/>
        <v>-138167.6</v>
      </c>
      <c r="K77" s="13"/>
    </row>
    <row r="78" spans="1:11" s="9" customFormat="1" ht="16.350000000000001" customHeight="1">
      <c r="A78" s="371"/>
      <c r="B78" s="207"/>
      <c r="C78" s="208"/>
      <c r="D78" s="79"/>
      <c r="E78" s="204"/>
      <c r="F78" s="247" t="s">
        <v>91</v>
      </c>
      <c r="G78" s="33">
        <f>+'Հավելված N 5'!E58</f>
        <v>0</v>
      </c>
      <c r="H78" s="33">
        <f>+'Հավելված N 5'!F58</f>
        <v>0</v>
      </c>
      <c r="I78" s="33">
        <f>+'Հավելված N 5'!G58</f>
        <v>0</v>
      </c>
      <c r="J78" s="33">
        <f>+'Հավելված N 5'!H58</f>
        <v>-138167.6</v>
      </c>
      <c r="K78" s="13"/>
    </row>
    <row r="79" spans="1:11" s="9" customFormat="1">
      <c r="A79" s="371"/>
      <c r="B79" s="370" t="s">
        <v>97</v>
      </c>
      <c r="C79" s="370"/>
      <c r="D79" s="391"/>
      <c r="E79" s="372"/>
      <c r="F79" s="205" t="s">
        <v>98</v>
      </c>
      <c r="G79" s="80">
        <f>+G81</f>
        <v>-199366.79999999981</v>
      </c>
      <c r="H79" s="80">
        <f t="shared" ref="H79:J79" si="30">+H81</f>
        <v>2868014.3999999994</v>
      </c>
      <c r="I79" s="80">
        <f t="shared" si="30"/>
        <v>1393871.5999999999</v>
      </c>
      <c r="J79" s="80">
        <f t="shared" si="30"/>
        <v>-271.10000000009313</v>
      </c>
    </row>
    <row r="80" spans="1:11" s="9" customFormat="1" ht="16.899999999999999" customHeight="1">
      <c r="A80" s="371"/>
      <c r="B80" s="371"/>
      <c r="C80" s="371"/>
      <c r="D80" s="392"/>
      <c r="E80" s="374"/>
      <c r="F80" s="81" t="s">
        <v>6</v>
      </c>
      <c r="G80" s="80"/>
      <c r="H80" s="80"/>
      <c r="I80" s="80"/>
      <c r="J80" s="80"/>
    </row>
    <row r="81" spans="1:11" s="9" customFormat="1">
      <c r="A81" s="371"/>
      <c r="B81" s="371"/>
      <c r="C81" s="375"/>
      <c r="D81" s="392"/>
      <c r="E81" s="374"/>
      <c r="F81" s="205" t="s">
        <v>99</v>
      </c>
      <c r="G81" s="80">
        <f>+G83</f>
        <v>-199366.79999999981</v>
      </c>
      <c r="H81" s="80">
        <f t="shared" ref="H81:J81" si="31">+H83</f>
        <v>2868014.3999999994</v>
      </c>
      <c r="I81" s="80">
        <f t="shared" si="31"/>
        <v>1393871.5999999999</v>
      </c>
      <c r="J81" s="80">
        <f t="shared" si="31"/>
        <v>-271.10000000009313</v>
      </c>
    </row>
    <row r="82" spans="1:11" s="9" customFormat="1" ht="16.899999999999999" customHeight="1">
      <c r="A82" s="371"/>
      <c r="B82" s="371"/>
      <c r="C82" s="370" t="s">
        <v>70</v>
      </c>
      <c r="D82" s="392"/>
      <c r="E82" s="374"/>
      <c r="F82" s="81" t="s">
        <v>6</v>
      </c>
      <c r="G82" s="80"/>
      <c r="H82" s="80"/>
      <c r="I82" s="80"/>
      <c r="J82" s="80"/>
    </row>
    <row r="83" spans="1:11" s="9" customFormat="1" ht="34.5">
      <c r="A83" s="371"/>
      <c r="B83" s="371"/>
      <c r="C83" s="371"/>
      <c r="D83" s="392"/>
      <c r="E83" s="374"/>
      <c r="F83" s="82" t="s">
        <v>12</v>
      </c>
      <c r="G83" s="80">
        <f>+G85</f>
        <v>-199366.79999999981</v>
      </c>
      <c r="H83" s="80">
        <f t="shared" ref="H83:J83" si="32">+H85</f>
        <v>2868014.3999999994</v>
      </c>
      <c r="I83" s="80">
        <f t="shared" si="32"/>
        <v>1393871.5999999999</v>
      </c>
      <c r="J83" s="80">
        <f t="shared" si="32"/>
        <v>-271.10000000009313</v>
      </c>
    </row>
    <row r="84" spans="1:11" s="9" customFormat="1" ht="16.899999999999999" customHeight="1">
      <c r="A84" s="371"/>
      <c r="B84" s="371"/>
      <c r="C84" s="371"/>
      <c r="D84" s="393"/>
      <c r="E84" s="373"/>
      <c r="F84" s="81" t="s">
        <v>6</v>
      </c>
      <c r="G84" s="80"/>
      <c r="H84" s="80"/>
      <c r="I84" s="80"/>
      <c r="J84" s="80"/>
    </row>
    <row r="85" spans="1:11" s="9" customFormat="1" ht="39.6" customHeight="1">
      <c r="A85" s="371"/>
      <c r="B85" s="371"/>
      <c r="C85" s="371"/>
      <c r="D85" s="84">
        <v>1236</v>
      </c>
      <c r="E85" s="353" t="s">
        <v>73</v>
      </c>
      <c r="F85" s="353"/>
      <c r="G85" s="83">
        <f>+G87+G96+G105+G121</f>
        <v>-199366.79999999981</v>
      </c>
      <c r="H85" s="83">
        <f t="shared" ref="H85:J85" si="33">+H87+H96+H105+H121</f>
        <v>2868014.3999999994</v>
      </c>
      <c r="I85" s="83">
        <f t="shared" si="33"/>
        <v>1393871.5999999999</v>
      </c>
      <c r="J85" s="83">
        <f t="shared" si="33"/>
        <v>-271.10000000009313</v>
      </c>
    </row>
    <row r="86" spans="1:11" s="9" customFormat="1" ht="16.899999999999999" customHeight="1">
      <c r="A86" s="371"/>
      <c r="B86" s="371"/>
      <c r="C86" s="371"/>
      <c r="D86" s="79"/>
      <c r="E86" s="203"/>
      <c r="F86" s="81" t="s">
        <v>6</v>
      </c>
      <c r="G86" s="83"/>
      <c r="H86" s="83"/>
      <c r="I86" s="83"/>
      <c r="J86" s="83"/>
    </row>
    <row r="87" spans="1:11" s="9" customFormat="1" ht="69">
      <c r="A87" s="371"/>
      <c r="B87" s="371"/>
      <c r="C87" s="371"/>
      <c r="D87" s="79"/>
      <c r="E87" s="84">
        <v>11001</v>
      </c>
      <c r="F87" s="211" t="s">
        <v>327</v>
      </c>
      <c r="G87" s="85">
        <f>+G89</f>
        <v>30000</v>
      </c>
      <c r="H87" s="85">
        <f t="shared" ref="H87:J87" si="34">+H89</f>
        <v>70000</v>
      </c>
      <c r="I87" s="85">
        <f t="shared" si="34"/>
        <v>80000</v>
      </c>
      <c r="J87" s="85">
        <f t="shared" si="34"/>
        <v>80000</v>
      </c>
    </row>
    <row r="88" spans="1:11" s="9" customFormat="1">
      <c r="A88" s="371"/>
      <c r="B88" s="371"/>
      <c r="C88" s="371"/>
      <c r="D88" s="79"/>
      <c r="E88" s="382"/>
      <c r="F88" s="81" t="s">
        <v>16</v>
      </c>
      <c r="G88" s="80"/>
      <c r="H88" s="80"/>
      <c r="I88" s="80"/>
      <c r="J88" s="80"/>
    </row>
    <row r="89" spans="1:11" s="12" customFormat="1" ht="36.6" customHeight="1">
      <c r="A89" s="371"/>
      <c r="B89" s="371"/>
      <c r="C89" s="371"/>
      <c r="D89" s="79"/>
      <c r="E89" s="382"/>
      <c r="F89" s="86" t="s">
        <v>12</v>
      </c>
      <c r="G89" s="87">
        <f>+G91</f>
        <v>30000</v>
      </c>
      <c r="H89" s="87">
        <f t="shared" ref="H89:J89" si="35">+H91</f>
        <v>70000</v>
      </c>
      <c r="I89" s="87">
        <f t="shared" si="35"/>
        <v>80000</v>
      </c>
      <c r="J89" s="87">
        <f t="shared" si="35"/>
        <v>80000</v>
      </c>
    </row>
    <row r="90" spans="1:11" s="9" customFormat="1" ht="51.75">
      <c r="A90" s="371"/>
      <c r="B90" s="371"/>
      <c r="C90" s="371"/>
      <c r="D90" s="79"/>
      <c r="E90" s="382"/>
      <c r="F90" s="81" t="s">
        <v>13</v>
      </c>
      <c r="G90" s="78"/>
      <c r="H90" s="88"/>
      <c r="I90" s="89"/>
      <c r="J90" s="88"/>
    </row>
    <row r="91" spans="1:11" s="9" customFormat="1" ht="16.899999999999999" customHeight="1">
      <c r="A91" s="371"/>
      <c r="B91" s="371"/>
      <c r="C91" s="371"/>
      <c r="D91" s="79"/>
      <c r="E91" s="382"/>
      <c r="F91" s="90" t="s">
        <v>7</v>
      </c>
      <c r="G91" s="80">
        <f>G92</f>
        <v>30000</v>
      </c>
      <c r="H91" s="80">
        <f t="shared" ref="H91:J91" si="36">H92</f>
        <v>70000</v>
      </c>
      <c r="I91" s="80">
        <f t="shared" si="36"/>
        <v>80000</v>
      </c>
      <c r="J91" s="80">
        <f t="shared" si="36"/>
        <v>80000</v>
      </c>
    </row>
    <row r="92" spans="1:11" s="9" customFormat="1" ht="16.899999999999999" customHeight="1">
      <c r="A92" s="371"/>
      <c r="B92" s="371"/>
      <c r="C92" s="371"/>
      <c r="D92" s="79"/>
      <c r="E92" s="382"/>
      <c r="F92" s="81" t="s">
        <v>318</v>
      </c>
      <c r="G92" s="78">
        <f>+G93</f>
        <v>30000</v>
      </c>
      <c r="H92" s="78">
        <f t="shared" ref="H92:J94" si="37">+H93</f>
        <v>70000</v>
      </c>
      <c r="I92" s="78">
        <f t="shared" si="37"/>
        <v>80000</v>
      </c>
      <c r="J92" s="78">
        <f t="shared" si="37"/>
        <v>80000</v>
      </c>
    </row>
    <row r="93" spans="1:11" s="9" customFormat="1">
      <c r="A93" s="371"/>
      <c r="B93" s="371"/>
      <c r="C93" s="371"/>
      <c r="D93" s="79"/>
      <c r="E93" s="382"/>
      <c r="F93" s="81" t="s">
        <v>319</v>
      </c>
      <c r="G93" s="78">
        <f>+G94</f>
        <v>30000</v>
      </c>
      <c r="H93" s="78">
        <f t="shared" si="37"/>
        <v>70000</v>
      </c>
      <c r="I93" s="78">
        <f t="shared" si="37"/>
        <v>80000</v>
      </c>
      <c r="J93" s="78">
        <f t="shared" si="37"/>
        <v>80000</v>
      </c>
    </row>
    <row r="94" spans="1:11" s="9" customFormat="1" ht="51.75">
      <c r="A94" s="371"/>
      <c r="B94" s="371"/>
      <c r="C94" s="371"/>
      <c r="D94" s="79"/>
      <c r="E94" s="382"/>
      <c r="F94" s="261" t="s">
        <v>321</v>
      </c>
      <c r="G94" s="78">
        <f>+G95</f>
        <v>30000</v>
      </c>
      <c r="H94" s="78">
        <f t="shared" si="37"/>
        <v>70000</v>
      </c>
      <c r="I94" s="78">
        <f t="shared" si="37"/>
        <v>80000</v>
      </c>
      <c r="J94" s="78">
        <f t="shared" si="37"/>
        <v>80000</v>
      </c>
      <c r="K94" s="13"/>
    </row>
    <row r="95" spans="1:11" s="9" customFormat="1">
      <c r="A95" s="371"/>
      <c r="B95" s="371"/>
      <c r="C95" s="371"/>
      <c r="D95" s="79"/>
      <c r="E95" s="382"/>
      <c r="F95" s="261" t="s">
        <v>320</v>
      </c>
      <c r="G95" s="78">
        <v>30000</v>
      </c>
      <c r="H95" s="78">
        <v>70000</v>
      </c>
      <c r="I95" s="78">
        <v>80000</v>
      </c>
      <c r="J95" s="78">
        <v>80000</v>
      </c>
      <c r="K95" s="13"/>
    </row>
    <row r="96" spans="1:11" s="9" customFormat="1" ht="34.5">
      <c r="A96" s="371"/>
      <c r="B96" s="371"/>
      <c r="C96" s="371"/>
      <c r="D96" s="79"/>
      <c r="E96" s="84">
        <v>32003</v>
      </c>
      <c r="F96" s="211" t="s">
        <v>100</v>
      </c>
      <c r="G96" s="85">
        <f>+G98</f>
        <v>1741068.6</v>
      </c>
      <c r="H96" s="85">
        <f t="shared" ref="H96:J96" si="38">+H98</f>
        <v>1938885.6999999997</v>
      </c>
      <c r="I96" s="85">
        <f t="shared" si="38"/>
        <v>969442.69999999972</v>
      </c>
      <c r="J96" s="85">
        <f t="shared" si="38"/>
        <v>0</v>
      </c>
    </row>
    <row r="97" spans="1:11" s="9" customFormat="1">
      <c r="A97" s="371"/>
      <c r="B97" s="371"/>
      <c r="C97" s="371"/>
      <c r="D97" s="79"/>
      <c r="E97" s="382"/>
      <c r="F97" s="81" t="s">
        <v>16</v>
      </c>
      <c r="G97" s="80"/>
      <c r="H97" s="80"/>
      <c r="I97" s="80"/>
      <c r="J97" s="80"/>
    </row>
    <row r="98" spans="1:11" s="12" customFormat="1" ht="36.6" customHeight="1">
      <c r="A98" s="371"/>
      <c r="B98" s="371"/>
      <c r="C98" s="371"/>
      <c r="D98" s="79"/>
      <c r="E98" s="382"/>
      <c r="F98" s="86" t="s">
        <v>12</v>
      </c>
      <c r="G98" s="87">
        <f>+G100</f>
        <v>1741068.6</v>
      </c>
      <c r="H98" s="87">
        <f t="shared" ref="H98:J98" si="39">+H100</f>
        <v>1938885.6999999997</v>
      </c>
      <c r="I98" s="87">
        <f t="shared" si="39"/>
        <v>969442.69999999972</v>
      </c>
      <c r="J98" s="87">
        <f t="shared" si="39"/>
        <v>0</v>
      </c>
    </row>
    <row r="99" spans="1:11" s="9" customFormat="1" ht="51.75">
      <c r="A99" s="371"/>
      <c r="B99" s="371"/>
      <c r="C99" s="371"/>
      <c r="D99" s="79"/>
      <c r="E99" s="382"/>
      <c r="F99" s="81" t="s">
        <v>13</v>
      </c>
      <c r="G99" s="78"/>
      <c r="H99" s="88"/>
      <c r="I99" s="89"/>
      <c r="J99" s="88"/>
    </row>
    <row r="100" spans="1:11" s="9" customFormat="1" ht="16.899999999999999" customHeight="1">
      <c r="A100" s="371"/>
      <c r="B100" s="371"/>
      <c r="C100" s="371"/>
      <c r="D100" s="79"/>
      <c r="E100" s="382"/>
      <c r="F100" s="90" t="s">
        <v>7</v>
      </c>
      <c r="G100" s="80">
        <f>G101</f>
        <v>1741068.6</v>
      </c>
      <c r="H100" s="80">
        <f t="shared" ref="H100:J100" si="40">H101</f>
        <v>1938885.6999999997</v>
      </c>
      <c r="I100" s="80">
        <f t="shared" si="40"/>
        <v>969442.69999999972</v>
      </c>
      <c r="J100" s="80">
        <f t="shared" si="40"/>
        <v>0</v>
      </c>
    </row>
    <row r="101" spans="1:11" s="9" customFormat="1" ht="16.899999999999999" customHeight="1">
      <c r="A101" s="371"/>
      <c r="B101" s="371"/>
      <c r="C101" s="371"/>
      <c r="D101" s="79"/>
      <c r="E101" s="382"/>
      <c r="F101" s="81" t="s">
        <v>54</v>
      </c>
      <c r="G101" s="78">
        <f>+G102</f>
        <v>1741068.6</v>
      </c>
      <c r="H101" s="78">
        <f t="shared" ref="H101:J102" si="41">+H102</f>
        <v>1938885.6999999997</v>
      </c>
      <c r="I101" s="78">
        <f t="shared" si="41"/>
        <v>969442.69999999972</v>
      </c>
      <c r="J101" s="78">
        <f t="shared" si="41"/>
        <v>0</v>
      </c>
    </row>
    <row r="102" spans="1:11" s="9" customFormat="1">
      <c r="A102" s="371"/>
      <c r="B102" s="371"/>
      <c r="C102" s="371"/>
      <c r="D102" s="79"/>
      <c r="E102" s="382"/>
      <c r="F102" s="81" t="s">
        <v>55</v>
      </c>
      <c r="G102" s="78">
        <f>+G103</f>
        <v>1741068.6</v>
      </c>
      <c r="H102" s="78">
        <f t="shared" si="41"/>
        <v>1938885.6999999997</v>
      </c>
      <c r="I102" s="78">
        <f t="shared" si="41"/>
        <v>969442.69999999972</v>
      </c>
      <c r="J102" s="78">
        <f t="shared" si="41"/>
        <v>0</v>
      </c>
    </row>
    <row r="103" spans="1:11" s="9" customFormat="1">
      <c r="A103" s="371"/>
      <c r="B103" s="371"/>
      <c r="C103" s="371"/>
      <c r="D103" s="79"/>
      <c r="E103" s="382"/>
      <c r="F103" s="261" t="s">
        <v>56</v>
      </c>
      <c r="G103" s="78">
        <f>+G104</f>
        <v>1741068.6</v>
      </c>
      <c r="H103" s="78">
        <f t="shared" ref="H103:J103" si="42">+H104</f>
        <v>1938885.6999999997</v>
      </c>
      <c r="I103" s="78">
        <f t="shared" si="42"/>
        <v>969442.69999999972</v>
      </c>
      <c r="J103" s="78">
        <f t="shared" si="42"/>
        <v>0</v>
      </c>
      <c r="K103" s="13"/>
    </row>
    <row r="104" spans="1:11" s="9" customFormat="1">
      <c r="A104" s="371"/>
      <c r="B104" s="371"/>
      <c r="C104" s="371"/>
      <c r="D104" s="79"/>
      <c r="E104" s="382"/>
      <c r="F104" s="261" t="s">
        <v>47</v>
      </c>
      <c r="G104" s="78">
        <f>+'Հավելված N 5'!E61</f>
        <v>1741068.6</v>
      </c>
      <c r="H104" s="78">
        <f>+'Հավելված N 5'!F61</f>
        <v>1938885.6999999997</v>
      </c>
      <c r="I104" s="78">
        <f>+'Հավելված N 5'!G61</f>
        <v>969442.69999999972</v>
      </c>
      <c r="J104" s="78">
        <f>+'Հավելված N 5'!H61</f>
        <v>0</v>
      </c>
      <c r="K104" s="13"/>
    </row>
    <row r="105" spans="1:11" s="9" customFormat="1" ht="34.5">
      <c r="A105" s="371"/>
      <c r="B105" s="371"/>
      <c r="C105" s="206"/>
      <c r="D105" s="79"/>
      <c r="E105" s="84">
        <v>32004</v>
      </c>
      <c r="F105" s="211" t="s">
        <v>119</v>
      </c>
      <c r="G105" s="85">
        <f>+G107+G114</f>
        <v>381989.5</v>
      </c>
      <c r="H105" s="85">
        <f t="shared" ref="H105:J105" si="43">+H107+H114</f>
        <v>709780.89999999991</v>
      </c>
      <c r="I105" s="85">
        <f t="shared" si="43"/>
        <v>536979.80000000005</v>
      </c>
      <c r="J105" s="85">
        <f t="shared" si="43"/>
        <v>454178.69999999995</v>
      </c>
    </row>
    <row r="106" spans="1:11" s="9" customFormat="1">
      <c r="A106" s="371"/>
      <c r="B106" s="371"/>
      <c r="C106" s="206"/>
      <c r="D106" s="79"/>
      <c r="E106" s="367"/>
      <c r="F106" s="81" t="s">
        <v>16</v>
      </c>
      <c r="G106" s="80"/>
      <c r="H106" s="80"/>
      <c r="I106" s="80"/>
      <c r="J106" s="80"/>
    </row>
    <row r="107" spans="1:11" s="12" customFormat="1" ht="36.6" customHeight="1">
      <c r="A107" s="371"/>
      <c r="B107" s="371"/>
      <c r="C107" s="206"/>
      <c r="D107" s="79"/>
      <c r="E107" s="368"/>
      <c r="F107" s="86" t="s">
        <v>12</v>
      </c>
      <c r="G107" s="87">
        <f>+G109</f>
        <v>381989.5</v>
      </c>
      <c r="H107" s="87">
        <f t="shared" ref="H107:J107" si="44">+H109</f>
        <v>979780.89999999991</v>
      </c>
      <c r="I107" s="87">
        <f t="shared" si="44"/>
        <v>1166979.8</v>
      </c>
      <c r="J107" s="87">
        <f t="shared" si="44"/>
        <v>1354178.7</v>
      </c>
    </row>
    <row r="108" spans="1:11" s="9" customFormat="1" ht="51.75">
      <c r="A108" s="371"/>
      <c r="B108" s="371"/>
      <c r="C108" s="206"/>
      <c r="D108" s="79"/>
      <c r="E108" s="368"/>
      <c r="F108" s="81" t="s">
        <v>13</v>
      </c>
      <c r="G108" s="78"/>
      <c r="H108" s="88"/>
      <c r="I108" s="89"/>
      <c r="J108" s="88"/>
    </row>
    <row r="109" spans="1:11" s="9" customFormat="1" ht="16.899999999999999" customHeight="1">
      <c r="A109" s="371"/>
      <c r="B109" s="371"/>
      <c r="C109" s="206"/>
      <c r="D109" s="79"/>
      <c r="E109" s="368"/>
      <c r="F109" s="90" t="s">
        <v>7</v>
      </c>
      <c r="G109" s="80">
        <f>G110</f>
        <v>381989.5</v>
      </c>
      <c r="H109" s="80">
        <f t="shared" ref="H109:J109" si="45">H110</f>
        <v>979780.89999999991</v>
      </c>
      <c r="I109" s="80">
        <f t="shared" si="45"/>
        <v>1166979.8</v>
      </c>
      <c r="J109" s="80">
        <f t="shared" si="45"/>
        <v>1354178.7</v>
      </c>
    </row>
    <row r="110" spans="1:11" s="9" customFormat="1" ht="16.899999999999999" customHeight="1">
      <c r="A110" s="371"/>
      <c r="B110" s="371"/>
      <c r="C110" s="206"/>
      <c r="D110" s="79"/>
      <c r="E110" s="368"/>
      <c r="F110" s="81" t="s">
        <v>54</v>
      </c>
      <c r="G110" s="78">
        <f>+G111</f>
        <v>381989.5</v>
      </c>
      <c r="H110" s="78">
        <f t="shared" ref="H110:J111" si="46">+H111</f>
        <v>979780.89999999991</v>
      </c>
      <c r="I110" s="78">
        <f t="shared" si="46"/>
        <v>1166979.8</v>
      </c>
      <c r="J110" s="78">
        <f t="shared" si="46"/>
        <v>1354178.7</v>
      </c>
    </row>
    <row r="111" spans="1:11" s="9" customFormat="1">
      <c r="A111" s="371"/>
      <c r="B111" s="371"/>
      <c r="C111" s="206"/>
      <c r="D111" s="79"/>
      <c r="E111" s="368"/>
      <c r="F111" s="81" t="s">
        <v>55</v>
      </c>
      <c r="G111" s="78">
        <f>+G112</f>
        <v>381989.5</v>
      </c>
      <c r="H111" s="78">
        <f t="shared" si="46"/>
        <v>979780.89999999991</v>
      </c>
      <c r="I111" s="78">
        <f t="shared" si="46"/>
        <v>1166979.8</v>
      </c>
      <c r="J111" s="78">
        <f t="shared" si="46"/>
        <v>1354178.7</v>
      </c>
    </row>
    <row r="112" spans="1:11" s="9" customFormat="1">
      <c r="A112" s="371"/>
      <c r="B112" s="371"/>
      <c r="C112" s="206"/>
      <c r="D112" s="79"/>
      <c r="E112" s="368"/>
      <c r="F112" s="261" t="s">
        <v>56</v>
      </c>
      <c r="G112" s="78">
        <f>+G113</f>
        <v>381989.5</v>
      </c>
      <c r="H112" s="78">
        <f t="shared" ref="H112:J112" si="47">+H113</f>
        <v>979780.89999999991</v>
      </c>
      <c r="I112" s="78">
        <f t="shared" si="47"/>
        <v>1166979.8</v>
      </c>
      <c r="J112" s="78">
        <f t="shared" si="47"/>
        <v>1354178.7</v>
      </c>
      <c r="K112" s="13"/>
    </row>
    <row r="113" spans="1:11" s="9" customFormat="1">
      <c r="A113" s="371"/>
      <c r="B113" s="371"/>
      <c r="C113" s="206"/>
      <c r="D113" s="79"/>
      <c r="E113" s="368"/>
      <c r="F113" s="261" t="s">
        <v>91</v>
      </c>
      <c r="G113" s="78">
        <f>+'Հավելված N 5'!E92</f>
        <v>381989.5</v>
      </c>
      <c r="H113" s="78">
        <f>+'Հավելված N 5'!F92</f>
        <v>979780.89999999991</v>
      </c>
      <c r="I113" s="78">
        <f>+'Հավելված N 5'!G92</f>
        <v>1166979.8</v>
      </c>
      <c r="J113" s="78">
        <f>+'Հավելված N 5'!H92</f>
        <v>1354178.7</v>
      </c>
      <c r="K113" s="13"/>
    </row>
    <row r="114" spans="1:11" s="12" customFormat="1" ht="36.6" customHeight="1">
      <c r="A114" s="371"/>
      <c r="B114" s="371"/>
      <c r="C114" s="206"/>
      <c r="D114" s="79"/>
      <c r="E114" s="368"/>
      <c r="F114" s="86" t="s">
        <v>217</v>
      </c>
      <c r="G114" s="87">
        <f>+G116</f>
        <v>0</v>
      </c>
      <c r="H114" s="87">
        <f t="shared" ref="H114:J114" si="48">+H116</f>
        <v>-270000</v>
      </c>
      <c r="I114" s="87">
        <f t="shared" si="48"/>
        <v>-630000</v>
      </c>
      <c r="J114" s="87">
        <f t="shared" si="48"/>
        <v>-900000</v>
      </c>
    </row>
    <row r="115" spans="1:11" s="9" customFormat="1" ht="51.75">
      <c r="A115" s="371"/>
      <c r="B115" s="371"/>
      <c r="C115" s="206"/>
      <c r="D115" s="79"/>
      <c r="E115" s="368"/>
      <c r="F115" s="81" t="s">
        <v>13</v>
      </c>
      <c r="G115" s="78"/>
      <c r="H115" s="88"/>
      <c r="I115" s="89"/>
      <c r="J115" s="88"/>
    </row>
    <row r="116" spans="1:11" s="9" customFormat="1" ht="16.899999999999999" customHeight="1">
      <c r="A116" s="371"/>
      <c r="B116" s="371"/>
      <c r="C116" s="206"/>
      <c r="D116" s="79"/>
      <c r="E116" s="368"/>
      <c r="F116" s="90" t="s">
        <v>7</v>
      </c>
      <c r="G116" s="80">
        <f>G117</f>
        <v>0</v>
      </c>
      <c r="H116" s="80">
        <f t="shared" ref="H116:J116" si="49">H117</f>
        <v>-270000</v>
      </c>
      <c r="I116" s="80">
        <f t="shared" si="49"/>
        <v>-630000</v>
      </c>
      <c r="J116" s="80">
        <f t="shared" si="49"/>
        <v>-900000</v>
      </c>
    </row>
    <row r="117" spans="1:11" s="9" customFormat="1" ht="16.899999999999999" customHeight="1">
      <c r="A117" s="371"/>
      <c r="B117" s="371"/>
      <c r="C117" s="206"/>
      <c r="D117" s="79"/>
      <c r="E117" s="368"/>
      <c r="F117" s="81" t="s">
        <v>54</v>
      </c>
      <c r="G117" s="78">
        <f>+G118</f>
        <v>0</v>
      </c>
      <c r="H117" s="78">
        <f t="shared" ref="H117:J119" si="50">+H118</f>
        <v>-270000</v>
      </c>
      <c r="I117" s="78">
        <f t="shared" si="50"/>
        <v>-630000</v>
      </c>
      <c r="J117" s="78">
        <f t="shared" si="50"/>
        <v>-900000</v>
      </c>
    </row>
    <row r="118" spans="1:11" s="9" customFormat="1">
      <c r="A118" s="371"/>
      <c r="B118" s="371"/>
      <c r="C118" s="206"/>
      <c r="D118" s="79"/>
      <c r="E118" s="368"/>
      <c r="F118" s="81" t="s">
        <v>55</v>
      </c>
      <c r="G118" s="78">
        <f>+G119</f>
        <v>0</v>
      </c>
      <c r="H118" s="78">
        <f t="shared" si="50"/>
        <v>-270000</v>
      </c>
      <c r="I118" s="78">
        <f t="shared" si="50"/>
        <v>-630000</v>
      </c>
      <c r="J118" s="78">
        <f t="shared" si="50"/>
        <v>-900000</v>
      </c>
    </row>
    <row r="119" spans="1:11" s="9" customFormat="1">
      <c r="A119" s="371"/>
      <c r="B119" s="371"/>
      <c r="C119" s="206"/>
      <c r="D119" s="79"/>
      <c r="E119" s="368"/>
      <c r="F119" s="261" t="s">
        <v>56</v>
      </c>
      <c r="G119" s="78">
        <f>+G120</f>
        <v>0</v>
      </c>
      <c r="H119" s="78">
        <f t="shared" si="50"/>
        <v>-270000</v>
      </c>
      <c r="I119" s="78">
        <f t="shared" si="50"/>
        <v>-630000</v>
      </c>
      <c r="J119" s="78">
        <f t="shared" si="50"/>
        <v>-900000</v>
      </c>
      <c r="K119" s="13"/>
    </row>
    <row r="120" spans="1:11" s="9" customFormat="1">
      <c r="A120" s="371"/>
      <c r="B120" s="371"/>
      <c r="C120" s="206"/>
      <c r="D120" s="79"/>
      <c r="E120" s="369"/>
      <c r="F120" s="261" t="s">
        <v>91</v>
      </c>
      <c r="G120" s="78">
        <f>+'Հավելված N 5'!E118</f>
        <v>0</v>
      </c>
      <c r="H120" s="78">
        <f>+'Հավելված N 5'!F118</f>
        <v>-270000</v>
      </c>
      <c r="I120" s="78">
        <f>+'Հավելված N 5'!G118</f>
        <v>-630000</v>
      </c>
      <c r="J120" s="78">
        <f>+'Հավելված N 5'!H118</f>
        <v>-900000</v>
      </c>
      <c r="K120" s="13"/>
    </row>
    <row r="121" spans="1:11" s="9" customFormat="1">
      <c r="A121" s="371"/>
      <c r="B121" s="371"/>
      <c r="C121" s="206"/>
      <c r="D121" s="79"/>
      <c r="E121" s="84">
        <v>32005</v>
      </c>
      <c r="F121" s="115" t="s">
        <v>96</v>
      </c>
      <c r="G121" s="85">
        <f>+G123</f>
        <v>-2352424.9</v>
      </c>
      <c r="H121" s="85">
        <f t="shared" ref="H121:J121" si="51">+H123</f>
        <v>149347.79999999993</v>
      </c>
      <c r="I121" s="85">
        <f t="shared" si="51"/>
        <v>-192550.89999999991</v>
      </c>
      <c r="J121" s="85">
        <f t="shared" si="51"/>
        <v>-534449.80000000005</v>
      </c>
    </row>
    <row r="122" spans="1:11" s="9" customFormat="1">
      <c r="A122" s="371"/>
      <c r="B122" s="371"/>
      <c r="C122" s="206"/>
      <c r="D122" s="79"/>
      <c r="E122" s="382"/>
      <c r="F122" s="81" t="s">
        <v>16</v>
      </c>
      <c r="G122" s="80"/>
      <c r="H122" s="80"/>
      <c r="I122" s="80"/>
      <c r="J122" s="80"/>
    </row>
    <row r="123" spans="1:11" s="12" customFormat="1" ht="36.6" customHeight="1">
      <c r="A123" s="371"/>
      <c r="B123" s="371"/>
      <c r="C123" s="206"/>
      <c r="D123" s="79"/>
      <c r="E123" s="382"/>
      <c r="F123" s="86" t="s">
        <v>12</v>
      </c>
      <c r="G123" s="87">
        <f>+G125</f>
        <v>-2352424.9</v>
      </c>
      <c r="H123" s="87">
        <f t="shared" ref="H123:J123" si="52">+H125</f>
        <v>149347.79999999993</v>
      </c>
      <c r="I123" s="87">
        <f t="shared" si="52"/>
        <v>-192550.89999999991</v>
      </c>
      <c r="J123" s="87">
        <f t="shared" si="52"/>
        <v>-534449.80000000005</v>
      </c>
    </row>
    <row r="124" spans="1:11" s="9" customFormat="1" ht="51.75">
      <c r="A124" s="371"/>
      <c r="B124" s="371"/>
      <c r="C124" s="206"/>
      <c r="D124" s="79"/>
      <c r="E124" s="382"/>
      <c r="F124" s="81" t="s">
        <v>13</v>
      </c>
      <c r="G124" s="78"/>
      <c r="H124" s="88"/>
      <c r="I124" s="89"/>
      <c r="J124" s="88"/>
    </row>
    <row r="125" spans="1:11" s="9" customFormat="1" ht="16.899999999999999" customHeight="1">
      <c r="A125" s="371"/>
      <c r="B125" s="371"/>
      <c r="C125" s="206"/>
      <c r="D125" s="79"/>
      <c r="E125" s="382"/>
      <c r="F125" s="90" t="s">
        <v>7</v>
      </c>
      <c r="G125" s="80">
        <f>G126</f>
        <v>-2352424.9</v>
      </c>
      <c r="H125" s="80">
        <f t="shared" ref="H125:J125" si="53">H126</f>
        <v>149347.79999999993</v>
      </c>
      <c r="I125" s="80">
        <f t="shared" si="53"/>
        <v>-192550.89999999991</v>
      </c>
      <c r="J125" s="80">
        <f t="shared" si="53"/>
        <v>-534449.80000000005</v>
      </c>
    </row>
    <row r="126" spans="1:11" s="9" customFormat="1" ht="16.899999999999999" customHeight="1">
      <c r="A126" s="371"/>
      <c r="B126" s="371"/>
      <c r="C126" s="206"/>
      <c r="D126" s="79"/>
      <c r="E126" s="382"/>
      <c r="F126" s="81" t="s">
        <v>54</v>
      </c>
      <c r="G126" s="78">
        <f>+G127</f>
        <v>-2352424.9</v>
      </c>
      <c r="H126" s="78">
        <f t="shared" ref="H126:J127" si="54">+H127</f>
        <v>149347.79999999993</v>
      </c>
      <c r="I126" s="78">
        <f t="shared" si="54"/>
        <v>-192550.89999999991</v>
      </c>
      <c r="J126" s="78">
        <f t="shared" si="54"/>
        <v>-534449.80000000005</v>
      </c>
    </row>
    <row r="127" spans="1:11" s="9" customFormat="1">
      <c r="A127" s="371"/>
      <c r="B127" s="371"/>
      <c r="C127" s="206"/>
      <c r="D127" s="79"/>
      <c r="E127" s="382"/>
      <c r="F127" s="81" t="s">
        <v>55</v>
      </c>
      <c r="G127" s="78">
        <f>+G128</f>
        <v>-2352424.9</v>
      </c>
      <c r="H127" s="78">
        <f t="shared" si="54"/>
        <v>149347.79999999993</v>
      </c>
      <c r="I127" s="78">
        <f t="shared" si="54"/>
        <v>-192550.89999999991</v>
      </c>
      <c r="J127" s="78">
        <f t="shared" si="54"/>
        <v>-534449.80000000005</v>
      </c>
    </row>
    <row r="128" spans="1:11" s="9" customFormat="1">
      <c r="A128" s="371"/>
      <c r="B128" s="371"/>
      <c r="C128" s="206"/>
      <c r="D128" s="79"/>
      <c r="E128" s="382"/>
      <c r="F128" s="261" t="s">
        <v>56</v>
      </c>
      <c r="G128" s="78">
        <f>+G129</f>
        <v>-2352424.9</v>
      </c>
      <c r="H128" s="78">
        <f t="shared" ref="H128:J128" si="55">+H129</f>
        <v>149347.79999999993</v>
      </c>
      <c r="I128" s="78">
        <f t="shared" si="55"/>
        <v>-192550.89999999991</v>
      </c>
      <c r="J128" s="78">
        <f t="shared" si="55"/>
        <v>-534449.80000000005</v>
      </c>
      <c r="K128" s="13"/>
    </row>
    <row r="129" spans="1:11" s="9" customFormat="1">
      <c r="A129" s="371"/>
      <c r="B129" s="371"/>
      <c r="C129" s="206"/>
      <c r="D129" s="79"/>
      <c r="E129" s="382"/>
      <c r="F129" s="261" t="s">
        <v>47</v>
      </c>
      <c r="G129" s="78">
        <f>+'Հավելված N 5'!E121</f>
        <v>-2352424.9</v>
      </c>
      <c r="H129" s="78">
        <f>+'Հավելված N 5'!F121</f>
        <v>149347.79999999993</v>
      </c>
      <c r="I129" s="78">
        <f>+'Հավելված N 5'!G121</f>
        <v>-192550.89999999991</v>
      </c>
      <c r="J129" s="78">
        <f>+'Հավելված N 5'!H121</f>
        <v>-534449.80000000005</v>
      </c>
      <c r="K129" s="13"/>
    </row>
    <row r="130" spans="1:11" s="9" customFormat="1" ht="19.350000000000001" customHeight="1">
      <c r="A130" s="371"/>
      <c r="B130" s="370" t="s">
        <v>69</v>
      </c>
      <c r="C130" s="378"/>
      <c r="D130" s="387"/>
      <c r="E130" s="32"/>
      <c r="F130" s="205" t="s">
        <v>71</v>
      </c>
      <c r="G130" s="5">
        <f>+G132</f>
        <v>10000</v>
      </c>
      <c r="H130" s="5">
        <f t="shared" ref="H130:J130" si="56">+H132</f>
        <v>200007.19999999998</v>
      </c>
      <c r="I130" s="5">
        <f t="shared" si="56"/>
        <v>263342.89999999997</v>
      </c>
      <c r="J130" s="5">
        <f t="shared" si="56"/>
        <v>326678.8</v>
      </c>
    </row>
    <row r="131" spans="1:11" s="9" customFormat="1" ht="16.899999999999999" customHeight="1">
      <c r="A131" s="371"/>
      <c r="B131" s="371"/>
      <c r="C131" s="378"/>
      <c r="D131" s="387"/>
      <c r="E131" s="32"/>
      <c r="F131" s="81" t="s">
        <v>6</v>
      </c>
      <c r="G131" s="5"/>
      <c r="H131" s="4"/>
      <c r="I131" s="5"/>
      <c r="J131" s="4"/>
    </row>
    <row r="132" spans="1:11" s="9" customFormat="1" ht="19.7" customHeight="1">
      <c r="A132" s="371"/>
      <c r="B132" s="371"/>
      <c r="C132" s="370" t="s">
        <v>70</v>
      </c>
      <c r="D132" s="388"/>
      <c r="E132" s="32"/>
      <c r="F132" s="205" t="s">
        <v>71</v>
      </c>
      <c r="G132" s="5">
        <f t="shared" ref="G132:J132" si="57">+G134</f>
        <v>10000</v>
      </c>
      <c r="H132" s="5">
        <f t="shared" si="57"/>
        <v>200007.19999999998</v>
      </c>
      <c r="I132" s="5">
        <f t="shared" si="57"/>
        <v>263342.89999999997</v>
      </c>
      <c r="J132" s="5">
        <f t="shared" si="57"/>
        <v>326678.8</v>
      </c>
    </row>
    <row r="133" spans="1:11" s="9" customFormat="1" ht="16.899999999999999" customHeight="1">
      <c r="A133" s="371"/>
      <c r="B133" s="371"/>
      <c r="C133" s="371"/>
      <c r="D133" s="388"/>
      <c r="E133" s="32"/>
      <c r="F133" s="81" t="s">
        <v>6</v>
      </c>
      <c r="G133" s="5"/>
      <c r="H133" s="10"/>
      <c r="I133" s="5"/>
      <c r="J133" s="10"/>
    </row>
    <row r="134" spans="1:11" s="9" customFormat="1" ht="34.5">
      <c r="A134" s="371"/>
      <c r="B134" s="371"/>
      <c r="C134" s="371"/>
      <c r="D134" s="388"/>
      <c r="E134" s="32"/>
      <c r="F134" s="82" t="s">
        <v>12</v>
      </c>
      <c r="G134" s="5">
        <f>+G136+G147</f>
        <v>10000</v>
      </c>
      <c r="H134" s="5">
        <f t="shared" ref="H134:J134" si="58">+H136+H147</f>
        <v>200007.19999999998</v>
      </c>
      <c r="I134" s="5">
        <f t="shared" si="58"/>
        <v>263342.89999999997</v>
      </c>
      <c r="J134" s="5">
        <f t="shared" si="58"/>
        <v>326678.8</v>
      </c>
    </row>
    <row r="135" spans="1:11" s="9" customFormat="1" ht="16.899999999999999" customHeight="1">
      <c r="A135" s="371"/>
      <c r="B135" s="371"/>
      <c r="C135" s="371"/>
      <c r="D135" s="388"/>
      <c r="E135" s="41"/>
      <c r="F135" s="81" t="s">
        <v>6</v>
      </c>
      <c r="G135" s="5"/>
      <c r="H135" s="5"/>
      <c r="I135" s="5"/>
      <c r="J135" s="5"/>
    </row>
    <row r="136" spans="1:11" s="9" customFormat="1">
      <c r="A136" s="371"/>
      <c r="B136" s="371"/>
      <c r="C136" s="371"/>
      <c r="D136" s="84">
        <v>1163</v>
      </c>
      <c r="E136" s="353" t="s">
        <v>81</v>
      </c>
      <c r="F136" s="353"/>
      <c r="G136" s="1">
        <f>+G138</f>
        <v>0</v>
      </c>
      <c r="H136" s="1">
        <f t="shared" ref="H136:J136" si="59">+H138</f>
        <v>190007.19999999998</v>
      </c>
      <c r="I136" s="1">
        <f t="shared" si="59"/>
        <v>253342.89999999997</v>
      </c>
      <c r="J136" s="1">
        <f t="shared" si="59"/>
        <v>316678.8</v>
      </c>
    </row>
    <row r="137" spans="1:11" s="9" customFormat="1" ht="16.899999999999999" customHeight="1">
      <c r="A137" s="371"/>
      <c r="B137" s="371"/>
      <c r="C137" s="371"/>
      <c r="D137" s="130"/>
      <c r="E137" s="203"/>
      <c r="F137" s="81" t="s">
        <v>6</v>
      </c>
      <c r="G137" s="1"/>
      <c r="H137" s="1"/>
      <c r="I137" s="1"/>
      <c r="J137" s="1"/>
    </row>
    <row r="138" spans="1:11" s="9" customFormat="1">
      <c r="A138" s="371"/>
      <c r="B138" s="371"/>
      <c r="C138" s="371"/>
      <c r="D138" s="130"/>
      <c r="E138" s="84">
        <v>32001</v>
      </c>
      <c r="F138" s="211" t="s">
        <v>82</v>
      </c>
      <c r="G138" s="11">
        <f>+G140</f>
        <v>0</v>
      </c>
      <c r="H138" s="11">
        <f t="shared" ref="H138:J138" si="60">+H140</f>
        <v>190007.19999999998</v>
      </c>
      <c r="I138" s="11">
        <f t="shared" si="60"/>
        <v>253342.89999999997</v>
      </c>
      <c r="J138" s="11">
        <f t="shared" si="60"/>
        <v>316678.8</v>
      </c>
    </row>
    <row r="139" spans="1:11" s="9" customFormat="1" ht="15.6" customHeight="1">
      <c r="A139" s="371"/>
      <c r="B139" s="371"/>
      <c r="C139" s="371"/>
      <c r="D139" s="130"/>
      <c r="E139" s="367"/>
      <c r="F139" s="81" t="s">
        <v>16</v>
      </c>
      <c r="G139" s="5"/>
      <c r="H139" s="4"/>
      <c r="I139" s="5"/>
      <c r="J139" s="4"/>
    </row>
    <row r="140" spans="1:11" s="12" customFormat="1" ht="36.6" customHeight="1">
      <c r="A140" s="371"/>
      <c r="B140" s="371"/>
      <c r="C140" s="371"/>
      <c r="D140" s="130"/>
      <c r="E140" s="368"/>
      <c r="F140" s="86" t="s">
        <v>12</v>
      </c>
      <c r="G140" s="42">
        <f t="shared" ref="G140:J140" si="61">+G142</f>
        <v>0</v>
      </c>
      <c r="H140" s="42">
        <f t="shared" si="61"/>
        <v>190007.19999999998</v>
      </c>
      <c r="I140" s="42">
        <f t="shared" si="61"/>
        <v>253342.89999999997</v>
      </c>
      <c r="J140" s="42">
        <f t="shared" si="61"/>
        <v>316678.8</v>
      </c>
    </row>
    <row r="141" spans="1:11" s="9" customFormat="1" ht="51.75">
      <c r="A141" s="371"/>
      <c r="B141" s="371"/>
      <c r="C141" s="371"/>
      <c r="D141" s="130"/>
      <c r="E141" s="368"/>
      <c r="F141" s="81" t="s">
        <v>13</v>
      </c>
      <c r="G141" s="6"/>
      <c r="H141" s="4"/>
      <c r="I141" s="43"/>
      <c r="J141" s="4"/>
    </row>
    <row r="142" spans="1:11" s="9" customFormat="1" ht="16.899999999999999" customHeight="1">
      <c r="A142" s="371"/>
      <c r="B142" s="371"/>
      <c r="C142" s="371"/>
      <c r="D142" s="130"/>
      <c r="E142" s="368"/>
      <c r="F142" s="90" t="s">
        <v>7</v>
      </c>
      <c r="G142" s="5">
        <f>+G143</f>
        <v>0</v>
      </c>
      <c r="H142" s="5">
        <f t="shared" ref="H142:J142" si="62">+H143</f>
        <v>190007.19999999998</v>
      </c>
      <c r="I142" s="5">
        <f t="shared" si="62"/>
        <v>253342.89999999997</v>
      </c>
      <c r="J142" s="5">
        <f t="shared" si="62"/>
        <v>316678.8</v>
      </c>
    </row>
    <row r="143" spans="1:11" s="9" customFormat="1" ht="16.899999999999999" customHeight="1">
      <c r="A143" s="371"/>
      <c r="B143" s="371"/>
      <c r="C143" s="371"/>
      <c r="D143" s="130"/>
      <c r="E143" s="368"/>
      <c r="F143" s="81" t="s">
        <v>54</v>
      </c>
      <c r="G143" s="6">
        <f>+G144</f>
        <v>0</v>
      </c>
      <c r="H143" s="6">
        <f t="shared" ref="H143:J144" si="63">+H144</f>
        <v>190007.19999999998</v>
      </c>
      <c r="I143" s="43">
        <f t="shared" si="63"/>
        <v>253342.89999999997</v>
      </c>
      <c r="J143" s="6">
        <f t="shared" si="63"/>
        <v>316678.8</v>
      </c>
    </row>
    <row r="144" spans="1:11" s="9" customFormat="1" ht="15.6" customHeight="1">
      <c r="A144" s="371"/>
      <c r="B144" s="371"/>
      <c r="C144" s="371"/>
      <c r="D144" s="130"/>
      <c r="E144" s="368"/>
      <c r="F144" s="81" t="s">
        <v>55</v>
      </c>
      <c r="G144" s="6">
        <f>+G145</f>
        <v>0</v>
      </c>
      <c r="H144" s="6">
        <f t="shared" si="63"/>
        <v>190007.19999999998</v>
      </c>
      <c r="I144" s="6">
        <f t="shared" si="63"/>
        <v>253342.89999999997</v>
      </c>
      <c r="J144" s="6">
        <f t="shared" si="63"/>
        <v>316678.8</v>
      </c>
    </row>
    <row r="145" spans="1:11" s="9" customFormat="1" ht="15.6" customHeight="1">
      <c r="A145" s="371"/>
      <c r="B145" s="371"/>
      <c r="C145" s="371"/>
      <c r="D145" s="130"/>
      <c r="E145" s="368"/>
      <c r="F145" s="261" t="s">
        <v>56</v>
      </c>
      <c r="G145" s="33">
        <f>+G146</f>
        <v>0</v>
      </c>
      <c r="H145" s="33">
        <f t="shared" ref="H145:J145" si="64">+H146</f>
        <v>190007.19999999998</v>
      </c>
      <c r="I145" s="33">
        <f t="shared" si="64"/>
        <v>253342.89999999997</v>
      </c>
      <c r="J145" s="33">
        <f t="shared" si="64"/>
        <v>316678.8</v>
      </c>
      <c r="K145" s="13"/>
    </row>
    <row r="146" spans="1:11" s="9" customFormat="1" ht="15.6" customHeight="1">
      <c r="A146" s="371"/>
      <c r="B146" s="371"/>
      <c r="C146" s="371"/>
      <c r="D146" s="130"/>
      <c r="E146" s="368"/>
      <c r="F146" s="261" t="s">
        <v>47</v>
      </c>
      <c r="G146" s="33">
        <f>+'Հավելված N 5'!E15</f>
        <v>0</v>
      </c>
      <c r="H146" s="33">
        <f>+'Հավելված N 5'!F15</f>
        <v>190007.19999999998</v>
      </c>
      <c r="I146" s="33">
        <f>+'Հավելված N 5'!G15</f>
        <v>253342.89999999997</v>
      </c>
      <c r="J146" s="33">
        <f>+'Հավելված N 5'!H15</f>
        <v>316678.8</v>
      </c>
      <c r="K146" s="13"/>
    </row>
    <row r="147" spans="1:11" s="9" customFormat="1" ht="34.35" customHeight="1">
      <c r="A147" s="371"/>
      <c r="B147" s="371"/>
      <c r="C147" s="371"/>
      <c r="D147" s="116">
        <v>1189</v>
      </c>
      <c r="E147" s="365" t="s">
        <v>325</v>
      </c>
      <c r="F147" s="353"/>
      <c r="G147" s="1">
        <f>+G149</f>
        <v>10000</v>
      </c>
      <c r="H147" s="1">
        <f t="shared" ref="H147:J147" si="65">+H149</f>
        <v>10000</v>
      </c>
      <c r="I147" s="1">
        <f t="shared" si="65"/>
        <v>10000</v>
      </c>
      <c r="J147" s="1">
        <f t="shared" si="65"/>
        <v>10000</v>
      </c>
    </row>
    <row r="148" spans="1:11" s="9" customFormat="1" ht="16.899999999999999" customHeight="1">
      <c r="A148" s="371"/>
      <c r="B148" s="371"/>
      <c r="C148" s="371"/>
      <c r="D148" s="79"/>
      <c r="E148" s="282"/>
      <c r="F148" s="81" t="s">
        <v>6</v>
      </c>
      <c r="G148" s="1"/>
      <c r="H148" s="1"/>
      <c r="I148" s="1"/>
      <c r="J148" s="1"/>
    </row>
    <row r="149" spans="1:11" s="9" customFormat="1" ht="51.75">
      <c r="A149" s="371"/>
      <c r="B149" s="371"/>
      <c r="C149" s="371"/>
      <c r="D149" s="79"/>
      <c r="E149" s="283">
        <v>11001</v>
      </c>
      <c r="F149" s="95" t="s">
        <v>317</v>
      </c>
      <c r="G149" s="11">
        <f>+G151</f>
        <v>10000</v>
      </c>
      <c r="H149" s="11">
        <f t="shared" ref="H149:J149" si="66">+H151</f>
        <v>10000</v>
      </c>
      <c r="I149" s="11">
        <f t="shared" si="66"/>
        <v>10000</v>
      </c>
      <c r="J149" s="11">
        <f t="shared" si="66"/>
        <v>10000</v>
      </c>
    </row>
    <row r="150" spans="1:11" s="9" customFormat="1" ht="15.6" customHeight="1">
      <c r="A150" s="371"/>
      <c r="B150" s="371"/>
      <c r="C150" s="371"/>
      <c r="D150" s="79"/>
      <c r="E150" s="379"/>
      <c r="F150" s="81" t="s">
        <v>16</v>
      </c>
      <c r="G150" s="5"/>
      <c r="H150" s="4"/>
      <c r="I150" s="5"/>
      <c r="J150" s="4"/>
    </row>
    <row r="151" spans="1:11" s="12" customFormat="1" ht="36.6" customHeight="1">
      <c r="A151" s="371"/>
      <c r="B151" s="371"/>
      <c r="C151" s="371"/>
      <c r="D151" s="79"/>
      <c r="E151" s="380"/>
      <c r="F151" s="86" t="s">
        <v>326</v>
      </c>
      <c r="G151" s="42">
        <f t="shared" ref="G151:J151" si="67">+G153</f>
        <v>10000</v>
      </c>
      <c r="H151" s="42">
        <f t="shared" si="67"/>
        <v>10000</v>
      </c>
      <c r="I151" s="42">
        <f t="shared" si="67"/>
        <v>10000</v>
      </c>
      <c r="J151" s="42">
        <f t="shared" si="67"/>
        <v>10000</v>
      </c>
    </row>
    <row r="152" spans="1:11" s="9" customFormat="1" ht="51.75">
      <c r="A152" s="371"/>
      <c r="B152" s="371"/>
      <c r="C152" s="371"/>
      <c r="D152" s="79"/>
      <c r="E152" s="380"/>
      <c r="F152" s="81" t="s">
        <v>13</v>
      </c>
      <c r="G152" s="6"/>
      <c r="H152" s="4"/>
      <c r="I152" s="43"/>
      <c r="J152" s="4"/>
    </row>
    <row r="153" spans="1:11" s="9" customFormat="1" ht="16.899999999999999" customHeight="1">
      <c r="A153" s="371"/>
      <c r="B153" s="371"/>
      <c r="C153" s="371"/>
      <c r="D153" s="79"/>
      <c r="E153" s="380"/>
      <c r="F153" s="90" t="s">
        <v>7</v>
      </c>
      <c r="G153" s="5">
        <f>+G154</f>
        <v>10000</v>
      </c>
      <c r="H153" s="5">
        <f t="shared" ref="H153:J156" si="68">+H154</f>
        <v>10000</v>
      </c>
      <c r="I153" s="5">
        <f t="shared" si="68"/>
        <v>10000</v>
      </c>
      <c r="J153" s="5">
        <f t="shared" si="68"/>
        <v>10000</v>
      </c>
    </row>
    <row r="154" spans="1:11" s="9" customFormat="1" ht="16.899999999999999" customHeight="1">
      <c r="A154" s="371"/>
      <c r="B154" s="371"/>
      <c r="C154" s="371"/>
      <c r="D154" s="79"/>
      <c r="E154" s="380"/>
      <c r="F154" s="81" t="s">
        <v>318</v>
      </c>
      <c r="G154" s="6">
        <f>+G155</f>
        <v>10000</v>
      </c>
      <c r="H154" s="6">
        <f t="shared" si="68"/>
        <v>10000</v>
      </c>
      <c r="I154" s="43">
        <f t="shared" si="68"/>
        <v>10000</v>
      </c>
      <c r="J154" s="6">
        <f t="shared" si="68"/>
        <v>10000</v>
      </c>
    </row>
    <row r="155" spans="1:11" s="9" customFormat="1" ht="15.6" customHeight="1">
      <c r="A155" s="371"/>
      <c r="B155" s="371"/>
      <c r="C155" s="371"/>
      <c r="D155" s="79"/>
      <c r="E155" s="380"/>
      <c r="F155" s="81" t="s">
        <v>319</v>
      </c>
      <c r="G155" s="6">
        <f>+G156</f>
        <v>10000</v>
      </c>
      <c r="H155" s="6">
        <f t="shared" si="68"/>
        <v>10000</v>
      </c>
      <c r="I155" s="6">
        <f t="shared" si="68"/>
        <v>10000</v>
      </c>
      <c r="J155" s="6">
        <f t="shared" si="68"/>
        <v>10000</v>
      </c>
    </row>
    <row r="156" spans="1:11" s="9" customFormat="1" ht="15.6" customHeight="1">
      <c r="A156" s="371"/>
      <c r="B156" s="371"/>
      <c r="C156" s="371"/>
      <c r="D156" s="79"/>
      <c r="E156" s="380"/>
      <c r="F156" s="261" t="s">
        <v>321</v>
      </c>
      <c r="G156" s="33">
        <f>+G157</f>
        <v>10000</v>
      </c>
      <c r="H156" s="33">
        <f t="shared" si="68"/>
        <v>10000</v>
      </c>
      <c r="I156" s="33">
        <f t="shared" si="68"/>
        <v>10000</v>
      </c>
      <c r="J156" s="33">
        <f t="shared" si="68"/>
        <v>10000</v>
      </c>
      <c r="K156" s="13"/>
    </row>
    <row r="157" spans="1:11" s="9" customFormat="1" ht="15.6" customHeight="1">
      <c r="A157" s="375"/>
      <c r="B157" s="375"/>
      <c r="C157" s="375"/>
      <c r="D157" s="129"/>
      <c r="E157" s="381"/>
      <c r="F157" s="261" t="s">
        <v>320</v>
      </c>
      <c r="G157" s="33">
        <f>+'Հավելված N 6'!D22</f>
        <v>10000</v>
      </c>
      <c r="H157" s="33">
        <f>+'Հավելված N 6'!G22</f>
        <v>10000</v>
      </c>
      <c r="I157" s="33">
        <f>+'Հավելված N 6'!J22</f>
        <v>10000</v>
      </c>
      <c r="J157" s="33">
        <f>+'Հավելված N 6'!M22</f>
        <v>10000</v>
      </c>
      <c r="K157" s="13"/>
    </row>
    <row r="159" spans="1:11" s="9" customFormat="1" ht="32.450000000000003" customHeight="1">
      <c r="A159" s="81"/>
      <c r="B159" s="81"/>
      <c r="C159" s="81"/>
      <c r="D159" s="97"/>
      <c r="E159" s="97"/>
      <c r="F159" s="205" t="s">
        <v>398</v>
      </c>
      <c r="G159" s="83">
        <f>+G160+G198</f>
        <v>0</v>
      </c>
      <c r="H159" s="83">
        <f>+H160+H198</f>
        <v>0</v>
      </c>
      <c r="I159" s="83">
        <f>+ROUND(I160+I198,1)</f>
        <v>0</v>
      </c>
      <c r="J159" s="83">
        <f>+J160+J198</f>
        <v>0</v>
      </c>
    </row>
    <row r="160" spans="1:11" s="9" customFormat="1" ht="17.649999999999999" customHeight="1">
      <c r="A160" s="357" t="s">
        <v>399</v>
      </c>
      <c r="B160" s="358"/>
      <c r="C160" s="358"/>
      <c r="D160" s="359"/>
      <c r="E160" s="31"/>
      <c r="F160" s="205" t="s">
        <v>388</v>
      </c>
      <c r="G160" s="83">
        <f>+G162</f>
        <v>0</v>
      </c>
      <c r="H160" s="83">
        <f t="shared" ref="H160:J160" si="69">+H162</f>
        <v>0</v>
      </c>
      <c r="I160" s="83">
        <f t="shared" si="69"/>
        <v>0</v>
      </c>
      <c r="J160" s="83">
        <f t="shared" si="69"/>
        <v>0</v>
      </c>
    </row>
    <row r="161" spans="1:10" s="9" customFormat="1" ht="16.899999999999999" customHeight="1">
      <c r="A161" s="357"/>
      <c r="B161" s="358"/>
      <c r="C161" s="358"/>
      <c r="D161" s="360"/>
      <c r="E161" s="32"/>
      <c r="F161" s="81" t="s">
        <v>6</v>
      </c>
      <c r="G161" s="88"/>
      <c r="H161" s="88"/>
      <c r="I161" s="80"/>
      <c r="J161" s="88"/>
    </row>
    <row r="162" spans="1:10" s="9" customFormat="1" ht="34.5">
      <c r="A162" s="357"/>
      <c r="B162" s="362" t="s">
        <v>70</v>
      </c>
      <c r="C162" s="358"/>
      <c r="D162" s="360"/>
      <c r="E162" s="32"/>
      <c r="F162" s="205" t="s">
        <v>390</v>
      </c>
      <c r="G162" s="80">
        <f>+G164</f>
        <v>0</v>
      </c>
      <c r="H162" s="80">
        <f t="shared" ref="H162:J162" si="70">+H164</f>
        <v>0</v>
      </c>
      <c r="I162" s="80">
        <f t="shared" si="70"/>
        <v>0</v>
      </c>
      <c r="J162" s="80">
        <f t="shared" si="70"/>
        <v>0</v>
      </c>
    </row>
    <row r="163" spans="1:10" s="9" customFormat="1" ht="16.899999999999999" customHeight="1">
      <c r="A163" s="357"/>
      <c r="B163" s="362"/>
      <c r="C163" s="358"/>
      <c r="D163" s="360"/>
      <c r="E163" s="32"/>
      <c r="F163" s="81" t="s">
        <v>6</v>
      </c>
      <c r="G163" s="80"/>
      <c r="H163" s="88"/>
      <c r="I163" s="80"/>
      <c r="J163" s="88"/>
    </row>
    <row r="164" spans="1:10" s="9" customFormat="1">
      <c r="A164" s="357"/>
      <c r="B164" s="362"/>
      <c r="C164" s="362" t="s">
        <v>70</v>
      </c>
      <c r="D164" s="360"/>
      <c r="E164" s="32"/>
      <c r="F164" s="205" t="s">
        <v>391</v>
      </c>
      <c r="G164" s="80">
        <f t="shared" ref="G164:J164" si="71">+G166</f>
        <v>0</v>
      </c>
      <c r="H164" s="80">
        <f t="shared" si="71"/>
        <v>0</v>
      </c>
      <c r="I164" s="80">
        <f t="shared" si="71"/>
        <v>0</v>
      </c>
      <c r="J164" s="80">
        <f t="shared" si="71"/>
        <v>0</v>
      </c>
    </row>
    <row r="165" spans="1:10" s="9" customFormat="1" ht="16.899999999999999" customHeight="1">
      <c r="A165" s="357"/>
      <c r="B165" s="362"/>
      <c r="C165" s="362"/>
      <c r="D165" s="360"/>
      <c r="E165" s="32"/>
      <c r="F165" s="81" t="s">
        <v>6</v>
      </c>
      <c r="G165" s="80"/>
      <c r="H165" s="246"/>
      <c r="I165" s="80"/>
      <c r="J165" s="246"/>
    </row>
    <row r="166" spans="1:10" s="9" customFormat="1" ht="34.5">
      <c r="A166" s="357"/>
      <c r="B166" s="362"/>
      <c r="C166" s="362"/>
      <c r="D166" s="360"/>
      <c r="E166" s="32"/>
      <c r="F166" s="82" t="s">
        <v>12</v>
      </c>
      <c r="G166" s="80">
        <f>+G168</f>
        <v>0</v>
      </c>
      <c r="H166" s="80">
        <f t="shared" ref="H166:J166" si="72">+H168</f>
        <v>0</v>
      </c>
      <c r="I166" s="80">
        <f t="shared" si="72"/>
        <v>0</v>
      </c>
      <c r="J166" s="80">
        <f t="shared" si="72"/>
        <v>0</v>
      </c>
    </row>
    <row r="167" spans="1:10" s="9" customFormat="1" ht="16.899999999999999" customHeight="1">
      <c r="A167" s="357"/>
      <c r="B167" s="362"/>
      <c r="C167" s="362"/>
      <c r="D167" s="361"/>
      <c r="E167" s="41"/>
      <c r="F167" s="81" t="s">
        <v>6</v>
      </c>
      <c r="G167" s="80"/>
      <c r="H167" s="246"/>
      <c r="I167" s="80"/>
      <c r="J167" s="246"/>
    </row>
    <row r="168" spans="1:10" s="9" customFormat="1" ht="18" customHeight="1">
      <c r="A168" s="357"/>
      <c r="B168" s="362"/>
      <c r="C168" s="362"/>
      <c r="D168" s="363">
        <v>1139</v>
      </c>
      <c r="E168" s="353" t="s">
        <v>391</v>
      </c>
      <c r="F168" s="353"/>
      <c r="G168" s="83">
        <f>+G170+G178</f>
        <v>0</v>
      </c>
      <c r="H168" s="83">
        <f>+H170+H178</f>
        <v>0</v>
      </c>
      <c r="I168" s="83">
        <f>+I170+I178</f>
        <v>0</v>
      </c>
      <c r="J168" s="83">
        <f>+J170+J178</f>
        <v>0</v>
      </c>
    </row>
    <row r="169" spans="1:10" s="9" customFormat="1" ht="16.899999999999999" customHeight="1">
      <c r="A169" s="357"/>
      <c r="B169" s="362"/>
      <c r="C169" s="362"/>
      <c r="D169" s="363"/>
      <c r="E169" s="203"/>
      <c r="F169" s="81" t="s">
        <v>6</v>
      </c>
      <c r="G169" s="83"/>
      <c r="H169" s="83"/>
      <c r="I169" s="83"/>
      <c r="J169" s="83"/>
    </row>
    <row r="170" spans="1:10" s="9" customFormat="1">
      <c r="A170" s="357"/>
      <c r="B170" s="362"/>
      <c r="C170" s="362"/>
      <c r="D170" s="363"/>
      <c r="E170" s="84">
        <v>11001</v>
      </c>
      <c r="F170" s="211" t="s">
        <v>391</v>
      </c>
      <c r="G170" s="85">
        <f>+G172</f>
        <v>134230.1</v>
      </c>
      <c r="H170" s="85">
        <f t="shared" ref="H170:J170" si="73">+H172</f>
        <v>134230.1</v>
      </c>
      <c r="I170" s="85">
        <f t="shared" si="73"/>
        <v>134230.1</v>
      </c>
      <c r="J170" s="85">
        <f t="shared" si="73"/>
        <v>134230.1</v>
      </c>
    </row>
    <row r="171" spans="1:10" s="9" customFormat="1" ht="15.6" customHeight="1">
      <c r="A171" s="357"/>
      <c r="B171" s="362"/>
      <c r="C171" s="362"/>
      <c r="D171" s="363"/>
      <c r="E171" s="354"/>
      <c r="F171" s="81" t="s">
        <v>16</v>
      </c>
      <c r="G171" s="80"/>
      <c r="H171" s="88"/>
      <c r="I171" s="80"/>
      <c r="J171" s="88"/>
    </row>
    <row r="172" spans="1:10" s="12" customFormat="1" ht="36.6" customHeight="1">
      <c r="A172" s="357"/>
      <c r="B172" s="362"/>
      <c r="C172" s="362"/>
      <c r="D172" s="363"/>
      <c r="E172" s="355"/>
      <c r="F172" s="86" t="s">
        <v>217</v>
      </c>
      <c r="G172" s="87">
        <f t="shared" ref="G172:J172" si="74">+G174</f>
        <v>134230.1</v>
      </c>
      <c r="H172" s="87">
        <f t="shared" si="74"/>
        <v>134230.1</v>
      </c>
      <c r="I172" s="87">
        <f t="shared" si="74"/>
        <v>134230.1</v>
      </c>
      <c r="J172" s="87">
        <f t="shared" si="74"/>
        <v>134230.1</v>
      </c>
    </row>
    <row r="173" spans="1:10" s="9" customFormat="1" ht="51.75">
      <c r="A173" s="357"/>
      <c r="B173" s="362"/>
      <c r="C173" s="362"/>
      <c r="D173" s="363"/>
      <c r="E173" s="355"/>
      <c r="F173" s="81" t="s">
        <v>13</v>
      </c>
      <c r="G173" s="78"/>
      <c r="H173" s="88"/>
      <c r="I173" s="89"/>
      <c r="J173" s="88"/>
    </row>
    <row r="174" spans="1:10" s="9" customFormat="1" ht="16.899999999999999" customHeight="1">
      <c r="A174" s="357"/>
      <c r="B174" s="362"/>
      <c r="C174" s="362"/>
      <c r="D174" s="363"/>
      <c r="E174" s="355"/>
      <c r="F174" s="90" t="s">
        <v>7</v>
      </c>
      <c r="G174" s="80">
        <f>+G175</f>
        <v>134230.1</v>
      </c>
      <c r="H174" s="80">
        <f t="shared" ref="H174:J176" si="75">+H175</f>
        <v>134230.1</v>
      </c>
      <c r="I174" s="80">
        <f t="shared" si="75"/>
        <v>134230.1</v>
      </c>
      <c r="J174" s="80">
        <f t="shared" si="75"/>
        <v>134230.1</v>
      </c>
    </row>
    <row r="175" spans="1:10" s="9" customFormat="1" ht="16.899999999999999" customHeight="1">
      <c r="A175" s="357"/>
      <c r="B175" s="362"/>
      <c r="C175" s="362"/>
      <c r="D175" s="363"/>
      <c r="E175" s="355"/>
      <c r="F175" s="81" t="s">
        <v>318</v>
      </c>
      <c r="G175" s="78">
        <f>+G176</f>
        <v>134230.1</v>
      </c>
      <c r="H175" s="78">
        <f t="shared" si="75"/>
        <v>134230.1</v>
      </c>
      <c r="I175" s="89">
        <f t="shared" si="75"/>
        <v>134230.1</v>
      </c>
      <c r="J175" s="78">
        <f t="shared" si="75"/>
        <v>134230.1</v>
      </c>
    </row>
    <row r="176" spans="1:10" s="9" customFormat="1" ht="15.6" customHeight="1">
      <c r="A176" s="357"/>
      <c r="B176" s="362"/>
      <c r="C176" s="362"/>
      <c r="D176" s="363"/>
      <c r="E176" s="355"/>
      <c r="F176" s="81" t="s">
        <v>319</v>
      </c>
      <c r="G176" s="78">
        <f>+G177</f>
        <v>134230.1</v>
      </c>
      <c r="H176" s="78">
        <f t="shared" si="75"/>
        <v>134230.1</v>
      </c>
      <c r="I176" s="78">
        <f t="shared" si="75"/>
        <v>134230.1</v>
      </c>
      <c r="J176" s="78">
        <f t="shared" si="75"/>
        <v>134230.1</v>
      </c>
    </row>
    <row r="177" spans="1:11" s="9" customFormat="1" ht="15.6" customHeight="1">
      <c r="A177" s="357"/>
      <c r="B177" s="362"/>
      <c r="C177" s="362"/>
      <c r="D177" s="363"/>
      <c r="E177" s="355"/>
      <c r="F177" s="247" t="s">
        <v>400</v>
      </c>
      <c r="G177" s="78">
        <f>+G26</f>
        <v>134230.1</v>
      </c>
      <c r="H177" s="78">
        <f t="shared" ref="H177:J177" si="76">+H26</f>
        <v>134230.1</v>
      </c>
      <c r="I177" s="78">
        <f t="shared" si="76"/>
        <v>134230.1</v>
      </c>
      <c r="J177" s="78">
        <f t="shared" si="76"/>
        <v>134230.1</v>
      </c>
      <c r="K177" s="13"/>
    </row>
    <row r="178" spans="1:11" s="9" customFormat="1">
      <c r="A178" s="357"/>
      <c r="B178" s="362"/>
      <c r="C178" s="362"/>
      <c r="D178" s="363"/>
      <c r="E178" s="84">
        <v>11001</v>
      </c>
      <c r="F178" s="211" t="s">
        <v>391</v>
      </c>
      <c r="G178" s="85">
        <f t="shared" ref="G178:J178" si="77">+G180</f>
        <v>-134230.1</v>
      </c>
      <c r="H178" s="85">
        <f t="shared" si="77"/>
        <v>-134230.1</v>
      </c>
      <c r="I178" s="85">
        <f t="shared" si="77"/>
        <v>-134230.1</v>
      </c>
      <c r="J178" s="85">
        <f t="shared" si="77"/>
        <v>-134230.1</v>
      </c>
    </row>
    <row r="179" spans="1:11" s="9" customFormat="1">
      <c r="A179" s="357"/>
      <c r="B179" s="362"/>
      <c r="C179" s="362"/>
      <c r="D179" s="363"/>
      <c r="E179" s="356"/>
      <c r="F179" s="81" t="s">
        <v>16</v>
      </c>
      <c r="G179" s="80"/>
      <c r="H179" s="88"/>
      <c r="I179" s="80"/>
      <c r="J179" s="88"/>
    </row>
    <row r="180" spans="1:11" s="12" customFormat="1" ht="36.6" customHeight="1">
      <c r="A180" s="357"/>
      <c r="B180" s="362"/>
      <c r="C180" s="362"/>
      <c r="D180" s="363"/>
      <c r="E180" s="356"/>
      <c r="F180" s="86" t="s">
        <v>217</v>
      </c>
      <c r="G180" s="87">
        <f t="shared" ref="G180:J180" si="78">+G182</f>
        <v>-134230.1</v>
      </c>
      <c r="H180" s="87">
        <f t="shared" si="78"/>
        <v>-134230.1</v>
      </c>
      <c r="I180" s="87">
        <f t="shared" si="78"/>
        <v>-134230.1</v>
      </c>
      <c r="J180" s="87">
        <f t="shared" si="78"/>
        <v>-134230.1</v>
      </c>
    </row>
    <row r="181" spans="1:11" s="9" customFormat="1" ht="51.75">
      <c r="A181" s="357"/>
      <c r="B181" s="362"/>
      <c r="C181" s="362"/>
      <c r="D181" s="363"/>
      <c r="E181" s="356"/>
      <c r="F181" s="81" t="s">
        <v>13</v>
      </c>
      <c r="G181" s="78"/>
      <c r="H181" s="88"/>
      <c r="I181" s="89"/>
      <c r="J181" s="88"/>
    </row>
    <row r="182" spans="1:11" s="9" customFormat="1" ht="16.899999999999999" customHeight="1">
      <c r="A182" s="357"/>
      <c r="B182" s="362"/>
      <c r="C182" s="362"/>
      <c r="D182" s="363"/>
      <c r="E182" s="356"/>
      <c r="F182" s="90" t="s">
        <v>7</v>
      </c>
      <c r="G182" s="80">
        <f>+G183</f>
        <v>-134230.1</v>
      </c>
      <c r="H182" s="80">
        <f t="shared" ref="H182:J184" si="79">+H183</f>
        <v>-134230.1</v>
      </c>
      <c r="I182" s="80">
        <f t="shared" si="79"/>
        <v>-134230.1</v>
      </c>
      <c r="J182" s="80">
        <f t="shared" si="79"/>
        <v>-134230.1</v>
      </c>
    </row>
    <row r="183" spans="1:11" s="9" customFormat="1" ht="16.899999999999999" customHeight="1">
      <c r="A183" s="357"/>
      <c r="B183" s="362"/>
      <c r="C183" s="362"/>
      <c r="D183" s="363"/>
      <c r="E183" s="356"/>
      <c r="F183" s="81" t="s">
        <v>318</v>
      </c>
      <c r="G183" s="78">
        <f>+G184</f>
        <v>-134230.1</v>
      </c>
      <c r="H183" s="78">
        <f t="shared" si="79"/>
        <v>-134230.1</v>
      </c>
      <c r="I183" s="89">
        <f t="shared" si="79"/>
        <v>-134230.1</v>
      </c>
      <c r="J183" s="78">
        <f t="shared" si="79"/>
        <v>-134230.1</v>
      </c>
    </row>
    <row r="184" spans="1:11" s="9" customFormat="1">
      <c r="A184" s="357"/>
      <c r="B184" s="362"/>
      <c r="C184" s="362"/>
      <c r="D184" s="363"/>
      <c r="E184" s="356"/>
      <c r="F184" s="81" t="s">
        <v>319</v>
      </c>
      <c r="G184" s="78">
        <f>+G185</f>
        <v>-134230.1</v>
      </c>
      <c r="H184" s="78">
        <f t="shared" si="79"/>
        <v>-134230.1</v>
      </c>
      <c r="I184" s="78">
        <f t="shared" si="79"/>
        <v>-134230.1</v>
      </c>
      <c r="J184" s="78">
        <f t="shared" si="79"/>
        <v>-134230.1</v>
      </c>
    </row>
    <row r="185" spans="1:11" s="9" customFormat="1">
      <c r="A185" s="357"/>
      <c r="B185" s="362"/>
      <c r="C185" s="362"/>
      <c r="D185" s="363"/>
      <c r="E185" s="356"/>
      <c r="F185" s="247" t="s">
        <v>400</v>
      </c>
      <c r="G185" s="78">
        <f>-G177</f>
        <v>-134230.1</v>
      </c>
      <c r="H185" s="78">
        <f t="shared" ref="H185:J185" si="80">-H177</f>
        <v>-134230.1</v>
      </c>
      <c r="I185" s="78">
        <f t="shared" si="80"/>
        <v>-134230.1</v>
      </c>
      <c r="J185" s="78">
        <f t="shared" si="80"/>
        <v>-134230.1</v>
      </c>
      <c r="K185" s="13"/>
    </row>
  </sheetData>
  <mergeCells count="51">
    <mergeCell ref="B79:B129"/>
    <mergeCell ref="C82:C104"/>
    <mergeCell ref="C130:C131"/>
    <mergeCell ref="D130:D135"/>
    <mergeCell ref="C39:C53"/>
    <mergeCell ref="C132:C157"/>
    <mergeCell ref="D79:D84"/>
    <mergeCell ref="C79:C81"/>
    <mergeCell ref="F1:J1"/>
    <mergeCell ref="F3:J3"/>
    <mergeCell ref="A7:J7"/>
    <mergeCell ref="A11:C11"/>
    <mergeCell ref="D11:E11"/>
    <mergeCell ref="F2:J2"/>
    <mergeCell ref="G11:J11"/>
    <mergeCell ref="F11:F12"/>
    <mergeCell ref="E139:E146"/>
    <mergeCell ref="E150:E157"/>
    <mergeCell ref="E79:E84"/>
    <mergeCell ref="E88:E95"/>
    <mergeCell ref="E85:F85"/>
    <mergeCell ref="E97:E104"/>
    <mergeCell ref="E122:E129"/>
    <mergeCell ref="E147:F147"/>
    <mergeCell ref="E136:F136"/>
    <mergeCell ref="E24:F24"/>
    <mergeCell ref="E27:E34"/>
    <mergeCell ref="E64:E71"/>
    <mergeCell ref="E106:E120"/>
    <mergeCell ref="A16:A34"/>
    <mergeCell ref="B16:B17"/>
    <mergeCell ref="C16:C19"/>
    <mergeCell ref="B18:B34"/>
    <mergeCell ref="C20:C34"/>
    <mergeCell ref="E43:F43"/>
    <mergeCell ref="E46:E53"/>
    <mergeCell ref="A35:A157"/>
    <mergeCell ref="B130:B157"/>
    <mergeCell ref="B37:B53"/>
    <mergeCell ref="C35:C38"/>
    <mergeCell ref="B35:B36"/>
    <mergeCell ref="E168:F168"/>
    <mergeCell ref="E171:E177"/>
    <mergeCell ref="E179:E185"/>
    <mergeCell ref="A160:A185"/>
    <mergeCell ref="B160:B161"/>
    <mergeCell ref="C160:C163"/>
    <mergeCell ref="D160:D167"/>
    <mergeCell ref="B162:B185"/>
    <mergeCell ref="C164:C185"/>
    <mergeCell ref="D168:D185"/>
  </mergeCells>
  <pageMargins left="0.7" right="0.7" top="0.75" bottom="0.75" header="0.3" footer="0.3"/>
  <pageSetup paperSize="9" scale="5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R89"/>
  <sheetViews>
    <sheetView topLeftCell="A91" zoomScale="70" zoomScaleNormal="70" workbookViewId="0">
      <selection activeCell="C65" sqref="C65"/>
    </sheetView>
  </sheetViews>
  <sheetFormatPr defaultColWidth="9.140625" defaultRowHeight="17.25"/>
  <cols>
    <col min="1" max="1" width="9.140625" style="117"/>
    <col min="2" max="2" width="9.140625" style="117" customWidth="1"/>
    <col min="3" max="3" width="54.140625" style="117" customWidth="1"/>
    <col min="4" max="4" width="27.85546875" style="117" customWidth="1"/>
    <col min="5" max="8" width="20.42578125" style="117" customWidth="1"/>
    <col min="9" max="9" width="21.28515625" style="117" bestFit="1" customWidth="1"/>
    <col min="10" max="10" width="13.7109375" style="117" bestFit="1" customWidth="1"/>
    <col min="11" max="16384" width="9.140625" style="117"/>
  </cols>
  <sheetData>
    <row r="1" spans="1:10" s="313" customFormat="1" ht="26.65" customHeight="1">
      <c r="A1" s="311"/>
      <c r="B1" s="312"/>
      <c r="C1" s="312"/>
      <c r="D1" s="312"/>
      <c r="E1" s="311"/>
      <c r="F1" s="402" t="s">
        <v>79</v>
      </c>
      <c r="G1" s="402"/>
      <c r="H1" s="402"/>
    </row>
    <row r="2" spans="1:10" s="22" customFormat="1">
      <c r="A2" s="248"/>
      <c r="B2" s="248"/>
      <c r="C2" s="248"/>
      <c r="D2" s="248"/>
      <c r="E2" s="249"/>
      <c r="F2" s="403" t="s">
        <v>114</v>
      </c>
      <c r="G2" s="403"/>
      <c r="H2" s="403"/>
    </row>
    <row r="3" spans="1:10" s="22" customFormat="1">
      <c r="A3" s="248"/>
      <c r="B3" s="248"/>
      <c r="C3" s="248"/>
      <c r="D3" s="248"/>
      <c r="E3" s="249"/>
      <c r="F3" s="403" t="s">
        <v>20</v>
      </c>
      <c r="G3" s="403"/>
      <c r="H3" s="403"/>
    </row>
    <row r="4" spans="1:10" s="22" customFormat="1">
      <c r="A4" s="250"/>
      <c r="B4" s="250"/>
      <c r="C4" s="251"/>
      <c r="D4" s="249"/>
      <c r="E4" s="249"/>
      <c r="F4" s="249"/>
      <c r="G4" s="249"/>
      <c r="H4" s="249"/>
    </row>
    <row r="5" spans="1:10" s="22" customFormat="1" ht="37.5" customHeight="1">
      <c r="A5" s="404" t="s">
        <v>113</v>
      </c>
      <c r="B5" s="405"/>
      <c r="C5" s="405"/>
      <c r="D5" s="405"/>
      <c r="E5" s="405"/>
      <c r="F5" s="405"/>
      <c r="G5" s="405"/>
      <c r="H5" s="405"/>
    </row>
    <row r="6" spans="1:10" s="22" customFormat="1" ht="37.5" customHeight="1">
      <c r="A6" s="405"/>
      <c r="B6" s="405"/>
      <c r="C6" s="405"/>
      <c r="D6" s="405"/>
      <c r="E6" s="405"/>
      <c r="F6" s="405"/>
      <c r="G6" s="405"/>
      <c r="H6" s="405"/>
    </row>
    <row r="7" spans="1:10" s="22" customFormat="1">
      <c r="E7" s="249"/>
      <c r="F7" s="249"/>
      <c r="G7" s="249"/>
    </row>
    <row r="8" spans="1:10" s="22" customFormat="1">
      <c r="A8" s="252"/>
      <c r="B8" s="252"/>
      <c r="C8" s="252"/>
      <c r="D8" s="253"/>
      <c r="E8" s="249"/>
      <c r="F8" s="249"/>
      <c r="G8" s="406" t="s">
        <v>9</v>
      </c>
      <c r="H8" s="406"/>
    </row>
    <row r="9" spans="1:10" s="22" customFormat="1" ht="45" customHeight="1">
      <c r="A9" s="407" t="s">
        <v>33</v>
      </c>
      <c r="B9" s="408"/>
      <c r="C9" s="411" t="s">
        <v>34</v>
      </c>
      <c r="D9" s="409" t="s">
        <v>35</v>
      </c>
      <c r="E9" s="399" t="s">
        <v>53</v>
      </c>
      <c r="F9" s="400"/>
      <c r="G9" s="400"/>
      <c r="H9" s="401"/>
    </row>
    <row r="10" spans="1:10" s="22" customFormat="1" ht="103.5">
      <c r="A10" s="228" t="s">
        <v>14</v>
      </c>
      <c r="B10" s="228" t="s">
        <v>15</v>
      </c>
      <c r="C10" s="412"/>
      <c r="D10" s="410"/>
      <c r="E10" s="254" t="s">
        <v>36</v>
      </c>
      <c r="F10" s="254" t="s">
        <v>37</v>
      </c>
      <c r="G10" s="254" t="s">
        <v>38</v>
      </c>
      <c r="H10" s="254" t="s">
        <v>39</v>
      </c>
    </row>
    <row r="11" spans="1:10" s="22" customFormat="1">
      <c r="A11" s="228"/>
      <c r="B11" s="228"/>
      <c r="C11" s="23" t="s">
        <v>40</v>
      </c>
      <c r="D11" s="1">
        <f>SUM(E11:H11)</f>
        <v>-89999.999999999942</v>
      </c>
      <c r="E11" s="25">
        <f>+E13</f>
        <v>-539112.9</v>
      </c>
      <c r="F11" s="25">
        <f>+F13</f>
        <v>438362.90000000008</v>
      </c>
      <c r="G11" s="25">
        <f>+G13</f>
        <v>10750</v>
      </c>
      <c r="H11" s="25">
        <f>+H13</f>
        <v>0</v>
      </c>
      <c r="I11" s="255"/>
      <c r="J11" s="255"/>
    </row>
    <row r="12" spans="1:10" s="22" customFormat="1">
      <c r="A12" s="228"/>
      <c r="B12" s="228"/>
      <c r="C12" s="23" t="s">
        <v>41</v>
      </c>
      <c r="D12" s="335"/>
      <c r="E12" s="336"/>
      <c r="F12" s="336"/>
      <c r="G12" s="336"/>
      <c r="H12" s="336"/>
      <c r="I12" s="255"/>
      <c r="J12" s="256"/>
    </row>
    <row r="13" spans="1:10" s="22" customFormat="1" ht="51.75">
      <c r="A13" s="257"/>
      <c r="B13" s="258"/>
      <c r="C13" s="258" t="s">
        <v>17</v>
      </c>
      <c r="D13" s="1">
        <f>SUM(E13:H13)</f>
        <v>-89999.999999999942</v>
      </c>
      <c r="E13" s="259">
        <f>+E15+E19+E29+E48+E53+E80</f>
        <v>-539112.9</v>
      </c>
      <c r="F13" s="259">
        <f t="shared" ref="F13:H13" si="0">+F15+F19+F29+F48+F53+F80</f>
        <v>438362.90000000008</v>
      </c>
      <c r="G13" s="259">
        <f t="shared" si="0"/>
        <v>10750</v>
      </c>
      <c r="H13" s="259">
        <f t="shared" si="0"/>
        <v>0</v>
      </c>
      <c r="I13" s="255"/>
    </row>
    <row r="14" spans="1:10" s="22" customFormat="1">
      <c r="A14" s="257"/>
      <c r="B14" s="257"/>
      <c r="C14" s="257" t="s">
        <v>42</v>
      </c>
      <c r="D14" s="260"/>
      <c r="E14" s="260"/>
      <c r="F14" s="260"/>
      <c r="G14" s="260"/>
      <c r="H14" s="260"/>
    </row>
    <row r="15" spans="1:10" s="22" customFormat="1">
      <c r="A15" s="23">
        <v>1163</v>
      </c>
      <c r="B15" s="21">
        <v>32001</v>
      </c>
      <c r="C15" s="30" t="s">
        <v>86</v>
      </c>
      <c r="D15" s="25">
        <f>SUM(E15:H15)</f>
        <v>316678.8</v>
      </c>
      <c r="E15" s="24">
        <f>+E17</f>
        <v>316678.8</v>
      </c>
      <c r="F15" s="24">
        <f t="shared" ref="F15:H15" si="1">+F17</f>
        <v>0</v>
      </c>
      <c r="G15" s="24">
        <f t="shared" si="1"/>
        <v>0</v>
      </c>
      <c r="H15" s="24">
        <f t="shared" si="1"/>
        <v>0</v>
      </c>
    </row>
    <row r="16" spans="1:10" s="51" customFormat="1">
      <c r="A16" s="46"/>
      <c r="B16" s="46"/>
      <c r="C16" s="47" t="s">
        <v>6</v>
      </c>
      <c r="D16" s="48"/>
      <c r="E16" s="49"/>
      <c r="F16" s="50"/>
      <c r="G16" s="50"/>
      <c r="H16" s="50"/>
    </row>
    <row r="17" spans="1:8" s="54" customFormat="1">
      <c r="A17" s="50"/>
      <c r="B17" s="50"/>
      <c r="C17" s="37" t="s">
        <v>48</v>
      </c>
      <c r="D17" s="52">
        <f>SUM(E17:H17)</f>
        <v>316678.8</v>
      </c>
      <c r="E17" s="53">
        <f>+E18</f>
        <v>316678.8</v>
      </c>
      <c r="F17" s="53">
        <f t="shared" ref="F17:H17" si="2">+F18</f>
        <v>0</v>
      </c>
      <c r="G17" s="53">
        <f t="shared" si="2"/>
        <v>0</v>
      </c>
      <c r="H17" s="53">
        <f t="shared" si="2"/>
        <v>0</v>
      </c>
    </row>
    <row r="18" spans="1:8" s="59" customFormat="1" ht="34.5">
      <c r="A18" s="158"/>
      <c r="B18" s="158"/>
      <c r="C18" s="55" t="s">
        <v>188</v>
      </c>
      <c r="D18" s="56">
        <f t="shared" ref="D18" si="3">+E18+F18+G18+H18</f>
        <v>316678.8</v>
      </c>
      <c r="E18" s="57">
        <f>+'Հավելված N 9'!I93+'Հավելված N 9'!I95+'Հավելված N 9'!I96</f>
        <v>316678.8</v>
      </c>
      <c r="F18" s="57"/>
      <c r="G18" s="57"/>
      <c r="H18" s="58"/>
    </row>
    <row r="19" spans="1:8" s="22" customFormat="1" ht="34.5">
      <c r="A19" s="94">
        <v>1163</v>
      </c>
      <c r="B19" s="84">
        <v>32005</v>
      </c>
      <c r="C19" s="170" t="s">
        <v>190</v>
      </c>
      <c r="D19" s="96">
        <f>SUM(E19:H19)</f>
        <v>134230.1</v>
      </c>
      <c r="E19" s="171">
        <f>+E21+E23+E25+E27</f>
        <v>134230.1</v>
      </c>
      <c r="F19" s="171">
        <f t="shared" ref="F19:H19" si="4">+F21+F23+F25+F27</f>
        <v>0</v>
      </c>
      <c r="G19" s="171">
        <f t="shared" si="4"/>
        <v>0</v>
      </c>
      <c r="H19" s="171">
        <f t="shared" si="4"/>
        <v>0</v>
      </c>
    </row>
    <row r="20" spans="1:8" s="51" customFormat="1">
      <c r="A20" s="110"/>
      <c r="B20" s="110"/>
      <c r="C20" s="172" t="s">
        <v>6</v>
      </c>
      <c r="D20" s="173"/>
      <c r="E20" s="174"/>
      <c r="F20" s="111"/>
      <c r="G20" s="111"/>
      <c r="H20" s="111"/>
    </row>
    <row r="21" spans="1:8" s="54" customFormat="1">
      <c r="A21" s="111"/>
      <c r="B21" s="111"/>
      <c r="C21" s="37" t="s">
        <v>105</v>
      </c>
      <c r="D21" s="175">
        <f t="shared" ref="D21:D28" si="5">SUM(E21:H21)</f>
        <v>23439.1</v>
      </c>
      <c r="E21" s="176">
        <f>+E22</f>
        <v>23439.1</v>
      </c>
      <c r="F21" s="176">
        <f t="shared" ref="F21:H21" si="6">+F22</f>
        <v>0</v>
      </c>
      <c r="G21" s="176">
        <f t="shared" si="6"/>
        <v>0</v>
      </c>
      <c r="H21" s="176">
        <f t="shared" si="6"/>
        <v>0</v>
      </c>
    </row>
    <row r="22" spans="1:8" s="2" customFormat="1" ht="69">
      <c r="A22" s="125"/>
      <c r="B22" s="125"/>
      <c r="C22" s="93" t="s">
        <v>191</v>
      </c>
      <c r="D22" s="109">
        <f t="shared" si="5"/>
        <v>23439.1</v>
      </c>
      <c r="E22" s="177">
        <f>+'Հավելված N 9'!I17+'Հավելված N 9'!I22+'Հավելված N 9'!I26</f>
        <v>23439.1</v>
      </c>
      <c r="F22" s="177"/>
      <c r="G22" s="177"/>
      <c r="H22" s="177"/>
    </row>
    <row r="23" spans="1:8" s="54" customFormat="1">
      <c r="A23" s="111"/>
      <c r="B23" s="111"/>
      <c r="C23" s="37" t="s">
        <v>118</v>
      </c>
      <c r="D23" s="175">
        <f t="shared" si="5"/>
        <v>48055.399999999994</v>
      </c>
      <c r="E23" s="176">
        <f>+E24</f>
        <v>48055.399999999994</v>
      </c>
      <c r="F23" s="176">
        <f t="shared" ref="F23:H23" si="7">+F24</f>
        <v>0</v>
      </c>
      <c r="G23" s="176">
        <f t="shared" si="7"/>
        <v>0</v>
      </c>
      <c r="H23" s="176">
        <f t="shared" si="7"/>
        <v>0</v>
      </c>
    </row>
    <row r="24" spans="1:8" s="2" customFormat="1" ht="86.25">
      <c r="A24" s="125"/>
      <c r="B24" s="125"/>
      <c r="C24" s="93" t="s">
        <v>192</v>
      </c>
      <c r="D24" s="109">
        <f t="shared" si="5"/>
        <v>48055.399999999994</v>
      </c>
      <c r="E24" s="177">
        <f>+'Հավելված N 9'!I18+'Հավելված N 9'!I23+'Հավելված N 9'!I27</f>
        <v>48055.399999999994</v>
      </c>
      <c r="F24" s="177"/>
      <c r="G24" s="177"/>
      <c r="H24" s="177"/>
    </row>
    <row r="25" spans="1:8" s="54" customFormat="1">
      <c r="A25" s="111"/>
      <c r="B25" s="111"/>
      <c r="C25" s="37" t="s">
        <v>95</v>
      </c>
      <c r="D25" s="175">
        <f t="shared" si="5"/>
        <v>30725.3</v>
      </c>
      <c r="E25" s="176">
        <f>+E26</f>
        <v>30725.3</v>
      </c>
      <c r="F25" s="176">
        <f t="shared" ref="F25:H25" si="8">+F26</f>
        <v>0</v>
      </c>
      <c r="G25" s="176">
        <f t="shared" si="8"/>
        <v>0</v>
      </c>
      <c r="H25" s="176">
        <f t="shared" si="8"/>
        <v>0</v>
      </c>
    </row>
    <row r="26" spans="1:8" s="2" customFormat="1" ht="69">
      <c r="A26" s="125"/>
      <c r="B26" s="125"/>
      <c r="C26" s="93" t="s">
        <v>193</v>
      </c>
      <c r="D26" s="109">
        <f t="shared" si="5"/>
        <v>30725.3</v>
      </c>
      <c r="E26" s="177">
        <f>+'Հավելված N 9'!I19+'Հավելված N 9'!I24+'Հավելված N 9'!I28</f>
        <v>30725.3</v>
      </c>
      <c r="F26" s="177"/>
      <c r="G26" s="177"/>
      <c r="H26" s="177"/>
    </row>
    <row r="27" spans="1:8" s="54" customFormat="1">
      <c r="A27" s="111"/>
      <c r="B27" s="111"/>
      <c r="C27" s="37" t="s">
        <v>109</v>
      </c>
      <c r="D27" s="175">
        <f t="shared" si="5"/>
        <v>32010.299999999996</v>
      </c>
      <c r="E27" s="176">
        <f>+E28</f>
        <v>32010.299999999996</v>
      </c>
      <c r="F27" s="176">
        <f t="shared" ref="F27:H27" si="9">+F28</f>
        <v>0</v>
      </c>
      <c r="G27" s="176">
        <f t="shared" si="9"/>
        <v>0</v>
      </c>
      <c r="H27" s="176">
        <f t="shared" si="9"/>
        <v>0</v>
      </c>
    </row>
    <row r="28" spans="1:8" s="2" customFormat="1" ht="69">
      <c r="A28" s="125"/>
      <c r="B28" s="125"/>
      <c r="C28" s="93" t="s">
        <v>194</v>
      </c>
      <c r="D28" s="109">
        <f t="shared" si="5"/>
        <v>32010.299999999996</v>
      </c>
      <c r="E28" s="177">
        <f>+'Հավելված N 9'!I20+'Հավելված N 9'!I25+'Հավելված N 9'!I29</f>
        <v>32010.299999999996</v>
      </c>
      <c r="F28" s="177"/>
      <c r="G28" s="177"/>
      <c r="H28" s="177"/>
    </row>
    <row r="29" spans="1:8" s="22" customFormat="1">
      <c r="A29" s="23">
        <v>1236</v>
      </c>
      <c r="B29" s="21">
        <v>32001</v>
      </c>
      <c r="C29" s="30" t="s">
        <v>84</v>
      </c>
      <c r="D29" s="25">
        <f>SUM(E29:H29)</f>
        <v>-444822</v>
      </c>
      <c r="E29" s="24">
        <f>+E31+E32+E34+E38+E40+E42+E46</f>
        <v>-455572</v>
      </c>
      <c r="F29" s="24">
        <f t="shared" ref="F29:H29" si="10">+F31+F32+F34+F38+F40+F42+F46</f>
        <v>0</v>
      </c>
      <c r="G29" s="24">
        <f t="shared" si="10"/>
        <v>10750</v>
      </c>
      <c r="H29" s="24">
        <f t="shared" si="10"/>
        <v>0</v>
      </c>
    </row>
    <row r="30" spans="1:8" s="51" customFormat="1">
      <c r="A30" s="46"/>
      <c r="B30" s="46"/>
      <c r="C30" s="47" t="s">
        <v>6</v>
      </c>
      <c r="D30" s="48"/>
      <c r="E30" s="49"/>
      <c r="F30" s="50"/>
      <c r="G30" s="50"/>
      <c r="H30" s="50"/>
    </row>
    <row r="31" spans="1:8" s="54" customFormat="1">
      <c r="A31" s="111"/>
      <c r="B31" s="111"/>
      <c r="C31" s="37" t="s">
        <v>84</v>
      </c>
      <c r="D31" s="175">
        <f>SUM(E31:H31)</f>
        <v>-2800000</v>
      </c>
      <c r="E31" s="176">
        <v>-2800000</v>
      </c>
      <c r="F31" s="176">
        <f t="shared" ref="F31" si="11">+F32</f>
        <v>0</v>
      </c>
      <c r="G31" s="176">
        <f t="shared" ref="G31" si="12">+G32</f>
        <v>0</v>
      </c>
      <c r="H31" s="176">
        <f t="shared" ref="H31" si="13">+H32</f>
        <v>0</v>
      </c>
    </row>
    <row r="32" spans="1:8" s="54" customFormat="1">
      <c r="A32" s="111"/>
      <c r="B32" s="111"/>
      <c r="C32" s="37" t="s">
        <v>61</v>
      </c>
      <c r="D32" s="175">
        <f>SUM(E32:H32)</f>
        <v>310068.8</v>
      </c>
      <c r="E32" s="176">
        <f>+E33</f>
        <v>310068.8</v>
      </c>
      <c r="F32" s="176">
        <f t="shared" ref="F32" si="14">+F33</f>
        <v>0</v>
      </c>
      <c r="G32" s="176">
        <f t="shared" ref="G32" si="15">+G33</f>
        <v>0</v>
      </c>
      <c r="H32" s="176">
        <f t="shared" ref="H32" si="16">+H33</f>
        <v>0</v>
      </c>
    </row>
    <row r="33" spans="1:8" s="59" customFormat="1" ht="34.5">
      <c r="A33" s="185"/>
      <c r="B33" s="185"/>
      <c r="C33" s="55" t="s">
        <v>209</v>
      </c>
      <c r="D33" s="167">
        <f t="shared" ref="D33" si="17">+E33+F33+G33+H33</f>
        <v>310068.8</v>
      </c>
      <c r="E33" s="168">
        <f>+'Հավելված N 9'!I33+'Հավելված N 9'!I44</f>
        <v>310068.8</v>
      </c>
      <c r="F33" s="168"/>
      <c r="G33" s="168"/>
      <c r="H33" s="169"/>
    </row>
    <row r="34" spans="1:8" s="54" customFormat="1">
      <c r="A34" s="111"/>
      <c r="B34" s="111"/>
      <c r="C34" s="37" t="s">
        <v>48</v>
      </c>
      <c r="D34" s="175">
        <f>SUM(E34:H34)</f>
        <v>522879.8</v>
      </c>
      <c r="E34" s="176">
        <f>SUM(E35:E37)</f>
        <v>522879.8</v>
      </c>
      <c r="F34" s="176">
        <f t="shared" ref="F34:H34" si="18">SUM(F35:F37)</f>
        <v>0</v>
      </c>
      <c r="G34" s="176">
        <f t="shared" si="18"/>
        <v>0</v>
      </c>
      <c r="H34" s="176">
        <f t="shared" si="18"/>
        <v>0</v>
      </c>
    </row>
    <row r="35" spans="1:8" s="59" customFormat="1" ht="34.5">
      <c r="A35" s="394"/>
      <c r="B35" s="394"/>
      <c r="C35" s="55" t="s">
        <v>200</v>
      </c>
      <c r="D35" s="167">
        <f t="shared" ref="D35:D36" si="19">+E35+F35+G35+H35</f>
        <v>80248.700000000012</v>
      </c>
      <c r="E35" s="199">
        <f>+'Հավելված N 9'!I34+'Հավելված N 9'!I53</f>
        <v>80248.700000000012</v>
      </c>
      <c r="F35" s="168"/>
      <c r="G35" s="168"/>
      <c r="H35" s="169"/>
    </row>
    <row r="36" spans="1:8" s="59" customFormat="1" ht="34.5">
      <c r="A36" s="395"/>
      <c r="B36" s="395"/>
      <c r="C36" s="55" t="s">
        <v>201</v>
      </c>
      <c r="D36" s="167">
        <f t="shared" si="19"/>
        <v>132562.29999999999</v>
      </c>
      <c r="E36" s="168">
        <f>+'Հավելված N 9'!I35+'Հավելված N 9'!I45+'Հավելված N 9'!I54</f>
        <v>132562.29999999999</v>
      </c>
      <c r="F36" s="168"/>
      <c r="G36" s="168"/>
      <c r="H36" s="169"/>
    </row>
    <row r="37" spans="1:8" s="59" customFormat="1" ht="34.5">
      <c r="A37" s="396"/>
      <c r="B37" s="396"/>
      <c r="C37" s="55" t="s">
        <v>204</v>
      </c>
      <c r="D37" s="167">
        <f t="shared" ref="D37" si="20">+E37+F37+G37+H37</f>
        <v>310068.8</v>
      </c>
      <c r="E37" s="168">
        <f>+'Հավելված N 9'!I36+'Հավելված N 9'!I46</f>
        <v>310068.8</v>
      </c>
      <c r="F37" s="168"/>
      <c r="G37" s="168"/>
      <c r="H37" s="169"/>
    </row>
    <row r="38" spans="1:8" s="54" customFormat="1">
      <c r="A38" s="111"/>
      <c r="B38" s="111"/>
      <c r="C38" s="37" t="s">
        <v>105</v>
      </c>
      <c r="D38" s="175">
        <f>SUM(E38:H38)</f>
        <v>310068.8</v>
      </c>
      <c r="E38" s="176">
        <f>+E39</f>
        <v>310068.8</v>
      </c>
      <c r="F38" s="176">
        <f t="shared" ref="F38" si="21">+F39</f>
        <v>0</v>
      </c>
      <c r="G38" s="176">
        <f t="shared" ref="G38" si="22">+G39</f>
        <v>0</v>
      </c>
      <c r="H38" s="176">
        <f t="shared" ref="H38" si="23">+H39</f>
        <v>0</v>
      </c>
    </row>
    <row r="39" spans="1:8" s="59" customFormat="1" ht="34.5">
      <c r="A39" s="159"/>
      <c r="B39" s="159"/>
      <c r="C39" s="55" t="s">
        <v>207</v>
      </c>
      <c r="D39" s="167">
        <f t="shared" ref="D39" si="24">+E39+F39+G39+H39</f>
        <v>310068.8</v>
      </c>
      <c r="E39" s="168">
        <f>+'Հավելված N 9'!I37+'Հավելված N 9'!I47</f>
        <v>310068.8</v>
      </c>
      <c r="F39" s="168"/>
      <c r="G39" s="168"/>
      <c r="H39" s="169"/>
    </row>
    <row r="40" spans="1:8" s="54" customFormat="1">
      <c r="A40" s="111"/>
      <c r="B40" s="111"/>
      <c r="C40" s="37" t="s">
        <v>108</v>
      </c>
      <c r="D40" s="175">
        <f>SUM(E40:H40)</f>
        <v>310068.8</v>
      </c>
      <c r="E40" s="176">
        <f>+E41</f>
        <v>310068.8</v>
      </c>
      <c r="F40" s="176">
        <f t="shared" ref="F40" si="25">+F41</f>
        <v>0</v>
      </c>
      <c r="G40" s="176">
        <f t="shared" ref="G40" si="26">+G41</f>
        <v>0</v>
      </c>
      <c r="H40" s="176">
        <f t="shared" ref="H40" si="27">+H41</f>
        <v>0</v>
      </c>
    </row>
    <row r="41" spans="1:8" s="59" customFormat="1" ht="34.5">
      <c r="A41" s="159"/>
      <c r="B41" s="159"/>
      <c r="C41" s="55" t="s">
        <v>206</v>
      </c>
      <c r="D41" s="167">
        <f t="shared" ref="D41" si="28">+E41+F41+G41+H41</f>
        <v>310068.8</v>
      </c>
      <c r="E41" s="168">
        <f>+'Հավելված N 9'!I38+'Հավելված N 9'!I48</f>
        <v>310068.8</v>
      </c>
      <c r="F41" s="168"/>
      <c r="G41" s="168"/>
      <c r="H41" s="169"/>
    </row>
    <row r="42" spans="1:8" s="54" customFormat="1">
      <c r="A42" s="111"/>
      <c r="B42" s="111"/>
      <c r="C42" s="37" t="s">
        <v>85</v>
      </c>
      <c r="D42" s="175">
        <f>SUM(E42:H42)</f>
        <v>632887.30000000005</v>
      </c>
      <c r="E42" s="176">
        <f>SUM(E43:E45)</f>
        <v>622137.30000000005</v>
      </c>
      <c r="F42" s="176">
        <f>SUM(F43:F45)</f>
        <v>0</v>
      </c>
      <c r="G42" s="176">
        <f t="shared" ref="G42:H42" si="29">SUM(G43:G45)</f>
        <v>10750</v>
      </c>
      <c r="H42" s="176">
        <f t="shared" si="29"/>
        <v>0</v>
      </c>
    </row>
    <row r="43" spans="1:8" s="59" customFormat="1" ht="34.5">
      <c r="A43" s="394"/>
      <c r="B43" s="394"/>
      <c r="C43" s="55" t="s">
        <v>202</v>
      </c>
      <c r="D43" s="167">
        <f t="shared" ref="D43:D44" si="30">+E43+F43+G43+H43</f>
        <v>138171.5</v>
      </c>
      <c r="E43" s="168">
        <f>+'Հավելված N 9'!I39+'Հավելված N 9'!I49+'Հավելված N 9'!I55</f>
        <v>138171.5</v>
      </c>
      <c r="F43" s="168"/>
      <c r="G43" s="168"/>
      <c r="H43" s="169"/>
    </row>
    <row r="44" spans="1:8" s="59" customFormat="1" ht="34.5">
      <c r="A44" s="395"/>
      <c r="B44" s="395"/>
      <c r="C44" s="55" t="s">
        <v>203</v>
      </c>
      <c r="D44" s="167">
        <f t="shared" si="30"/>
        <v>184647</v>
      </c>
      <c r="E44" s="168">
        <f>+'Հավելված N 9'!I40+'Հավելված N 9'!I50+'Հավելված N 9'!I56</f>
        <v>173897</v>
      </c>
      <c r="F44" s="168"/>
      <c r="G44" s="168">
        <f>+'Հավելված N 9'!I57</f>
        <v>10750</v>
      </c>
      <c r="H44" s="169"/>
    </row>
    <row r="45" spans="1:8" s="59" customFormat="1" ht="34.5">
      <c r="A45" s="396"/>
      <c r="B45" s="396"/>
      <c r="C45" s="55" t="s">
        <v>205</v>
      </c>
      <c r="D45" s="167">
        <f t="shared" ref="D45" si="31">+E45+F45+G45+H45</f>
        <v>310068.8</v>
      </c>
      <c r="E45" s="168">
        <f>+'Հավելված N 9'!I41+'Հավելված N 9'!I51</f>
        <v>310068.8</v>
      </c>
      <c r="F45" s="168"/>
      <c r="G45" s="168"/>
      <c r="H45" s="169"/>
    </row>
    <row r="46" spans="1:8" s="54" customFormat="1">
      <c r="A46" s="111"/>
      <c r="B46" s="111"/>
      <c r="C46" s="37" t="s">
        <v>109</v>
      </c>
      <c r="D46" s="175">
        <f>SUM(E46:H46)</f>
        <v>269204.5</v>
      </c>
      <c r="E46" s="176">
        <f>+E47</f>
        <v>269204.5</v>
      </c>
      <c r="F46" s="176">
        <f>+F47</f>
        <v>0</v>
      </c>
      <c r="G46" s="176">
        <f t="shared" ref="G46:H46" si="32">+G47</f>
        <v>0</v>
      </c>
      <c r="H46" s="176">
        <f t="shared" si="32"/>
        <v>0</v>
      </c>
    </row>
    <row r="47" spans="1:8" s="59" customFormat="1" ht="34.5">
      <c r="A47" s="159"/>
      <c r="B47" s="159"/>
      <c r="C47" s="55" t="s">
        <v>208</v>
      </c>
      <c r="D47" s="167">
        <f t="shared" ref="D47" si="33">+E47+F47+G47+H47</f>
        <v>269204.5</v>
      </c>
      <c r="E47" s="168">
        <f>+'Հավելված N 9'!I42+'Հավելված N 9'!I52</f>
        <v>269204.5</v>
      </c>
      <c r="F47" s="168"/>
      <c r="G47" s="168"/>
      <c r="H47" s="169"/>
    </row>
    <row r="48" spans="1:8" s="22" customFormat="1" ht="34.5">
      <c r="A48" s="23">
        <v>1236</v>
      </c>
      <c r="B48" s="21">
        <v>32002</v>
      </c>
      <c r="C48" s="30" t="s">
        <v>218</v>
      </c>
      <c r="D48" s="25">
        <f>SUM(E48:H48)</f>
        <v>-15815.800000000003</v>
      </c>
      <c r="E48" s="24">
        <f>+E50+E51</f>
        <v>0</v>
      </c>
      <c r="F48" s="24">
        <f t="shared" ref="F48:H48" si="34">+F50+F51</f>
        <v>-15815.800000000003</v>
      </c>
      <c r="G48" s="24">
        <f t="shared" si="34"/>
        <v>0</v>
      </c>
      <c r="H48" s="24">
        <f t="shared" si="34"/>
        <v>0</v>
      </c>
    </row>
    <row r="49" spans="1:44" s="51" customFormat="1">
      <c r="A49" s="46"/>
      <c r="B49" s="46"/>
      <c r="C49" s="47" t="s">
        <v>6</v>
      </c>
      <c r="D49" s="48"/>
      <c r="E49" s="49"/>
      <c r="F49" s="50"/>
      <c r="G49" s="50"/>
      <c r="H49" s="50"/>
    </row>
    <row r="50" spans="1:44" s="54" customFormat="1" ht="34.5">
      <c r="A50" s="111"/>
      <c r="B50" s="111"/>
      <c r="C50" s="37" t="s">
        <v>218</v>
      </c>
      <c r="D50" s="175">
        <f>SUM(E50:H50)</f>
        <v>-138167.6</v>
      </c>
      <c r="E50" s="176">
        <f>+E51</f>
        <v>0</v>
      </c>
      <c r="F50" s="176">
        <f>-148067+9899.4</f>
        <v>-138167.6</v>
      </c>
      <c r="G50" s="176">
        <f t="shared" ref="G50:G51" si="35">+G51</f>
        <v>0</v>
      </c>
      <c r="H50" s="176">
        <f t="shared" ref="H50:H51" si="36">+H51</f>
        <v>0</v>
      </c>
    </row>
    <row r="51" spans="1:44" s="54" customFormat="1">
      <c r="A51" s="111"/>
      <c r="B51" s="111"/>
      <c r="C51" s="37" t="s">
        <v>61</v>
      </c>
      <c r="D51" s="175">
        <f>SUM(E51:H51)</f>
        <v>122351.8</v>
      </c>
      <c r="E51" s="176">
        <f>+E52</f>
        <v>0</v>
      </c>
      <c r="F51" s="176">
        <f t="shared" ref="F51" si="37">+F52</f>
        <v>122351.8</v>
      </c>
      <c r="G51" s="176">
        <f t="shared" si="35"/>
        <v>0</v>
      </c>
      <c r="H51" s="176">
        <f t="shared" si="36"/>
        <v>0</v>
      </c>
    </row>
    <row r="52" spans="1:44" s="59" customFormat="1" ht="34.5">
      <c r="A52" s="185"/>
      <c r="B52" s="185"/>
      <c r="C52" s="55" t="s">
        <v>219</v>
      </c>
      <c r="D52" s="167">
        <f t="shared" ref="D52" si="38">+E52+F52+G52+H52</f>
        <v>122351.8</v>
      </c>
      <c r="E52" s="168"/>
      <c r="F52" s="168">
        <f>+'Հավելված N 9'!I60+'Հավելված N 9'!I62</f>
        <v>122351.8</v>
      </c>
      <c r="G52" s="168"/>
      <c r="H52" s="169"/>
    </row>
    <row r="53" spans="1:44" s="217" customFormat="1" ht="34.5">
      <c r="A53" s="214">
        <v>1236</v>
      </c>
      <c r="B53" s="114">
        <v>32004</v>
      </c>
      <c r="C53" s="115" t="s">
        <v>119</v>
      </c>
      <c r="D53" s="215">
        <f>SUM(E53:H53)</f>
        <v>454178.70000000007</v>
      </c>
      <c r="E53" s="216">
        <f>+E55+E56+E59+E61+E63+E70+E77</f>
        <v>0</v>
      </c>
      <c r="F53" s="216">
        <f t="shared" ref="F53:H53" si="39">+F55+F56+F59+F61+F63+F70+F77</f>
        <v>454178.70000000007</v>
      </c>
      <c r="G53" s="216">
        <f t="shared" si="39"/>
        <v>0</v>
      </c>
      <c r="H53" s="216">
        <f t="shared" si="39"/>
        <v>0</v>
      </c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s="222" customFormat="1">
      <c r="A54" s="218"/>
      <c r="B54" s="218"/>
      <c r="C54" s="219" t="s">
        <v>6</v>
      </c>
      <c r="D54" s="48"/>
      <c r="E54" s="220"/>
      <c r="F54" s="221"/>
      <c r="G54" s="221"/>
      <c r="H54" s="22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</row>
    <row r="55" spans="1:44" s="54" customFormat="1" ht="34.5">
      <c r="A55" s="50"/>
      <c r="B55" s="50"/>
      <c r="C55" s="37" t="s">
        <v>119</v>
      </c>
      <c r="D55" s="52">
        <f>SUM(E55:H55)</f>
        <v>-900000</v>
      </c>
      <c r="E55" s="53">
        <f>+E56</f>
        <v>0</v>
      </c>
      <c r="F55" s="53">
        <v>-900000</v>
      </c>
      <c r="G55" s="53">
        <f t="shared" ref="G55:H55" si="40">+G56</f>
        <v>0</v>
      </c>
      <c r="H55" s="53">
        <f t="shared" si="40"/>
        <v>0</v>
      </c>
    </row>
    <row r="56" spans="1:44" s="54" customFormat="1">
      <c r="A56" s="50"/>
      <c r="B56" s="50"/>
      <c r="C56" s="37" t="s">
        <v>94</v>
      </c>
      <c r="D56" s="52">
        <f>SUM(E56:H56)</f>
        <v>5050</v>
      </c>
      <c r="E56" s="53">
        <f>+E57+E58</f>
        <v>0</v>
      </c>
      <c r="F56" s="53">
        <f t="shared" ref="F56:H56" si="41">+F57+F58</f>
        <v>5050</v>
      </c>
      <c r="G56" s="53">
        <f t="shared" si="41"/>
        <v>0</v>
      </c>
      <c r="H56" s="53">
        <f t="shared" si="41"/>
        <v>0</v>
      </c>
    </row>
    <row r="57" spans="1:44" s="59" customFormat="1">
      <c r="A57" s="394"/>
      <c r="B57" s="394"/>
      <c r="C57" s="55" t="s">
        <v>269</v>
      </c>
      <c r="D57" s="56">
        <f t="shared" ref="D57" si="42">+E57+F57+G57+H57</f>
        <v>5000</v>
      </c>
      <c r="E57" s="57"/>
      <c r="F57" s="57">
        <f>+'Հավելված N 9'!I66</f>
        <v>5000</v>
      </c>
      <c r="G57" s="57"/>
      <c r="H57" s="58"/>
    </row>
    <row r="58" spans="1:44" s="59" customFormat="1">
      <c r="A58" s="396"/>
      <c r="B58" s="396"/>
      <c r="C58" s="55" t="s">
        <v>270</v>
      </c>
      <c r="D58" s="56">
        <f t="shared" ref="D58" si="43">+E58+F58+G58+H58</f>
        <v>50</v>
      </c>
      <c r="E58" s="57"/>
      <c r="F58" s="57">
        <f>+'Հավելված N 9'!I67</f>
        <v>50</v>
      </c>
      <c r="G58" s="57"/>
      <c r="H58" s="58"/>
    </row>
    <row r="59" spans="1:44" s="54" customFormat="1">
      <c r="A59" s="50"/>
      <c r="B59" s="50"/>
      <c r="C59" s="37" t="s">
        <v>48</v>
      </c>
      <c r="D59" s="52">
        <f>SUM(E59:H59)</f>
        <v>98490</v>
      </c>
      <c r="E59" s="53">
        <f>+E60</f>
        <v>0</v>
      </c>
      <c r="F59" s="53">
        <f t="shared" ref="F59:H61" si="44">+F60</f>
        <v>98490</v>
      </c>
      <c r="G59" s="53">
        <f t="shared" si="44"/>
        <v>0</v>
      </c>
      <c r="H59" s="53">
        <f t="shared" si="44"/>
        <v>0</v>
      </c>
    </row>
    <row r="60" spans="1:44" s="59" customFormat="1" ht="34.5">
      <c r="A60" s="159"/>
      <c r="B60" s="159"/>
      <c r="C60" s="55" t="s">
        <v>271</v>
      </c>
      <c r="D60" s="56">
        <f t="shared" ref="D60" si="45">+E60+F60+G60+H60</f>
        <v>98490</v>
      </c>
      <c r="E60" s="57"/>
      <c r="F60" s="57">
        <f>+'Հավելված N 9'!I68</f>
        <v>98490</v>
      </c>
      <c r="G60" s="57"/>
      <c r="H60" s="58"/>
    </row>
    <row r="61" spans="1:44" s="54" customFormat="1">
      <c r="A61" s="50"/>
      <c r="B61" s="50"/>
      <c r="C61" s="37" t="s">
        <v>105</v>
      </c>
      <c r="D61" s="52">
        <f>SUM(E61:H61)</f>
        <v>6</v>
      </c>
      <c r="E61" s="53">
        <f>+E62</f>
        <v>0</v>
      </c>
      <c r="F61" s="53">
        <f t="shared" si="44"/>
        <v>6</v>
      </c>
      <c r="G61" s="53">
        <f t="shared" si="44"/>
        <v>0</v>
      </c>
      <c r="H61" s="53">
        <f t="shared" si="44"/>
        <v>0</v>
      </c>
    </row>
    <row r="62" spans="1:44" s="59" customFormat="1">
      <c r="A62" s="159"/>
      <c r="B62" s="159"/>
      <c r="C62" s="55" t="s">
        <v>272</v>
      </c>
      <c r="D62" s="56">
        <f t="shared" ref="D62" si="46">+E62+F62+G62+H62</f>
        <v>6</v>
      </c>
      <c r="E62" s="57"/>
      <c r="F62" s="57">
        <f>+'Հավելված N 9'!I69</f>
        <v>6</v>
      </c>
      <c r="G62" s="57"/>
      <c r="H62" s="58"/>
    </row>
    <row r="63" spans="1:44" s="54" customFormat="1">
      <c r="A63" s="50"/>
      <c r="B63" s="50"/>
      <c r="C63" s="37" t="s">
        <v>106</v>
      </c>
      <c r="D63" s="52">
        <f>SUM(E63:H63)</f>
        <v>112144.3</v>
      </c>
      <c r="E63" s="53">
        <f>SUM(E64:E69)</f>
        <v>0</v>
      </c>
      <c r="F63" s="53">
        <f t="shared" ref="F63:H63" si="47">SUM(F64:F69)</f>
        <v>112144.3</v>
      </c>
      <c r="G63" s="53">
        <f t="shared" si="47"/>
        <v>0</v>
      </c>
      <c r="H63" s="53">
        <f t="shared" si="47"/>
        <v>0</v>
      </c>
    </row>
    <row r="64" spans="1:44" s="59" customFormat="1" ht="34.5">
      <c r="A64" s="394"/>
      <c r="B64" s="394"/>
      <c r="C64" s="55" t="s">
        <v>273</v>
      </c>
      <c r="D64" s="56">
        <f t="shared" ref="D64" si="48">+E64+F64+G64+H64</f>
        <v>50</v>
      </c>
      <c r="E64" s="57"/>
      <c r="F64" s="57">
        <f>+'Հավելված N 9'!I70</f>
        <v>50</v>
      </c>
      <c r="G64" s="57"/>
      <c r="H64" s="58"/>
    </row>
    <row r="65" spans="1:44" s="59" customFormat="1" ht="34.5">
      <c r="A65" s="395"/>
      <c r="B65" s="395"/>
      <c r="C65" s="55" t="s">
        <v>274</v>
      </c>
      <c r="D65" s="56">
        <f t="shared" ref="D65:D69" si="49">+E65+F65+G65+H65</f>
        <v>50</v>
      </c>
      <c r="E65" s="57"/>
      <c r="F65" s="57">
        <f>+'Հավելված N 9'!I71</f>
        <v>50</v>
      </c>
      <c r="G65" s="57"/>
      <c r="H65" s="58"/>
    </row>
    <row r="66" spans="1:44" s="59" customFormat="1" ht="34.5">
      <c r="A66" s="395"/>
      <c r="B66" s="395"/>
      <c r="C66" s="55" t="s">
        <v>275</v>
      </c>
      <c r="D66" s="56">
        <f t="shared" si="49"/>
        <v>4244.3</v>
      </c>
      <c r="E66" s="57"/>
      <c r="F66" s="57">
        <f>+'Հավելված N 9'!I72</f>
        <v>4244.3</v>
      </c>
      <c r="G66" s="57"/>
      <c r="H66" s="58"/>
    </row>
    <row r="67" spans="1:44" s="59" customFormat="1">
      <c r="A67" s="395"/>
      <c r="B67" s="395"/>
      <c r="C67" s="55" t="s">
        <v>276</v>
      </c>
      <c r="D67" s="56">
        <f t="shared" si="49"/>
        <v>5000</v>
      </c>
      <c r="E67" s="57"/>
      <c r="F67" s="57">
        <f>+'Հավելված N 9'!I73</f>
        <v>5000</v>
      </c>
      <c r="G67" s="57"/>
      <c r="H67" s="58"/>
    </row>
    <row r="68" spans="1:44" s="59" customFormat="1" ht="34.5">
      <c r="A68" s="395"/>
      <c r="B68" s="395"/>
      <c r="C68" s="55" t="s">
        <v>277</v>
      </c>
      <c r="D68" s="56">
        <f t="shared" si="49"/>
        <v>5000</v>
      </c>
      <c r="E68" s="57"/>
      <c r="F68" s="57">
        <f>+'Հավելված N 9'!I74</f>
        <v>5000</v>
      </c>
      <c r="G68" s="57"/>
      <c r="H68" s="58"/>
    </row>
    <row r="69" spans="1:44" s="59" customFormat="1" ht="34.5">
      <c r="A69" s="396"/>
      <c r="B69" s="396"/>
      <c r="C69" s="55" t="s">
        <v>278</v>
      </c>
      <c r="D69" s="56">
        <f t="shared" si="49"/>
        <v>97800</v>
      </c>
      <c r="E69" s="57"/>
      <c r="F69" s="57">
        <f>+'Հավելված N 9'!I75</f>
        <v>97800</v>
      </c>
      <c r="G69" s="57"/>
      <c r="H69" s="58"/>
    </row>
    <row r="70" spans="1:44" s="54" customFormat="1">
      <c r="A70" s="50"/>
      <c r="B70" s="50"/>
      <c r="C70" s="37" t="s">
        <v>85</v>
      </c>
      <c r="D70" s="52">
        <f>SUM(E70:H70)</f>
        <v>997494.4</v>
      </c>
      <c r="E70" s="53">
        <f>+E71+E72+E73+E74+E75+E76</f>
        <v>0</v>
      </c>
      <c r="F70" s="53">
        <f t="shared" ref="F70:H70" si="50">+F71+F72+F73+F74+F75+F76</f>
        <v>997494.4</v>
      </c>
      <c r="G70" s="53">
        <f t="shared" si="50"/>
        <v>0</v>
      </c>
      <c r="H70" s="53">
        <f t="shared" si="50"/>
        <v>0</v>
      </c>
    </row>
    <row r="71" spans="1:44" s="59" customFormat="1">
      <c r="A71" s="394"/>
      <c r="B71" s="394"/>
      <c r="C71" s="55" t="s">
        <v>279</v>
      </c>
      <c r="D71" s="56">
        <f t="shared" ref="D71:D76" si="51">+E71+F71+G71+H71</f>
        <v>24500</v>
      </c>
      <c r="E71" s="57"/>
      <c r="F71" s="57">
        <f>+'Հավելված N 9'!I76</f>
        <v>24500</v>
      </c>
      <c r="G71" s="57"/>
      <c r="H71" s="58"/>
    </row>
    <row r="72" spans="1:44" s="59" customFormat="1">
      <c r="A72" s="395"/>
      <c r="B72" s="395"/>
      <c r="C72" s="55" t="s">
        <v>280</v>
      </c>
      <c r="D72" s="56">
        <f t="shared" si="51"/>
        <v>32000</v>
      </c>
      <c r="E72" s="57"/>
      <c r="F72" s="57">
        <f>+'Հավելված N 9'!I77</f>
        <v>32000</v>
      </c>
      <c r="G72" s="57"/>
      <c r="H72" s="58"/>
    </row>
    <row r="73" spans="1:44" s="59" customFormat="1">
      <c r="A73" s="395"/>
      <c r="B73" s="395"/>
      <c r="C73" s="55" t="s">
        <v>281</v>
      </c>
      <c r="D73" s="56">
        <f t="shared" si="51"/>
        <v>5000</v>
      </c>
      <c r="E73" s="57"/>
      <c r="F73" s="57">
        <f>+'Հավելված N 9'!I78</f>
        <v>5000</v>
      </c>
      <c r="G73" s="57"/>
      <c r="H73" s="58"/>
    </row>
    <row r="74" spans="1:44" s="59" customFormat="1">
      <c r="A74" s="395"/>
      <c r="B74" s="395"/>
      <c r="C74" s="55" t="s">
        <v>282</v>
      </c>
      <c r="D74" s="56">
        <f t="shared" si="51"/>
        <v>450000</v>
      </c>
      <c r="E74" s="57"/>
      <c r="F74" s="57">
        <f>+'Հավելված N 9'!I79</f>
        <v>450000</v>
      </c>
      <c r="G74" s="57"/>
      <c r="H74" s="58"/>
    </row>
    <row r="75" spans="1:44" s="59" customFormat="1">
      <c r="A75" s="395"/>
      <c r="B75" s="395"/>
      <c r="C75" s="55" t="s">
        <v>283</v>
      </c>
      <c r="D75" s="56">
        <f t="shared" si="51"/>
        <v>227680</v>
      </c>
      <c r="E75" s="57"/>
      <c r="F75" s="57">
        <f>+'Հավելված N 9'!I80</f>
        <v>227680</v>
      </c>
      <c r="G75" s="57"/>
      <c r="H75" s="58"/>
    </row>
    <row r="76" spans="1:44" s="59" customFormat="1">
      <c r="A76" s="396"/>
      <c r="B76" s="396"/>
      <c r="C76" s="55" t="s">
        <v>284</v>
      </c>
      <c r="D76" s="56">
        <f t="shared" si="51"/>
        <v>258314.4</v>
      </c>
      <c r="E76" s="57"/>
      <c r="F76" s="57">
        <f>+'Հավելված N 9'!I81</f>
        <v>258314.4</v>
      </c>
      <c r="G76" s="57"/>
      <c r="H76" s="58"/>
    </row>
    <row r="77" spans="1:44" s="54" customFormat="1">
      <c r="A77" s="50"/>
      <c r="B77" s="50"/>
      <c r="C77" s="37" t="s">
        <v>109</v>
      </c>
      <c r="D77" s="52">
        <f>SUM(E77:H77)</f>
        <v>140994</v>
      </c>
      <c r="E77" s="53">
        <f>+E78+E79</f>
        <v>0</v>
      </c>
      <c r="F77" s="53">
        <f t="shared" ref="F77:H77" si="52">+F78+F79</f>
        <v>140994</v>
      </c>
      <c r="G77" s="53">
        <f t="shared" si="52"/>
        <v>0</v>
      </c>
      <c r="H77" s="53">
        <f t="shared" si="52"/>
        <v>0</v>
      </c>
    </row>
    <row r="78" spans="1:44" s="59" customFormat="1" ht="34.5">
      <c r="A78" s="394"/>
      <c r="B78" s="394"/>
      <c r="C78" s="55" t="s">
        <v>285</v>
      </c>
      <c r="D78" s="56">
        <f t="shared" ref="D78:D79" si="53">+E78+F78+G78+H78</f>
        <v>96000</v>
      </c>
      <c r="E78" s="57"/>
      <c r="F78" s="57">
        <f>+'Հավելված N 9'!I82</f>
        <v>96000</v>
      </c>
      <c r="G78" s="57"/>
      <c r="H78" s="58"/>
    </row>
    <row r="79" spans="1:44" s="59" customFormat="1" ht="34.5">
      <c r="A79" s="396"/>
      <c r="B79" s="396"/>
      <c r="C79" s="55" t="s">
        <v>286</v>
      </c>
      <c r="D79" s="56">
        <f t="shared" si="53"/>
        <v>44994</v>
      </c>
      <c r="E79" s="57"/>
      <c r="F79" s="57">
        <f>+'Հավելված N 9'!I83</f>
        <v>44994</v>
      </c>
      <c r="G79" s="57"/>
      <c r="H79" s="58"/>
    </row>
    <row r="80" spans="1:44" s="217" customFormat="1">
      <c r="A80" s="214">
        <v>1236</v>
      </c>
      <c r="B80" s="114">
        <v>32005</v>
      </c>
      <c r="C80" s="115" t="s">
        <v>96</v>
      </c>
      <c r="D80" s="215">
        <f>SUM(E80:H80)</f>
        <v>-534449.80000000005</v>
      </c>
      <c r="E80" s="216">
        <f>+E82+E84+E87</f>
        <v>-534449.80000000005</v>
      </c>
      <c r="F80" s="216">
        <f t="shared" ref="F80:H80" si="54">+F82+F84+F87</f>
        <v>0</v>
      </c>
      <c r="G80" s="216">
        <f t="shared" si="54"/>
        <v>0</v>
      </c>
      <c r="H80" s="216">
        <f t="shared" si="54"/>
        <v>0</v>
      </c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</row>
    <row r="81" spans="1:44" s="222" customFormat="1">
      <c r="A81" s="218"/>
      <c r="B81" s="218"/>
      <c r="C81" s="219" t="s">
        <v>6</v>
      </c>
      <c r="D81" s="48"/>
      <c r="E81" s="220"/>
      <c r="F81" s="221"/>
      <c r="G81" s="221"/>
      <c r="H81" s="22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</row>
    <row r="82" spans="1:44" s="54" customFormat="1">
      <c r="A82" s="50"/>
      <c r="B82" s="50"/>
      <c r="C82" s="37" t="s">
        <v>85</v>
      </c>
      <c r="D82" s="52">
        <f>SUM(E82:H82)</f>
        <v>600000</v>
      </c>
      <c r="E82" s="53">
        <f>+E83</f>
        <v>600000</v>
      </c>
      <c r="F82" s="53">
        <f t="shared" ref="F82" si="55">+F83</f>
        <v>0</v>
      </c>
      <c r="G82" s="53">
        <f t="shared" ref="G82" si="56">+G83</f>
        <v>0</v>
      </c>
      <c r="H82" s="53">
        <f t="shared" ref="H82" si="57">+H83</f>
        <v>0</v>
      </c>
    </row>
    <row r="83" spans="1:44" s="59" customFormat="1">
      <c r="A83" s="111"/>
      <c r="B83" s="111"/>
      <c r="C83" s="55" t="s">
        <v>250</v>
      </c>
      <c r="D83" s="56">
        <f t="shared" ref="D83" si="58">+E83+F83+G83+H83</f>
        <v>600000</v>
      </c>
      <c r="E83" s="57">
        <f>+'Հավելված N 9'!I86</f>
        <v>600000</v>
      </c>
      <c r="F83" s="57"/>
      <c r="G83" s="57"/>
      <c r="H83" s="58"/>
    </row>
    <row r="84" spans="1:44" s="54" customFormat="1">
      <c r="A84" s="50"/>
      <c r="B84" s="50"/>
      <c r="C84" s="37" t="s">
        <v>48</v>
      </c>
      <c r="D84" s="52">
        <f>SUM(E84:H84)</f>
        <v>0</v>
      </c>
      <c r="E84" s="53">
        <f>+E85+E86</f>
        <v>0</v>
      </c>
      <c r="F84" s="53">
        <f t="shared" ref="F84" si="59">+F85+F86</f>
        <v>0</v>
      </c>
      <c r="G84" s="53">
        <f t="shared" ref="G84" si="60">+G85+G86</f>
        <v>0</v>
      </c>
      <c r="H84" s="53">
        <f t="shared" ref="H84" si="61">+H85+H86</f>
        <v>0</v>
      </c>
    </row>
    <row r="85" spans="1:44" s="59" customFormat="1">
      <c r="A85" s="397"/>
      <c r="B85" s="397"/>
      <c r="C85" s="55" t="s">
        <v>267</v>
      </c>
      <c r="D85" s="56">
        <f t="shared" ref="D85:D86" si="62">+E85+F85+G85+H85</f>
        <v>-603974.1</v>
      </c>
      <c r="E85" s="57">
        <v>-603974.1</v>
      </c>
      <c r="F85" s="57"/>
      <c r="G85" s="57"/>
      <c r="H85" s="58"/>
    </row>
    <row r="86" spans="1:44" s="59" customFormat="1">
      <c r="A86" s="398"/>
      <c r="B86" s="398"/>
      <c r="C86" s="55" t="s">
        <v>268</v>
      </c>
      <c r="D86" s="56">
        <f t="shared" si="62"/>
        <v>603974.1</v>
      </c>
      <c r="E86" s="57">
        <v>603974.1</v>
      </c>
      <c r="F86" s="57"/>
      <c r="G86" s="57"/>
      <c r="H86" s="58"/>
    </row>
    <row r="87" spans="1:44" s="54" customFormat="1">
      <c r="A87" s="50"/>
      <c r="B87" s="50"/>
      <c r="C87" s="37" t="s">
        <v>118</v>
      </c>
      <c r="D87" s="52">
        <f>SUM(E87:H87)</f>
        <v>-1134449.8</v>
      </c>
      <c r="E87" s="53">
        <f>+E88+E89</f>
        <v>-1134449.8</v>
      </c>
      <c r="F87" s="53">
        <f t="shared" ref="F87:H87" si="63">+F88+F89</f>
        <v>0</v>
      </c>
      <c r="G87" s="53">
        <f t="shared" si="63"/>
        <v>0</v>
      </c>
      <c r="H87" s="53">
        <f t="shared" si="63"/>
        <v>0</v>
      </c>
    </row>
    <row r="88" spans="1:44" s="59" customFormat="1">
      <c r="A88" s="397"/>
      <c r="B88" s="397"/>
      <c r="C88" s="55" t="s">
        <v>259</v>
      </c>
      <c r="D88" s="56">
        <f t="shared" ref="D88:D89" si="64">+E88+F88+G88+H88</f>
        <v>-534449.80000000005</v>
      </c>
      <c r="E88" s="57">
        <f>+'Հավելված N 9'!I87</f>
        <v>-534449.80000000005</v>
      </c>
      <c r="F88" s="57"/>
      <c r="G88" s="57"/>
      <c r="H88" s="58"/>
    </row>
    <row r="89" spans="1:44" s="59" customFormat="1">
      <c r="A89" s="398"/>
      <c r="B89" s="398"/>
      <c r="C89" s="55" t="s">
        <v>260</v>
      </c>
      <c r="D89" s="56">
        <f t="shared" si="64"/>
        <v>-600000</v>
      </c>
      <c r="E89" s="57">
        <v>-600000</v>
      </c>
      <c r="F89" s="57"/>
      <c r="G89" s="57"/>
      <c r="H89" s="58"/>
    </row>
  </sheetData>
  <mergeCells count="25">
    <mergeCell ref="E9:H9"/>
    <mergeCell ref="F1:H1"/>
    <mergeCell ref="F2:H2"/>
    <mergeCell ref="F3:H3"/>
    <mergeCell ref="A5:H6"/>
    <mergeCell ref="G8:H8"/>
    <mergeCell ref="A9:B9"/>
    <mergeCell ref="D9:D10"/>
    <mergeCell ref="C9:C10"/>
    <mergeCell ref="B35:B37"/>
    <mergeCell ref="A35:A37"/>
    <mergeCell ref="B43:B45"/>
    <mergeCell ref="A43:A45"/>
    <mergeCell ref="B88:B89"/>
    <mergeCell ref="A88:A89"/>
    <mergeCell ref="A85:A86"/>
    <mergeCell ref="B85:B86"/>
    <mergeCell ref="B57:B58"/>
    <mergeCell ref="A57:A58"/>
    <mergeCell ref="B64:B69"/>
    <mergeCell ref="A64:A69"/>
    <mergeCell ref="A71:A76"/>
    <mergeCell ref="B71:B76"/>
    <mergeCell ref="A78:A79"/>
    <mergeCell ref="B78:B7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K158"/>
  <sheetViews>
    <sheetView topLeftCell="A156" zoomScale="84" zoomScaleNormal="84" workbookViewId="0">
      <selection activeCell="H19" activeCellId="6" sqref="H95:H96 H100 H102:H106 H109:H111 H57 H38 H19"/>
    </sheetView>
  </sheetViews>
  <sheetFormatPr defaultColWidth="9.140625" defaultRowHeight="17.25"/>
  <cols>
    <col min="1" max="3" width="9.140625" style="118"/>
    <col min="4" max="4" width="54.140625" style="118" customWidth="1"/>
    <col min="5" max="5" width="22.85546875" style="186" customWidth="1"/>
    <col min="6" max="6" width="22.85546875" style="186" bestFit="1" customWidth="1"/>
    <col min="7" max="7" width="22.85546875" style="186" customWidth="1"/>
    <col min="8" max="8" width="22.85546875" style="186" bestFit="1" customWidth="1"/>
    <col min="9" max="9" width="20.7109375" style="118" customWidth="1"/>
    <col min="10" max="10" width="19.28515625" style="118" customWidth="1"/>
    <col min="11" max="11" width="20" style="118" customWidth="1"/>
    <col min="12" max="16384" width="9.140625" style="118"/>
  </cols>
  <sheetData>
    <row r="1" spans="2:8" s="223" customFormat="1" ht="25.5" customHeight="1">
      <c r="E1" s="419"/>
      <c r="F1" s="419"/>
      <c r="G1" s="419" t="s">
        <v>92</v>
      </c>
      <c r="H1" s="419"/>
    </row>
    <row r="2" spans="2:8" s="76" customFormat="1" ht="17.850000000000001" customHeight="1">
      <c r="D2" s="224"/>
      <c r="E2" s="420" t="s">
        <v>114</v>
      </c>
      <c r="F2" s="420"/>
      <c r="G2" s="420"/>
      <c r="H2" s="420"/>
    </row>
    <row r="3" spans="2:8" s="76" customFormat="1">
      <c r="D3" s="224"/>
      <c r="E3" s="420"/>
      <c r="F3" s="420"/>
      <c r="G3" s="420" t="s">
        <v>20</v>
      </c>
      <c r="H3" s="420"/>
    </row>
    <row r="4" spans="2:8" s="76" customFormat="1" ht="13.7" customHeight="1">
      <c r="D4" s="224"/>
      <c r="E4" s="225"/>
      <c r="F4" s="225"/>
      <c r="G4" s="225"/>
      <c r="H4" s="225"/>
    </row>
    <row r="5" spans="2:8" s="76" customFormat="1" ht="13.7" customHeight="1">
      <c r="D5" s="224"/>
      <c r="E5" s="225"/>
      <c r="F5" s="225"/>
      <c r="G5" s="225"/>
      <c r="H5" s="225"/>
    </row>
    <row r="6" spans="2:8" s="76" customFormat="1" ht="85.7" customHeight="1">
      <c r="B6" s="421" t="s">
        <v>115</v>
      </c>
      <c r="C6" s="421"/>
      <c r="D6" s="421"/>
      <c r="E6" s="421"/>
      <c r="F6" s="421"/>
      <c r="G6" s="421"/>
      <c r="H6" s="421"/>
    </row>
    <row r="7" spans="2:8" s="76" customFormat="1">
      <c r="E7" s="226"/>
      <c r="F7" s="226"/>
      <c r="G7" s="226"/>
      <c r="H7" s="226"/>
    </row>
    <row r="8" spans="2:8" s="76" customFormat="1">
      <c r="E8" s="227"/>
      <c r="F8" s="227"/>
      <c r="G8" s="227"/>
      <c r="H8" s="227" t="s">
        <v>9</v>
      </c>
    </row>
    <row r="9" spans="2:8" s="76" customFormat="1" ht="41.65" customHeight="1">
      <c r="B9" s="407" t="s">
        <v>33</v>
      </c>
      <c r="C9" s="408"/>
      <c r="D9" s="411" t="s">
        <v>34</v>
      </c>
      <c r="E9" s="422" t="s">
        <v>53</v>
      </c>
      <c r="F9" s="423"/>
      <c r="G9" s="423"/>
      <c r="H9" s="424"/>
    </row>
    <row r="10" spans="2:8" s="76" customFormat="1" ht="88.5" customHeight="1">
      <c r="B10" s="228" t="s">
        <v>14</v>
      </c>
      <c r="C10" s="228" t="s">
        <v>15</v>
      </c>
      <c r="D10" s="412"/>
      <c r="E10" s="229" t="s">
        <v>46</v>
      </c>
      <c r="F10" s="229" t="s">
        <v>45</v>
      </c>
      <c r="G10" s="229" t="s">
        <v>2</v>
      </c>
      <c r="H10" s="229" t="s">
        <v>3</v>
      </c>
    </row>
    <row r="11" spans="2:8" s="76" customFormat="1" ht="51.75">
      <c r="B11" s="228"/>
      <c r="C11" s="228"/>
      <c r="D11" s="230" t="s">
        <v>17</v>
      </c>
      <c r="E11" s="25">
        <f>+E13+E19+E31+E52+E59+E90+E119</f>
        <v>357083.30000000028</v>
      </c>
      <c r="F11" s="25">
        <f t="shared" ref="F11:H11" si="0">+F13+F19+F31+F52+F59+F90+F119</f>
        <v>4073217.7999999993</v>
      </c>
      <c r="G11" s="25">
        <f t="shared" si="0"/>
        <v>1858553.2000000002</v>
      </c>
      <c r="H11" s="25">
        <f t="shared" si="0"/>
        <v>-90000.000000000058</v>
      </c>
    </row>
    <row r="12" spans="2:8" s="76" customFormat="1">
      <c r="B12" s="228"/>
      <c r="C12" s="228"/>
      <c r="D12" s="284" t="s">
        <v>43</v>
      </c>
      <c r="E12" s="285"/>
      <c r="F12" s="285"/>
      <c r="G12" s="285"/>
      <c r="H12" s="285"/>
    </row>
    <row r="13" spans="2:8" s="76" customFormat="1">
      <c r="B13" s="23">
        <v>1163</v>
      </c>
      <c r="C13" s="23">
        <v>32001</v>
      </c>
      <c r="D13" s="30" t="s">
        <v>86</v>
      </c>
      <c r="E13" s="75">
        <f>+E15</f>
        <v>0</v>
      </c>
      <c r="F13" s="75">
        <f t="shared" ref="F13:H13" si="1">+F15</f>
        <v>190007.19999999998</v>
      </c>
      <c r="G13" s="75">
        <f t="shared" si="1"/>
        <v>253342.89999999997</v>
      </c>
      <c r="H13" s="75">
        <f t="shared" si="1"/>
        <v>316678.8</v>
      </c>
    </row>
    <row r="14" spans="2:8" s="76" customFormat="1">
      <c r="B14" s="70"/>
      <c r="C14" s="70"/>
      <c r="D14" s="119" t="s">
        <v>16</v>
      </c>
      <c r="E14" s="73"/>
      <c r="F14" s="73"/>
      <c r="G14" s="73"/>
      <c r="H14" s="73"/>
    </row>
    <row r="15" spans="2:8" s="76" customFormat="1" ht="34.5">
      <c r="B15" s="71"/>
      <c r="C15" s="71"/>
      <c r="D15" s="29" t="s">
        <v>12</v>
      </c>
      <c r="E15" s="74">
        <f>+E17</f>
        <v>0</v>
      </c>
      <c r="F15" s="74">
        <f t="shared" ref="F15:H15" si="2">+F17</f>
        <v>190007.19999999998</v>
      </c>
      <c r="G15" s="74">
        <f t="shared" si="2"/>
        <v>253342.89999999997</v>
      </c>
      <c r="H15" s="74">
        <f t="shared" si="2"/>
        <v>316678.8</v>
      </c>
    </row>
    <row r="16" spans="2:8" s="76" customFormat="1">
      <c r="B16" s="71"/>
      <c r="C16" s="71"/>
      <c r="D16" s="120" t="s">
        <v>44</v>
      </c>
      <c r="E16" s="121"/>
      <c r="F16" s="121"/>
      <c r="G16" s="121"/>
      <c r="H16" s="121"/>
    </row>
    <row r="17" spans="2:8" s="76" customFormat="1">
      <c r="B17" s="71"/>
      <c r="C17" s="71"/>
      <c r="D17" s="37" t="s">
        <v>48</v>
      </c>
      <c r="E17" s="77">
        <f>+E18</f>
        <v>0</v>
      </c>
      <c r="F17" s="77">
        <f t="shared" ref="F17:H17" si="3">+F18</f>
        <v>190007.19999999998</v>
      </c>
      <c r="G17" s="77">
        <f t="shared" si="3"/>
        <v>253342.89999999997</v>
      </c>
      <c r="H17" s="77">
        <f t="shared" si="3"/>
        <v>316678.8</v>
      </c>
    </row>
    <row r="18" spans="2:8" s="76" customFormat="1" ht="34.5">
      <c r="B18" s="161"/>
      <c r="C18" s="161"/>
      <c r="D18" s="34" t="str">
        <f>+'Հավելված N 4'!C18</f>
        <v>Արմավիր համայնքի Մյասնիկյան բնակավայրի մարզադպրոց</v>
      </c>
      <c r="E18" s="122">
        <v>0</v>
      </c>
      <c r="F18" s="122">
        <f>188558.9+337+1111.3</f>
        <v>190007.19999999998</v>
      </c>
      <c r="G18" s="122">
        <f>251411.8+449.3+1481.8</f>
        <v>253342.89999999997</v>
      </c>
      <c r="H18" s="122">
        <f>+'Հավելված N 4'!D18</f>
        <v>316678.8</v>
      </c>
    </row>
    <row r="19" spans="2:8" s="27" customFormat="1" ht="34.5">
      <c r="B19" s="94">
        <v>1163</v>
      </c>
      <c r="C19" s="94">
        <v>32005</v>
      </c>
      <c r="D19" s="170" t="s">
        <v>190</v>
      </c>
      <c r="E19" s="96">
        <f t="shared" ref="E19:F19" si="4">+E21</f>
        <v>134230.1</v>
      </c>
      <c r="F19" s="96">
        <f t="shared" si="4"/>
        <v>134230.1</v>
      </c>
      <c r="G19" s="96">
        <f>+G21</f>
        <v>134230.1</v>
      </c>
      <c r="H19" s="96">
        <f>+H21</f>
        <v>134230.1</v>
      </c>
    </row>
    <row r="20" spans="2:8" s="27" customFormat="1">
      <c r="B20" s="70"/>
      <c r="C20" s="70"/>
      <c r="D20" s="187" t="s">
        <v>16</v>
      </c>
      <c r="E20" s="188"/>
      <c r="F20" s="188"/>
      <c r="G20" s="188"/>
      <c r="H20" s="188"/>
    </row>
    <row r="21" spans="2:8" s="27" customFormat="1" ht="34.5">
      <c r="B21" s="189"/>
      <c r="C21" s="189"/>
      <c r="D21" s="29" t="s">
        <v>12</v>
      </c>
      <c r="E21" s="190">
        <f t="shared" ref="E21:F21" si="5">+E23+E25+E27+E29</f>
        <v>134230.1</v>
      </c>
      <c r="F21" s="190">
        <f t="shared" si="5"/>
        <v>134230.1</v>
      </c>
      <c r="G21" s="190">
        <f>+G23+G25+G27+G29</f>
        <v>134230.1</v>
      </c>
      <c r="H21" s="190">
        <f>+H23+H25+H27+H29</f>
        <v>134230.1</v>
      </c>
    </row>
    <row r="22" spans="2:8" s="27" customFormat="1">
      <c r="B22" s="191"/>
      <c r="C22" s="191"/>
      <c r="D22" s="125" t="s">
        <v>197</v>
      </c>
      <c r="E22" s="125"/>
      <c r="F22" s="125"/>
      <c r="G22" s="135"/>
      <c r="H22" s="135"/>
    </row>
    <row r="23" spans="2:8" s="27" customFormat="1">
      <c r="B23" s="189"/>
      <c r="C23" s="189"/>
      <c r="D23" s="192" t="s">
        <v>105</v>
      </c>
      <c r="E23" s="193">
        <f t="shared" ref="E23:F23" si="6">+E24</f>
        <v>23439.1</v>
      </c>
      <c r="F23" s="193">
        <f t="shared" si="6"/>
        <v>23439.1</v>
      </c>
      <c r="G23" s="193">
        <f>+G24</f>
        <v>23439.1</v>
      </c>
      <c r="H23" s="193">
        <f t="shared" ref="H23:H29" si="7">+H24</f>
        <v>23439.1</v>
      </c>
    </row>
    <row r="24" spans="2:8" s="27" customFormat="1" ht="69">
      <c r="B24" s="194"/>
      <c r="C24" s="194"/>
      <c r="D24" s="195" t="str">
        <f>+'Հավելված N 4'!C22</f>
        <v>Ճամբարակ քաղաքի Տիգրան Մեծի փ. 18/5, Նադարյան փ. 3/4 շենքերի բակերում գտնվող տարածքներում  «Վորքաութ» տեսակի մարզահրապարակներ</v>
      </c>
      <c r="E24" s="196">
        <f>+H24</f>
        <v>23439.1</v>
      </c>
      <c r="F24" s="196">
        <f>+H24</f>
        <v>23439.1</v>
      </c>
      <c r="G24" s="196">
        <f>+H24</f>
        <v>23439.1</v>
      </c>
      <c r="H24" s="196">
        <f>+'Հավելված N 4'!D22</f>
        <v>23439.1</v>
      </c>
    </row>
    <row r="25" spans="2:8" s="27" customFormat="1">
      <c r="B25" s="189"/>
      <c r="C25" s="189"/>
      <c r="D25" s="192" t="s">
        <v>118</v>
      </c>
      <c r="E25" s="193">
        <f t="shared" ref="E25:F25" si="8">+E26</f>
        <v>48055.399999999994</v>
      </c>
      <c r="F25" s="193">
        <f t="shared" si="8"/>
        <v>48055.399999999994</v>
      </c>
      <c r="G25" s="193">
        <f>+G26</f>
        <v>48055.399999999994</v>
      </c>
      <c r="H25" s="193">
        <f t="shared" si="7"/>
        <v>48055.399999999994</v>
      </c>
    </row>
    <row r="26" spans="2:8" s="27" customFormat="1" ht="86.25">
      <c r="B26" s="194"/>
      <c r="C26" s="194"/>
      <c r="D26" s="195" t="str">
        <f>+'Հավելված N 4'!C24</f>
        <v>Կապան քաղաքի Մանուկյան փ. 1-ին նրբ. թիվ 2 և 3 շենքերի, Թումանյան փ. թիվ 18, Շահումյան փ. թիվ 15 և 19 շենքերի բակերում գտնվող տարածքներում  «Վորքաութ» տեսակի մարզահրապարակներ</v>
      </c>
      <c r="E26" s="196">
        <f>+H26</f>
        <v>48055.399999999994</v>
      </c>
      <c r="F26" s="196">
        <f>+H26</f>
        <v>48055.399999999994</v>
      </c>
      <c r="G26" s="196">
        <f>+H26</f>
        <v>48055.399999999994</v>
      </c>
      <c r="H26" s="196">
        <f>+'Հավելված N 4'!D24</f>
        <v>48055.399999999994</v>
      </c>
    </row>
    <row r="27" spans="2:8" s="27" customFormat="1">
      <c r="B27" s="189"/>
      <c r="C27" s="189"/>
      <c r="D27" s="192" t="s">
        <v>95</v>
      </c>
      <c r="E27" s="193">
        <f t="shared" ref="E27:F27" si="9">+E28</f>
        <v>30725.3</v>
      </c>
      <c r="F27" s="193">
        <f t="shared" si="9"/>
        <v>30725.3</v>
      </c>
      <c r="G27" s="193">
        <f>+G28</f>
        <v>30725.3</v>
      </c>
      <c r="H27" s="193">
        <f t="shared" si="7"/>
        <v>30725.3</v>
      </c>
    </row>
    <row r="28" spans="2:8" s="27" customFormat="1" ht="69">
      <c r="B28" s="194"/>
      <c r="C28" s="194"/>
      <c r="D28" s="195" t="str">
        <f>+'Հավելված N 4'!C26</f>
        <v>Ջերմուկ քաղաքի Ս. Շահումյանի փ. թիվ 1 շենքի, Ջերմուկի կրթահամալիրի բակերում գտնվող տարածքներում  «Վորքաութ» տեսակի մարզահրապարակներ</v>
      </c>
      <c r="E28" s="196">
        <f>+H28</f>
        <v>30725.3</v>
      </c>
      <c r="F28" s="196">
        <f>+H28</f>
        <v>30725.3</v>
      </c>
      <c r="G28" s="196">
        <f>+H28</f>
        <v>30725.3</v>
      </c>
      <c r="H28" s="196">
        <f>+'Հավելված N 4'!D26</f>
        <v>30725.3</v>
      </c>
    </row>
    <row r="29" spans="2:8" s="27" customFormat="1">
      <c r="B29" s="189"/>
      <c r="C29" s="189"/>
      <c r="D29" s="192" t="s">
        <v>109</v>
      </c>
      <c r="E29" s="193">
        <f t="shared" ref="E29:F29" si="10">+E30</f>
        <v>32010.299999999996</v>
      </c>
      <c r="F29" s="193">
        <f t="shared" si="10"/>
        <v>32010.299999999996</v>
      </c>
      <c r="G29" s="193">
        <f>+G30</f>
        <v>32010.299999999996</v>
      </c>
      <c r="H29" s="193">
        <f t="shared" si="7"/>
        <v>32010.299999999996</v>
      </c>
    </row>
    <row r="30" spans="2:8" s="27" customFormat="1" ht="69">
      <c r="B30" s="194"/>
      <c r="C30" s="194"/>
      <c r="D30" s="195" t="str">
        <f>+'Հավելված N 4'!C28</f>
        <v>Բերդ քաղաքի Սայաթ-Նովա 1 շենքերի, թիվ 4 դպրոցի և թիվ 3 դպրոցի բակերում գտնվող տարածքներում  «Վորքաութ» տեսակի մարզահրապարակներ</v>
      </c>
      <c r="E30" s="196">
        <f>+H30</f>
        <v>32010.299999999996</v>
      </c>
      <c r="F30" s="196">
        <f>+H30</f>
        <v>32010.299999999996</v>
      </c>
      <c r="G30" s="196">
        <f>+H30</f>
        <v>32010.299999999996</v>
      </c>
      <c r="H30" s="196">
        <f>+'Հավելված N 4'!D28</f>
        <v>32010.299999999996</v>
      </c>
    </row>
    <row r="31" spans="2:8" s="76" customFormat="1">
      <c r="B31" s="23">
        <v>1236</v>
      </c>
      <c r="C31" s="23">
        <v>32001</v>
      </c>
      <c r="D31" s="30" t="s">
        <v>84</v>
      </c>
      <c r="E31" s="75">
        <f>+E33+E51</f>
        <v>329868.2</v>
      </c>
      <c r="F31" s="75">
        <f t="shared" ref="F31:H31" si="11">+F33+F51</f>
        <v>828614.3</v>
      </c>
      <c r="G31" s="75">
        <f t="shared" si="11"/>
        <v>34756.800000000279</v>
      </c>
      <c r="H31" s="75">
        <f t="shared" si="11"/>
        <v>-444822</v>
      </c>
    </row>
    <row r="32" spans="2:8" s="76" customFormat="1">
      <c r="B32" s="70"/>
      <c r="C32" s="70"/>
      <c r="D32" s="119" t="s">
        <v>16</v>
      </c>
      <c r="E32" s="73"/>
      <c r="F32" s="73"/>
      <c r="G32" s="73"/>
      <c r="H32" s="73"/>
    </row>
    <row r="33" spans="2:8" s="76" customFormat="1" ht="34.5">
      <c r="B33" s="71"/>
      <c r="C33" s="71"/>
      <c r="D33" s="29" t="s">
        <v>12</v>
      </c>
      <c r="E33" s="74">
        <f>+E35+E37+E41+E43+E45+E49</f>
        <v>329868.2</v>
      </c>
      <c r="F33" s="74">
        <f t="shared" ref="F33:H33" si="12">+F35+F37+F41+F43+F45+F49</f>
        <v>1668614.3</v>
      </c>
      <c r="G33" s="74">
        <f t="shared" si="12"/>
        <v>1994756.8000000003</v>
      </c>
      <c r="H33" s="74">
        <f t="shared" si="12"/>
        <v>2355178</v>
      </c>
    </row>
    <row r="34" spans="2:8" s="76" customFormat="1">
      <c r="B34" s="71"/>
      <c r="C34" s="71"/>
      <c r="D34" s="120" t="s">
        <v>44</v>
      </c>
      <c r="E34" s="121"/>
      <c r="F34" s="121"/>
      <c r="G34" s="121"/>
      <c r="H34" s="121"/>
    </row>
    <row r="35" spans="2:8" s="76" customFormat="1">
      <c r="B35" s="71"/>
      <c r="C35" s="71"/>
      <c r="D35" s="37" t="s">
        <v>61</v>
      </c>
      <c r="E35" s="77">
        <f>+E36</f>
        <v>0</v>
      </c>
      <c r="F35" s="77">
        <f t="shared" ref="F35:H35" si="13">+F36</f>
        <v>186386.1</v>
      </c>
      <c r="G35" s="77">
        <f t="shared" si="13"/>
        <v>248227.4</v>
      </c>
      <c r="H35" s="77">
        <f t="shared" si="13"/>
        <v>310068.8</v>
      </c>
    </row>
    <row r="36" spans="2:8" s="76" customFormat="1" ht="35.65" customHeight="1">
      <c r="B36" s="160"/>
      <c r="C36" s="160"/>
      <c r="D36" s="34" t="str">
        <f>+'Հավելված N 4'!C33</f>
        <v>Ծաղկահովիտ համայնքի Գեղադիր բնակավայրի մանկապարտեզ</v>
      </c>
      <c r="E36" s="122">
        <v>0</v>
      </c>
      <c r="F36" s="122">
        <f>185524.1+862</f>
        <v>186386.1</v>
      </c>
      <c r="G36" s="122">
        <f>247365.4+862</f>
        <v>248227.4</v>
      </c>
      <c r="H36" s="122">
        <f>+'Հավելված N 4'!D33</f>
        <v>310068.8</v>
      </c>
    </row>
    <row r="37" spans="2:8" s="76" customFormat="1">
      <c r="B37" s="71"/>
      <c r="C37" s="71"/>
      <c r="D37" s="37" t="s">
        <v>48</v>
      </c>
      <c r="E37" s="77">
        <f>SUM(E38:E40)</f>
        <v>213469.8</v>
      </c>
      <c r="F37" s="77">
        <f t="shared" ref="F37:H37" si="14">SUM(F38:F40)</f>
        <v>439975</v>
      </c>
      <c r="G37" s="77">
        <f t="shared" si="14"/>
        <v>465851.9</v>
      </c>
      <c r="H37" s="77">
        <f t="shared" si="14"/>
        <v>522879.8</v>
      </c>
    </row>
    <row r="38" spans="2:8" s="76" customFormat="1" ht="35.65" customHeight="1">
      <c r="B38" s="416"/>
      <c r="C38" s="416"/>
      <c r="D38" s="34" t="str">
        <f>+'Հավելված N 4'!C35</f>
        <v>Արաքս համայնքի Ակնաշեն բնակավայրի մանկապարտեզ</v>
      </c>
      <c r="E38" s="122">
        <f>+H38</f>
        <v>80248.700000000012</v>
      </c>
      <c r="F38" s="122">
        <f>+H38</f>
        <v>80248.700000000012</v>
      </c>
      <c r="G38" s="122">
        <f>+H38</f>
        <v>80248.700000000012</v>
      </c>
      <c r="H38" s="122">
        <f>+'Հավելված N 4'!D35</f>
        <v>80248.700000000012</v>
      </c>
    </row>
    <row r="39" spans="2:8" s="76" customFormat="1" ht="35.65" customHeight="1">
      <c r="B39" s="418"/>
      <c r="C39" s="418"/>
      <c r="D39" s="34" t="str">
        <f>+'Հավելված N 4'!C36</f>
        <v>Խոյ համայնքի Ծաղկունք բնակավայրի մանկապարտեզ</v>
      </c>
      <c r="E39" s="122">
        <f>132048+262.8+910.3</f>
        <v>133221.09999999998</v>
      </c>
      <c r="F39" s="122">
        <f>172296-225.6+1269.8</f>
        <v>173340.19999999998</v>
      </c>
      <c r="G39" s="122">
        <f>137928-1694.4+1142.2</f>
        <v>137375.80000000002</v>
      </c>
      <c r="H39" s="122">
        <f>+'Հավելված N 4'!D36</f>
        <v>132562.29999999999</v>
      </c>
    </row>
    <row r="40" spans="2:8" s="76" customFormat="1" ht="35.65" customHeight="1">
      <c r="B40" s="417"/>
      <c r="C40" s="417"/>
      <c r="D40" s="34" t="str">
        <f>+'Հավելված N 4'!C37</f>
        <v>Խոյ համայնքի Հովտամեջ բնակավայրի մանկապարտեզ</v>
      </c>
      <c r="E40" s="122">
        <v>0</v>
      </c>
      <c r="F40" s="122">
        <f>185524.1+862</f>
        <v>186386.1</v>
      </c>
      <c r="G40" s="122">
        <f>247365.4+862</f>
        <v>248227.4</v>
      </c>
      <c r="H40" s="122">
        <f>+'Հավելված N 4'!D37</f>
        <v>310068.8</v>
      </c>
    </row>
    <row r="41" spans="2:8" s="76" customFormat="1">
      <c r="B41" s="71"/>
      <c r="C41" s="71"/>
      <c r="D41" s="37" t="s">
        <v>105</v>
      </c>
      <c r="E41" s="77">
        <f>+E42</f>
        <v>0</v>
      </c>
      <c r="F41" s="77">
        <f t="shared" ref="F41:H41" si="15">+F42</f>
        <v>186386.1</v>
      </c>
      <c r="G41" s="77">
        <f t="shared" si="15"/>
        <v>248227.4</v>
      </c>
      <c r="H41" s="77">
        <f t="shared" si="15"/>
        <v>310068.8</v>
      </c>
    </row>
    <row r="42" spans="2:8" s="76" customFormat="1" ht="35.65" customHeight="1">
      <c r="B42" s="160"/>
      <c r="C42" s="160"/>
      <c r="D42" s="34" t="str">
        <f>+'Հավելված N 4'!C39</f>
        <v>Վարդենիս համայնքի Խաչաղբյուր բնակավայրի մանկապարտեզ</v>
      </c>
      <c r="E42" s="122">
        <v>0</v>
      </c>
      <c r="F42" s="122">
        <f>185524.1+862</f>
        <v>186386.1</v>
      </c>
      <c r="G42" s="122">
        <f>247365.4+862</f>
        <v>248227.4</v>
      </c>
      <c r="H42" s="122">
        <f>+'Հավելված N 4'!D39</f>
        <v>310068.8</v>
      </c>
    </row>
    <row r="43" spans="2:8" s="76" customFormat="1">
      <c r="B43" s="71"/>
      <c r="C43" s="71"/>
      <c r="D43" s="37" t="s">
        <v>108</v>
      </c>
      <c r="E43" s="77">
        <f>+E44</f>
        <v>0</v>
      </c>
      <c r="F43" s="77">
        <f t="shared" ref="F43" si="16">+F44</f>
        <v>186386.1</v>
      </c>
      <c r="G43" s="77">
        <f t="shared" ref="G43" si="17">+G44</f>
        <v>248227.4</v>
      </c>
      <c r="H43" s="77">
        <f t="shared" ref="H43" si="18">+H44</f>
        <v>310068.8</v>
      </c>
    </row>
    <row r="44" spans="2:8" s="76" customFormat="1" ht="35.65" customHeight="1">
      <c r="B44" s="160"/>
      <c r="C44" s="160"/>
      <c r="D44" s="34" t="str">
        <f>+'Հավելված N 4'!C41</f>
        <v>Ակունք համայնքի Զառ բնակավայրի մանկապարտեզ</v>
      </c>
      <c r="E44" s="122">
        <v>0</v>
      </c>
      <c r="F44" s="122">
        <f>185524.1+862</f>
        <v>186386.1</v>
      </c>
      <c r="G44" s="122">
        <f>247365.4+862</f>
        <v>248227.4</v>
      </c>
      <c r="H44" s="122">
        <f>+'Հավելված N 4'!D41</f>
        <v>310068.8</v>
      </c>
    </row>
    <row r="45" spans="2:8" s="76" customFormat="1">
      <c r="B45" s="71"/>
      <c r="C45" s="71"/>
      <c r="D45" s="37" t="s">
        <v>85</v>
      </c>
      <c r="E45" s="77">
        <f>SUM(E46:E48)</f>
        <v>116398.40000000001</v>
      </c>
      <c r="F45" s="77">
        <f t="shared" ref="F45:H45" si="19">SUM(F46:F48)</f>
        <v>507586.30000000005</v>
      </c>
      <c r="G45" s="77">
        <f t="shared" si="19"/>
        <v>568673.1</v>
      </c>
      <c r="H45" s="77">
        <f t="shared" si="19"/>
        <v>632887.30000000005</v>
      </c>
    </row>
    <row r="46" spans="2:8" s="76" customFormat="1" ht="35.65" customHeight="1">
      <c r="B46" s="416"/>
      <c r="C46" s="416"/>
      <c r="D46" s="34" t="str">
        <f>+'Հավելված N 4'!C43</f>
        <v>Անի համայնքի Քարաբերդ բնակավայրի մանկապարտեզ</v>
      </c>
      <c r="E46" s="122">
        <f>104712.3+315.6+620.5</f>
        <v>105648.40000000001</v>
      </c>
      <c r="F46" s="122">
        <f>146424.6+233+863.1</f>
        <v>147520.70000000001</v>
      </c>
      <c r="G46" s="122">
        <f>132232.8-859+772.8</f>
        <v>132146.59999999998</v>
      </c>
      <c r="H46" s="122">
        <f>+'Հավելված N 4'!D43</f>
        <v>138171.5</v>
      </c>
    </row>
    <row r="47" spans="2:8" s="76" customFormat="1" ht="35.65" customHeight="1">
      <c r="B47" s="418"/>
      <c r="C47" s="418"/>
      <c r="D47" s="34" t="str">
        <f>+'Հավելված N 4'!C44</f>
        <v>Անի համայնքի Մարալիկ բնակավայրի մանկապարտեզ</v>
      </c>
      <c r="E47" s="122">
        <f>+'Հավելված N 4'!G44</f>
        <v>10750</v>
      </c>
      <c r="F47" s="122">
        <f>162849-796.5+877+'Հավելված N 4'!G44</f>
        <v>173679.5</v>
      </c>
      <c r="G47" s="122">
        <f>178058.4-1417.5+908.2+'Հավելված N 4'!G44</f>
        <v>188299.1</v>
      </c>
      <c r="H47" s="122">
        <f>+'Հավելված N 4'!D44</f>
        <v>184647</v>
      </c>
    </row>
    <row r="48" spans="2:8" s="76" customFormat="1" ht="35.65" customHeight="1">
      <c r="B48" s="417"/>
      <c r="C48" s="417"/>
      <c r="D48" s="34" t="str">
        <f>+'Հավելված N 4'!C45</f>
        <v>Աշոցք համայնքի Ղազանչի բնակավայրի մանկապարտեզ</v>
      </c>
      <c r="E48" s="122">
        <v>0</v>
      </c>
      <c r="F48" s="122">
        <f t="shared" ref="F48" si="20">185524.1+862</f>
        <v>186386.1</v>
      </c>
      <c r="G48" s="122">
        <f t="shared" ref="G48" si="21">247365.4+862</f>
        <v>248227.4</v>
      </c>
      <c r="H48" s="122">
        <f>+'Հավելված N 4'!D45</f>
        <v>310068.8</v>
      </c>
    </row>
    <row r="49" spans="2:11" s="76" customFormat="1">
      <c r="B49" s="71"/>
      <c r="C49" s="71"/>
      <c r="D49" s="37" t="s">
        <v>109</v>
      </c>
      <c r="E49" s="77">
        <f>+E50</f>
        <v>0</v>
      </c>
      <c r="F49" s="77">
        <f t="shared" ref="F49:H49" si="22">+F50</f>
        <v>161894.70000000001</v>
      </c>
      <c r="G49" s="77">
        <f t="shared" si="22"/>
        <v>215549.6</v>
      </c>
      <c r="H49" s="77">
        <f t="shared" si="22"/>
        <v>269204.5</v>
      </c>
    </row>
    <row r="50" spans="2:11" s="76" customFormat="1" ht="35.65" customHeight="1">
      <c r="B50" s="161"/>
      <c r="C50" s="161"/>
      <c r="D50" s="34" t="str">
        <f>+'Հավելված N 4'!C47</f>
        <v>Նոյեմբերյան համայնքի Բաղանիս բնակավայրի մանկապարտեզ</v>
      </c>
      <c r="E50" s="122">
        <v>0</v>
      </c>
      <c r="F50" s="122">
        <f>160964.7+930</f>
        <v>161894.70000000001</v>
      </c>
      <c r="G50" s="122">
        <f>214619.6+930</f>
        <v>215549.6</v>
      </c>
      <c r="H50" s="122">
        <f>+'Հավելված N 4'!D47</f>
        <v>269204.5</v>
      </c>
    </row>
    <row r="51" spans="2:11" s="76" customFormat="1">
      <c r="B51" s="71"/>
      <c r="C51" s="71"/>
      <c r="D51" s="29" t="s">
        <v>217</v>
      </c>
      <c r="E51" s="74">
        <v>0</v>
      </c>
      <c r="F51" s="74">
        <v>-840000</v>
      </c>
      <c r="G51" s="74">
        <v>-1960000</v>
      </c>
      <c r="H51" s="74">
        <f>+'Հավելված N 4'!D31</f>
        <v>-2800000</v>
      </c>
    </row>
    <row r="52" spans="2:11" s="76" customFormat="1" ht="34.5">
      <c r="B52" s="23">
        <v>1236</v>
      </c>
      <c r="C52" s="21">
        <v>32002</v>
      </c>
      <c r="D52" s="30" t="s">
        <v>218</v>
      </c>
      <c r="E52" s="75">
        <f>+E54+E58</f>
        <v>122351.8</v>
      </c>
      <c r="F52" s="75">
        <f t="shared" ref="F52:H52" si="23">+F54+F58</f>
        <v>122351.8</v>
      </c>
      <c r="G52" s="75">
        <f t="shared" si="23"/>
        <v>122351.8</v>
      </c>
      <c r="H52" s="75">
        <f t="shared" si="23"/>
        <v>-15815.800000000003</v>
      </c>
    </row>
    <row r="53" spans="2:11" s="76" customFormat="1">
      <c r="B53" s="70"/>
      <c r="C53" s="70"/>
      <c r="D53" s="119" t="s">
        <v>16</v>
      </c>
      <c r="E53" s="73"/>
      <c r="F53" s="73"/>
      <c r="G53" s="73"/>
      <c r="H53" s="73"/>
    </row>
    <row r="54" spans="2:11" s="76" customFormat="1" ht="34.5">
      <c r="B54" s="71"/>
      <c r="C54" s="71"/>
      <c r="D54" s="29" t="s">
        <v>12</v>
      </c>
      <c r="E54" s="74">
        <f>+E56</f>
        <v>122351.8</v>
      </c>
      <c r="F54" s="74">
        <f t="shared" ref="F54:H54" si="24">+F56</f>
        <v>122351.8</v>
      </c>
      <c r="G54" s="74">
        <f t="shared" si="24"/>
        <v>122351.8</v>
      </c>
      <c r="H54" s="74">
        <f t="shared" si="24"/>
        <v>122351.8</v>
      </c>
    </row>
    <row r="55" spans="2:11" s="76" customFormat="1">
      <c r="B55" s="71"/>
      <c r="C55" s="71"/>
      <c r="D55" s="120" t="s">
        <v>44</v>
      </c>
      <c r="E55" s="121"/>
      <c r="F55" s="121"/>
      <c r="G55" s="121"/>
      <c r="H55" s="121"/>
    </row>
    <row r="56" spans="2:11" s="76" customFormat="1">
      <c r="B56" s="71"/>
      <c r="C56" s="71"/>
      <c r="D56" s="37" t="s">
        <v>61</v>
      </c>
      <c r="E56" s="77">
        <f>+E57</f>
        <v>122351.8</v>
      </c>
      <c r="F56" s="77">
        <f t="shared" ref="F56:G56" si="25">+F57</f>
        <v>122351.8</v>
      </c>
      <c r="G56" s="77">
        <f t="shared" si="25"/>
        <v>122351.8</v>
      </c>
      <c r="H56" s="77">
        <f>+H57</f>
        <v>122351.8</v>
      </c>
    </row>
    <row r="57" spans="2:11" s="76" customFormat="1" ht="35.65" customHeight="1">
      <c r="B57" s="160"/>
      <c r="C57" s="160"/>
      <c r="D57" s="34" t="str">
        <f>+'Հավելված N 4'!C52</f>
        <v>Աշտարակ համայնքի Ուշի բնակավայրի մանկապարտեզ</v>
      </c>
      <c r="E57" s="122">
        <f>+H57</f>
        <v>122351.8</v>
      </c>
      <c r="F57" s="122">
        <f>+H57</f>
        <v>122351.8</v>
      </c>
      <c r="G57" s="122">
        <f>+H57</f>
        <v>122351.8</v>
      </c>
      <c r="H57" s="122">
        <f>+'Հավելված N 4'!D52</f>
        <v>122351.8</v>
      </c>
    </row>
    <row r="58" spans="2:11" s="76" customFormat="1">
      <c r="B58" s="71"/>
      <c r="C58" s="71"/>
      <c r="D58" s="29" t="s">
        <v>217</v>
      </c>
      <c r="E58" s="74">
        <v>0</v>
      </c>
      <c r="F58" s="74">
        <v>0</v>
      </c>
      <c r="G58" s="74">
        <v>0</v>
      </c>
      <c r="H58" s="74">
        <f>+'Հավելված N 4'!D50</f>
        <v>-138167.6</v>
      </c>
    </row>
    <row r="59" spans="2:11" s="76" customFormat="1" ht="34.5">
      <c r="B59" s="23">
        <v>1236</v>
      </c>
      <c r="C59" s="23">
        <v>32003</v>
      </c>
      <c r="D59" s="30" t="s">
        <v>93</v>
      </c>
      <c r="E59" s="75">
        <f>+E61</f>
        <v>1741068.6</v>
      </c>
      <c r="F59" s="75">
        <f t="shared" ref="F59:H59" si="26">+F61</f>
        <v>1938885.6999999997</v>
      </c>
      <c r="G59" s="75">
        <f t="shared" si="26"/>
        <v>969442.69999999972</v>
      </c>
      <c r="H59" s="75">
        <f t="shared" si="26"/>
        <v>0</v>
      </c>
    </row>
    <row r="60" spans="2:11" s="76" customFormat="1">
      <c r="B60" s="70"/>
      <c r="C60" s="70"/>
      <c r="D60" s="119" t="s">
        <v>16</v>
      </c>
      <c r="E60" s="73"/>
      <c r="F60" s="73"/>
      <c r="G60" s="73"/>
      <c r="H60" s="73"/>
    </row>
    <row r="61" spans="2:11" s="76" customFormat="1" ht="34.5">
      <c r="B61" s="71"/>
      <c r="C61" s="71"/>
      <c r="D61" s="29" t="s">
        <v>12</v>
      </c>
      <c r="E61" s="74">
        <f>+E63+E68+E72+E76+E78+E81+E83+E88</f>
        <v>1741068.6</v>
      </c>
      <c r="F61" s="74">
        <f t="shared" ref="F61:H61" si="27">+F63+F68+F72+F76+F78+F81+F83+F88</f>
        <v>1938885.6999999997</v>
      </c>
      <c r="G61" s="74">
        <f t="shared" si="27"/>
        <v>969442.69999999972</v>
      </c>
      <c r="H61" s="74">
        <f t="shared" si="27"/>
        <v>0</v>
      </c>
    </row>
    <row r="62" spans="2:11" s="76" customFormat="1">
      <c r="B62" s="71"/>
      <c r="C62" s="71"/>
      <c r="D62" s="120" t="s">
        <v>44</v>
      </c>
      <c r="E62" s="121"/>
      <c r="F62" s="121"/>
      <c r="G62" s="121"/>
      <c r="H62" s="121"/>
    </row>
    <row r="63" spans="2:11" s="76" customFormat="1">
      <c r="B63" s="71"/>
      <c r="C63" s="71"/>
      <c r="D63" s="37" t="s">
        <v>61</v>
      </c>
      <c r="E63" s="77">
        <f>SUM(E64:E67)</f>
        <v>842000</v>
      </c>
      <c r="F63" s="77">
        <f t="shared" ref="F63:H63" si="28">SUM(F64:F67)</f>
        <v>591925.79999999993</v>
      </c>
      <c r="G63" s="77">
        <f t="shared" si="28"/>
        <v>295962.89999999997</v>
      </c>
      <c r="H63" s="77">
        <f t="shared" si="28"/>
        <v>0</v>
      </c>
    </row>
    <row r="64" spans="2:11" s="76" customFormat="1" ht="51.75">
      <c r="B64" s="413"/>
      <c r="C64" s="413"/>
      <c r="D64" s="93" t="s">
        <v>221</v>
      </c>
      <c r="E64" s="201">
        <v>300000</v>
      </c>
      <c r="F64" s="201">
        <v>197308.59999999998</v>
      </c>
      <c r="G64" s="201">
        <v>98654.299999999988</v>
      </c>
      <c r="H64" s="201">
        <v>0</v>
      </c>
      <c r="I64" s="337"/>
      <c r="J64" s="337"/>
      <c r="K64" s="337"/>
    </row>
    <row r="65" spans="2:8" s="76" customFormat="1" ht="51.75">
      <c r="B65" s="414"/>
      <c r="C65" s="414"/>
      <c r="D65" s="93" t="s">
        <v>222</v>
      </c>
      <c r="E65" s="201">
        <v>300000</v>
      </c>
      <c r="F65" s="201">
        <v>197308.59999999998</v>
      </c>
      <c r="G65" s="201">
        <v>98654.299999999988</v>
      </c>
      <c r="H65" s="201">
        <v>0</v>
      </c>
    </row>
    <row r="66" spans="2:8" s="76" customFormat="1">
      <c r="B66" s="414"/>
      <c r="C66" s="414"/>
      <c r="D66" s="93" t="s">
        <v>223</v>
      </c>
      <c r="E66" s="201">
        <v>300000</v>
      </c>
      <c r="F66" s="201">
        <v>197308.59999999998</v>
      </c>
      <c r="G66" s="201">
        <v>98654.299999999988</v>
      </c>
      <c r="H66" s="201">
        <v>0</v>
      </c>
    </row>
    <row r="67" spans="2:8" s="76" customFormat="1" ht="34.5">
      <c r="B67" s="415"/>
      <c r="C67" s="415"/>
      <c r="D67" s="93" t="s">
        <v>224</v>
      </c>
      <c r="E67" s="201">
        <v>-58000</v>
      </c>
      <c r="F67" s="201">
        <v>0</v>
      </c>
      <c r="G67" s="201">
        <v>0</v>
      </c>
      <c r="H67" s="201">
        <v>0</v>
      </c>
    </row>
    <row r="68" spans="2:8" s="76" customFormat="1">
      <c r="B68" s="71"/>
      <c r="C68" s="71"/>
      <c r="D68" s="37" t="s">
        <v>94</v>
      </c>
      <c r="E68" s="77">
        <f>SUM(E69:E71)</f>
        <v>439068.6</v>
      </c>
      <c r="F68" s="77">
        <f t="shared" ref="F68:H68" si="29">SUM(F69:F71)</f>
        <v>343404.79999999993</v>
      </c>
      <c r="G68" s="77">
        <f t="shared" si="29"/>
        <v>171702.39999999991</v>
      </c>
      <c r="H68" s="77">
        <f t="shared" si="29"/>
        <v>0</v>
      </c>
    </row>
    <row r="69" spans="2:8" s="76" customFormat="1">
      <c r="B69" s="414"/>
      <c r="C69" s="414"/>
      <c r="D69" s="93" t="s">
        <v>225</v>
      </c>
      <c r="E69" s="201">
        <v>-130931.4</v>
      </c>
      <c r="F69" s="201">
        <v>0</v>
      </c>
      <c r="G69" s="201">
        <v>0</v>
      </c>
      <c r="H69" s="201">
        <v>0</v>
      </c>
    </row>
    <row r="70" spans="2:8" s="76" customFormat="1">
      <c r="B70" s="414"/>
      <c r="C70" s="414"/>
      <c r="D70" s="93" t="s">
        <v>226</v>
      </c>
      <c r="E70" s="201">
        <v>270000</v>
      </c>
      <c r="F70" s="201">
        <v>171702.39999999997</v>
      </c>
      <c r="G70" s="201">
        <v>85851.199999999953</v>
      </c>
      <c r="H70" s="201">
        <v>0</v>
      </c>
    </row>
    <row r="71" spans="2:8" s="76" customFormat="1">
      <c r="B71" s="415"/>
      <c r="C71" s="415"/>
      <c r="D71" s="93" t="s">
        <v>227</v>
      </c>
      <c r="E71" s="201">
        <v>300000</v>
      </c>
      <c r="F71" s="201">
        <v>171702.39999999997</v>
      </c>
      <c r="G71" s="201">
        <v>85851.199999999953</v>
      </c>
      <c r="H71" s="201">
        <v>0</v>
      </c>
    </row>
    <row r="72" spans="2:8" s="76" customFormat="1">
      <c r="B72" s="71"/>
      <c r="C72" s="71"/>
      <c r="D72" s="37" t="s">
        <v>48</v>
      </c>
      <c r="E72" s="77">
        <f>SUM(E73:E75)</f>
        <v>720000</v>
      </c>
      <c r="F72" s="77">
        <f t="shared" ref="F72:H72" si="30">SUM(F73:F75)</f>
        <v>590130</v>
      </c>
      <c r="G72" s="77">
        <f t="shared" si="30"/>
        <v>295064.89999999997</v>
      </c>
      <c r="H72" s="77">
        <f t="shared" si="30"/>
        <v>0</v>
      </c>
    </row>
    <row r="73" spans="2:8" s="76" customFormat="1" ht="34.5">
      <c r="B73" s="413"/>
      <c r="C73" s="413"/>
      <c r="D73" s="93" t="s">
        <v>228</v>
      </c>
      <c r="E73" s="201">
        <v>240000</v>
      </c>
      <c r="F73" s="201">
        <v>195453.10000000003</v>
      </c>
      <c r="G73" s="201">
        <v>97726.5</v>
      </c>
      <c r="H73" s="201">
        <v>0</v>
      </c>
    </row>
    <row r="74" spans="2:8" s="76" customFormat="1">
      <c r="B74" s="414"/>
      <c r="C74" s="414"/>
      <c r="D74" s="93" t="s">
        <v>229</v>
      </c>
      <c r="E74" s="201">
        <v>240000</v>
      </c>
      <c r="F74" s="201">
        <v>197282.8</v>
      </c>
      <c r="G74" s="201">
        <v>98641.399999999965</v>
      </c>
      <c r="H74" s="201">
        <v>0</v>
      </c>
    </row>
    <row r="75" spans="2:8" s="76" customFormat="1">
      <c r="B75" s="415"/>
      <c r="C75" s="415"/>
      <c r="D75" s="93" t="s">
        <v>230</v>
      </c>
      <c r="E75" s="201">
        <v>240000</v>
      </c>
      <c r="F75" s="201">
        <v>197394.10000000003</v>
      </c>
      <c r="G75" s="201">
        <v>98697</v>
      </c>
      <c r="H75" s="201">
        <v>0</v>
      </c>
    </row>
    <row r="76" spans="2:8" s="76" customFormat="1">
      <c r="B76" s="71"/>
      <c r="C76" s="71"/>
      <c r="D76" s="37" t="s">
        <v>106</v>
      </c>
      <c r="E76" s="77">
        <f>+E77</f>
        <v>-120000</v>
      </c>
      <c r="F76" s="77">
        <f t="shared" ref="F76:H76" si="31">+F77</f>
        <v>0</v>
      </c>
      <c r="G76" s="77">
        <f t="shared" si="31"/>
        <v>0</v>
      </c>
      <c r="H76" s="77">
        <f t="shared" si="31"/>
        <v>0</v>
      </c>
    </row>
    <row r="77" spans="2:8" s="76" customFormat="1">
      <c r="B77" s="200"/>
      <c r="C77" s="200"/>
      <c r="D77" s="93" t="s">
        <v>231</v>
      </c>
      <c r="E77" s="201">
        <v>-120000</v>
      </c>
      <c r="F77" s="201">
        <v>0</v>
      </c>
      <c r="G77" s="201">
        <v>0</v>
      </c>
      <c r="H77" s="201">
        <v>0</v>
      </c>
    </row>
    <row r="78" spans="2:8" s="76" customFormat="1">
      <c r="B78" s="71"/>
      <c r="C78" s="71"/>
      <c r="D78" s="37" t="s">
        <v>108</v>
      </c>
      <c r="E78" s="77">
        <f>SUM(E79:E80)</f>
        <v>200000</v>
      </c>
      <c r="F78" s="77">
        <f t="shared" ref="F78:H78" si="32">SUM(F79:F80)</f>
        <v>179533.2</v>
      </c>
      <c r="G78" s="77">
        <f t="shared" si="32"/>
        <v>89766.600000000035</v>
      </c>
      <c r="H78" s="77">
        <f t="shared" si="32"/>
        <v>0</v>
      </c>
    </row>
    <row r="79" spans="2:8" s="76" customFormat="1" ht="34.5">
      <c r="B79" s="416"/>
      <c r="C79" s="416"/>
      <c r="D79" s="93" t="s">
        <v>232</v>
      </c>
      <c r="E79" s="201">
        <v>-100000</v>
      </c>
      <c r="F79" s="201">
        <v>0</v>
      </c>
      <c r="G79" s="201">
        <v>0</v>
      </c>
      <c r="H79" s="201">
        <v>0</v>
      </c>
    </row>
    <row r="80" spans="2:8" s="76" customFormat="1">
      <c r="B80" s="417"/>
      <c r="C80" s="417"/>
      <c r="D80" s="93" t="s">
        <v>233</v>
      </c>
      <c r="E80" s="201">
        <v>300000</v>
      </c>
      <c r="F80" s="201">
        <v>179533.2</v>
      </c>
      <c r="G80" s="201">
        <v>89766.600000000035</v>
      </c>
      <c r="H80" s="201">
        <v>0</v>
      </c>
    </row>
    <row r="81" spans="2:8" s="76" customFormat="1">
      <c r="B81" s="71"/>
      <c r="C81" s="71"/>
      <c r="D81" s="37" t="s">
        <v>85</v>
      </c>
      <c r="E81" s="77">
        <f>+E82</f>
        <v>-100000</v>
      </c>
      <c r="F81" s="77">
        <f t="shared" ref="F81" si="33">+F82</f>
        <v>0</v>
      </c>
      <c r="G81" s="77">
        <f t="shared" ref="G81" si="34">+G82</f>
        <v>0</v>
      </c>
      <c r="H81" s="77">
        <f t="shared" ref="H81" si="35">+H82</f>
        <v>0</v>
      </c>
    </row>
    <row r="82" spans="2:8" s="76" customFormat="1">
      <c r="B82" s="200"/>
      <c r="C82" s="200"/>
      <c r="D82" s="93" t="s">
        <v>234</v>
      </c>
      <c r="E82" s="201">
        <v>-100000</v>
      </c>
      <c r="F82" s="201">
        <v>0</v>
      </c>
      <c r="G82" s="201">
        <v>0</v>
      </c>
      <c r="H82" s="201">
        <v>0</v>
      </c>
    </row>
    <row r="83" spans="2:8" s="76" customFormat="1">
      <c r="B83" s="71"/>
      <c r="C83" s="71"/>
      <c r="D83" s="37" t="s">
        <v>118</v>
      </c>
      <c r="E83" s="77">
        <f>SUM(E84:E87)</f>
        <v>-110000</v>
      </c>
      <c r="F83" s="77">
        <f t="shared" ref="F83:H83" si="36">SUM(F84:F87)</f>
        <v>233891.89999999997</v>
      </c>
      <c r="G83" s="77">
        <f t="shared" si="36"/>
        <v>116945.89999999997</v>
      </c>
      <c r="H83" s="77">
        <f t="shared" si="36"/>
        <v>0</v>
      </c>
    </row>
    <row r="84" spans="2:8" s="76" customFormat="1" ht="34.5">
      <c r="B84" s="416"/>
      <c r="C84" s="416"/>
      <c r="D84" s="93" t="s">
        <v>236</v>
      </c>
      <c r="E84" s="201">
        <v>-120000</v>
      </c>
      <c r="F84" s="201">
        <v>0</v>
      </c>
      <c r="G84" s="201">
        <v>0</v>
      </c>
      <c r="H84" s="201">
        <v>0</v>
      </c>
    </row>
    <row r="85" spans="2:8" s="76" customFormat="1">
      <c r="B85" s="418"/>
      <c r="C85" s="418"/>
      <c r="D85" s="93" t="s">
        <v>235</v>
      </c>
      <c r="E85" s="201">
        <v>240000</v>
      </c>
      <c r="F85" s="201">
        <v>233891.89999999997</v>
      </c>
      <c r="G85" s="201">
        <v>116945.89999999997</v>
      </c>
      <c r="H85" s="201">
        <v>0</v>
      </c>
    </row>
    <row r="86" spans="2:8" s="76" customFormat="1">
      <c r="B86" s="418"/>
      <c r="C86" s="418"/>
      <c r="D86" s="93" t="s">
        <v>237</v>
      </c>
      <c r="E86" s="201">
        <v>-120000</v>
      </c>
      <c r="F86" s="201">
        <v>0</v>
      </c>
      <c r="G86" s="201">
        <v>0</v>
      </c>
      <c r="H86" s="201">
        <v>0</v>
      </c>
    </row>
    <row r="87" spans="2:8" s="76" customFormat="1">
      <c r="B87" s="418"/>
      <c r="C87" s="418"/>
      <c r="D87" s="93" t="s">
        <v>238</v>
      </c>
      <c r="E87" s="201">
        <v>-110000</v>
      </c>
      <c r="F87" s="201">
        <v>0</v>
      </c>
      <c r="G87" s="201">
        <v>0</v>
      </c>
      <c r="H87" s="201">
        <v>0</v>
      </c>
    </row>
    <row r="88" spans="2:8" s="76" customFormat="1">
      <c r="B88" s="71"/>
      <c r="C88" s="71"/>
      <c r="D88" s="37" t="s">
        <v>95</v>
      </c>
      <c r="E88" s="77">
        <f>+E89</f>
        <v>-130000</v>
      </c>
      <c r="F88" s="77">
        <f t="shared" ref="F88" si="37">+F89</f>
        <v>0</v>
      </c>
      <c r="G88" s="77">
        <f t="shared" ref="G88" si="38">+G89</f>
        <v>0</v>
      </c>
      <c r="H88" s="77">
        <f t="shared" ref="H88" si="39">+H89</f>
        <v>0</v>
      </c>
    </row>
    <row r="89" spans="2:8" s="76" customFormat="1">
      <c r="B89" s="200"/>
      <c r="C89" s="200"/>
      <c r="D89" s="93" t="s">
        <v>239</v>
      </c>
      <c r="E89" s="201">
        <v>-130000</v>
      </c>
      <c r="F89" s="201">
        <v>0</v>
      </c>
      <c r="G89" s="201">
        <v>0</v>
      </c>
      <c r="H89" s="201">
        <v>0</v>
      </c>
    </row>
    <row r="90" spans="2:8" s="76" customFormat="1" ht="34.5">
      <c r="B90" s="23">
        <v>1236</v>
      </c>
      <c r="C90" s="23">
        <v>32004</v>
      </c>
      <c r="D90" s="115" t="s">
        <v>119</v>
      </c>
      <c r="E90" s="75">
        <f>+E92+E118</f>
        <v>381989.5</v>
      </c>
      <c r="F90" s="75">
        <f t="shared" ref="F90:H90" si="40">+F92+F118</f>
        <v>709780.89999999991</v>
      </c>
      <c r="G90" s="75">
        <f t="shared" si="40"/>
        <v>536979.80000000005</v>
      </c>
      <c r="H90" s="75">
        <f t="shared" si="40"/>
        <v>454178.69999999995</v>
      </c>
    </row>
    <row r="91" spans="2:8" s="76" customFormat="1">
      <c r="B91" s="70"/>
      <c r="C91" s="70"/>
      <c r="D91" s="119" t="s">
        <v>16</v>
      </c>
      <c r="E91" s="73"/>
      <c r="F91" s="73"/>
      <c r="G91" s="73"/>
      <c r="H91" s="73"/>
    </row>
    <row r="92" spans="2:8" s="76" customFormat="1" ht="34.5">
      <c r="B92" s="71"/>
      <c r="C92" s="71"/>
      <c r="D92" s="29" t="s">
        <v>12</v>
      </c>
      <c r="E92" s="74">
        <f>+E94+E97+E99+E101+E108+E115</f>
        <v>381989.5</v>
      </c>
      <c r="F92" s="74">
        <f t="shared" ref="F92:H92" si="41">+F94+F97+F99+F101+F108+F115</f>
        <v>979780.89999999991</v>
      </c>
      <c r="G92" s="74">
        <f t="shared" si="41"/>
        <v>1166979.8</v>
      </c>
      <c r="H92" s="74">
        <f t="shared" si="41"/>
        <v>1354178.7</v>
      </c>
    </row>
    <row r="93" spans="2:8" s="76" customFormat="1">
      <c r="B93" s="71"/>
      <c r="C93" s="71"/>
      <c r="D93" s="120" t="s">
        <v>44</v>
      </c>
      <c r="E93" s="121"/>
      <c r="F93" s="121"/>
      <c r="G93" s="121"/>
      <c r="H93" s="121"/>
    </row>
    <row r="94" spans="2:8" s="76" customFormat="1">
      <c r="B94" s="189"/>
      <c r="C94" s="189"/>
      <c r="D94" s="37" t="s">
        <v>94</v>
      </c>
      <c r="E94" s="77">
        <f>SUM(E95:E96)</f>
        <v>0</v>
      </c>
      <c r="F94" s="77">
        <f t="shared" ref="F94:G94" si="42">SUM(F95:F96)</f>
        <v>5050</v>
      </c>
      <c r="G94" s="77">
        <f t="shared" si="42"/>
        <v>5050</v>
      </c>
      <c r="H94" s="77">
        <f>SUM(H95:H96)</f>
        <v>5050</v>
      </c>
    </row>
    <row r="95" spans="2:8" s="76" customFormat="1">
      <c r="B95" s="416"/>
      <c r="C95" s="416"/>
      <c r="D95" s="93" t="str">
        <f>+'Հավելված N 4'!C57</f>
        <v xml:space="preserve">«Հնաբերդի միջնակարգ դպրոց» ՊՈԱԿ </v>
      </c>
      <c r="E95" s="201">
        <v>0</v>
      </c>
      <c r="F95" s="201">
        <f t="shared" ref="F95" si="43">+H95</f>
        <v>5000</v>
      </c>
      <c r="G95" s="201">
        <f t="shared" ref="G95" si="44">+H95</f>
        <v>5000</v>
      </c>
      <c r="H95" s="201">
        <f>+'Հավելված N 4'!D57</f>
        <v>5000</v>
      </c>
    </row>
    <row r="96" spans="2:8" s="76" customFormat="1">
      <c r="B96" s="417"/>
      <c r="C96" s="417"/>
      <c r="D96" s="93" t="str">
        <f>+'Հավելված N 4'!C58</f>
        <v xml:space="preserve">«Վարդաշենի միջնակարգ դպրոց» ՊՈԱԿ </v>
      </c>
      <c r="E96" s="201">
        <v>0</v>
      </c>
      <c r="F96" s="201">
        <f t="shared" ref="F96" si="45">+H96</f>
        <v>50</v>
      </c>
      <c r="G96" s="201">
        <f t="shared" ref="G96" si="46">+H96</f>
        <v>50</v>
      </c>
      <c r="H96" s="201">
        <f>+'Հավելված N 4'!D58</f>
        <v>50</v>
      </c>
    </row>
    <row r="97" spans="2:8" s="76" customFormat="1">
      <c r="B97" s="189"/>
      <c r="C97" s="189"/>
      <c r="D97" s="37" t="s">
        <v>48</v>
      </c>
      <c r="E97" s="77">
        <f>+E98</f>
        <v>29547</v>
      </c>
      <c r="F97" s="77">
        <f t="shared" ref="F97:G97" si="47">+F98</f>
        <v>98490</v>
      </c>
      <c r="G97" s="77">
        <f t="shared" si="47"/>
        <v>98490</v>
      </c>
      <c r="H97" s="77">
        <f>+H98</f>
        <v>98490</v>
      </c>
    </row>
    <row r="98" spans="2:8" s="76" customFormat="1" ht="34.5">
      <c r="B98" s="161"/>
      <c r="C98" s="161"/>
      <c r="D98" s="93" t="str">
        <f>+'Հավելված N 4'!C60</f>
        <v>«Այգեկի Մուշեղ Մովսիսյանի անվան միջնակարգ դպրոց» ՊՈԱԿ</v>
      </c>
      <c r="E98" s="201">
        <v>29547</v>
      </c>
      <c r="F98" s="201">
        <f t="shared" ref="F98" si="48">+H98</f>
        <v>98490</v>
      </c>
      <c r="G98" s="201">
        <f t="shared" ref="G98" si="49">+H98</f>
        <v>98490</v>
      </c>
      <c r="H98" s="201">
        <f>+'Հավելված N 4'!D60</f>
        <v>98490</v>
      </c>
    </row>
    <row r="99" spans="2:8" s="76" customFormat="1">
      <c r="B99" s="189"/>
      <c r="C99" s="189"/>
      <c r="D99" s="37" t="s">
        <v>105</v>
      </c>
      <c r="E99" s="77">
        <f>+E100</f>
        <v>6</v>
      </c>
      <c r="F99" s="77">
        <f t="shared" ref="F99" si="50">+F100</f>
        <v>6</v>
      </c>
      <c r="G99" s="77">
        <f t="shared" ref="G99" si="51">+G100</f>
        <v>6</v>
      </c>
      <c r="H99" s="77">
        <f>+H100</f>
        <v>6</v>
      </c>
    </row>
    <row r="100" spans="2:8" s="76" customFormat="1">
      <c r="B100" s="161"/>
      <c r="C100" s="161"/>
      <c r="D100" s="93" t="str">
        <f>+'Հավելված N 4'!C62</f>
        <v xml:space="preserve">«Վաղաշենի միջնակարգ դպրոց» ՊՈԱԿ </v>
      </c>
      <c r="E100" s="201">
        <f>+H100</f>
        <v>6</v>
      </c>
      <c r="F100" s="201">
        <f t="shared" ref="F100" si="52">+H100</f>
        <v>6</v>
      </c>
      <c r="G100" s="201">
        <f t="shared" ref="G100" si="53">+H100</f>
        <v>6</v>
      </c>
      <c r="H100" s="201">
        <f>+'Հավելված N 4'!D62</f>
        <v>6</v>
      </c>
    </row>
    <row r="101" spans="2:8" s="76" customFormat="1">
      <c r="B101" s="189"/>
      <c r="C101" s="189"/>
      <c r="D101" s="37" t="s">
        <v>106</v>
      </c>
      <c r="E101" s="77">
        <f>SUM(E102:E107)</f>
        <v>29340</v>
      </c>
      <c r="F101" s="77">
        <f t="shared" ref="F101:G101" si="54">SUM(F102:F107)</f>
        <v>112144.3</v>
      </c>
      <c r="G101" s="77">
        <f t="shared" si="54"/>
        <v>112144.3</v>
      </c>
      <c r="H101" s="77">
        <f>SUM(H102:H107)</f>
        <v>112144.3</v>
      </c>
    </row>
    <row r="102" spans="2:8" s="76" customFormat="1" ht="34.5">
      <c r="B102" s="416"/>
      <c r="C102" s="416"/>
      <c r="D102" s="93" t="str">
        <f>+'Հավելված N 4'!C64</f>
        <v xml:space="preserve">«Ստեփանավանի Ստ․ Շահումյանի անվան թիվ 1 հիմնական դպրոց» ՊՈԱԿ </v>
      </c>
      <c r="E102" s="201">
        <v>0</v>
      </c>
      <c r="F102" s="201">
        <f t="shared" ref="F102" si="55">+H102</f>
        <v>50</v>
      </c>
      <c r="G102" s="201">
        <f t="shared" ref="G102" si="56">+H102</f>
        <v>50</v>
      </c>
      <c r="H102" s="201">
        <f>+'Հավելված N 4'!D64</f>
        <v>50</v>
      </c>
    </row>
    <row r="103" spans="2:8" s="76" customFormat="1" ht="34.5">
      <c r="B103" s="418"/>
      <c r="C103" s="418"/>
      <c r="D103" s="93" t="str">
        <f>+'Հավելված N 4'!C65</f>
        <v xml:space="preserve">«ք. Վանաձորի Ա.Մաթևոսյանի անվան թիվ 8 հիմնական դպրոց» ՊՈԱԿ </v>
      </c>
      <c r="E103" s="201">
        <v>0</v>
      </c>
      <c r="F103" s="201">
        <f t="shared" ref="F103:F107" si="57">+H103</f>
        <v>50</v>
      </c>
      <c r="G103" s="201">
        <f t="shared" ref="G103:G107" si="58">+H103</f>
        <v>50</v>
      </c>
      <c r="H103" s="201">
        <f>+'Հավելված N 4'!D65</f>
        <v>50</v>
      </c>
    </row>
    <row r="104" spans="2:8" s="76" customFormat="1" ht="34.5">
      <c r="B104" s="418"/>
      <c r="C104" s="418"/>
      <c r="D104" s="93" t="str">
        <f>+'Հավելված N 4'!C66</f>
        <v xml:space="preserve">«ք. Վանաձորի Խ.Աբովյանի անվան թիվ 9 հիմնական դպրոց» ՊՈԱԿ </v>
      </c>
      <c r="E104" s="201">
        <v>0</v>
      </c>
      <c r="F104" s="201">
        <f t="shared" si="57"/>
        <v>4244.3</v>
      </c>
      <c r="G104" s="201">
        <f t="shared" si="58"/>
        <v>4244.3</v>
      </c>
      <c r="H104" s="201">
        <f>+'Հավելված N 4'!D66</f>
        <v>4244.3</v>
      </c>
    </row>
    <row r="105" spans="2:8" s="76" customFormat="1">
      <c r="B105" s="418"/>
      <c r="C105" s="418"/>
      <c r="D105" s="93" t="str">
        <f>+'Հավելված N 4'!C67</f>
        <v xml:space="preserve">«Ագարակի միջնակարգ դպրոց» ՊՈԱԿ </v>
      </c>
      <c r="E105" s="201">
        <v>0</v>
      </c>
      <c r="F105" s="201">
        <f t="shared" si="57"/>
        <v>5000</v>
      </c>
      <c r="G105" s="201">
        <f t="shared" si="58"/>
        <v>5000</v>
      </c>
      <c r="H105" s="201">
        <f>+'Հավելված N 4'!D67</f>
        <v>5000</v>
      </c>
    </row>
    <row r="106" spans="2:8" s="76" customFormat="1" ht="34.5">
      <c r="B106" s="418"/>
      <c r="C106" s="418"/>
      <c r="D106" s="93" t="str">
        <f>+'Հավելված N 4'!C68</f>
        <v xml:space="preserve">«Ստեփանավանի Սուրբ Գրիգոր Լուսավորիչի անվան թիվ 2 հիմնական դպրոց» ՊՈԱԿ </v>
      </c>
      <c r="E106" s="201">
        <v>0</v>
      </c>
      <c r="F106" s="201">
        <f t="shared" si="57"/>
        <v>5000</v>
      </c>
      <c r="G106" s="201">
        <f t="shared" si="58"/>
        <v>5000</v>
      </c>
      <c r="H106" s="201">
        <f>+'Հավելված N 4'!D68</f>
        <v>5000</v>
      </c>
    </row>
    <row r="107" spans="2:8" s="76" customFormat="1" ht="34.5">
      <c r="B107" s="417"/>
      <c r="C107" s="417"/>
      <c r="D107" s="93" t="str">
        <f>+'Հավելված N 4'!C69</f>
        <v>«Վանաձորի ծովակալ Իսակովի անվան թիվ 23 հիմնական դպրոց» ՊՈԱԿ</v>
      </c>
      <c r="E107" s="201">
        <v>29340</v>
      </c>
      <c r="F107" s="201">
        <f t="shared" si="57"/>
        <v>97800</v>
      </c>
      <c r="G107" s="201">
        <f t="shared" si="58"/>
        <v>97800</v>
      </c>
      <c r="H107" s="201">
        <f>+'Հավելված N 4'!D69</f>
        <v>97800</v>
      </c>
    </row>
    <row r="108" spans="2:8" s="76" customFormat="1">
      <c r="B108" s="189"/>
      <c r="C108" s="189"/>
      <c r="D108" s="37" t="s">
        <v>85</v>
      </c>
      <c r="E108" s="77">
        <f>SUM(E109:E114)</f>
        <v>280798.3</v>
      </c>
      <c r="F108" s="77">
        <f t="shared" ref="F108" si="59">SUM(F109:F114)</f>
        <v>623096.6</v>
      </c>
      <c r="G108" s="77">
        <f t="shared" ref="G108" si="60">SUM(G109:G114)</f>
        <v>810295.5</v>
      </c>
      <c r="H108" s="77">
        <f>SUM(H109:H114)</f>
        <v>997494.4</v>
      </c>
    </row>
    <row r="109" spans="2:8" s="76" customFormat="1">
      <c r="B109" s="416"/>
      <c r="C109" s="416"/>
      <c r="D109" s="93" t="str">
        <f>+'Հավելված N 4'!C71</f>
        <v xml:space="preserve">«ք․ Գյումրու թիվ 32 հիմնական դպրոց» ՊՈԱԿ </v>
      </c>
      <c r="E109" s="201">
        <v>0</v>
      </c>
      <c r="F109" s="201">
        <f t="shared" ref="F109:F111" si="61">+H109</f>
        <v>24500</v>
      </c>
      <c r="G109" s="201">
        <f t="shared" ref="G109:G111" si="62">+H109</f>
        <v>24500</v>
      </c>
      <c r="H109" s="201">
        <f>+'Հավելված N 4'!D71</f>
        <v>24500</v>
      </c>
    </row>
    <row r="110" spans="2:8" s="76" customFormat="1">
      <c r="B110" s="418"/>
      <c r="C110" s="418"/>
      <c r="D110" s="93" t="str">
        <f>+'Հավելված N 4'!C72</f>
        <v xml:space="preserve">«ք․ Գյումրու թիվ 38 հիմնական դպրոց» ՊՈԱԿ </v>
      </c>
      <c r="E110" s="201">
        <v>0</v>
      </c>
      <c r="F110" s="201">
        <f t="shared" si="61"/>
        <v>32000</v>
      </c>
      <c r="G110" s="201">
        <f t="shared" si="62"/>
        <v>32000</v>
      </c>
      <c r="H110" s="201">
        <f>+'Հավելված N 4'!D72</f>
        <v>32000</v>
      </c>
    </row>
    <row r="111" spans="2:8" s="76" customFormat="1">
      <c r="B111" s="418"/>
      <c r="C111" s="418"/>
      <c r="D111" s="93" t="str">
        <f>+'Հավելված N 4'!C73</f>
        <v xml:space="preserve">«ք․ Գյումրու թիվ 28 հիմնական դպրոց» ՊՈԱԿ </v>
      </c>
      <c r="E111" s="201">
        <v>0</v>
      </c>
      <c r="F111" s="201">
        <f t="shared" si="61"/>
        <v>5000</v>
      </c>
      <c r="G111" s="201">
        <f t="shared" si="62"/>
        <v>5000</v>
      </c>
      <c r="H111" s="201">
        <f>+'Հավելված N 4'!D73</f>
        <v>5000</v>
      </c>
    </row>
    <row r="112" spans="2:8" s="76" customFormat="1">
      <c r="B112" s="418"/>
      <c r="C112" s="418"/>
      <c r="D112" s="93" t="str">
        <f>+'Հավելված N 4'!C74</f>
        <v>«Գյումրու թիվ 11 հիմնական դպրոց» ՊՈԱԿ</v>
      </c>
      <c r="E112" s="201">
        <v>135000</v>
      </c>
      <c r="F112" s="201">
        <v>270000</v>
      </c>
      <c r="G112" s="201">
        <v>360000</v>
      </c>
      <c r="H112" s="201">
        <f>+'Հավելված N 4'!D74</f>
        <v>450000</v>
      </c>
    </row>
    <row r="113" spans="2:8" s="76" customFormat="1">
      <c r="B113" s="418"/>
      <c r="C113" s="418"/>
      <c r="D113" s="93" t="str">
        <f>+'Հավելված N 4'!C75</f>
        <v>«Գյումրու թիվ 20 հիմնական դպրոց» ՊՈԱԿ</v>
      </c>
      <c r="E113" s="201">
        <v>68304</v>
      </c>
      <c r="F113" s="201">
        <v>136608</v>
      </c>
      <c r="G113" s="201">
        <v>182144</v>
      </c>
      <c r="H113" s="201">
        <f>+'Հավելված N 4'!D75</f>
        <v>227680</v>
      </c>
    </row>
    <row r="114" spans="2:8" s="76" customFormat="1">
      <c r="B114" s="417"/>
      <c r="C114" s="417"/>
      <c r="D114" s="93" t="str">
        <f>+'Հավելված N 4'!C76</f>
        <v>«Գյումրու թիվ 23 միջնակարգ դպրոց» ՊՈԱԿ</v>
      </c>
      <c r="E114" s="201">
        <v>77494.3</v>
      </c>
      <c r="F114" s="201">
        <v>154988.6</v>
      </c>
      <c r="G114" s="201">
        <v>206651.5</v>
      </c>
      <c r="H114" s="201">
        <f>+'Հավելված N 4'!D76</f>
        <v>258314.4</v>
      </c>
    </row>
    <row r="115" spans="2:8" s="76" customFormat="1">
      <c r="B115" s="189"/>
      <c r="C115" s="189"/>
      <c r="D115" s="37" t="s">
        <v>109</v>
      </c>
      <c r="E115" s="77">
        <f>SUM(E116:E117)</f>
        <v>42298.2</v>
      </c>
      <c r="F115" s="77">
        <f t="shared" ref="F115:G115" si="63">SUM(F116:F117)</f>
        <v>140994</v>
      </c>
      <c r="G115" s="77">
        <f t="shared" si="63"/>
        <v>140994</v>
      </c>
      <c r="H115" s="77">
        <f>SUM(H116:H117)</f>
        <v>140994</v>
      </c>
    </row>
    <row r="116" spans="2:8" s="76" customFormat="1" ht="34.5">
      <c r="B116" s="416"/>
      <c r="C116" s="416"/>
      <c r="D116" s="93" t="str">
        <f>+'Հավելված N 4'!C78</f>
        <v>«Մ. Սաղումյանի անվան Բերդի ավագ դպրոց» ՊՈԱԿ</v>
      </c>
      <c r="E116" s="201">
        <v>28800</v>
      </c>
      <c r="F116" s="201">
        <f t="shared" ref="F116:F117" si="64">+H116</f>
        <v>96000</v>
      </c>
      <c r="G116" s="201">
        <f t="shared" ref="G116:G117" si="65">+H116</f>
        <v>96000</v>
      </c>
      <c r="H116" s="201">
        <f>+'Հավելված N 4'!D78</f>
        <v>96000</v>
      </c>
    </row>
    <row r="117" spans="2:8" s="76" customFormat="1" ht="34.5">
      <c r="B117" s="417"/>
      <c r="C117" s="417"/>
      <c r="D117" s="93" t="str">
        <f>+'Հավելված N 4'!C79</f>
        <v>«Կայանի Հովհաննես Հինդլյանի անվան միջնակարգ դպրոց» ՊՈԱԿ</v>
      </c>
      <c r="E117" s="201">
        <v>13498.2</v>
      </c>
      <c r="F117" s="201">
        <f t="shared" si="64"/>
        <v>44994</v>
      </c>
      <c r="G117" s="201">
        <f t="shared" si="65"/>
        <v>44994</v>
      </c>
      <c r="H117" s="201">
        <f>+'Հավելված N 4'!D79</f>
        <v>44994</v>
      </c>
    </row>
    <row r="118" spans="2:8" s="76" customFormat="1">
      <c r="B118" s="71"/>
      <c r="C118" s="71"/>
      <c r="D118" s="29" t="s">
        <v>217</v>
      </c>
      <c r="E118" s="74">
        <v>0</v>
      </c>
      <c r="F118" s="74">
        <v>-270000</v>
      </c>
      <c r="G118" s="74">
        <v>-630000</v>
      </c>
      <c r="H118" s="74">
        <f>+'Հավելված N 4'!D55</f>
        <v>-900000</v>
      </c>
    </row>
    <row r="119" spans="2:8" s="76" customFormat="1">
      <c r="B119" s="23">
        <v>1236</v>
      </c>
      <c r="C119" s="23">
        <v>32005</v>
      </c>
      <c r="D119" s="115" t="s">
        <v>96</v>
      </c>
      <c r="E119" s="75">
        <f>+E121</f>
        <v>-2352424.9</v>
      </c>
      <c r="F119" s="75">
        <f t="shared" ref="F119:H119" si="66">+F121</f>
        <v>149347.79999999993</v>
      </c>
      <c r="G119" s="75">
        <f t="shared" si="66"/>
        <v>-192550.89999999991</v>
      </c>
      <c r="H119" s="75">
        <f t="shared" si="66"/>
        <v>-534449.80000000005</v>
      </c>
    </row>
    <row r="120" spans="2:8" s="76" customFormat="1">
      <c r="B120" s="70"/>
      <c r="C120" s="70"/>
      <c r="D120" s="119" t="s">
        <v>16</v>
      </c>
      <c r="E120" s="73"/>
      <c r="F120" s="73"/>
      <c r="G120" s="73"/>
      <c r="H120" s="73"/>
    </row>
    <row r="121" spans="2:8" s="76" customFormat="1" ht="34.5">
      <c r="B121" s="71"/>
      <c r="C121" s="71"/>
      <c r="D121" s="29" t="s">
        <v>12</v>
      </c>
      <c r="E121" s="74">
        <f>+E123+E125+E127+E131+E136+E139+E142+E152+E156</f>
        <v>-2352424.9</v>
      </c>
      <c r="F121" s="74">
        <f t="shared" ref="F121:H121" si="67">+F123+F125+F127+F131+F136+F139+F142+F152+F156</f>
        <v>149347.79999999993</v>
      </c>
      <c r="G121" s="74">
        <f t="shared" si="67"/>
        <v>-192550.89999999991</v>
      </c>
      <c r="H121" s="74">
        <f t="shared" si="67"/>
        <v>-534449.80000000005</v>
      </c>
    </row>
    <row r="122" spans="2:8" s="76" customFormat="1">
      <c r="B122" s="71"/>
      <c r="C122" s="71"/>
      <c r="D122" s="120" t="s">
        <v>44</v>
      </c>
      <c r="E122" s="121"/>
      <c r="F122" s="121"/>
      <c r="G122" s="121"/>
      <c r="H122" s="121"/>
    </row>
    <row r="123" spans="2:8" s="76" customFormat="1">
      <c r="B123" s="189"/>
      <c r="C123" s="189"/>
      <c r="D123" s="37" t="s">
        <v>61</v>
      </c>
      <c r="E123" s="77">
        <f>+E124</f>
        <v>-100000</v>
      </c>
      <c r="F123" s="77">
        <f t="shared" ref="F123" si="68">+F124</f>
        <v>0</v>
      </c>
      <c r="G123" s="77">
        <f t="shared" ref="G123" si="69">+G124</f>
        <v>0</v>
      </c>
      <c r="H123" s="77">
        <f t="shared" ref="H123" si="70">+H124</f>
        <v>0</v>
      </c>
    </row>
    <row r="124" spans="2:8" s="76" customFormat="1">
      <c r="B124" s="160"/>
      <c r="C124" s="160"/>
      <c r="D124" s="93" t="s">
        <v>240</v>
      </c>
      <c r="E124" s="201">
        <v>-100000</v>
      </c>
      <c r="F124" s="201">
        <v>0</v>
      </c>
      <c r="G124" s="201">
        <v>0</v>
      </c>
      <c r="H124" s="201">
        <v>0</v>
      </c>
    </row>
    <row r="125" spans="2:8" s="76" customFormat="1">
      <c r="B125" s="189"/>
      <c r="C125" s="189"/>
      <c r="D125" s="37" t="s">
        <v>94</v>
      </c>
      <c r="E125" s="77">
        <f>+E126</f>
        <v>150000</v>
      </c>
      <c r="F125" s="77">
        <f t="shared" ref="F125" si="71">+F126</f>
        <v>238832.90000000002</v>
      </c>
      <c r="G125" s="77">
        <f t="shared" ref="G125" si="72">+G126</f>
        <v>119416.50000000006</v>
      </c>
      <c r="H125" s="77">
        <f t="shared" ref="H125" si="73">+H126</f>
        <v>0</v>
      </c>
    </row>
    <row r="126" spans="2:8" s="76" customFormat="1">
      <c r="B126" s="202"/>
      <c r="C126" s="202"/>
      <c r="D126" s="93" t="s">
        <v>241</v>
      </c>
      <c r="E126" s="201">
        <v>150000</v>
      </c>
      <c r="F126" s="201">
        <v>238832.90000000002</v>
      </c>
      <c r="G126" s="201">
        <v>119416.50000000006</v>
      </c>
      <c r="H126" s="201">
        <v>0</v>
      </c>
    </row>
    <row r="127" spans="2:8" s="76" customFormat="1">
      <c r="B127" s="189"/>
      <c r="C127" s="189"/>
      <c r="D127" s="37" t="s">
        <v>48</v>
      </c>
      <c r="E127" s="77">
        <f>SUM(E128:E130)</f>
        <v>-182000</v>
      </c>
      <c r="F127" s="77">
        <f t="shared" ref="F127:G127" si="74">SUM(F128:F130)</f>
        <v>0</v>
      </c>
      <c r="G127" s="77">
        <f t="shared" si="74"/>
        <v>0</v>
      </c>
      <c r="H127" s="77">
        <f>SUM(H128:H130)</f>
        <v>0</v>
      </c>
    </row>
    <row r="128" spans="2:8" s="76" customFormat="1">
      <c r="B128" s="416"/>
      <c r="C128" s="416"/>
      <c r="D128" s="93" t="s">
        <v>242</v>
      </c>
      <c r="E128" s="201">
        <v>-182000</v>
      </c>
      <c r="F128" s="201">
        <v>0</v>
      </c>
      <c r="G128" s="201">
        <v>0</v>
      </c>
      <c r="H128" s="201">
        <v>0</v>
      </c>
    </row>
    <row r="129" spans="2:8" s="76" customFormat="1">
      <c r="B129" s="418"/>
      <c r="C129" s="418"/>
      <c r="D129" s="93" t="str">
        <f>+'Հավելված N 4'!C85</f>
        <v>գ. Երվանդաշատի կրթահամալիր</v>
      </c>
      <c r="E129" s="201">
        <v>-181192.2</v>
      </c>
      <c r="F129" s="201">
        <v>-362384.5</v>
      </c>
      <c r="G129" s="201">
        <v>-483179.3</v>
      </c>
      <c r="H129" s="201">
        <f>+'Հավելված N 4'!D85</f>
        <v>-603974.1</v>
      </c>
    </row>
    <row r="130" spans="2:8" s="76" customFormat="1">
      <c r="B130" s="417"/>
      <c r="C130" s="417"/>
      <c r="D130" s="93" t="str">
        <f>+'Հավելված N 4'!C86</f>
        <v>գ. Հայկավանի կրթահամալիր</v>
      </c>
      <c r="E130" s="201">
        <v>181192.2</v>
      </c>
      <c r="F130" s="201">
        <v>362384.5</v>
      </c>
      <c r="G130" s="201">
        <v>483179.3</v>
      </c>
      <c r="H130" s="201">
        <f>+'Հավելված N 4'!D86</f>
        <v>603974.1</v>
      </c>
    </row>
    <row r="131" spans="2:8" s="76" customFormat="1">
      <c r="B131" s="189"/>
      <c r="C131" s="189"/>
      <c r="D131" s="37" t="s">
        <v>105</v>
      </c>
      <c r="E131" s="77">
        <f>SUM(E132:E135)</f>
        <v>-360000</v>
      </c>
      <c r="F131" s="77">
        <f t="shared" ref="F131:H131" si="75">SUM(F132:F135)</f>
        <v>231184.8</v>
      </c>
      <c r="G131" s="77">
        <f t="shared" si="75"/>
        <v>115592.40000000002</v>
      </c>
      <c r="H131" s="77">
        <f t="shared" si="75"/>
        <v>0</v>
      </c>
    </row>
    <row r="132" spans="2:8" s="76" customFormat="1">
      <c r="B132" s="416"/>
      <c r="C132" s="416"/>
      <c r="D132" s="93" t="s">
        <v>243</v>
      </c>
      <c r="E132" s="201">
        <v>150000</v>
      </c>
      <c r="F132" s="201">
        <v>231184.8</v>
      </c>
      <c r="G132" s="201">
        <v>115592.40000000002</v>
      </c>
      <c r="H132" s="201">
        <v>0</v>
      </c>
    </row>
    <row r="133" spans="2:8" s="76" customFormat="1">
      <c r="B133" s="418"/>
      <c r="C133" s="418"/>
      <c r="D133" s="93" t="s">
        <v>244</v>
      </c>
      <c r="E133" s="201">
        <v>-170000</v>
      </c>
      <c r="F133" s="201">
        <v>0</v>
      </c>
      <c r="G133" s="201">
        <v>0</v>
      </c>
      <c r="H133" s="201">
        <v>0</v>
      </c>
    </row>
    <row r="134" spans="2:8" s="76" customFormat="1">
      <c r="B134" s="418"/>
      <c r="C134" s="418"/>
      <c r="D134" s="93" t="s">
        <v>245</v>
      </c>
      <c r="E134" s="201">
        <v>-170000</v>
      </c>
      <c r="F134" s="201">
        <v>0</v>
      </c>
      <c r="G134" s="201">
        <v>0</v>
      </c>
      <c r="H134" s="201">
        <v>0</v>
      </c>
    </row>
    <row r="135" spans="2:8" s="76" customFormat="1">
      <c r="B135" s="417"/>
      <c r="C135" s="417"/>
      <c r="D135" s="93" t="s">
        <v>246</v>
      </c>
      <c r="E135" s="201">
        <v>-170000</v>
      </c>
      <c r="F135" s="201">
        <v>0</v>
      </c>
      <c r="G135" s="201">
        <v>0</v>
      </c>
      <c r="H135" s="201">
        <v>0</v>
      </c>
    </row>
    <row r="136" spans="2:8" s="76" customFormat="1">
      <c r="B136" s="189"/>
      <c r="C136" s="189"/>
      <c r="D136" s="37" t="s">
        <v>106</v>
      </c>
      <c r="E136" s="77">
        <f>SUM(E137:E138)</f>
        <v>-200000</v>
      </c>
      <c r="F136" s="77">
        <f t="shared" ref="F136:H136" si="76">SUM(F137:F138)</f>
        <v>0</v>
      </c>
      <c r="G136" s="77">
        <f t="shared" si="76"/>
        <v>0</v>
      </c>
      <c r="H136" s="77">
        <f t="shared" si="76"/>
        <v>0</v>
      </c>
    </row>
    <row r="137" spans="2:8" s="76" customFormat="1">
      <c r="B137" s="416"/>
      <c r="C137" s="416"/>
      <c r="D137" s="93" t="s">
        <v>247</v>
      </c>
      <c r="E137" s="201">
        <v>-100000</v>
      </c>
      <c r="F137" s="201">
        <v>0</v>
      </c>
      <c r="G137" s="201">
        <v>0</v>
      </c>
      <c r="H137" s="201">
        <v>0</v>
      </c>
    </row>
    <row r="138" spans="2:8" s="76" customFormat="1">
      <c r="B138" s="417"/>
      <c r="C138" s="417"/>
      <c r="D138" s="93" t="s">
        <v>248</v>
      </c>
      <c r="E138" s="201">
        <v>-100000</v>
      </c>
      <c r="F138" s="201">
        <v>0</v>
      </c>
      <c r="G138" s="201">
        <v>0</v>
      </c>
      <c r="H138" s="201">
        <v>0</v>
      </c>
    </row>
    <row r="139" spans="2:8" s="76" customFormat="1">
      <c r="B139" s="189"/>
      <c r="C139" s="189"/>
      <c r="D139" s="37" t="s">
        <v>85</v>
      </c>
      <c r="E139" s="77">
        <f>SUM(E140:E141)</f>
        <v>-60090</v>
      </c>
      <c r="F139" s="77">
        <f t="shared" ref="F139:H139" si="77">SUM(F140:F141)</f>
        <v>360000</v>
      </c>
      <c r="G139" s="77">
        <f t="shared" si="77"/>
        <v>480000</v>
      </c>
      <c r="H139" s="77">
        <f t="shared" si="77"/>
        <v>600000</v>
      </c>
    </row>
    <row r="140" spans="2:8" s="76" customFormat="1">
      <c r="B140" s="416"/>
      <c r="C140" s="416"/>
      <c r="D140" s="93" t="s">
        <v>249</v>
      </c>
      <c r="E140" s="201">
        <v>-180090</v>
      </c>
      <c r="F140" s="201">
        <v>0</v>
      </c>
      <c r="G140" s="201">
        <v>0</v>
      </c>
      <c r="H140" s="201">
        <v>0</v>
      </c>
    </row>
    <row r="141" spans="2:8" s="76" customFormat="1">
      <c r="B141" s="417"/>
      <c r="C141" s="417"/>
      <c r="D141" s="93" t="str">
        <f>+'Հավելված N 4'!C83</f>
        <v>գ․ Գետափի կրթահամալիր</v>
      </c>
      <c r="E141" s="201">
        <v>120000</v>
      </c>
      <c r="F141" s="201">
        <v>360000</v>
      </c>
      <c r="G141" s="201">
        <v>480000</v>
      </c>
      <c r="H141" s="201">
        <f>+'Հավելված N 4'!D83</f>
        <v>600000</v>
      </c>
    </row>
    <row r="142" spans="2:8" s="76" customFormat="1">
      <c r="B142" s="189"/>
      <c r="C142" s="189"/>
      <c r="D142" s="37" t="s">
        <v>118</v>
      </c>
      <c r="E142" s="77">
        <f>SUM(E143:E151)</f>
        <v>-1080334.8999999999</v>
      </c>
      <c r="F142" s="77">
        <f t="shared" ref="F142:H142" si="78">SUM(F143:F151)</f>
        <v>-680669.9</v>
      </c>
      <c r="G142" s="77">
        <f t="shared" si="78"/>
        <v>-907559.8</v>
      </c>
      <c r="H142" s="77">
        <f t="shared" si="78"/>
        <v>-1134449.8</v>
      </c>
    </row>
    <row r="143" spans="2:8" s="76" customFormat="1">
      <c r="B143" s="416"/>
      <c r="C143" s="416"/>
      <c r="D143" s="93" t="s">
        <v>252</v>
      </c>
      <c r="E143" s="201">
        <v>-90000</v>
      </c>
      <c r="F143" s="201">
        <v>0</v>
      </c>
      <c r="G143" s="201">
        <v>0</v>
      </c>
      <c r="H143" s="201">
        <v>0</v>
      </c>
    </row>
    <row r="144" spans="2:8" s="76" customFormat="1">
      <c r="B144" s="418"/>
      <c r="C144" s="418"/>
      <c r="D144" s="93" t="s">
        <v>253</v>
      </c>
      <c r="E144" s="201">
        <v>-90000</v>
      </c>
      <c r="F144" s="201">
        <v>0</v>
      </c>
      <c r="G144" s="201">
        <v>0</v>
      </c>
      <c r="H144" s="201">
        <v>0</v>
      </c>
    </row>
    <row r="145" spans="2:8" s="76" customFormat="1">
      <c r="B145" s="418"/>
      <c r="C145" s="418"/>
      <c r="D145" s="93" t="s">
        <v>254</v>
      </c>
      <c r="E145" s="201">
        <v>-100000</v>
      </c>
      <c r="F145" s="201">
        <v>0</v>
      </c>
      <c r="G145" s="201">
        <v>0</v>
      </c>
      <c r="H145" s="201">
        <v>0</v>
      </c>
    </row>
    <row r="146" spans="2:8" s="76" customFormat="1">
      <c r="B146" s="418"/>
      <c r="C146" s="418"/>
      <c r="D146" s="93" t="s">
        <v>255</v>
      </c>
      <c r="E146" s="201">
        <v>-90000</v>
      </c>
      <c r="F146" s="201">
        <v>0</v>
      </c>
      <c r="G146" s="201">
        <v>0</v>
      </c>
      <c r="H146" s="201">
        <v>0</v>
      </c>
    </row>
    <row r="147" spans="2:8" s="76" customFormat="1" ht="34.5">
      <c r="B147" s="418"/>
      <c r="C147" s="418"/>
      <c r="D147" s="93" t="s">
        <v>256</v>
      </c>
      <c r="E147" s="201">
        <v>-120000</v>
      </c>
      <c r="F147" s="201">
        <v>0</v>
      </c>
      <c r="G147" s="201">
        <v>0</v>
      </c>
      <c r="H147" s="201">
        <v>0</v>
      </c>
    </row>
    <row r="148" spans="2:8" s="76" customFormat="1">
      <c r="B148" s="418"/>
      <c r="C148" s="418"/>
      <c r="D148" s="93" t="s">
        <v>257</v>
      </c>
      <c r="E148" s="201">
        <v>-120000</v>
      </c>
      <c r="F148" s="201">
        <v>0</v>
      </c>
      <c r="G148" s="201">
        <v>0</v>
      </c>
      <c r="H148" s="201">
        <v>0</v>
      </c>
    </row>
    <row r="149" spans="2:8" s="76" customFormat="1">
      <c r="B149" s="418"/>
      <c r="C149" s="418"/>
      <c r="D149" s="93" t="s">
        <v>258</v>
      </c>
      <c r="E149" s="201">
        <v>-130000</v>
      </c>
      <c r="F149" s="201">
        <v>0</v>
      </c>
      <c r="G149" s="201">
        <v>0</v>
      </c>
      <c r="H149" s="201">
        <v>0</v>
      </c>
    </row>
    <row r="150" spans="2:8" s="76" customFormat="1">
      <c r="B150" s="418"/>
      <c r="C150" s="418"/>
      <c r="D150" s="93" t="str">
        <f>+'Հավելված N 4'!C88</f>
        <v>Կապան համայնքի Աճանանի կրթահամալիր</v>
      </c>
      <c r="E150" s="201">
        <v>-160334.9</v>
      </c>
      <c r="F150" s="201">
        <v>-320669.90000000002</v>
      </c>
      <c r="G150" s="201">
        <v>-427559.8</v>
      </c>
      <c r="H150" s="201">
        <f>+'Հավելված N 4'!D88</f>
        <v>-534449.80000000005</v>
      </c>
    </row>
    <row r="151" spans="2:8" s="76" customFormat="1">
      <c r="B151" s="418"/>
      <c r="C151" s="418"/>
      <c r="D151" s="93" t="str">
        <f>+'Հավելված N 4'!C89</f>
        <v>Կապան համայնքի Եղվարդի կրթահամալիր</v>
      </c>
      <c r="E151" s="201">
        <v>-180000</v>
      </c>
      <c r="F151" s="201">
        <v>-360000</v>
      </c>
      <c r="G151" s="201">
        <v>-480000</v>
      </c>
      <c r="H151" s="201">
        <f>+'Հավելված N 4'!D89</f>
        <v>-600000</v>
      </c>
    </row>
    <row r="152" spans="2:8" s="76" customFormat="1">
      <c r="B152" s="189"/>
      <c r="C152" s="189"/>
      <c r="D152" s="37" t="s">
        <v>95</v>
      </c>
      <c r="E152" s="77">
        <f>SUM(E153:E155)</f>
        <v>-340000</v>
      </c>
      <c r="F152" s="77">
        <f t="shared" ref="F152:H152" si="79">SUM(F153:F155)</f>
        <v>0</v>
      </c>
      <c r="G152" s="77">
        <f t="shared" si="79"/>
        <v>0</v>
      </c>
      <c r="H152" s="77">
        <f t="shared" si="79"/>
        <v>0</v>
      </c>
    </row>
    <row r="153" spans="2:8" s="76" customFormat="1">
      <c r="B153" s="416"/>
      <c r="C153" s="416"/>
      <c r="D153" s="93" t="s">
        <v>263</v>
      </c>
      <c r="E153" s="201">
        <v>-100000</v>
      </c>
      <c r="F153" s="201">
        <v>0</v>
      </c>
      <c r="G153" s="201">
        <v>0</v>
      </c>
      <c r="H153" s="201">
        <v>0</v>
      </c>
    </row>
    <row r="154" spans="2:8" s="76" customFormat="1">
      <c r="B154" s="418"/>
      <c r="C154" s="418"/>
      <c r="D154" s="93" t="s">
        <v>264</v>
      </c>
      <c r="E154" s="201">
        <v>-110000</v>
      </c>
      <c r="F154" s="201">
        <v>0</v>
      </c>
      <c r="G154" s="201">
        <v>0</v>
      </c>
      <c r="H154" s="201">
        <v>0</v>
      </c>
    </row>
    <row r="155" spans="2:8" s="76" customFormat="1">
      <c r="B155" s="417"/>
      <c r="C155" s="417"/>
      <c r="D155" s="93" t="s">
        <v>265</v>
      </c>
      <c r="E155" s="201">
        <v>-130000</v>
      </c>
      <c r="F155" s="201">
        <v>0</v>
      </c>
      <c r="G155" s="201">
        <v>0</v>
      </c>
      <c r="H155" s="201">
        <v>0</v>
      </c>
    </row>
    <row r="156" spans="2:8" s="76" customFormat="1">
      <c r="B156" s="189"/>
      <c r="C156" s="189"/>
      <c r="D156" s="37" t="s">
        <v>109</v>
      </c>
      <c r="E156" s="77">
        <f>SUM(E157:E158)</f>
        <v>-180000</v>
      </c>
      <c r="F156" s="77">
        <f t="shared" ref="F156:H156" si="80">SUM(F157:F158)</f>
        <v>0</v>
      </c>
      <c r="G156" s="77">
        <f t="shared" si="80"/>
        <v>0</v>
      </c>
      <c r="H156" s="77">
        <f t="shared" si="80"/>
        <v>0</v>
      </c>
    </row>
    <row r="157" spans="2:8" s="76" customFormat="1">
      <c r="B157" s="416"/>
      <c r="C157" s="416"/>
      <c r="D157" s="93" t="s">
        <v>247</v>
      </c>
      <c r="E157" s="201">
        <v>-110000</v>
      </c>
      <c r="F157" s="201">
        <v>0</v>
      </c>
      <c r="G157" s="201">
        <v>0</v>
      </c>
      <c r="H157" s="201">
        <v>0</v>
      </c>
    </row>
    <row r="158" spans="2:8" s="76" customFormat="1">
      <c r="B158" s="417"/>
      <c r="C158" s="417"/>
      <c r="D158" s="93" t="s">
        <v>266</v>
      </c>
      <c r="E158" s="201">
        <v>-70000</v>
      </c>
      <c r="F158" s="201">
        <v>0</v>
      </c>
      <c r="G158" s="201">
        <v>0</v>
      </c>
      <c r="H158" s="201">
        <v>0</v>
      </c>
    </row>
  </sheetData>
  <mergeCells count="45">
    <mergeCell ref="C153:C155"/>
    <mergeCell ref="B153:B155"/>
    <mergeCell ref="C157:C158"/>
    <mergeCell ref="B157:B158"/>
    <mergeCell ref="C128:C130"/>
    <mergeCell ref="B128:B130"/>
    <mergeCell ref="C143:C151"/>
    <mergeCell ref="B143:B151"/>
    <mergeCell ref="C140:C141"/>
    <mergeCell ref="B140:B141"/>
    <mergeCell ref="C132:C135"/>
    <mergeCell ref="B132:B135"/>
    <mergeCell ref="C137:C138"/>
    <mergeCell ref="B137:B138"/>
    <mergeCell ref="G1:H1"/>
    <mergeCell ref="G3:H3"/>
    <mergeCell ref="B6:H6"/>
    <mergeCell ref="B9:C9"/>
    <mergeCell ref="D9:D10"/>
    <mergeCell ref="E1:F1"/>
    <mergeCell ref="E3:F3"/>
    <mergeCell ref="E9:H9"/>
    <mergeCell ref="E2:H2"/>
    <mergeCell ref="C84:C87"/>
    <mergeCell ref="B84:B87"/>
    <mergeCell ref="C116:C117"/>
    <mergeCell ref="B116:B117"/>
    <mergeCell ref="C38:C40"/>
    <mergeCell ref="B38:B40"/>
    <mergeCell ref="C46:C48"/>
    <mergeCell ref="B46:B48"/>
    <mergeCell ref="C95:C96"/>
    <mergeCell ref="B95:B96"/>
    <mergeCell ref="C102:C107"/>
    <mergeCell ref="B102:B107"/>
    <mergeCell ref="B109:B114"/>
    <mergeCell ref="C109:C114"/>
    <mergeCell ref="C64:C67"/>
    <mergeCell ref="B64:B67"/>
    <mergeCell ref="C73:C75"/>
    <mergeCell ref="B73:B75"/>
    <mergeCell ref="C79:C80"/>
    <mergeCell ref="B79:B80"/>
    <mergeCell ref="B69:B71"/>
    <mergeCell ref="C69:C71"/>
  </mergeCells>
  <pageMargins left="0.25" right="0.25" top="0.75" bottom="0.75" header="0.3" footer="0.3"/>
  <pageSetup paperSize="9" scale="42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28"/>
  <sheetViews>
    <sheetView zoomScale="55" zoomScaleNormal="55" workbookViewId="0">
      <selection activeCell="A7" sqref="A7"/>
    </sheetView>
  </sheetViews>
  <sheetFormatPr defaultColWidth="8.140625" defaultRowHeight="17.25"/>
  <cols>
    <col min="1" max="1" width="9.85546875" style="242" customWidth="1"/>
    <col min="2" max="2" width="14.28515625" style="242" bestFit="1" customWidth="1"/>
    <col min="3" max="3" width="68.42578125" style="242" customWidth="1"/>
    <col min="4" max="4" width="17.42578125" style="242" bestFit="1" customWidth="1"/>
    <col min="5" max="5" width="19.28515625" style="242" bestFit="1" customWidth="1"/>
    <col min="6" max="7" width="18.5703125" style="242" bestFit="1" customWidth="1"/>
    <col min="8" max="8" width="19.42578125" style="242" bestFit="1" customWidth="1"/>
    <col min="9" max="9" width="18.85546875" style="242" bestFit="1" customWidth="1"/>
    <col min="10" max="10" width="19.85546875" style="242" bestFit="1" customWidth="1"/>
    <col min="11" max="11" width="19.42578125" style="242" bestFit="1" customWidth="1"/>
    <col min="12" max="12" width="19.85546875" style="242" bestFit="1" customWidth="1"/>
    <col min="13" max="13" width="20.140625" style="242" bestFit="1" customWidth="1"/>
    <col min="14" max="14" width="20" style="242" bestFit="1" customWidth="1"/>
    <col min="15" max="15" width="19.85546875" style="242" bestFit="1" customWidth="1"/>
    <col min="16" max="16" width="13.85546875" style="242" customWidth="1"/>
    <col min="17" max="16384" width="8.140625" style="242"/>
  </cols>
  <sheetData>
    <row r="1" spans="1:19" s="26" customFormat="1" ht="25.5" customHeight="1">
      <c r="L1" s="437"/>
      <c r="M1" s="437"/>
      <c r="N1" s="437" t="s">
        <v>32</v>
      </c>
      <c r="O1" s="437"/>
    </row>
    <row r="2" spans="1:19" s="27" customFormat="1" ht="17.850000000000001" customHeight="1">
      <c r="D2" s="28"/>
      <c r="L2" s="438" t="s">
        <v>114</v>
      </c>
      <c r="M2" s="438"/>
      <c r="N2" s="438"/>
      <c r="O2" s="438"/>
    </row>
    <row r="3" spans="1:19" s="27" customFormat="1">
      <c r="D3" s="28"/>
      <c r="L3" s="438"/>
      <c r="M3" s="438"/>
      <c r="N3" s="438" t="s">
        <v>20</v>
      </c>
      <c r="O3" s="438"/>
    </row>
    <row r="4" spans="1:19" s="27" customFormat="1" ht="13.7" customHeight="1">
      <c r="D4" s="28"/>
      <c r="E4" s="72"/>
      <c r="F4" s="72"/>
      <c r="G4" s="72"/>
      <c r="H4" s="72"/>
    </row>
    <row r="5" spans="1:19" s="27" customFormat="1" ht="13.7" customHeight="1">
      <c r="D5" s="28"/>
      <c r="E5" s="72"/>
      <c r="F5" s="72"/>
      <c r="G5" s="72"/>
      <c r="H5" s="72"/>
    </row>
    <row r="6" spans="1:19" s="27" customFormat="1" ht="85.7" customHeight="1">
      <c r="A6" s="421" t="s">
        <v>382</v>
      </c>
      <c r="B6" s="421"/>
      <c r="C6" s="421"/>
      <c r="D6" s="421"/>
      <c r="E6" s="421"/>
      <c r="F6" s="421"/>
      <c r="G6" s="421"/>
      <c r="H6" s="421"/>
      <c r="I6" s="421"/>
      <c r="J6" s="421"/>
      <c r="K6" s="421"/>
      <c r="L6" s="421"/>
      <c r="M6" s="421"/>
      <c r="N6" s="421"/>
      <c r="O6" s="421"/>
    </row>
    <row r="8" spans="1:19">
      <c r="O8" s="243" t="s">
        <v>9</v>
      </c>
    </row>
    <row r="9" spans="1:19" s="9" customFormat="1" ht="17.850000000000001" customHeight="1">
      <c r="A9" s="425" t="s">
        <v>1</v>
      </c>
      <c r="B9" s="426"/>
      <c r="C9" s="372" t="s">
        <v>5</v>
      </c>
      <c r="D9" s="431" t="s">
        <v>53</v>
      </c>
      <c r="E9" s="432"/>
      <c r="F9" s="432"/>
      <c r="G9" s="432"/>
      <c r="H9" s="432"/>
      <c r="I9" s="432"/>
      <c r="J9" s="432"/>
      <c r="K9" s="432"/>
      <c r="L9" s="432"/>
      <c r="M9" s="432"/>
      <c r="N9" s="432"/>
      <c r="O9" s="433"/>
    </row>
    <row r="10" spans="1:19" s="9" customFormat="1">
      <c r="A10" s="427"/>
      <c r="B10" s="428"/>
      <c r="C10" s="374"/>
      <c r="D10" s="431" t="s">
        <v>304</v>
      </c>
      <c r="E10" s="432"/>
      <c r="F10" s="433"/>
      <c r="G10" s="431" t="s">
        <v>305</v>
      </c>
      <c r="H10" s="432"/>
      <c r="I10" s="433"/>
      <c r="J10" s="431" t="s">
        <v>306</v>
      </c>
      <c r="K10" s="432"/>
      <c r="L10" s="433"/>
      <c r="M10" s="431" t="s">
        <v>307</v>
      </c>
      <c r="N10" s="432"/>
      <c r="O10" s="433"/>
    </row>
    <row r="11" spans="1:19" s="9" customFormat="1" ht="38.65" customHeight="1">
      <c r="A11" s="429"/>
      <c r="B11" s="430"/>
      <c r="C11" s="373"/>
      <c r="D11" s="434" t="s">
        <v>308</v>
      </c>
      <c r="E11" s="436" t="s">
        <v>6</v>
      </c>
      <c r="F11" s="378"/>
      <c r="G11" s="434" t="s">
        <v>308</v>
      </c>
      <c r="H11" s="436" t="s">
        <v>6</v>
      </c>
      <c r="I11" s="378"/>
      <c r="J11" s="434" t="s">
        <v>308</v>
      </c>
      <c r="K11" s="436" t="s">
        <v>6</v>
      </c>
      <c r="L11" s="378"/>
      <c r="M11" s="434" t="s">
        <v>308</v>
      </c>
      <c r="N11" s="436" t="s">
        <v>6</v>
      </c>
      <c r="O11" s="378"/>
    </row>
    <row r="12" spans="1:19" s="9" customFormat="1" ht="37.15" customHeight="1">
      <c r="A12" s="90" t="s">
        <v>14</v>
      </c>
      <c r="B12" s="90" t="s">
        <v>309</v>
      </c>
      <c r="C12" s="92"/>
      <c r="D12" s="435"/>
      <c r="E12" s="90" t="s">
        <v>310</v>
      </c>
      <c r="F12" s="90" t="s">
        <v>311</v>
      </c>
      <c r="G12" s="435"/>
      <c r="H12" s="90" t="s">
        <v>310</v>
      </c>
      <c r="I12" s="90" t="s">
        <v>311</v>
      </c>
      <c r="J12" s="435"/>
      <c r="K12" s="90" t="s">
        <v>310</v>
      </c>
      <c r="L12" s="90" t="s">
        <v>311</v>
      </c>
      <c r="M12" s="435"/>
      <c r="N12" s="90" t="s">
        <v>310</v>
      </c>
      <c r="O12" s="90" t="s">
        <v>311</v>
      </c>
      <c r="Q12" s="244"/>
      <c r="R12" s="244"/>
      <c r="S12" s="244"/>
    </row>
    <row r="13" spans="1:19" s="274" customFormat="1">
      <c r="A13" s="270"/>
      <c r="B13" s="270"/>
      <c r="C13" s="271" t="s">
        <v>8</v>
      </c>
      <c r="D13" s="272">
        <f t="shared" ref="D13" si="0">+E13+F13</f>
        <v>10000</v>
      </c>
      <c r="E13" s="273">
        <f>+E15</f>
        <v>0</v>
      </c>
      <c r="F13" s="273">
        <f>+F15</f>
        <v>10000</v>
      </c>
      <c r="G13" s="272">
        <f t="shared" ref="G13" si="1">+H13+I13</f>
        <v>10000</v>
      </c>
      <c r="H13" s="273">
        <f>+H15</f>
        <v>0</v>
      </c>
      <c r="I13" s="273">
        <f>+I15</f>
        <v>10000</v>
      </c>
      <c r="J13" s="272">
        <f t="shared" ref="J13" si="2">+K13+L13</f>
        <v>10000</v>
      </c>
      <c r="K13" s="273">
        <f>+K15</f>
        <v>0</v>
      </c>
      <c r="L13" s="273">
        <f>+L15</f>
        <v>10000</v>
      </c>
      <c r="M13" s="272">
        <f t="shared" ref="M13" si="3">+N13+O13</f>
        <v>10000</v>
      </c>
      <c r="N13" s="273">
        <f>+N15</f>
        <v>0</v>
      </c>
      <c r="O13" s="273">
        <f>+O15</f>
        <v>10000</v>
      </c>
    </row>
    <row r="14" spans="1:19" s="276" customFormat="1" ht="16.5">
      <c r="A14" s="275"/>
      <c r="B14" s="275"/>
      <c r="C14" s="275" t="s">
        <v>6</v>
      </c>
      <c r="D14" s="275"/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5"/>
    </row>
    <row r="15" spans="1:19" s="276" customFormat="1">
      <c r="A15" s="275"/>
      <c r="B15" s="275"/>
      <c r="C15" s="277" t="s">
        <v>130</v>
      </c>
      <c r="D15" s="278">
        <f t="shared" ref="D15:D16" si="4">+E15+F15</f>
        <v>10000</v>
      </c>
      <c r="E15" s="279">
        <f>+E16</f>
        <v>0</v>
      </c>
      <c r="F15" s="279">
        <f>+F16</f>
        <v>10000</v>
      </c>
      <c r="G15" s="278">
        <f t="shared" ref="G15:G16" si="5">+H15+I15</f>
        <v>10000</v>
      </c>
      <c r="H15" s="279">
        <f>+H16</f>
        <v>0</v>
      </c>
      <c r="I15" s="279">
        <f>+I16</f>
        <v>10000</v>
      </c>
      <c r="J15" s="278">
        <f t="shared" ref="J15:J16" si="6">+K15+L15</f>
        <v>10000</v>
      </c>
      <c r="K15" s="279">
        <f>+K16</f>
        <v>0</v>
      </c>
      <c r="L15" s="279">
        <f>+L16</f>
        <v>10000</v>
      </c>
      <c r="M15" s="278">
        <f t="shared" ref="M15:M16" si="7">+N15+O15</f>
        <v>10000</v>
      </c>
      <c r="N15" s="279">
        <f>+N16</f>
        <v>0</v>
      </c>
      <c r="O15" s="279">
        <f>+O16</f>
        <v>10000</v>
      </c>
    </row>
    <row r="16" spans="1:19" s="276" customFormat="1" ht="33">
      <c r="A16" s="275"/>
      <c r="B16" s="275"/>
      <c r="C16" s="277" t="s">
        <v>312</v>
      </c>
      <c r="D16" s="278">
        <f t="shared" si="4"/>
        <v>10000</v>
      </c>
      <c r="E16" s="279">
        <f>+E18</f>
        <v>0</v>
      </c>
      <c r="F16" s="279">
        <f>+F18</f>
        <v>10000</v>
      </c>
      <c r="G16" s="278">
        <f t="shared" si="5"/>
        <v>10000</v>
      </c>
      <c r="H16" s="279">
        <f>+H18</f>
        <v>0</v>
      </c>
      <c r="I16" s="279">
        <f>+I18</f>
        <v>10000</v>
      </c>
      <c r="J16" s="278">
        <f t="shared" si="6"/>
        <v>10000</v>
      </c>
      <c r="K16" s="279">
        <f>+K18</f>
        <v>0</v>
      </c>
      <c r="L16" s="279">
        <f>+L18</f>
        <v>10000</v>
      </c>
      <c r="M16" s="278">
        <f t="shared" si="7"/>
        <v>10000</v>
      </c>
      <c r="N16" s="279">
        <f>+N18</f>
        <v>0</v>
      </c>
      <c r="O16" s="279">
        <f>+O18</f>
        <v>10000</v>
      </c>
    </row>
    <row r="17" spans="1:15" s="276" customFormat="1" ht="16.5">
      <c r="A17" s="275"/>
      <c r="B17" s="275"/>
      <c r="C17" s="275" t="s">
        <v>6</v>
      </c>
      <c r="D17" s="275"/>
      <c r="E17" s="275"/>
      <c r="F17" s="275"/>
      <c r="G17" s="275"/>
      <c r="H17" s="275"/>
      <c r="I17" s="275"/>
      <c r="J17" s="275"/>
      <c r="K17" s="275"/>
      <c r="L17" s="275"/>
      <c r="M17" s="275"/>
      <c r="N17" s="275"/>
      <c r="O17" s="275"/>
    </row>
    <row r="18" spans="1:15" s="281" customFormat="1" ht="34.5">
      <c r="A18" s="280" t="s">
        <v>313</v>
      </c>
      <c r="B18" s="280"/>
      <c r="C18" s="280" t="s">
        <v>314</v>
      </c>
      <c r="D18" s="278">
        <f t="shared" ref="D18:D27" si="8">+E18+F18</f>
        <v>10000</v>
      </c>
      <c r="E18" s="278">
        <f>+E20</f>
        <v>0</v>
      </c>
      <c r="F18" s="278">
        <f>+F20</f>
        <v>10000</v>
      </c>
      <c r="G18" s="278">
        <f t="shared" ref="G18:G27" si="9">+H18+I18</f>
        <v>10000</v>
      </c>
      <c r="H18" s="278">
        <f>+H20</f>
        <v>0</v>
      </c>
      <c r="I18" s="278">
        <f>+I20</f>
        <v>10000</v>
      </c>
      <c r="J18" s="278">
        <f t="shared" ref="J18" si="10">+K18+L18</f>
        <v>10000</v>
      </c>
      <c r="K18" s="278">
        <f>+K20</f>
        <v>0</v>
      </c>
      <c r="L18" s="278">
        <f>+L20</f>
        <v>10000</v>
      </c>
      <c r="M18" s="278">
        <f t="shared" ref="M18" si="11">+N18+O18</f>
        <v>10000</v>
      </c>
      <c r="N18" s="278">
        <f>+N20</f>
        <v>0</v>
      </c>
      <c r="O18" s="278">
        <f>+O20</f>
        <v>10000</v>
      </c>
    </row>
    <row r="19" spans="1:15" s="9" customFormat="1">
      <c r="A19" s="81"/>
      <c r="B19" s="81"/>
      <c r="C19" s="81" t="s">
        <v>6</v>
      </c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</row>
    <row r="20" spans="1:15" s="268" customFormat="1" ht="51.75">
      <c r="A20" s="266"/>
      <c r="B20" s="269">
        <v>11001</v>
      </c>
      <c r="C20" s="262" t="s">
        <v>317</v>
      </c>
      <c r="D20" s="267">
        <f t="shared" si="8"/>
        <v>10000</v>
      </c>
      <c r="E20" s="267">
        <f>+E22</f>
        <v>0</v>
      </c>
      <c r="F20" s="267">
        <f>+F22</f>
        <v>10000</v>
      </c>
      <c r="G20" s="267">
        <f t="shared" si="9"/>
        <v>10000</v>
      </c>
      <c r="H20" s="267">
        <f>+H22</f>
        <v>0</v>
      </c>
      <c r="I20" s="267">
        <f>+I22</f>
        <v>10000</v>
      </c>
      <c r="J20" s="267">
        <f t="shared" ref="J20" si="12">+K20+L20</f>
        <v>10000</v>
      </c>
      <c r="K20" s="267">
        <f>+K22</f>
        <v>0</v>
      </c>
      <c r="L20" s="267">
        <f>+L22</f>
        <v>10000</v>
      </c>
      <c r="M20" s="267">
        <f t="shared" ref="M20" si="13">+N20+O20</f>
        <v>10000</v>
      </c>
      <c r="N20" s="267">
        <f>+N22</f>
        <v>0</v>
      </c>
      <c r="O20" s="267">
        <f>+O22</f>
        <v>10000</v>
      </c>
    </row>
    <row r="21" spans="1:15" s="9" customFormat="1">
      <c r="A21" s="81"/>
      <c r="B21" s="81"/>
      <c r="C21" s="81" t="s">
        <v>16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</row>
    <row r="22" spans="1:15" s="265" customFormat="1" ht="34.5">
      <c r="A22" s="262"/>
      <c r="B22" s="262"/>
      <c r="C22" s="263" t="s">
        <v>315</v>
      </c>
      <c r="D22" s="264">
        <f t="shared" si="8"/>
        <v>10000</v>
      </c>
      <c r="E22" s="264">
        <f>+E24</f>
        <v>0</v>
      </c>
      <c r="F22" s="264">
        <f>+F24</f>
        <v>10000</v>
      </c>
      <c r="G22" s="264">
        <f t="shared" si="9"/>
        <v>10000</v>
      </c>
      <c r="H22" s="264">
        <f>+H24</f>
        <v>0</v>
      </c>
      <c r="I22" s="264">
        <f>+I24</f>
        <v>10000</v>
      </c>
      <c r="J22" s="264">
        <f t="shared" ref="J22" si="14">+K22+L22</f>
        <v>10000</v>
      </c>
      <c r="K22" s="264">
        <f>+K24</f>
        <v>0</v>
      </c>
      <c r="L22" s="264">
        <f>+L24</f>
        <v>10000</v>
      </c>
      <c r="M22" s="264">
        <f t="shared" ref="M22" si="15">+N22+O22</f>
        <v>10000</v>
      </c>
      <c r="N22" s="264">
        <f>+N24</f>
        <v>0</v>
      </c>
      <c r="O22" s="264">
        <f>+O24</f>
        <v>10000</v>
      </c>
    </row>
    <row r="23" spans="1:15" s="9" customFormat="1" ht="34.5">
      <c r="A23" s="81"/>
      <c r="B23" s="81"/>
      <c r="C23" s="81" t="s">
        <v>316</v>
      </c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</row>
    <row r="24" spans="1:15" s="268" customFormat="1">
      <c r="A24" s="266"/>
      <c r="B24" s="266"/>
      <c r="C24" s="266" t="s">
        <v>7</v>
      </c>
      <c r="D24" s="267">
        <f t="shared" si="8"/>
        <v>10000</v>
      </c>
      <c r="E24" s="267">
        <f t="shared" ref="E24:F27" si="16">+E25</f>
        <v>0</v>
      </c>
      <c r="F24" s="267">
        <f t="shared" si="16"/>
        <v>10000</v>
      </c>
      <c r="G24" s="267">
        <f t="shared" si="9"/>
        <v>10000</v>
      </c>
      <c r="H24" s="267">
        <f t="shared" ref="H24:O27" si="17">+H25</f>
        <v>0</v>
      </c>
      <c r="I24" s="267">
        <f t="shared" si="17"/>
        <v>10000</v>
      </c>
      <c r="J24" s="267">
        <f t="shared" ref="J24:J27" si="18">+K24+L24</f>
        <v>10000</v>
      </c>
      <c r="K24" s="267">
        <f t="shared" si="17"/>
        <v>0</v>
      </c>
      <c r="L24" s="267">
        <f t="shared" si="17"/>
        <v>10000</v>
      </c>
      <c r="M24" s="267">
        <f t="shared" ref="M24:M27" si="19">+N24+O24</f>
        <v>10000</v>
      </c>
      <c r="N24" s="267">
        <f t="shared" si="17"/>
        <v>0</v>
      </c>
      <c r="O24" s="267">
        <f t="shared" si="17"/>
        <v>10000</v>
      </c>
    </row>
    <row r="25" spans="1:15" s="9" customFormat="1">
      <c r="A25" s="81"/>
      <c r="B25" s="81"/>
      <c r="C25" s="81" t="s">
        <v>318</v>
      </c>
      <c r="D25" s="245">
        <f t="shared" si="8"/>
        <v>10000</v>
      </c>
      <c r="E25" s="245">
        <f t="shared" si="16"/>
        <v>0</v>
      </c>
      <c r="F25" s="245">
        <f t="shared" si="16"/>
        <v>10000</v>
      </c>
      <c r="G25" s="245">
        <f t="shared" si="9"/>
        <v>10000</v>
      </c>
      <c r="H25" s="245">
        <f t="shared" si="17"/>
        <v>0</v>
      </c>
      <c r="I25" s="245">
        <f t="shared" si="17"/>
        <v>10000</v>
      </c>
      <c r="J25" s="245">
        <f t="shared" si="18"/>
        <v>10000</v>
      </c>
      <c r="K25" s="245">
        <f t="shared" si="17"/>
        <v>0</v>
      </c>
      <c r="L25" s="245">
        <f t="shared" si="17"/>
        <v>10000</v>
      </c>
      <c r="M25" s="245">
        <f t="shared" si="19"/>
        <v>10000</v>
      </c>
      <c r="N25" s="245">
        <f t="shared" si="17"/>
        <v>0</v>
      </c>
      <c r="O25" s="245">
        <f t="shared" si="17"/>
        <v>10000</v>
      </c>
    </row>
    <row r="26" spans="1:15" s="9" customFormat="1">
      <c r="A26" s="81"/>
      <c r="B26" s="81"/>
      <c r="C26" s="81" t="s">
        <v>319</v>
      </c>
      <c r="D26" s="245">
        <f t="shared" si="8"/>
        <v>10000</v>
      </c>
      <c r="E26" s="245">
        <f t="shared" si="16"/>
        <v>0</v>
      </c>
      <c r="F26" s="245">
        <f t="shared" si="16"/>
        <v>10000</v>
      </c>
      <c r="G26" s="245">
        <f t="shared" si="9"/>
        <v>10000</v>
      </c>
      <c r="H26" s="245">
        <f t="shared" si="17"/>
        <v>0</v>
      </c>
      <c r="I26" s="245">
        <f t="shared" si="17"/>
        <v>10000</v>
      </c>
      <c r="J26" s="245">
        <f t="shared" si="18"/>
        <v>10000</v>
      </c>
      <c r="K26" s="245">
        <f t="shared" si="17"/>
        <v>0</v>
      </c>
      <c r="L26" s="245">
        <f t="shared" si="17"/>
        <v>10000</v>
      </c>
      <c r="M26" s="245">
        <f t="shared" si="19"/>
        <v>10000</v>
      </c>
      <c r="N26" s="245">
        <f t="shared" si="17"/>
        <v>0</v>
      </c>
      <c r="O26" s="245">
        <f t="shared" si="17"/>
        <v>10000</v>
      </c>
    </row>
    <row r="27" spans="1:15" s="9" customFormat="1" ht="51.75">
      <c r="A27" s="81"/>
      <c r="B27" s="81"/>
      <c r="C27" s="81" t="s">
        <v>321</v>
      </c>
      <c r="D27" s="245">
        <f t="shared" si="8"/>
        <v>10000</v>
      </c>
      <c r="E27" s="245">
        <f t="shared" si="16"/>
        <v>0</v>
      </c>
      <c r="F27" s="245">
        <f t="shared" si="16"/>
        <v>10000</v>
      </c>
      <c r="G27" s="245">
        <f t="shared" si="9"/>
        <v>10000</v>
      </c>
      <c r="H27" s="245">
        <f t="shared" si="17"/>
        <v>0</v>
      </c>
      <c r="I27" s="245">
        <f t="shared" si="17"/>
        <v>10000</v>
      </c>
      <c r="J27" s="245">
        <f t="shared" si="18"/>
        <v>10000</v>
      </c>
      <c r="K27" s="245">
        <f t="shared" si="17"/>
        <v>0</v>
      </c>
      <c r="L27" s="245">
        <f t="shared" si="17"/>
        <v>10000</v>
      </c>
      <c r="M27" s="245">
        <f t="shared" si="19"/>
        <v>10000</v>
      </c>
      <c r="N27" s="245">
        <f t="shared" si="17"/>
        <v>0</v>
      </c>
      <c r="O27" s="245">
        <f t="shared" si="17"/>
        <v>10000</v>
      </c>
    </row>
    <row r="28" spans="1:15" s="9" customFormat="1">
      <c r="A28" s="81"/>
      <c r="B28" s="81"/>
      <c r="C28" s="81" t="s">
        <v>320</v>
      </c>
      <c r="D28" s="245">
        <f>+E28+F28</f>
        <v>10000</v>
      </c>
      <c r="E28" s="245">
        <v>0</v>
      </c>
      <c r="F28" s="245">
        <v>10000</v>
      </c>
      <c r="G28" s="245">
        <f>+H28+I28</f>
        <v>10000</v>
      </c>
      <c r="H28" s="245"/>
      <c r="I28" s="245">
        <v>10000</v>
      </c>
      <c r="J28" s="245">
        <f>+K28+L28</f>
        <v>10000</v>
      </c>
      <c r="K28" s="245"/>
      <c r="L28" s="245">
        <v>10000</v>
      </c>
      <c r="M28" s="245">
        <f>+N28+O28</f>
        <v>10000</v>
      </c>
      <c r="N28" s="245"/>
      <c r="O28" s="245">
        <v>10000</v>
      </c>
    </row>
  </sheetData>
  <mergeCells count="21">
    <mergeCell ref="A6:O6"/>
    <mergeCell ref="L1:M1"/>
    <mergeCell ref="N1:O1"/>
    <mergeCell ref="L2:O2"/>
    <mergeCell ref="L3:M3"/>
    <mergeCell ref="N3:O3"/>
    <mergeCell ref="A9:B11"/>
    <mergeCell ref="C9:C11"/>
    <mergeCell ref="D9:O9"/>
    <mergeCell ref="D10:F10"/>
    <mergeCell ref="G10:I10"/>
    <mergeCell ref="J10:L10"/>
    <mergeCell ref="M10:O10"/>
    <mergeCell ref="D11:D12"/>
    <mergeCell ref="E11:F11"/>
    <mergeCell ref="G11:G12"/>
    <mergeCell ref="H11:I11"/>
    <mergeCell ref="J11:J12"/>
    <mergeCell ref="K11:L11"/>
    <mergeCell ref="M11:M12"/>
    <mergeCell ref="N11:O1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81"/>
  <sheetViews>
    <sheetView topLeftCell="A76" zoomScale="70" zoomScaleNormal="70" workbookViewId="0">
      <selection activeCell="J57" sqref="J57"/>
    </sheetView>
  </sheetViews>
  <sheetFormatPr defaultColWidth="8.85546875" defaultRowHeight="17.25"/>
  <cols>
    <col min="1" max="1" width="6.42578125" style="139" bestFit="1" customWidth="1"/>
    <col min="2" max="2" width="9.7109375" style="139" customWidth="1"/>
    <col min="3" max="3" width="13.140625" style="139" customWidth="1"/>
    <col min="4" max="4" width="16.7109375" style="143" customWidth="1"/>
    <col min="5" max="5" width="13.140625" style="139" customWidth="1"/>
    <col min="6" max="6" width="15.42578125" style="139" customWidth="1"/>
    <col min="7" max="7" width="10.42578125" style="139" customWidth="1"/>
    <col min="8" max="8" width="22.5703125" style="139" customWidth="1"/>
    <col min="9" max="9" width="46.28515625" style="139" customWidth="1"/>
    <col min="10" max="13" width="19.42578125" style="139" customWidth="1"/>
    <col min="14" max="16384" width="8.85546875" style="139"/>
  </cols>
  <sheetData>
    <row r="1" spans="1:13" ht="28.5" customHeight="1">
      <c r="D1" s="26"/>
      <c r="E1" s="26"/>
      <c r="F1" s="26"/>
      <c r="G1" s="437"/>
      <c r="H1" s="437"/>
      <c r="J1" s="154"/>
      <c r="K1" s="437" t="s">
        <v>322</v>
      </c>
      <c r="L1" s="437"/>
      <c r="M1" s="437"/>
    </row>
    <row r="2" spans="1:13" ht="17.850000000000001" customHeight="1">
      <c r="D2" s="27"/>
      <c r="E2" s="27"/>
      <c r="F2" s="28"/>
      <c r="H2" s="72"/>
      <c r="I2" s="72"/>
      <c r="J2" s="72"/>
      <c r="K2" s="438" t="s">
        <v>114</v>
      </c>
      <c r="L2" s="438"/>
      <c r="M2" s="438"/>
    </row>
    <row r="3" spans="1:13">
      <c r="D3" s="27"/>
      <c r="E3" s="27"/>
      <c r="F3" s="28"/>
      <c r="G3" s="438"/>
      <c r="H3" s="438"/>
      <c r="J3" s="72"/>
      <c r="K3" s="438" t="s">
        <v>20</v>
      </c>
      <c r="L3" s="438"/>
      <c r="M3" s="438"/>
    </row>
    <row r="4" spans="1:13">
      <c r="D4" s="27"/>
      <c r="E4" s="27"/>
      <c r="F4" s="28"/>
      <c r="G4" s="72"/>
      <c r="H4" s="72"/>
      <c r="I4" s="72"/>
      <c r="J4" s="72"/>
    </row>
    <row r="5" spans="1:13">
      <c r="D5" s="27"/>
      <c r="E5" s="27"/>
      <c r="F5" s="28"/>
      <c r="G5" s="72"/>
      <c r="H5" s="72"/>
      <c r="I5" s="72"/>
      <c r="J5" s="72"/>
    </row>
    <row r="6" spans="1:13">
      <c r="A6" s="421" t="s">
        <v>186</v>
      </c>
      <c r="B6" s="421"/>
      <c r="C6" s="421"/>
      <c r="D6" s="421"/>
      <c r="E6" s="421"/>
      <c r="F6" s="421"/>
      <c r="G6" s="421"/>
      <c r="H6" s="421"/>
      <c r="I6" s="421"/>
      <c r="J6" s="421"/>
      <c r="K6" s="421"/>
      <c r="L6" s="421"/>
      <c r="M6" s="421"/>
    </row>
    <row r="9" spans="1:13" ht="51" customHeight="1">
      <c r="A9" s="350" t="s">
        <v>156</v>
      </c>
      <c r="B9" s="350" t="s">
        <v>157</v>
      </c>
      <c r="C9" s="350"/>
      <c r="D9" s="350" t="s">
        <v>158</v>
      </c>
      <c r="E9" s="350"/>
      <c r="F9" s="350"/>
      <c r="G9" s="350"/>
      <c r="H9" s="350" t="s">
        <v>159</v>
      </c>
      <c r="I9" s="350" t="s">
        <v>160</v>
      </c>
      <c r="J9" s="463" t="s">
        <v>53</v>
      </c>
      <c r="K9" s="463"/>
      <c r="L9" s="463"/>
      <c r="M9" s="463"/>
    </row>
    <row r="10" spans="1:13" ht="51" customHeight="1">
      <c r="A10" s="350"/>
      <c r="B10" s="114" t="s">
        <v>168</v>
      </c>
      <c r="C10" s="114" t="s">
        <v>167</v>
      </c>
      <c r="D10" s="114" t="s">
        <v>161</v>
      </c>
      <c r="E10" s="114" t="s">
        <v>167</v>
      </c>
      <c r="F10" s="114" t="s">
        <v>169</v>
      </c>
      <c r="G10" s="114" t="s">
        <v>162</v>
      </c>
      <c r="H10" s="350"/>
      <c r="I10" s="350"/>
      <c r="J10" s="114" t="s">
        <v>163</v>
      </c>
      <c r="K10" s="114" t="s">
        <v>164</v>
      </c>
      <c r="L10" s="114" t="s">
        <v>165</v>
      </c>
      <c r="M10" s="114" t="s">
        <v>166</v>
      </c>
    </row>
    <row r="11" spans="1:13" s="157" customFormat="1" ht="48.6" customHeight="1">
      <c r="A11" s="464" t="s">
        <v>170</v>
      </c>
      <c r="B11" s="464"/>
      <c r="C11" s="464"/>
      <c r="D11" s="464"/>
      <c r="E11" s="464"/>
      <c r="F11" s="464"/>
      <c r="G11" s="464"/>
      <c r="H11" s="464"/>
      <c r="I11" s="464"/>
      <c r="J11" s="156">
        <f>+J13+J72</f>
        <v>397083.30000000016</v>
      </c>
      <c r="K11" s="156">
        <f t="shared" ref="K11:M11" si="0">+K13+K72</f>
        <v>4153217.7999999993</v>
      </c>
      <c r="L11" s="156">
        <f t="shared" si="0"/>
        <v>1948553.2000000002</v>
      </c>
      <c r="M11" s="156">
        <f t="shared" si="0"/>
        <v>0</v>
      </c>
    </row>
    <row r="12" spans="1:13" s="138" customFormat="1">
      <c r="A12" s="465" t="s">
        <v>112</v>
      </c>
      <c r="B12" s="465"/>
      <c r="C12" s="465"/>
      <c r="D12" s="465"/>
      <c r="E12" s="465"/>
      <c r="F12" s="465"/>
      <c r="G12" s="465"/>
      <c r="H12" s="465"/>
      <c r="I12" s="465"/>
      <c r="J12" s="25"/>
      <c r="K12" s="25"/>
      <c r="L12" s="25"/>
      <c r="M12" s="25"/>
    </row>
    <row r="13" spans="1:13" s="147" customFormat="1" ht="30" customHeight="1">
      <c r="A13" s="452" t="s">
        <v>171</v>
      </c>
      <c r="B13" s="452"/>
      <c r="C13" s="452"/>
      <c r="D13" s="452"/>
      <c r="E13" s="452"/>
      <c r="F13" s="452"/>
      <c r="G13" s="452"/>
      <c r="H13" s="452"/>
      <c r="I13" s="452"/>
      <c r="J13" s="155">
        <f>+J14+J29+J35</f>
        <v>397083.30000000016</v>
      </c>
      <c r="K13" s="155">
        <f t="shared" ref="K13:M13" si="1">+K14+K29+K35</f>
        <v>4153217.7999999993</v>
      </c>
      <c r="L13" s="155">
        <f t="shared" si="1"/>
        <v>1948553.2000000002</v>
      </c>
      <c r="M13" s="155">
        <f t="shared" si="1"/>
        <v>0</v>
      </c>
    </row>
    <row r="14" spans="1:13">
      <c r="A14" s="441"/>
      <c r="B14" s="150" t="s">
        <v>172</v>
      </c>
      <c r="C14" s="440" t="s">
        <v>173</v>
      </c>
      <c r="D14" s="440"/>
      <c r="E14" s="440"/>
      <c r="F14" s="440"/>
      <c r="G14" s="440"/>
      <c r="H14" s="440"/>
      <c r="I14" s="440"/>
      <c r="J14" s="96">
        <f>+J15+J20</f>
        <v>134230.1</v>
      </c>
      <c r="K14" s="96">
        <f t="shared" ref="K14:M14" si="2">+K15+K20</f>
        <v>324237.3</v>
      </c>
      <c r="L14" s="96">
        <f t="shared" si="2"/>
        <v>387573</v>
      </c>
      <c r="M14" s="96">
        <f t="shared" si="2"/>
        <v>450908.9</v>
      </c>
    </row>
    <row r="15" spans="1:13" s="140" customFormat="1" ht="33" customHeight="1">
      <c r="A15" s="441"/>
      <c r="B15" s="461"/>
      <c r="C15" s="445"/>
      <c r="D15" s="142" t="s">
        <v>177</v>
      </c>
      <c r="E15" s="440" t="s">
        <v>86</v>
      </c>
      <c r="F15" s="440"/>
      <c r="G15" s="440"/>
      <c r="H15" s="440"/>
      <c r="I15" s="440"/>
      <c r="J15" s="141">
        <f>+'Հավելված N 2'!G17</f>
        <v>0</v>
      </c>
      <c r="K15" s="141">
        <f>+'Հավելված N 2'!H17</f>
        <v>190007.19999999998</v>
      </c>
      <c r="L15" s="141">
        <f>+'Հավելված N 2'!I17</f>
        <v>253342.89999999997</v>
      </c>
      <c r="M15" s="141">
        <f>+'Հավելված N 2'!J17</f>
        <v>316678.8</v>
      </c>
    </row>
    <row r="16" spans="1:13" ht="33.4" customHeight="1">
      <c r="A16" s="441"/>
      <c r="B16" s="461"/>
      <c r="C16" s="446"/>
      <c r="D16" s="445"/>
      <c r="E16" s="445"/>
      <c r="F16" s="448" t="s">
        <v>83</v>
      </c>
      <c r="G16" s="449"/>
      <c r="H16" s="449"/>
      <c r="I16" s="449"/>
      <c r="J16" s="449"/>
      <c r="K16" s="449"/>
      <c r="L16" s="449"/>
      <c r="M16" s="450"/>
    </row>
    <row r="17" spans="1:13" ht="33.4" customHeight="1">
      <c r="A17" s="441"/>
      <c r="B17" s="461"/>
      <c r="C17" s="446"/>
      <c r="D17" s="446"/>
      <c r="E17" s="446"/>
      <c r="F17" s="445"/>
      <c r="G17" s="448" t="s">
        <v>76</v>
      </c>
      <c r="H17" s="449"/>
      <c r="I17" s="449"/>
      <c r="J17" s="449"/>
      <c r="K17" s="449"/>
      <c r="L17" s="449"/>
      <c r="M17" s="450"/>
    </row>
    <row r="18" spans="1:13" ht="33.4" customHeight="1">
      <c r="A18" s="441"/>
      <c r="B18" s="461"/>
      <c r="C18" s="446"/>
      <c r="D18" s="446"/>
      <c r="E18" s="446"/>
      <c r="F18" s="446"/>
      <c r="G18" s="445"/>
      <c r="H18" s="448" t="s">
        <v>175</v>
      </c>
      <c r="I18" s="449"/>
      <c r="J18" s="449"/>
      <c r="K18" s="449"/>
      <c r="L18" s="449"/>
      <c r="M18" s="450"/>
    </row>
    <row r="19" spans="1:13" ht="34.5">
      <c r="A19" s="441"/>
      <c r="B19" s="461"/>
      <c r="C19" s="446"/>
      <c r="D19" s="446"/>
      <c r="E19" s="446"/>
      <c r="F19" s="446"/>
      <c r="G19" s="446"/>
      <c r="H19" s="209"/>
      <c r="I19" s="127" t="s">
        <v>176</v>
      </c>
      <c r="J19" s="127" t="s">
        <v>174</v>
      </c>
      <c r="K19" s="127">
        <v>1</v>
      </c>
      <c r="L19" s="127" t="s">
        <v>174</v>
      </c>
      <c r="M19" s="127">
        <v>1</v>
      </c>
    </row>
    <row r="20" spans="1:13" s="140" customFormat="1" ht="33" customHeight="1">
      <c r="A20" s="441"/>
      <c r="B20" s="458"/>
      <c r="C20" s="446"/>
      <c r="D20" s="213" t="s">
        <v>344</v>
      </c>
      <c r="E20" s="453" t="s">
        <v>190</v>
      </c>
      <c r="F20" s="440"/>
      <c r="G20" s="440"/>
      <c r="H20" s="440"/>
      <c r="I20" s="440"/>
      <c r="J20" s="141">
        <f>+'Հավելված N 2'!G18</f>
        <v>134230.1</v>
      </c>
      <c r="K20" s="141">
        <f>+'Հավելված N 2'!H18</f>
        <v>134230.1</v>
      </c>
      <c r="L20" s="141">
        <f>+'Հավելված N 2'!I18</f>
        <v>134230.1</v>
      </c>
      <c r="M20" s="141">
        <f>+'Հավելված N 2'!J18</f>
        <v>134230.1</v>
      </c>
    </row>
    <row r="21" spans="1:13" ht="33.4" customHeight="1">
      <c r="A21" s="441"/>
      <c r="B21" s="458"/>
      <c r="C21" s="446"/>
      <c r="D21" s="439"/>
      <c r="E21" s="439"/>
      <c r="F21" s="459" t="s">
        <v>330</v>
      </c>
      <c r="G21" s="449"/>
      <c r="H21" s="449"/>
      <c r="I21" s="449"/>
      <c r="J21" s="449"/>
      <c r="K21" s="449"/>
      <c r="L21" s="449"/>
      <c r="M21" s="450"/>
    </row>
    <row r="22" spans="1:13" ht="33.4" customHeight="1">
      <c r="A22" s="441"/>
      <c r="B22" s="458"/>
      <c r="C22" s="446"/>
      <c r="D22" s="439"/>
      <c r="E22" s="439"/>
      <c r="F22" s="439"/>
      <c r="G22" s="449" t="s">
        <v>337</v>
      </c>
      <c r="H22" s="449"/>
      <c r="I22" s="449"/>
      <c r="J22" s="449"/>
      <c r="K22" s="449"/>
      <c r="L22" s="449"/>
      <c r="M22" s="450"/>
    </row>
    <row r="23" spans="1:13" ht="33.4" customHeight="1">
      <c r="A23" s="441"/>
      <c r="B23" s="458"/>
      <c r="C23" s="446"/>
      <c r="D23" s="439"/>
      <c r="E23" s="439"/>
      <c r="F23" s="439"/>
      <c r="G23" s="460"/>
      <c r="H23" s="448" t="s">
        <v>345</v>
      </c>
      <c r="I23" s="449"/>
      <c r="J23" s="449"/>
      <c r="K23" s="449"/>
      <c r="L23" s="449"/>
      <c r="M23" s="450"/>
    </row>
    <row r="24" spans="1:13" ht="51.75">
      <c r="A24" s="441"/>
      <c r="B24" s="458"/>
      <c r="C24" s="446"/>
      <c r="D24" s="439"/>
      <c r="E24" s="439"/>
      <c r="F24" s="439"/>
      <c r="G24" s="461"/>
      <c r="H24" s="209"/>
      <c r="I24" s="127" t="s">
        <v>346</v>
      </c>
      <c r="J24" s="127"/>
      <c r="K24" s="127">
        <v>2</v>
      </c>
      <c r="L24" s="127" t="s">
        <v>174</v>
      </c>
      <c r="M24" s="127">
        <v>2</v>
      </c>
    </row>
    <row r="25" spans="1:13" ht="51.75">
      <c r="A25" s="441"/>
      <c r="B25" s="287"/>
      <c r="C25" s="446"/>
      <c r="D25" s="439"/>
      <c r="E25" s="439"/>
      <c r="F25" s="439"/>
      <c r="G25" s="461"/>
      <c r="H25" s="209"/>
      <c r="I25" s="127" t="s">
        <v>347</v>
      </c>
      <c r="J25" s="127"/>
      <c r="K25" s="127">
        <v>3</v>
      </c>
      <c r="L25" s="127" t="s">
        <v>174</v>
      </c>
      <c r="M25" s="127">
        <v>3</v>
      </c>
    </row>
    <row r="26" spans="1:13" ht="51.75">
      <c r="A26" s="441"/>
      <c r="B26" s="287"/>
      <c r="C26" s="446"/>
      <c r="D26" s="439"/>
      <c r="E26" s="439"/>
      <c r="F26" s="439"/>
      <c r="G26" s="461"/>
      <c r="H26" s="209"/>
      <c r="I26" s="127" t="s">
        <v>348</v>
      </c>
      <c r="J26" s="127"/>
      <c r="K26" s="127">
        <v>2</v>
      </c>
      <c r="L26" s="127" t="s">
        <v>174</v>
      </c>
      <c r="M26" s="127">
        <v>2</v>
      </c>
    </row>
    <row r="27" spans="1:13" ht="51.75">
      <c r="A27" s="441"/>
      <c r="B27" s="287"/>
      <c r="C27" s="447"/>
      <c r="D27" s="439"/>
      <c r="E27" s="439"/>
      <c r="F27" s="439"/>
      <c r="G27" s="462"/>
      <c r="H27" s="209"/>
      <c r="I27" s="127" t="s">
        <v>349</v>
      </c>
      <c r="J27" s="127"/>
      <c r="K27" s="127">
        <v>3</v>
      </c>
      <c r="L27" s="127" t="s">
        <v>174</v>
      </c>
      <c r="M27" s="127">
        <v>3</v>
      </c>
    </row>
    <row r="28" spans="1:13" ht="8.65" customHeight="1">
      <c r="A28" s="441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149"/>
    </row>
    <row r="29" spans="1:13" s="144" customFormat="1">
      <c r="A29" s="441"/>
      <c r="B29" s="126">
        <v>1189</v>
      </c>
      <c r="C29" s="442" t="s">
        <v>350</v>
      </c>
      <c r="D29" s="442"/>
      <c r="E29" s="442"/>
      <c r="F29" s="442"/>
      <c r="G29" s="442"/>
      <c r="H29" s="442"/>
      <c r="I29" s="442"/>
      <c r="J29" s="96">
        <f>+J30</f>
        <v>10000</v>
      </c>
      <c r="K29" s="96">
        <f t="shared" ref="K29:M29" si="3">+K30</f>
        <v>10000</v>
      </c>
      <c r="L29" s="96">
        <f t="shared" si="3"/>
        <v>10000</v>
      </c>
      <c r="M29" s="96">
        <f t="shared" si="3"/>
        <v>10000</v>
      </c>
    </row>
    <row r="30" spans="1:13" s="145" customFormat="1" ht="33" customHeight="1">
      <c r="A30" s="441"/>
      <c r="B30" s="454"/>
      <c r="C30" s="359"/>
      <c r="D30" s="84" t="s">
        <v>332</v>
      </c>
      <c r="E30" s="442" t="s">
        <v>351</v>
      </c>
      <c r="F30" s="442"/>
      <c r="G30" s="442"/>
      <c r="H30" s="442"/>
      <c r="I30" s="442"/>
      <c r="J30" s="136">
        <f>+'Հավելված N 2'!G20</f>
        <v>10000</v>
      </c>
      <c r="K30" s="136">
        <f>+'Հավելված N 2'!H20</f>
        <v>10000</v>
      </c>
      <c r="L30" s="136">
        <f>+'Հավելված N 2'!I20</f>
        <v>10000</v>
      </c>
      <c r="M30" s="136">
        <f>+'Հավելված N 2'!J20</f>
        <v>10000</v>
      </c>
    </row>
    <row r="31" spans="1:13" s="144" customFormat="1">
      <c r="A31" s="441"/>
      <c r="B31" s="455"/>
      <c r="C31" s="360"/>
      <c r="D31" s="359"/>
      <c r="E31" s="359"/>
      <c r="F31" s="456" t="s">
        <v>352</v>
      </c>
      <c r="G31" s="457"/>
      <c r="H31" s="457"/>
      <c r="I31" s="457"/>
      <c r="J31" s="457"/>
      <c r="K31" s="457"/>
      <c r="L31" s="457"/>
      <c r="M31" s="444"/>
    </row>
    <row r="32" spans="1:13" s="144" customFormat="1" ht="17.850000000000001" customHeight="1">
      <c r="A32" s="441"/>
      <c r="B32" s="455"/>
      <c r="C32" s="360"/>
      <c r="D32" s="360"/>
      <c r="E32" s="360"/>
      <c r="F32" s="359"/>
      <c r="G32" s="456" t="s">
        <v>353</v>
      </c>
      <c r="H32" s="457"/>
      <c r="I32" s="457"/>
      <c r="J32" s="457"/>
      <c r="K32" s="457"/>
      <c r="L32" s="457"/>
      <c r="M32" s="444"/>
    </row>
    <row r="33" spans="1:13" s="144" customFormat="1">
      <c r="A33" s="441"/>
      <c r="B33" s="455"/>
      <c r="C33" s="360"/>
      <c r="D33" s="361"/>
      <c r="E33" s="361"/>
      <c r="F33" s="361"/>
      <c r="G33" s="131"/>
      <c r="H33" s="456" t="s">
        <v>354</v>
      </c>
      <c r="I33" s="457"/>
      <c r="J33" s="457"/>
      <c r="K33" s="457"/>
      <c r="L33" s="457"/>
      <c r="M33" s="444"/>
    </row>
    <row r="34" spans="1:13" ht="8.65" customHeight="1">
      <c r="A34" s="441"/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9"/>
    </row>
    <row r="35" spans="1:13" s="144" customFormat="1">
      <c r="A35" s="441"/>
      <c r="B35" s="126">
        <v>1236</v>
      </c>
      <c r="C35" s="442" t="s">
        <v>75</v>
      </c>
      <c r="D35" s="442"/>
      <c r="E35" s="442"/>
      <c r="F35" s="442"/>
      <c r="G35" s="442"/>
      <c r="H35" s="442"/>
      <c r="I35" s="442"/>
      <c r="J35" s="96">
        <f>+J36+J40+J47+J53+J57+J65</f>
        <v>252853.20000000019</v>
      </c>
      <c r="K35" s="96">
        <f t="shared" ref="K35:M35" si="4">+K36+K40+K47+K53+K57+K65</f>
        <v>3818980.4999999995</v>
      </c>
      <c r="L35" s="96">
        <f t="shared" si="4"/>
        <v>1550980.2000000002</v>
      </c>
      <c r="M35" s="96">
        <f t="shared" si="4"/>
        <v>-460908.90000000008</v>
      </c>
    </row>
    <row r="36" spans="1:13" s="145" customFormat="1" ht="34.9" customHeight="1">
      <c r="A36" s="441"/>
      <c r="B36" s="387"/>
      <c r="C36" s="387"/>
      <c r="D36" s="84" t="s">
        <v>338</v>
      </c>
      <c r="E36" s="442" t="s">
        <v>339</v>
      </c>
      <c r="F36" s="442"/>
      <c r="G36" s="442"/>
      <c r="H36" s="442"/>
      <c r="I36" s="442"/>
      <c r="J36" s="136">
        <f>+'Հավելված N 2'!G22</f>
        <v>30000</v>
      </c>
      <c r="K36" s="136">
        <f>+'Հավելված N 2'!H22</f>
        <v>70000</v>
      </c>
      <c r="L36" s="136">
        <f>+'Հավելված N 2'!I22</f>
        <v>80000</v>
      </c>
      <c r="M36" s="136">
        <f>+'Հավելված N 2'!J22</f>
        <v>80000</v>
      </c>
    </row>
    <row r="37" spans="1:13" s="144" customFormat="1" ht="33.950000000000003" customHeight="1">
      <c r="A37" s="441"/>
      <c r="B37" s="387"/>
      <c r="C37" s="387"/>
      <c r="D37" s="387"/>
      <c r="E37" s="387"/>
      <c r="F37" s="442" t="s">
        <v>355</v>
      </c>
      <c r="G37" s="442"/>
      <c r="H37" s="442"/>
      <c r="I37" s="442"/>
      <c r="J37" s="442"/>
      <c r="K37" s="442"/>
      <c r="L37" s="442"/>
      <c r="M37" s="442"/>
    </row>
    <row r="38" spans="1:13" s="144" customFormat="1" ht="17.850000000000001" customHeight="1">
      <c r="A38" s="441"/>
      <c r="B38" s="387"/>
      <c r="C38" s="387"/>
      <c r="D38" s="387"/>
      <c r="E38" s="387"/>
      <c r="F38" s="387"/>
      <c r="G38" s="442" t="s">
        <v>356</v>
      </c>
      <c r="H38" s="442"/>
      <c r="I38" s="442"/>
      <c r="J38" s="442"/>
      <c r="K38" s="442"/>
      <c r="L38" s="442"/>
      <c r="M38" s="442"/>
    </row>
    <row r="39" spans="1:13" s="144" customFormat="1">
      <c r="A39" s="441"/>
      <c r="B39" s="387"/>
      <c r="C39" s="387"/>
      <c r="D39" s="387"/>
      <c r="E39" s="387"/>
      <c r="F39" s="387"/>
      <c r="G39" s="84"/>
      <c r="H39" s="456" t="s">
        <v>354</v>
      </c>
      <c r="I39" s="457"/>
      <c r="J39" s="457"/>
      <c r="K39" s="457"/>
      <c r="L39" s="457"/>
      <c r="M39" s="444"/>
    </row>
    <row r="40" spans="1:13" s="145" customFormat="1" ht="17.850000000000001" customHeight="1">
      <c r="A40" s="441"/>
      <c r="B40" s="387"/>
      <c r="C40" s="387"/>
      <c r="D40" s="84" t="s">
        <v>149</v>
      </c>
      <c r="E40" s="442" t="s">
        <v>84</v>
      </c>
      <c r="F40" s="442"/>
      <c r="G40" s="442"/>
      <c r="H40" s="442"/>
      <c r="I40" s="442"/>
      <c r="J40" s="136">
        <f>+'Հավելված N 2'!G23</f>
        <v>329868.2</v>
      </c>
      <c r="K40" s="136">
        <f>+'Հավելված N 2'!H23</f>
        <v>828614.3</v>
      </c>
      <c r="L40" s="136">
        <f>+'Հավելված N 2'!I23</f>
        <v>34756.800000000279</v>
      </c>
      <c r="M40" s="136">
        <f>+'Հավելված N 2'!J23</f>
        <v>-444822</v>
      </c>
    </row>
    <row r="41" spans="1:13" s="144" customFormat="1" ht="33.950000000000003" customHeight="1">
      <c r="A41" s="441"/>
      <c r="B41" s="387"/>
      <c r="C41" s="387"/>
      <c r="D41" s="359"/>
      <c r="E41" s="359"/>
      <c r="F41" s="442" t="s">
        <v>178</v>
      </c>
      <c r="G41" s="442"/>
      <c r="H41" s="442"/>
      <c r="I41" s="442"/>
      <c r="J41" s="442"/>
      <c r="K41" s="442"/>
      <c r="L41" s="442"/>
      <c r="M41" s="442"/>
    </row>
    <row r="42" spans="1:13" s="144" customFormat="1" ht="17.850000000000001" customHeight="1">
      <c r="A42" s="441"/>
      <c r="B42" s="387"/>
      <c r="C42" s="387"/>
      <c r="D42" s="360"/>
      <c r="E42" s="360"/>
      <c r="F42" s="359"/>
      <c r="G42" s="442" t="s">
        <v>76</v>
      </c>
      <c r="H42" s="442"/>
      <c r="I42" s="442"/>
      <c r="J42" s="442"/>
      <c r="K42" s="442"/>
      <c r="L42" s="442"/>
      <c r="M42" s="442"/>
    </row>
    <row r="43" spans="1:13" s="144" customFormat="1" ht="33.950000000000003" customHeight="1">
      <c r="A43" s="441"/>
      <c r="B43" s="387"/>
      <c r="C43" s="387"/>
      <c r="D43" s="360"/>
      <c r="E43" s="360"/>
      <c r="F43" s="360"/>
      <c r="G43" s="359"/>
      <c r="H43" s="442" t="s">
        <v>179</v>
      </c>
      <c r="I43" s="442"/>
      <c r="J43" s="442"/>
      <c r="K43" s="442"/>
      <c r="L43" s="442"/>
      <c r="M43" s="442"/>
    </row>
    <row r="44" spans="1:13" s="144" customFormat="1" ht="34.5">
      <c r="A44" s="441"/>
      <c r="B44" s="387"/>
      <c r="C44" s="387"/>
      <c r="D44" s="360"/>
      <c r="E44" s="360"/>
      <c r="F44" s="360"/>
      <c r="G44" s="360"/>
      <c r="H44" s="434"/>
      <c r="I44" s="128" t="s">
        <v>180</v>
      </c>
      <c r="J44" s="128"/>
      <c r="K44" s="146">
        <v>7</v>
      </c>
      <c r="L44" s="146"/>
      <c r="M44" s="146">
        <v>7</v>
      </c>
    </row>
    <row r="45" spans="1:13" s="144" customFormat="1" ht="69">
      <c r="A45" s="441"/>
      <c r="B45" s="387"/>
      <c r="C45" s="387"/>
      <c r="D45" s="360"/>
      <c r="E45" s="360"/>
      <c r="F45" s="360"/>
      <c r="G45" s="360"/>
      <c r="H45" s="451"/>
      <c r="I45" s="128" t="s">
        <v>181</v>
      </c>
      <c r="J45" s="128"/>
      <c r="K45" s="128">
        <v>1</v>
      </c>
      <c r="L45" s="128"/>
      <c r="M45" s="128">
        <v>9</v>
      </c>
    </row>
    <row r="46" spans="1:13" s="144" customFormat="1" ht="34.5">
      <c r="A46" s="441"/>
      <c r="B46" s="387"/>
      <c r="C46" s="387"/>
      <c r="D46" s="361"/>
      <c r="E46" s="361"/>
      <c r="F46" s="361"/>
      <c r="G46" s="361"/>
      <c r="H46" s="435"/>
      <c r="I46" s="128" t="s">
        <v>357</v>
      </c>
      <c r="J46" s="128"/>
      <c r="K46" s="128">
        <v>1</v>
      </c>
      <c r="L46" s="128"/>
      <c r="M46" s="128">
        <v>1</v>
      </c>
    </row>
    <row r="47" spans="1:13" s="145" customFormat="1" ht="17.850000000000001" customHeight="1">
      <c r="A47" s="441"/>
      <c r="B47" s="387"/>
      <c r="C47" s="387"/>
      <c r="D47" s="84" t="s">
        <v>341</v>
      </c>
      <c r="E47" s="442" t="s">
        <v>358</v>
      </c>
      <c r="F47" s="442"/>
      <c r="G47" s="442"/>
      <c r="H47" s="442"/>
      <c r="I47" s="442"/>
      <c r="J47" s="136">
        <f>+'Հավելված N 2'!G24</f>
        <v>122351.8</v>
      </c>
      <c r="K47" s="136">
        <f>+'Հավելված N 2'!H24</f>
        <v>122351.8</v>
      </c>
      <c r="L47" s="136">
        <f>+'Հավելված N 2'!I24</f>
        <v>122351.8</v>
      </c>
      <c r="M47" s="136">
        <f>+'Հավելված N 2'!J24</f>
        <v>-15815.800000000003</v>
      </c>
    </row>
    <row r="48" spans="1:13" s="144" customFormat="1" ht="33.950000000000003" customHeight="1">
      <c r="A48" s="441"/>
      <c r="B48" s="387"/>
      <c r="C48" s="387"/>
      <c r="D48" s="359"/>
      <c r="E48" s="359"/>
      <c r="F48" s="442" t="s">
        <v>359</v>
      </c>
      <c r="G48" s="442"/>
      <c r="H48" s="442"/>
      <c r="I48" s="442"/>
      <c r="J48" s="442"/>
      <c r="K48" s="442"/>
      <c r="L48" s="442"/>
      <c r="M48" s="442"/>
    </row>
    <row r="49" spans="1:13" s="144" customFormat="1" ht="17.850000000000001" customHeight="1">
      <c r="A49" s="441"/>
      <c r="B49" s="387"/>
      <c r="C49" s="387"/>
      <c r="D49" s="360"/>
      <c r="E49" s="360"/>
      <c r="F49" s="359"/>
      <c r="G49" s="442" t="s">
        <v>76</v>
      </c>
      <c r="H49" s="442"/>
      <c r="I49" s="442"/>
      <c r="J49" s="442"/>
      <c r="K49" s="442"/>
      <c r="L49" s="442"/>
      <c r="M49" s="442"/>
    </row>
    <row r="50" spans="1:13" s="144" customFormat="1" ht="33.950000000000003" customHeight="1">
      <c r="A50" s="441"/>
      <c r="B50" s="387"/>
      <c r="C50" s="387"/>
      <c r="D50" s="360"/>
      <c r="E50" s="360"/>
      <c r="F50" s="360"/>
      <c r="G50" s="359"/>
      <c r="H50" s="442" t="s">
        <v>179</v>
      </c>
      <c r="I50" s="442"/>
      <c r="J50" s="442"/>
      <c r="K50" s="442"/>
      <c r="L50" s="442"/>
      <c r="M50" s="442"/>
    </row>
    <row r="51" spans="1:13" s="144" customFormat="1" ht="34.5">
      <c r="A51" s="441"/>
      <c r="B51" s="387"/>
      <c r="C51" s="387"/>
      <c r="D51" s="360"/>
      <c r="E51" s="360"/>
      <c r="F51" s="360"/>
      <c r="G51" s="360"/>
      <c r="H51" s="434"/>
      <c r="I51" s="128" t="s">
        <v>360</v>
      </c>
      <c r="J51" s="128"/>
      <c r="K51" s="146">
        <v>1</v>
      </c>
      <c r="L51" s="146"/>
      <c r="M51" s="146">
        <v>1</v>
      </c>
    </row>
    <row r="52" spans="1:13" s="144" customFormat="1" ht="69">
      <c r="A52" s="441"/>
      <c r="B52" s="387"/>
      <c r="C52" s="387"/>
      <c r="D52" s="360"/>
      <c r="E52" s="360"/>
      <c r="F52" s="360"/>
      <c r="G52" s="360"/>
      <c r="H52" s="451"/>
      <c r="I52" s="128" t="s">
        <v>361</v>
      </c>
      <c r="J52" s="128"/>
      <c r="K52" s="128">
        <v>1</v>
      </c>
      <c r="L52" s="128"/>
      <c r="M52" s="128">
        <v>1</v>
      </c>
    </row>
    <row r="53" spans="1:13" s="145" customFormat="1" ht="17.850000000000001" customHeight="1">
      <c r="A53" s="441"/>
      <c r="B53" s="387"/>
      <c r="C53" s="387"/>
      <c r="D53" s="84" t="s">
        <v>151</v>
      </c>
      <c r="E53" s="442" t="s">
        <v>93</v>
      </c>
      <c r="F53" s="442"/>
      <c r="G53" s="442"/>
      <c r="H53" s="442"/>
      <c r="I53" s="442"/>
      <c r="J53" s="136">
        <f>+'Հավելված N 2'!G25</f>
        <v>1741068.6</v>
      </c>
      <c r="K53" s="136">
        <f>+'Հավելված N 2'!H25</f>
        <v>1938885.6999999997</v>
      </c>
      <c r="L53" s="136">
        <f>+'Հավելված N 2'!I25</f>
        <v>969442.69999999972</v>
      </c>
      <c r="M53" s="136">
        <f>+'Հավելված N 2'!J25</f>
        <v>0</v>
      </c>
    </row>
    <row r="54" spans="1:13" s="144" customFormat="1" ht="33.950000000000003" customHeight="1">
      <c r="A54" s="441"/>
      <c r="B54" s="387"/>
      <c r="C54" s="387"/>
      <c r="D54" s="359"/>
      <c r="E54" s="359"/>
      <c r="F54" s="442" t="s">
        <v>102</v>
      </c>
      <c r="G54" s="442"/>
      <c r="H54" s="442"/>
      <c r="I54" s="442"/>
      <c r="J54" s="442"/>
      <c r="K54" s="442"/>
      <c r="L54" s="442"/>
      <c r="M54" s="442"/>
    </row>
    <row r="55" spans="1:13" s="144" customFormat="1" ht="17.850000000000001" customHeight="1">
      <c r="A55" s="441"/>
      <c r="B55" s="387"/>
      <c r="C55" s="387"/>
      <c r="D55" s="360"/>
      <c r="E55" s="360"/>
      <c r="F55" s="359"/>
      <c r="G55" s="442" t="s">
        <v>76</v>
      </c>
      <c r="H55" s="442"/>
      <c r="I55" s="442"/>
      <c r="J55" s="442"/>
      <c r="K55" s="442"/>
      <c r="L55" s="442"/>
      <c r="M55" s="442"/>
    </row>
    <row r="56" spans="1:13" s="144" customFormat="1">
      <c r="A56" s="441"/>
      <c r="B56" s="387"/>
      <c r="C56" s="387"/>
      <c r="D56" s="360"/>
      <c r="E56" s="360"/>
      <c r="F56" s="360"/>
      <c r="G56" s="212"/>
      <c r="H56" s="442" t="s">
        <v>182</v>
      </c>
      <c r="I56" s="442"/>
      <c r="J56" s="442"/>
      <c r="K56" s="442"/>
      <c r="L56" s="442"/>
      <c r="M56" s="442"/>
    </row>
    <row r="57" spans="1:13" s="145" customFormat="1" ht="17.850000000000001" customHeight="1">
      <c r="A57" s="441"/>
      <c r="B57" s="387"/>
      <c r="C57" s="387"/>
      <c r="D57" s="84" t="s">
        <v>153</v>
      </c>
      <c r="E57" s="442" t="s">
        <v>119</v>
      </c>
      <c r="F57" s="442"/>
      <c r="G57" s="442"/>
      <c r="H57" s="442"/>
      <c r="I57" s="442"/>
      <c r="J57" s="136">
        <f>+'Հավելված N 2'!G26</f>
        <v>381989.5</v>
      </c>
      <c r="K57" s="136">
        <f>+'Հավելված N 2'!H26</f>
        <v>709780.89999999991</v>
      </c>
      <c r="L57" s="136">
        <f>+'Հավելված N 2'!I26</f>
        <v>536979.80000000005</v>
      </c>
      <c r="M57" s="136">
        <f>+'Հավելված N 2'!J26</f>
        <v>454178.69999999995</v>
      </c>
    </row>
    <row r="58" spans="1:13" s="144" customFormat="1" ht="33.950000000000003" customHeight="1">
      <c r="A58" s="441"/>
      <c r="B58" s="387"/>
      <c r="C58" s="387"/>
      <c r="D58" s="359"/>
      <c r="E58" s="359"/>
      <c r="F58" s="442" t="s">
        <v>183</v>
      </c>
      <c r="G58" s="442"/>
      <c r="H58" s="442"/>
      <c r="I58" s="442"/>
      <c r="J58" s="442"/>
      <c r="K58" s="442"/>
      <c r="L58" s="442"/>
      <c r="M58" s="442"/>
    </row>
    <row r="59" spans="1:13" s="144" customFormat="1" ht="17.850000000000001" customHeight="1">
      <c r="A59" s="441"/>
      <c r="B59" s="387"/>
      <c r="C59" s="387"/>
      <c r="D59" s="360"/>
      <c r="E59" s="360"/>
      <c r="F59" s="359"/>
      <c r="G59" s="442" t="s">
        <v>76</v>
      </c>
      <c r="H59" s="442"/>
      <c r="I59" s="442"/>
      <c r="J59" s="442"/>
      <c r="K59" s="442"/>
      <c r="L59" s="442"/>
      <c r="M59" s="442"/>
    </row>
    <row r="60" spans="1:13" s="144" customFormat="1">
      <c r="A60" s="441"/>
      <c r="B60" s="387"/>
      <c r="C60" s="387"/>
      <c r="D60" s="360"/>
      <c r="E60" s="360"/>
      <c r="F60" s="360"/>
      <c r="G60" s="359"/>
      <c r="H60" s="442" t="s">
        <v>182</v>
      </c>
      <c r="I60" s="442"/>
      <c r="J60" s="442"/>
      <c r="K60" s="442"/>
      <c r="L60" s="442"/>
      <c r="M60" s="442"/>
    </row>
    <row r="61" spans="1:13" s="144" customFormat="1" ht="86.25">
      <c r="A61" s="441"/>
      <c r="B61" s="387"/>
      <c r="C61" s="387"/>
      <c r="D61" s="360"/>
      <c r="E61" s="360"/>
      <c r="F61" s="360"/>
      <c r="G61" s="360"/>
      <c r="H61" s="434"/>
      <c r="I61" s="128" t="s">
        <v>362</v>
      </c>
      <c r="J61" s="128"/>
      <c r="K61" s="146">
        <v>7</v>
      </c>
      <c r="L61" s="146"/>
      <c r="M61" s="146">
        <v>7</v>
      </c>
    </row>
    <row r="62" spans="1:13" s="144" customFormat="1" ht="138">
      <c r="A62" s="441"/>
      <c r="B62" s="387"/>
      <c r="C62" s="387"/>
      <c r="D62" s="360"/>
      <c r="E62" s="360"/>
      <c r="F62" s="360"/>
      <c r="G62" s="360"/>
      <c r="H62" s="451"/>
      <c r="I62" s="128" t="s">
        <v>363</v>
      </c>
      <c r="J62" s="128"/>
      <c r="K62" s="146">
        <v>4</v>
      </c>
      <c r="L62" s="146"/>
      <c r="M62" s="146">
        <v>7</v>
      </c>
    </row>
    <row r="63" spans="1:13" s="144" customFormat="1" ht="69">
      <c r="A63" s="441"/>
      <c r="B63" s="387"/>
      <c r="C63" s="387"/>
      <c r="D63" s="360"/>
      <c r="E63" s="360"/>
      <c r="F63" s="360"/>
      <c r="G63" s="360"/>
      <c r="H63" s="451"/>
      <c r="I63" s="128" t="s">
        <v>364</v>
      </c>
      <c r="J63" s="128"/>
      <c r="K63" s="288">
        <v>-4292</v>
      </c>
      <c r="L63" s="146"/>
      <c r="M63" s="288">
        <v>-6712</v>
      </c>
    </row>
    <row r="64" spans="1:13" s="144" customFormat="1" ht="86.25">
      <c r="A64" s="441"/>
      <c r="B64" s="387"/>
      <c r="C64" s="387"/>
      <c r="D64" s="361"/>
      <c r="E64" s="361"/>
      <c r="F64" s="361"/>
      <c r="G64" s="361"/>
      <c r="H64" s="435"/>
      <c r="I64" s="128" t="s">
        <v>365</v>
      </c>
      <c r="J64" s="128"/>
      <c r="K64" s="146">
        <f>4292+1353</f>
        <v>5645</v>
      </c>
      <c r="L64" s="146"/>
      <c r="M64" s="146">
        <f>6712+5073</f>
        <v>11785</v>
      </c>
    </row>
    <row r="65" spans="1:13" s="145" customFormat="1" ht="17.850000000000001" customHeight="1">
      <c r="A65" s="441"/>
      <c r="B65" s="387"/>
      <c r="C65" s="387"/>
      <c r="D65" s="84" t="s">
        <v>155</v>
      </c>
      <c r="E65" s="442" t="s">
        <v>96</v>
      </c>
      <c r="F65" s="442"/>
      <c r="G65" s="442"/>
      <c r="H65" s="442"/>
      <c r="I65" s="442"/>
      <c r="J65" s="136">
        <f>+'Հավելված N 2'!G27</f>
        <v>-2352424.9</v>
      </c>
      <c r="K65" s="136">
        <f>+'Հավելված N 2'!H27</f>
        <v>149347.79999999993</v>
      </c>
      <c r="L65" s="136">
        <f>+'Հավելված N 2'!I27</f>
        <v>-192550.89999999991</v>
      </c>
      <c r="M65" s="136">
        <f>+'Հավելված N 2'!J27</f>
        <v>-534449.80000000005</v>
      </c>
    </row>
    <row r="66" spans="1:13" s="144" customFormat="1" ht="33.950000000000003" customHeight="1">
      <c r="A66" s="441"/>
      <c r="B66" s="387"/>
      <c r="C66" s="387"/>
      <c r="D66" s="387"/>
      <c r="E66" s="387"/>
      <c r="F66" s="444" t="s">
        <v>102</v>
      </c>
      <c r="G66" s="442"/>
      <c r="H66" s="442"/>
      <c r="I66" s="442"/>
      <c r="J66" s="442"/>
      <c r="K66" s="442"/>
      <c r="L66" s="442"/>
      <c r="M66" s="442"/>
    </row>
    <row r="67" spans="1:13" s="144" customFormat="1" ht="17.850000000000001" customHeight="1">
      <c r="A67" s="441"/>
      <c r="B67" s="387"/>
      <c r="C67" s="387"/>
      <c r="D67" s="387"/>
      <c r="E67" s="387"/>
      <c r="F67" s="387"/>
      <c r="G67" s="444" t="s">
        <v>76</v>
      </c>
      <c r="H67" s="442"/>
      <c r="I67" s="442"/>
      <c r="J67" s="442"/>
      <c r="K67" s="442"/>
      <c r="L67" s="442"/>
      <c r="M67" s="442"/>
    </row>
    <row r="68" spans="1:13" s="144" customFormat="1">
      <c r="A68" s="441"/>
      <c r="B68" s="387"/>
      <c r="C68" s="387"/>
      <c r="D68" s="387"/>
      <c r="E68" s="387"/>
      <c r="F68" s="387"/>
      <c r="G68" s="387"/>
      <c r="H68" s="444" t="s">
        <v>184</v>
      </c>
      <c r="I68" s="442"/>
      <c r="J68" s="442"/>
      <c r="K68" s="442"/>
      <c r="L68" s="442"/>
      <c r="M68" s="442"/>
    </row>
    <row r="69" spans="1:13" s="144" customFormat="1" ht="103.5">
      <c r="A69" s="441"/>
      <c r="B69" s="387"/>
      <c r="C69" s="387"/>
      <c r="D69" s="387"/>
      <c r="E69" s="387"/>
      <c r="F69" s="387"/>
      <c r="G69" s="387"/>
      <c r="H69" s="443"/>
      <c r="I69" s="153" t="s">
        <v>366</v>
      </c>
      <c r="J69" s="151"/>
      <c r="K69" s="152">
        <v>1</v>
      </c>
      <c r="L69" s="152"/>
      <c r="M69" s="152">
        <v>1</v>
      </c>
    </row>
    <row r="70" spans="1:13" s="144" customFormat="1" ht="103.5">
      <c r="A70" s="441"/>
      <c r="B70" s="387"/>
      <c r="C70" s="387"/>
      <c r="D70" s="387"/>
      <c r="E70" s="387"/>
      <c r="F70" s="387"/>
      <c r="G70" s="387"/>
      <c r="H70" s="443"/>
      <c r="I70" s="153" t="s">
        <v>185</v>
      </c>
      <c r="J70" s="151"/>
      <c r="K70" s="152">
        <v>-2</v>
      </c>
      <c r="L70" s="152"/>
      <c r="M70" s="152">
        <v>-2</v>
      </c>
    </row>
    <row r="72" spans="1:13" s="147" customFormat="1" ht="30" customHeight="1">
      <c r="A72" s="452" t="s">
        <v>369</v>
      </c>
      <c r="B72" s="452"/>
      <c r="C72" s="452"/>
      <c r="D72" s="452"/>
      <c r="E72" s="452"/>
      <c r="F72" s="452"/>
      <c r="G72" s="452"/>
      <c r="H72" s="452"/>
      <c r="I72" s="452"/>
      <c r="J72" s="155">
        <f>+J73+J87+J93</f>
        <v>0</v>
      </c>
      <c r="K72" s="155">
        <f>+K73+K87+K93</f>
        <v>0</v>
      </c>
      <c r="L72" s="155">
        <f>+L73+L87+L93</f>
        <v>0</v>
      </c>
      <c r="M72" s="155">
        <f>+M73+M87+M93</f>
        <v>0</v>
      </c>
    </row>
    <row r="73" spans="1:13">
      <c r="A73" s="441"/>
      <c r="B73" s="142">
        <v>1139</v>
      </c>
      <c r="C73" s="453" t="s">
        <v>405</v>
      </c>
      <c r="D73" s="453"/>
      <c r="E73" s="453"/>
      <c r="F73" s="453"/>
      <c r="G73" s="453"/>
      <c r="H73" s="453"/>
      <c r="I73" s="453"/>
      <c r="J73" s="333">
        <f>+J74+J78</f>
        <v>0</v>
      </c>
      <c r="K73" s="333">
        <f>+K74+K78</f>
        <v>0</v>
      </c>
      <c r="L73" s="333">
        <f>+L74+L78</f>
        <v>0</v>
      </c>
      <c r="M73" s="333">
        <f>+M74+M78</f>
        <v>0</v>
      </c>
    </row>
    <row r="74" spans="1:13" s="140" customFormat="1" ht="33" customHeight="1">
      <c r="A74" s="441"/>
      <c r="B74" s="439"/>
      <c r="C74" s="441"/>
      <c r="D74" s="142" t="s">
        <v>406</v>
      </c>
      <c r="E74" s="440" t="s">
        <v>394</v>
      </c>
      <c r="F74" s="440"/>
      <c r="G74" s="440"/>
      <c r="H74" s="440"/>
      <c r="I74" s="440"/>
      <c r="J74" s="141">
        <f>+'Հավելված N 2'!G31</f>
        <v>134230.1</v>
      </c>
      <c r="K74" s="141">
        <f>+'Հավելված N 2'!H31</f>
        <v>134230.1</v>
      </c>
      <c r="L74" s="141">
        <f>+'Հավելված N 2'!I31</f>
        <v>134230.1</v>
      </c>
      <c r="M74" s="141">
        <f>+'Հավելված N 2'!J31</f>
        <v>134230.1</v>
      </c>
    </row>
    <row r="75" spans="1:13" ht="33.4" customHeight="1">
      <c r="A75" s="441"/>
      <c r="B75" s="439"/>
      <c r="C75" s="441"/>
      <c r="D75" s="439"/>
      <c r="E75" s="439"/>
      <c r="F75" s="440" t="s">
        <v>407</v>
      </c>
      <c r="G75" s="440"/>
      <c r="H75" s="440"/>
      <c r="I75" s="440"/>
      <c r="J75" s="440"/>
      <c r="K75" s="440"/>
      <c r="L75" s="440"/>
      <c r="M75" s="440"/>
    </row>
    <row r="76" spans="1:13" ht="33.4" customHeight="1">
      <c r="A76" s="441"/>
      <c r="B76" s="439"/>
      <c r="C76" s="441"/>
      <c r="D76" s="439"/>
      <c r="E76" s="439"/>
      <c r="F76" s="439"/>
      <c r="G76" s="440" t="s">
        <v>356</v>
      </c>
      <c r="H76" s="440"/>
      <c r="I76" s="440"/>
      <c r="J76" s="440"/>
      <c r="K76" s="440"/>
      <c r="L76" s="440"/>
      <c r="M76" s="440"/>
    </row>
    <row r="77" spans="1:13" ht="33.4" customHeight="1">
      <c r="A77" s="441"/>
      <c r="B77" s="439"/>
      <c r="C77" s="441"/>
      <c r="D77" s="439"/>
      <c r="E77" s="439"/>
      <c r="F77" s="439"/>
      <c r="G77" s="142"/>
      <c r="H77" s="440" t="s">
        <v>408</v>
      </c>
      <c r="I77" s="440"/>
      <c r="J77" s="440"/>
      <c r="K77" s="440"/>
      <c r="L77" s="440"/>
      <c r="M77" s="440"/>
    </row>
    <row r="78" spans="1:13" s="140" customFormat="1" ht="33" customHeight="1">
      <c r="A78" s="441"/>
      <c r="B78" s="439"/>
      <c r="C78" s="441"/>
      <c r="D78" s="142" t="s">
        <v>406</v>
      </c>
      <c r="E78" s="440" t="s">
        <v>394</v>
      </c>
      <c r="F78" s="440"/>
      <c r="G78" s="440"/>
      <c r="H78" s="440"/>
      <c r="I78" s="440"/>
      <c r="J78" s="141">
        <f>+'Հավելված N 2'!G32</f>
        <v>-134230.1</v>
      </c>
      <c r="K78" s="141">
        <f>+'Հավելված N 2'!H32</f>
        <v>-134230.1</v>
      </c>
      <c r="L78" s="141">
        <f>+'Հավելված N 2'!I32</f>
        <v>-134230.1</v>
      </c>
      <c r="M78" s="141">
        <f>+'Հավելված N 2'!J32</f>
        <v>-134230.1</v>
      </c>
    </row>
    <row r="79" spans="1:13" ht="33.4" customHeight="1">
      <c r="A79" s="441"/>
      <c r="B79" s="439"/>
      <c r="C79" s="441"/>
      <c r="D79" s="439"/>
      <c r="E79" s="439"/>
      <c r="F79" s="440" t="s">
        <v>407</v>
      </c>
      <c r="G79" s="440"/>
      <c r="H79" s="440"/>
      <c r="I79" s="440"/>
      <c r="J79" s="440"/>
      <c r="K79" s="440"/>
      <c r="L79" s="440"/>
      <c r="M79" s="440"/>
    </row>
    <row r="80" spans="1:13" ht="33.4" customHeight="1">
      <c r="A80" s="441"/>
      <c r="B80" s="439"/>
      <c r="C80" s="441"/>
      <c r="D80" s="439"/>
      <c r="E80" s="439"/>
      <c r="F80" s="439"/>
      <c r="G80" s="440" t="s">
        <v>356</v>
      </c>
      <c r="H80" s="440"/>
      <c r="I80" s="440"/>
      <c r="J80" s="440"/>
      <c r="K80" s="440"/>
      <c r="L80" s="440"/>
      <c r="M80" s="440"/>
    </row>
    <row r="81" spans="1:13" ht="33.4" customHeight="1">
      <c r="A81" s="441"/>
      <c r="B81" s="439"/>
      <c r="C81" s="441"/>
      <c r="D81" s="439"/>
      <c r="E81" s="439"/>
      <c r="F81" s="439"/>
      <c r="G81" s="142"/>
      <c r="H81" s="440" t="s">
        <v>408</v>
      </c>
      <c r="I81" s="440"/>
      <c r="J81" s="440"/>
      <c r="K81" s="440"/>
      <c r="L81" s="440"/>
      <c r="M81" s="440"/>
    </row>
  </sheetData>
  <mergeCells count="118">
    <mergeCell ref="A9:A10"/>
    <mergeCell ref="B9:C9"/>
    <mergeCell ref="D9:G9"/>
    <mergeCell ref="H9:H10"/>
    <mergeCell ref="I9:I10"/>
    <mergeCell ref="J9:M9"/>
    <mergeCell ref="G18:G19"/>
    <mergeCell ref="F17:F19"/>
    <mergeCell ref="E16:E19"/>
    <mergeCell ref="D16:D19"/>
    <mergeCell ref="A11:I11"/>
    <mergeCell ref="A12:I12"/>
    <mergeCell ref="A13:I13"/>
    <mergeCell ref="C14:I14"/>
    <mergeCell ref="B15:B19"/>
    <mergeCell ref="A14:A70"/>
    <mergeCell ref="H68:M68"/>
    <mergeCell ref="D66:D70"/>
    <mergeCell ref="E66:E70"/>
    <mergeCell ref="C35:I35"/>
    <mergeCell ref="E40:I40"/>
    <mergeCell ref="C36:C70"/>
    <mergeCell ref="H44:H46"/>
    <mergeCell ref="G43:G46"/>
    <mergeCell ref="C29:I29"/>
    <mergeCell ref="E30:I30"/>
    <mergeCell ref="G32:M32"/>
    <mergeCell ref="F31:M31"/>
    <mergeCell ref="C30:C33"/>
    <mergeCell ref="D37:D39"/>
    <mergeCell ref="E37:E39"/>
    <mergeCell ref="F38:F39"/>
    <mergeCell ref="B36:B70"/>
    <mergeCell ref="F49:F52"/>
    <mergeCell ref="G49:M49"/>
    <mergeCell ref="G50:G52"/>
    <mergeCell ref="H50:M50"/>
    <mergeCell ref="F67:F70"/>
    <mergeCell ref="G68:G70"/>
    <mergeCell ref="H39:M39"/>
    <mergeCell ref="K3:M3"/>
    <mergeCell ref="K2:M2"/>
    <mergeCell ref="F21:M21"/>
    <mergeCell ref="G22:M22"/>
    <mergeCell ref="H23:M23"/>
    <mergeCell ref="G23:G27"/>
    <mergeCell ref="D21:D27"/>
    <mergeCell ref="E21:E27"/>
    <mergeCell ref="F22:F27"/>
    <mergeCell ref="K1:M1"/>
    <mergeCell ref="A6:M6"/>
    <mergeCell ref="G1:H1"/>
    <mergeCell ref="G3:H3"/>
    <mergeCell ref="D54:D56"/>
    <mergeCell ref="E57:I57"/>
    <mergeCell ref="F58:M58"/>
    <mergeCell ref="H56:M56"/>
    <mergeCell ref="E58:E64"/>
    <mergeCell ref="D58:D64"/>
    <mergeCell ref="F59:F64"/>
    <mergeCell ref="G60:G64"/>
    <mergeCell ref="H61:H64"/>
    <mergeCell ref="H60:M60"/>
    <mergeCell ref="F55:F56"/>
    <mergeCell ref="E54:E56"/>
    <mergeCell ref="E53:I53"/>
    <mergeCell ref="F54:M54"/>
    <mergeCell ref="G55:M55"/>
    <mergeCell ref="F41:M41"/>
    <mergeCell ref="G42:M42"/>
    <mergeCell ref="H43:M43"/>
    <mergeCell ref="B20:B24"/>
    <mergeCell ref="E20:I20"/>
    <mergeCell ref="C15:C27"/>
    <mergeCell ref="H18:M18"/>
    <mergeCell ref="G17:M17"/>
    <mergeCell ref="F16:M16"/>
    <mergeCell ref="E15:I15"/>
    <mergeCell ref="H51:H52"/>
    <mergeCell ref="A72:I72"/>
    <mergeCell ref="C73:I73"/>
    <mergeCell ref="E74:I74"/>
    <mergeCell ref="F42:F46"/>
    <mergeCell ref="E41:E46"/>
    <mergeCell ref="D41:D46"/>
    <mergeCell ref="E47:I47"/>
    <mergeCell ref="D48:D52"/>
    <mergeCell ref="E48:E52"/>
    <mergeCell ref="F48:M48"/>
    <mergeCell ref="B30:B33"/>
    <mergeCell ref="E36:I36"/>
    <mergeCell ref="F37:M37"/>
    <mergeCell ref="G38:M38"/>
    <mergeCell ref="F32:F33"/>
    <mergeCell ref="E31:E33"/>
    <mergeCell ref="D31:D33"/>
    <mergeCell ref="H33:M33"/>
    <mergeCell ref="D75:D77"/>
    <mergeCell ref="E75:E77"/>
    <mergeCell ref="F75:M75"/>
    <mergeCell ref="F76:F77"/>
    <mergeCell ref="G76:M76"/>
    <mergeCell ref="H77:M77"/>
    <mergeCell ref="A73:A81"/>
    <mergeCell ref="G59:M59"/>
    <mergeCell ref="H69:H70"/>
    <mergeCell ref="E65:I65"/>
    <mergeCell ref="F66:M66"/>
    <mergeCell ref="G67:M67"/>
    <mergeCell ref="E78:I78"/>
    <mergeCell ref="D79:D81"/>
    <mergeCell ref="E79:E81"/>
    <mergeCell ref="F79:M79"/>
    <mergeCell ref="F80:F81"/>
    <mergeCell ref="G80:M80"/>
    <mergeCell ref="H81:M81"/>
    <mergeCell ref="C74:C81"/>
    <mergeCell ref="B74:B8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96"/>
  <sheetViews>
    <sheetView topLeftCell="A70" zoomScale="55" zoomScaleNormal="55" workbookViewId="0">
      <selection activeCell="J74" sqref="J74"/>
    </sheetView>
  </sheetViews>
  <sheetFormatPr defaultColWidth="8.85546875" defaultRowHeight="17.25"/>
  <cols>
    <col min="1" max="1" width="6.42578125" style="139" bestFit="1" customWidth="1"/>
    <col min="2" max="2" width="9.7109375" style="139" customWidth="1"/>
    <col min="3" max="3" width="13.140625" style="139" customWidth="1"/>
    <col min="4" max="4" width="16.7109375" style="143" customWidth="1"/>
    <col min="5" max="5" width="13.140625" style="139" customWidth="1"/>
    <col min="6" max="6" width="15.42578125" style="139" customWidth="1"/>
    <col min="7" max="7" width="10.42578125" style="139" customWidth="1"/>
    <col min="8" max="8" width="22.5703125" style="139" customWidth="1"/>
    <col min="9" max="9" width="46.28515625" style="139" customWidth="1"/>
    <col min="10" max="10" width="24.85546875" style="139" customWidth="1"/>
    <col min="11" max="11" width="19.42578125" style="139" customWidth="1"/>
    <col min="12" max="12" width="22.28515625" style="139" customWidth="1"/>
    <col min="13" max="13" width="25.7109375" style="139" customWidth="1"/>
    <col min="14" max="16384" width="8.85546875" style="139"/>
  </cols>
  <sheetData>
    <row r="1" spans="1:13" ht="28.5" customHeight="1">
      <c r="D1" s="26"/>
      <c r="E1" s="26"/>
      <c r="F1" s="26"/>
      <c r="G1" s="437"/>
      <c r="H1" s="437"/>
      <c r="J1" s="154"/>
      <c r="K1" s="437" t="s">
        <v>379</v>
      </c>
      <c r="L1" s="437"/>
      <c r="M1" s="437"/>
    </row>
    <row r="2" spans="1:13" ht="17.850000000000001" customHeight="1">
      <c r="D2" s="27"/>
      <c r="E2" s="27"/>
      <c r="F2" s="28"/>
      <c r="H2" s="72"/>
      <c r="I2" s="72"/>
      <c r="J2" s="72"/>
      <c r="K2" s="438" t="s">
        <v>114</v>
      </c>
      <c r="L2" s="438"/>
      <c r="M2" s="438"/>
    </row>
    <row r="3" spans="1:13">
      <c r="D3" s="27"/>
      <c r="E3" s="27"/>
      <c r="F3" s="28"/>
      <c r="G3" s="438"/>
      <c r="H3" s="438"/>
      <c r="J3" s="72"/>
      <c r="K3" s="438" t="s">
        <v>20</v>
      </c>
      <c r="L3" s="438"/>
      <c r="M3" s="438"/>
    </row>
    <row r="4" spans="1:13">
      <c r="D4" s="27"/>
      <c r="E4" s="27"/>
      <c r="F4" s="28"/>
      <c r="G4" s="72"/>
      <c r="H4" s="72"/>
      <c r="I4" s="72"/>
      <c r="J4" s="72"/>
    </row>
    <row r="5" spans="1:13">
      <c r="D5" s="27"/>
      <c r="E5" s="27"/>
      <c r="F5" s="28"/>
      <c r="G5" s="72"/>
      <c r="H5" s="72"/>
      <c r="I5" s="72"/>
      <c r="J5" s="72"/>
    </row>
    <row r="6" spans="1:13">
      <c r="A6" s="421" t="s">
        <v>187</v>
      </c>
      <c r="B6" s="421"/>
      <c r="C6" s="421"/>
      <c r="D6" s="421"/>
      <c r="E6" s="421"/>
      <c r="F6" s="421"/>
      <c r="G6" s="421"/>
      <c r="H6" s="421"/>
      <c r="I6" s="421"/>
      <c r="J6" s="421"/>
      <c r="K6" s="421"/>
      <c r="L6" s="421"/>
      <c r="M6" s="421"/>
    </row>
    <row r="9" spans="1:13" ht="51" customHeight="1">
      <c r="A9" s="350" t="s">
        <v>367</v>
      </c>
      <c r="B9" s="350" t="s">
        <v>157</v>
      </c>
      <c r="C9" s="350"/>
      <c r="D9" s="350" t="s">
        <v>158</v>
      </c>
      <c r="E9" s="350"/>
      <c r="F9" s="350"/>
      <c r="G9" s="350"/>
      <c r="H9" s="350" t="s">
        <v>159</v>
      </c>
      <c r="I9" s="350" t="s">
        <v>160</v>
      </c>
      <c r="J9" s="463" t="s">
        <v>53</v>
      </c>
      <c r="K9" s="463"/>
      <c r="L9" s="463"/>
      <c r="M9" s="463"/>
    </row>
    <row r="10" spans="1:13" ht="51" customHeight="1">
      <c r="A10" s="350"/>
      <c r="B10" s="114" t="s">
        <v>168</v>
      </c>
      <c r="C10" s="114" t="s">
        <v>167</v>
      </c>
      <c r="D10" s="114" t="s">
        <v>161</v>
      </c>
      <c r="E10" s="114" t="s">
        <v>167</v>
      </c>
      <c r="F10" s="114" t="s">
        <v>169</v>
      </c>
      <c r="G10" s="114" t="s">
        <v>162</v>
      </c>
      <c r="H10" s="350"/>
      <c r="I10" s="350"/>
      <c r="J10" s="114" t="s">
        <v>163</v>
      </c>
      <c r="K10" s="114" t="s">
        <v>164</v>
      </c>
      <c r="L10" s="114" t="s">
        <v>165</v>
      </c>
      <c r="M10" s="114" t="s">
        <v>166</v>
      </c>
    </row>
    <row r="11" spans="1:13" s="157" customFormat="1" ht="48.6" customHeight="1">
      <c r="A11" s="464" t="s">
        <v>170</v>
      </c>
      <c r="B11" s="464"/>
      <c r="C11" s="464"/>
      <c r="D11" s="464"/>
      <c r="E11" s="464"/>
      <c r="F11" s="464"/>
      <c r="G11" s="464"/>
      <c r="H11" s="464"/>
      <c r="I11" s="464"/>
      <c r="J11" s="156">
        <f>+J13+J66+J73</f>
        <v>397083.30000000016</v>
      </c>
      <c r="K11" s="156">
        <f t="shared" ref="K11:M11" si="0">+K13+K66+K73</f>
        <v>4153217.7999999989</v>
      </c>
      <c r="L11" s="156">
        <f t="shared" si="0"/>
        <v>1948553.1999999993</v>
      </c>
      <c r="M11" s="156">
        <f t="shared" si="0"/>
        <v>0</v>
      </c>
    </row>
    <row r="12" spans="1:13" s="138" customFormat="1">
      <c r="A12" s="465" t="s">
        <v>112</v>
      </c>
      <c r="B12" s="465"/>
      <c r="C12" s="465"/>
      <c r="D12" s="465"/>
      <c r="E12" s="465"/>
      <c r="F12" s="465"/>
      <c r="G12" s="465"/>
      <c r="H12" s="465"/>
      <c r="I12" s="465"/>
      <c r="J12" s="25"/>
      <c r="K12" s="25"/>
      <c r="L12" s="25"/>
      <c r="M12" s="25"/>
    </row>
    <row r="13" spans="1:13" s="147" customFormat="1" ht="30" customHeight="1">
      <c r="A13" s="452" t="s">
        <v>171</v>
      </c>
      <c r="B13" s="452"/>
      <c r="C13" s="452"/>
      <c r="D13" s="452"/>
      <c r="E13" s="452"/>
      <c r="F13" s="452"/>
      <c r="G13" s="452"/>
      <c r="H13" s="452"/>
      <c r="I13" s="452"/>
      <c r="J13" s="155">
        <f>+J14+J29</f>
        <v>387083.30000000016</v>
      </c>
      <c r="K13" s="155">
        <f t="shared" ref="K13:M13" si="1">+K14+K29</f>
        <v>5253217.7999999989</v>
      </c>
      <c r="L13" s="155">
        <f t="shared" si="1"/>
        <v>4528553.1999999993</v>
      </c>
      <c r="M13" s="155">
        <f t="shared" si="1"/>
        <v>3828167.6</v>
      </c>
    </row>
    <row r="14" spans="1:13">
      <c r="A14" s="441"/>
      <c r="B14" s="150" t="s">
        <v>172</v>
      </c>
      <c r="C14" s="440" t="s">
        <v>173</v>
      </c>
      <c r="D14" s="440"/>
      <c r="E14" s="440"/>
      <c r="F14" s="440"/>
      <c r="G14" s="440"/>
      <c r="H14" s="440"/>
      <c r="I14" s="440"/>
      <c r="J14" s="96">
        <f>+J15+J20</f>
        <v>134230.1</v>
      </c>
      <c r="K14" s="96">
        <f t="shared" ref="K14:M14" si="2">+K15+K20</f>
        <v>324237.3</v>
      </c>
      <c r="L14" s="96">
        <f t="shared" si="2"/>
        <v>387573</v>
      </c>
      <c r="M14" s="96">
        <f t="shared" si="2"/>
        <v>450908.9</v>
      </c>
    </row>
    <row r="15" spans="1:13" s="140" customFormat="1" ht="33" customHeight="1">
      <c r="A15" s="441"/>
      <c r="B15" s="461"/>
      <c r="C15" s="445"/>
      <c r="D15" s="142" t="s">
        <v>177</v>
      </c>
      <c r="E15" s="440" t="s">
        <v>86</v>
      </c>
      <c r="F15" s="440"/>
      <c r="G15" s="440"/>
      <c r="H15" s="440"/>
      <c r="I15" s="440"/>
      <c r="J15" s="141">
        <f>+'Հավելված N 3'!G140</f>
        <v>0</v>
      </c>
      <c r="K15" s="141">
        <f>+'Հավելված N 3'!H140</f>
        <v>190007.19999999998</v>
      </c>
      <c r="L15" s="141">
        <f>+'Հավելված N 3'!I140</f>
        <v>253342.89999999997</v>
      </c>
      <c r="M15" s="141">
        <f>+'Հավելված N 3'!J140</f>
        <v>316678.8</v>
      </c>
    </row>
    <row r="16" spans="1:13" ht="33.4" customHeight="1">
      <c r="A16" s="441"/>
      <c r="B16" s="461"/>
      <c r="C16" s="446"/>
      <c r="D16" s="445"/>
      <c r="E16" s="445"/>
      <c r="F16" s="448" t="s">
        <v>83</v>
      </c>
      <c r="G16" s="449"/>
      <c r="H16" s="449"/>
      <c r="I16" s="449"/>
      <c r="J16" s="449"/>
      <c r="K16" s="449"/>
      <c r="L16" s="449"/>
      <c r="M16" s="450"/>
    </row>
    <row r="17" spans="1:13" ht="33.4" customHeight="1">
      <c r="A17" s="441"/>
      <c r="B17" s="461"/>
      <c r="C17" s="446"/>
      <c r="D17" s="446"/>
      <c r="E17" s="446"/>
      <c r="F17" s="445"/>
      <c r="G17" s="448" t="s">
        <v>76</v>
      </c>
      <c r="H17" s="449"/>
      <c r="I17" s="449"/>
      <c r="J17" s="449"/>
      <c r="K17" s="449"/>
      <c r="L17" s="449"/>
      <c r="M17" s="450"/>
    </row>
    <row r="18" spans="1:13" ht="33.4" customHeight="1">
      <c r="A18" s="441"/>
      <c r="B18" s="461"/>
      <c r="C18" s="446"/>
      <c r="D18" s="446"/>
      <c r="E18" s="446"/>
      <c r="F18" s="446"/>
      <c r="G18" s="445"/>
      <c r="H18" s="448" t="s">
        <v>175</v>
      </c>
      <c r="I18" s="449"/>
      <c r="J18" s="449"/>
      <c r="K18" s="449"/>
      <c r="L18" s="449"/>
      <c r="M18" s="450"/>
    </row>
    <row r="19" spans="1:13" ht="34.5">
      <c r="A19" s="441"/>
      <c r="B19" s="461"/>
      <c r="C19" s="446"/>
      <c r="D19" s="446"/>
      <c r="E19" s="446"/>
      <c r="F19" s="446"/>
      <c r="G19" s="446"/>
      <c r="H19" s="209"/>
      <c r="I19" s="127" t="s">
        <v>176</v>
      </c>
      <c r="J19" s="127" t="s">
        <v>174</v>
      </c>
      <c r="K19" s="127">
        <v>1</v>
      </c>
      <c r="L19" s="127" t="s">
        <v>174</v>
      </c>
      <c r="M19" s="127">
        <v>1</v>
      </c>
    </row>
    <row r="20" spans="1:13" s="140" customFormat="1" ht="33" customHeight="1">
      <c r="A20" s="441"/>
      <c r="B20" s="458"/>
      <c r="C20" s="446"/>
      <c r="D20" s="213" t="s">
        <v>344</v>
      </c>
      <c r="E20" s="453" t="s">
        <v>190</v>
      </c>
      <c r="F20" s="440"/>
      <c r="G20" s="440"/>
      <c r="H20" s="440"/>
      <c r="I20" s="440"/>
      <c r="J20" s="141">
        <f>+'Հավելված N 3'!G28</f>
        <v>134230.1</v>
      </c>
      <c r="K20" s="141">
        <f>+'Հավելված N 3'!H28</f>
        <v>134230.1</v>
      </c>
      <c r="L20" s="141">
        <f>+'Հավելված N 3'!I28</f>
        <v>134230.1</v>
      </c>
      <c r="M20" s="141">
        <f>+'Հավելված N 3'!J28</f>
        <v>134230.1</v>
      </c>
    </row>
    <row r="21" spans="1:13" ht="33.4" customHeight="1">
      <c r="A21" s="441"/>
      <c r="B21" s="458"/>
      <c r="C21" s="446"/>
      <c r="D21" s="439"/>
      <c r="E21" s="439"/>
      <c r="F21" s="459" t="s">
        <v>330</v>
      </c>
      <c r="G21" s="449"/>
      <c r="H21" s="449"/>
      <c r="I21" s="449"/>
      <c r="J21" s="449"/>
      <c r="K21" s="449"/>
      <c r="L21" s="449"/>
      <c r="M21" s="450"/>
    </row>
    <row r="22" spans="1:13" ht="33.4" customHeight="1">
      <c r="A22" s="441"/>
      <c r="B22" s="458"/>
      <c r="C22" s="446"/>
      <c r="D22" s="439"/>
      <c r="E22" s="439"/>
      <c r="F22" s="439"/>
      <c r="G22" s="449" t="s">
        <v>337</v>
      </c>
      <c r="H22" s="449"/>
      <c r="I22" s="449"/>
      <c r="J22" s="449"/>
      <c r="K22" s="449"/>
      <c r="L22" s="449"/>
      <c r="M22" s="450"/>
    </row>
    <row r="23" spans="1:13" ht="33.4" customHeight="1">
      <c r="A23" s="441"/>
      <c r="B23" s="458"/>
      <c r="C23" s="446"/>
      <c r="D23" s="439"/>
      <c r="E23" s="439"/>
      <c r="F23" s="439"/>
      <c r="G23" s="460"/>
      <c r="H23" s="448" t="s">
        <v>345</v>
      </c>
      <c r="I23" s="449"/>
      <c r="J23" s="449"/>
      <c r="K23" s="449"/>
      <c r="L23" s="449"/>
      <c r="M23" s="450"/>
    </row>
    <row r="24" spans="1:13" ht="51.75">
      <c r="A24" s="441"/>
      <c r="B24" s="458"/>
      <c r="C24" s="446"/>
      <c r="D24" s="439"/>
      <c r="E24" s="439"/>
      <c r="F24" s="439"/>
      <c r="G24" s="461"/>
      <c r="H24" s="209"/>
      <c r="I24" s="127" t="s">
        <v>346</v>
      </c>
      <c r="J24" s="127"/>
      <c r="K24" s="127">
        <v>2</v>
      </c>
      <c r="L24" s="127" t="s">
        <v>174</v>
      </c>
      <c r="M24" s="127">
        <v>2</v>
      </c>
    </row>
    <row r="25" spans="1:13" ht="51.75">
      <c r="A25" s="441"/>
      <c r="B25" s="287"/>
      <c r="C25" s="446"/>
      <c r="D25" s="439"/>
      <c r="E25" s="439"/>
      <c r="F25" s="439"/>
      <c r="G25" s="461"/>
      <c r="H25" s="209"/>
      <c r="I25" s="127" t="s">
        <v>347</v>
      </c>
      <c r="J25" s="127"/>
      <c r="K25" s="127">
        <v>3</v>
      </c>
      <c r="L25" s="127" t="s">
        <v>174</v>
      </c>
      <c r="M25" s="127">
        <v>3</v>
      </c>
    </row>
    <row r="26" spans="1:13" ht="51.75">
      <c r="A26" s="441"/>
      <c r="B26" s="287"/>
      <c r="C26" s="446"/>
      <c r="D26" s="439"/>
      <c r="E26" s="439"/>
      <c r="F26" s="439"/>
      <c r="G26" s="461"/>
      <c r="H26" s="209"/>
      <c r="I26" s="127" t="s">
        <v>348</v>
      </c>
      <c r="J26" s="127"/>
      <c r="K26" s="127">
        <v>2</v>
      </c>
      <c r="L26" s="127" t="s">
        <v>174</v>
      </c>
      <c r="M26" s="127">
        <v>2</v>
      </c>
    </row>
    <row r="27" spans="1:13" ht="51.75">
      <c r="A27" s="441"/>
      <c r="B27" s="287"/>
      <c r="C27" s="447"/>
      <c r="D27" s="439"/>
      <c r="E27" s="439"/>
      <c r="F27" s="439"/>
      <c r="G27" s="462"/>
      <c r="H27" s="209"/>
      <c r="I27" s="127" t="s">
        <v>349</v>
      </c>
      <c r="J27" s="127"/>
      <c r="K27" s="127">
        <v>3</v>
      </c>
      <c r="L27" s="127" t="s">
        <v>174</v>
      </c>
      <c r="M27" s="127">
        <v>3</v>
      </c>
    </row>
    <row r="28" spans="1:13" ht="8.65" customHeight="1">
      <c r="A28" s="441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149"/>
    </row>
    <row r="29" spans="1:13" s="144" customFormat="1">
      <c r="A29" s="441"/>
      <c r="B29" s="126">
        <v>1236</v>
      </c>
      <c r="C29" s="442" t="s">
        <v>75</v>
      </c>
      <c r="D29" s="442"/>
      <c r="E29" s="442"/>
      <c r="F29" s="442"/>
      <c r="G29" s="442"/>
      <c r="H29" s="442"/>
      <c r="I29" s="442"/>
      <c r="J29" s="96">
        <f>+J30+J34+J41+J47+J51+J59</f>
        <v>252853.20000000019</v>
      </c>
      <c r="K29" s="96">
        <f t="shared" ref="K29:M29" si="3">+K30+K34+K41+K47+K51+K59</f>
        <v>4928980.4999999991</v>
      </c>
      <c r="L29" s="96">
        <f t="shared" si="3"/>
        <v>4140980.1999999997</v>
      </c>
      <c r="M29" s="96">
        <f t="shared" si="3"/>
        <v>3377258.7</v>
      </c>
    </row>
    <row r="30" spans="1:13" s="145" customFormat="1" ht="34.9" customHeight="1">
      <c r="A30" s="441"/>
      <c r="B30" s="387"/>
      <c r="C30" s="387"/>
      <c r="D30" s="84" t="s">
        <v>338</v>
      </c>
      <c r="E30" s="442" t="s">
        <v>339</v>
      </c>
      <c r="F30" s="442"/>
      <c r="G30" s="442"/>
      <c r="H30" s="442"/>
      <c r="I30" s="442"/>
      <c r="J30" s="136">
        <f>+'Հավելված N 3'!G89</f>
        <v>30000</v>
      </c>
      <c r="K30" s="136">
        <f>+'Հավելված N 3'!H89</f>
        <v>70000</v>
      </c>
      <c r="L30" s="136">
        <f>+'Հավելված N 3'!I89</f>
        <v>80000</v>
      </c>
      <c r="M30" s="136">
        <f>+'Հավելված N 3'!J89</f>
        <v>80000</v>
      </c>
    </row>
    <row r="31" spans="1:13" s="144" customFormat="1" ht="33.950000000000003" customHeight="1">
      <c r="A31" s="441"/>
      <c r="B31" s="387"/>
      <c r="C31" s="387"/>
      <c r="D31" s="387"/>
      <c r="E31" s="387"/>
      <c r="F31" s="442" t="s">
        <v>355</v>
      </c>
      <c r="G31" s="442"/>
      <c r="H31" s="442"/>
      <c r="I31" s="442"/>
      <c r="J31" s="442"/>
      <c r="K31" s="442"/>
      <c r="L31" s="442"/>
      <c r="M31" s="442"/>
    </row>
    <row r="32" spans="1:13" s="144" customFormat="1" ht="17.850000000000001" customHeight="1">
      <c r="A32" s="441"/>
      <c r="B32" s="387"/>
      <c r="C32" s="387"/>
      <c r="D32" s="387"/>
      <c r="E32" s="387"/>
      <c r="F32" s="387"/>
      <c r="G32" s="442" t="s">
        <v>356</v>
      </c>
      <c r="H32" s="442"/>
      <c r="I32" s="442"/>
      <c r="J32" s="442"/>
      <c r="K32" s="442"/>
      <c r="L32" s="442"/>
      <c r="M32" s="442"/>
    </row>
    <row r="33" spans="1:13" s="144" customFormat="1">
      <c r="A33" s="441"/>
      <c r="B33" s="387"/>
      <c r="C33" s="387"/>
      <c r="D33" s="387"/>
      <c r="E33" s="387"/>
      <c r="F33" s="387"/>
      <c r="G33" s="84"/>
      <c r="H33" s="456" t="s">
        <v>354</v>
      </c>
      <c r="I33" s="457"/>
      <c r="J33" s="457"/>
      <c r="K33" s="457"/>
      <c r="L33" s="457"/>
      <c r="M33" s="444"/>
    </row>
    <row r="34" spans="1:13" s="145" customFormat="1" ht="17.850000000000001" customHeight="1">
      <c r="A34" s="441"/>
      <c r="B34" s="387"/>
      <c r="C34" s="387"/>
      <c r="D34" s="84" t="s">
        <v>149</v>
      </c>
      <c r="E34" s="442" t="s">
        <v>84</v>
      </c>
      <c r="F34" s="442"/>
      <c r="G34" s="442"/>
      <c r="H34" s="442"/>
      <c r="I34" s="442"/>
      <c r="J34" s="136">
        <f>+'Հավելված N 3'!G47</f>
        <v>329868.2</v>
      </c>
      <c r="K34" s="136">
        <f>+'Հավելված N 3'!H47</f>
        <v>1668614.3</v>
      </c>
      <c r="L34" s="136">
        <f>+'Հավելված N 3'!I47</f>
        <v>1994756.8000000003</v>
      </c>
      <c r="M34" s="136">
        <f>+'Հավելված N 3'!J47</f>
        <v>2355178</v>
      </c>
    </row>
    <row r="35" spans="1:13" s="144" customFormat="1" ht="33.950000000000003" customHeight="1">
      <c r="A35" s="441"/>
      <c r="B35" s="387"/>
      <c r="C35" s="387"/>
      <c r="D35" s="359"/>
      <c r="E35" s="359"/>
      <c r="F35" s="442" t="s">
        <v>178</v>
      </c>
      <c r="G35" s="442"/>
      <c r="H35" s="442"/>
      <c r="I35" s="442"/>
      <c r="J35" s="442"/>
      <c r="K35" s="442"/>
      <c r="L35" s="442"/>
      <c r="M35" s="442"/>
    </row>
    <row r="36" spans="1:13" s="144" customFormat="1" ht="17.850000000000001" customHeight="1">
      <c r="A36" s="441"/>
      <c r="B36" s="387"/>
      <c r="C36" s="387"/>
      <c r="D36" s="360"/>
      <c r="E36" s="360"/>
      <c r="F36" s="359"/>
      <c r="G36" s="442" t="s">
        <v>76</v>
      </c>
      <c r="H36" s="442"/>
      <c r="I36" s="442"/>
      <c r="J36" s="442"/>
      <c r="K36" s="442"/>
      <c r="L36" s="442"/>
      <c r="M36" s="442"/>
    </row>
    <row r="37" spans="1:13" s="144" customFormat="1" ht="33.950000000000003" customHeight="1">
      <c r="A37" s="441"/>
      <c r="B37" s="387"/>
      <c r="C37" s="387"/>
      <c r="D37" s="360"/>
      <c r="E37" s="360"/>
      <c r="F37" s="360"/>
      <c r="G37" s="359"/>
      <c r="H37" s="442" t="s">
        <v>179</v>
      </c>
      <c r="I37" s="442"/>
      <c r="J37" s="442"/>
      <c r="K37" s="442"/>
      <c r="L37" s="442"/>
      <c r="M37" s="442"/>
    </row>
    <row r="38" spans="1:13" s="144" customFormat="1" ht="34.5">
      <c r="A38" s="441"/>
      <c r="B38" s="387"/>
      <c r="C38" s="387"/>
      <c r="D38" s="360"/>
      <c r="E38" s="360"/>
      <c r="F38" s="360"/>
      <c r="G38" s="360"/>
      <c r="H38" s="434"/>
      <c r="I38" s="128" t="s">
        <v>180</v>
      </c>
      <c r="J38" s="128"/>
      <c r="K38" s="146">
        <v>7</v>
      </c>
      <c r="L38" s="146"/>
      <c r="M38" s="146">
        <v>7</v>
      </c>
    </row>
    <row r="39" spans="1:13" s="144" customFormat="1" ht="69">
      <c r="A39" s="441"/>
      <c r="B39" s="387"/>
      <c r="C39" s="387"/>
      <c r="D39" s="360"/>
      <c r="E39" s="360"/>
      <c r="F39" s="360"/>
      <c r="G39" s="360"/>
      <c r="H39" s="451"/>
      <c r="I39" s="128" t="s">
        <v>181</v>
      </c>
      <c r="J39" s="128"/>
      <c r="K39" s="128">
        <v>1</v>
      </c>
      <c r="L39" s="128"/>
      <c r="M39" s="128">
        <v>9</v>
      </c>
    </row>
    <row r="40" spans="1:13" s="144" customFormat="1" ht="34.5">
      <c r="A40" s="441"/>
      <c r="B40" s="387"/>
      <c r="C40" s="387"/>
      <c r="D40" s="361"/>
      <c r="E40" s="361"/>
      <c r="F40" s="361"/>
      <c r="G40" s="361"/>
      <c r="H40" s="435"/>
      <c r="I40" s="128" t="s">
        <v>357</v>
      </c>
      <c r="J40" s="128"/>
      <c r="K40" s="128">
        <v>1</v>
      </c>
      <c r="L40" s="128"/>
      <c r="M40" s="128">
        <v>1</v>
      </c>
    </row>
    <row r="41" spans="1:13" s="145" customFormat="1" ht="17.850000000000001" customHeight="1">
      <c r="A41" s="441"/>
      <c r="B41" s="387"/>
      <c r="C41" s="387"/>
      <c r="D41" s="84" t="s">
        <v>341</v>
      </c>
      <c r="E41" s="442" t="s">
        <v>358</v>
      </c>
      <c r="F41" s="442"/>
      <c r="G41" s="442"/>
      <c r="H41" s="442"/>
      <c r="I41" s="442"/>
      <c r="J41" s="136">
        <f>+'Հավելված N 3'!G65</f>
        <v>122351.8</v>
      </c>
      <c r="K41" s="136">
        <f>+'Հավելված N 3'!H65</f>
        <v>122351.8</v>
      </c>
      <c r="L41" s="136">
        <f>+'Հավելված N 3'!I65</f>
        <v>122351.8</v>
      </c>
      <c r="M41" s="136">
        <f>+'Հավելված N 3'!J65</f>
        <v>122351.8</v>
      </c>
    </row>
    <row r="42" spans="1:13" s="144" customFormat="1" ht="33.950000000000003" customHeight="1">
      <c r="A42" s="441"/>
      <c r="B42" s="387"/>
      <c r="C42" s="387"/>
      <c r="D42" s="359"/>
      <c r="E42" s="359"/>
      <c r="F42" s="442" t="s">
        <v>359</v>
      </c>
      <c r="G42" s="442"/>
      <c r="H42" s="442"/>
      <c r="I42" s="442"/>
      <c r="J42" s="442"/>
      <c r="K42" s="442"/>
      <c r="L42" s="442"/>
      <c r="M42" s="442"/>
    </row>
    <row r="43" spans="1:13" s="144" customFormat="1" ht="17.850000000000001" customHeight="1">
      <c r="A43" s="441"/>
      <c r="B43" s="387"/>
      <c r="C43" s="387"/>
      <c r="D43" s="360"/>
      <c r="E43" s="360"/>
      <c r="F43" s="359"/>
      <c r="G43" s="442" t="s">
        <v>76</v>
      </c>
      <c r="H43" s="442"/>
      <c r="I43" s="442"/>
      <c r="J43" s="442"/>
      <c r="K43" s="442"/>
      <c r="L43" s="442"/>
      <c r="M43" s="442"/>
    </row>
    <row r="44" spans="1:13" s="144" customFormat="1" ht="33.950000000000003" customHeight="1">
      <c r="A44" s="441"/>
      <c r="B44" s="387"/>
      <c r="C44" s="387"/>
      <c r="D44" s="360"/>
      <c r="E44" s="360"/>
      <c r="F44" s="360"/>
      <c r="G44" s="359"/>
      <c r="H44" s="442" t="s">
        <v>179</v>
      </c>
      <c r="I44" s="442"/>
      <c r="J44" s="442"/>
      <c r="K44" s="442"/>
      <c r="L44" s="442"/>
      <c r="M44" s="442"/>
    </row>
    <row r="45" spans="1:13" s="144" customFormat="1" ht="34.5">
      <c r="A45" s="441"/>
      <c r="B45" s="387"/>
      <c r="C45" s="387"/>
      <c r="D45" s="360"/>
      <c r="E45" s="360"/>
      <c r="F45" s="360"/>
      <c r="G45" s="360"/>
      <c r="H45" s="434"/>
      <c r="I45" s="128" t="s">
        <v>360</v>
      </c>
      <c r="J45" s="128"/>
      <c r="K45" s="146">
        <v>1</v>
      </c>
      <c r="L45" s="146"/>
      <c r="M45" s="146">
        <v>1</v>
      </c>
    </row>
    <row r="46" spans="1:13" s="144" customFormat="1" ht="69">
      <c r="A46" s="441"/>
      <c r="B46" s="387"/>
      <c r="C46" s="387"/>
      <c r="D46" s="360"/>
      <c r="E46" s="360"/>
      <c r="F46" s="360"/>
      <c r="G46" s="360"/>
      <c r="H46" s="451"/>
      <c r="I46" s="128" t="s">
        <v>361</v>
      </c>
      <c r="J46" s="128"/>
      <c r="K46" s="128">
        <v>1</v>
      </c>
      <c r="L46" s="128"/>
      <c r="M46" s="128">
        <v>1</v>
      </c>
    </row>
    <row r="47" spans="1:13" s="145" customFormat="1" ht="17.850000000000001" customHeight="1">
      <c r="A47" s="441"/>
      <c r="B47" s="387"/>
      <c r="C47" s="387"/>
      <c r="D47" s="84" t="s">
        <v>151</v>
      </c>
      <c r="E47" s="442" t="s">
        <v>93</v>
      </c>
      <c r="F47" s="442"/>
      <c r="G47" s="442"/>
      <c r="H47" s="442"/>
      <c r="I47" s="442"/>
      <c r="J47" s="136">
        <f>+'Հավելված N 3'!G98</f>
        <v>1741068.6</v>
      </c>
      <c r="K47" s="136">
        <f>+'Հավելված N 3'!H98</f>
        <v>1938885.6999999997</v>
      </c>
      <c r="L47" s="136">
        <f>+'Հավելված N 3'!I98</f>
        <v>969442.69999999972</v>
      </c>
      <c r="M47" s="136">
        <f>+'Հավելված N 3'!J98</f>
        <v>0</v>
      </c>
    </row>
    <row r="48" spans="1:13" s="144" customFormat="1" ht="33.950000000000003" customHeight="1">
      <c r="A48" s="441"/>
      <c r="B48" s="387"/>
      <c r="C48" s="387"/>
      <c r="D48" s="359"/>
      <c r="E48" s="359"/>
      <c r="F48" s="442" t="s">
        <v>102</v>
      </c>
      <c r="G48" s="442"/>
      <c r="H48" s="442"/>
      <c r="I48" s="442"/>
      <c r="J48" s="442"/>
      <c r="K48" s="442"/>
      <c r="L48" s="442"/>
      <c r="M48" s="442"/>
    </row>
    <row r="49" spans="1:13" s="144" customFormat="1" ht="17.850000000000001" customHeight="1">
      <c r="A49" s="441"/>
      <c r="B49" s="387"/>
      <c r="C49" s="387"/>
      <c r="D49" s="360"/>
      <c r="E49" s="360"/>
      <c r="F49" s="359"/>
      <c r="G49" s="442" t="s">
        <v>76</v>
      </c>
      <c r="H49" s="442"/>
      <c r="I49" s="442"/>
      <c r="J49" s="442"/>
      <c r="K49" s="442"/>
      <c r="L49" s="442"/>
      <c r="M49" s="442"/>
    </row>
    <row r="50" spans="1:13" s="144" customFormat="1">
      <c r="A50" s="441"/>
      <c r="B50" s="387"/>
      <c r="C50" s="387"/>
      <c r="D50" s="360"/>
      <c r="E50" s="360"/>
      <c r="F50" s="360"/>
      <c r="G50" s="212"/>
      <c r="H50" s="442" t="s">
        <v>182</v>
      </c>
      <c r="I50" s="442"/>
      <c r="J50" s="442"/>
      <c r="K50" s="442"/>
      <c r="L50" s="442"/>
      <c r="M50" s="442"/>
    </row>
    <row r="51" spans="1:13" s="145" customFormat="1" ht="17.850000000000001" customHeight="1">
      <c r="A51" s="441"/>
      <c r="B51" s="387"/>
      <c r="C51" s="387"/>
      <c r="D51" s="84" t="s">
        <v>153</v>
      </c>
      <c r="E51" s="442" t="s">
        <v>119</v>
      </c>
      <c r="F51" s="442"/>
      <c r="G51" s="442"/>
      <c r="H51" s="442"/>
      <c r="I51" s="442"/>
      <c r="J51" s="136">
        <f>+'Հավելված N 3'!G107</f>
        <v>381989.5</v>
      </c>
      <c r="K51" s="136">
        <f>+'Հավելված N 3'!H107</f>
        <v>979780.89999999991</v>
      </c>
      <c r="L51" s="136">
        <f>+'Հավելված N 3'!I107</f>
        <v>1166979.8</v>
      </c>
      <c r="M51" s="136">
        <f>+'Հավելված N 3'!J107</f>
        <v>1354178.7</v>
      </c>
    </row>
    <row r="52" spans="1:13" s="144" customFormat="1" ht="33.950000000000003" customHeight="1">
      <c r="A52" s="441"/>
      <c r="B52" s="387"/>
      <c r="C52" s="387"/>
      <c r="D52" s="359"/>
      <c r="E52" s="359"/>
      <c r="F52" s="442" t="s">
        <v>183</v>
      </c>
      <c r="G52" s="442"/>
      <c r="H52" s="442"/>
      <c r="I52" s="442"/>
      <c r="J52" s="442"/>
      <c r="K52" s="442"/>
      <c r="L52" s="442"/>
      <c r="M52" s="442"/>
    </row>
    <row r="53" spans="1:13" s="144" customFormat="1" ht="17.850000000000001" customHeight="1">
      <c r="A53" s="441"/>
      <c r="B53" s="387"/>
      <c r="C53" s="387"/>
      <c r="D53" s="360"/>
      <c r="E53" s="360"/>
      <c r="F53" s="359"/>
      <c r="G53" s="442" t="s">
        <v>76</v>
      </c>
      <c r="H53" s="442"/>
      <c r="I53" s="442"/>
      <c r="J53" s="442"/>
      <c r="K53" s="442"/>
      <c r="L53" s="442"/>
      <c r="M53" s="442"/>
    </row>
    <row r="54" spans="1:13" s="144" customFormat="1">
      <c r="A54" s="441"/>
      <c r="B54" s="387"/>
      <c r="C54" s="387"/>
      <c r="D54" s="360"/>
      <c r="E54" s="360"/>
      <c r="F54" s="360"/>
      <c r="G54" s="359"/>
      <c r="H54" s="442" t="s">
        <v>182</v>
      </c>
      <c r="I54" s="442"/>
      <c r="J54" s="442"/>
      <c r="K54" s="442"/>
      <c r="L54" s="442"/>
      <c r="M54" s="442"/>
    </row>
    <row r="55" spans="1:13" s="144" customFormat="1" ht="86.25">
      <c r="A55" s="441"/>
      <c r="B55" s="387"/>
      <c r="C55" s="387"/>
      <c r="D55" s="360"/>
      <c r="E55" s="360"/>
      <c r="F55" s="360"/>
      <c r="G55" s="360"/>
      <c r="H55" s="434"/>
      <c r="I55" s="128" t="s">
        <v>362</v>
      </c>
      <c r="J55" s="128"/>
      <c r="K55" s="146">
        <v>7</v>
      </c>
      <c r="L55" s="146"/>
      <c r="M55" s="146">
        <v>7</v>
      </c>
    </row>
    <row r="56" spans="1:13" s="144" customFormat="1" ht="138">
      <c r="A56" s="441"/>
      <c r="B56" s="387"/>
      <c r="C56" s="387"/>
      <c r="D56" s="360"/>
      <c r="E56" s="360"/>
      <c r="F56" s="360"/>
      <c r="G56" s="360"/>
      <c r="H56" s="451"/>
      <c r="I56" s="128" t="s">
        <v>363</v>
      </c>
      <c r="J56" s="128"/>
      <c r="K56" s="146">
        <v>4</v>
      </c>
      <c r="L56" s="146"/>
      <c r="M56" s="146">
        <v>7</v>
      </c>
    </row>
    <row r="57" spans="1:13" s="144" customFormat="1" ht="69">
      <c r="A57" s="441"/>
      <c r="B57" s="387"/>
      <c r="C57" s="387"/>
      <c r="D57" s="360"/>
      <c r="E57" s="360"/>
      <c r="F57" s="360"/>
      <c r="G57" s="360"/>
      <c r="H57" s="451"/>
      <c r="I57" s="128" t="s">
        <v>364</v>
      </c>
      <c r="J57" s="128"/>
      <c r="K57" s="288">
        <v>-4292</v>
      </c>
      <c r="L57" s="146"/>
      <c r="M57" s="288">
        <v>-6712</v>
      </c>
    </row>
    <row r="58" spans="1:13" s="144" customFormat="1" ht="86.25">
      <c r="A58" s="441"/>
      <c r="B58" s="387"/>
      <c r="C58" s="387"/>
      <c r="D58" s="361"/>
      <c r="E58" s="361"/>
      <c r="F58" s="361"/>
      <c r="G58" s="361"/>
      <c r="H58" s="435"/>
      <c r="I58" s="128" t="s">
        <v>365</v>
      </c>
      <c r="J58" s="128"/>
      <c r="K58" s="146">
        <f>4292+1353</f>
        <v>5645</v>
      </c>
      <c r="L58" s="146"/>
      <c r="M58" s="146">
        <f>6712+5073</f>
        <v>11785</v>
      </c>
    </row>
    <row r="59" spans="1:13" s="145" customFormat="1" ht="17.850000000000001" customHeight="1">
      <c r="A59" s="441"/>
      <c r="B59" s="387"/>
      <c r="C59" s="387"/>
      <c r="D59" s="84" t="s">
        <v>155</v>
      </c>
      <c r="E59" s="442" t="s">
        <v>96</v>
      </c>
      <c r="F59" s="442"/>
      <c r="G59" s="442"/>
      <c r="H59" s="442"/>
      <c r="I59" s="442"/>
      <c r="J59" s="136">
        <f>+'Հավելված N 3'!G123</f>
        <v>-2352424.9</v>
      </c>
      <c r="K59" s="136">
        <f>+'Հավելված N 3'!H123</f>
        <v>149347.79999999993</v>
      </c>
      <c r="L59" s="136">
        <f>+'Հավելված N 3'!I123</f>
        <v>-192550.89999999991</v>
      </c>
      <c r="M59" s="136">
        <f>+'Հավելված N 3'!J123</f>
        <v>-534449.80000000005</v>
      </c>
    </row>
    <row r="60" spans="1:13" s="144" customFormat="1" ht="33.950000000000003" customHeight="1">
      <c r="A60" s="441"/>
      <c r="B60" s="387"/>
      <c r="C60" s="387"/>
      <c r="D60" s="387"/>
      <c r="E60" s="387"/>
      <c r="F60" s="444" t="s">
        <v>102</v>
      </c>
      <c r="G60" s="442"/>
      <c r="H60" s="442"/>
      <c r="I60" s="442"/>
      <c r="J60" s="442"/>
      <c r="K60" s="442"/>
      <c r="L60" s="442"/>
      <c r="M60" s="442"/>
    </row>
    <row r="61" spans="1:13" s="144" customFormat="1" ht="17.850000000000001" customHeight="1">
      <c r="A61" s="441"/>
      <c r="B61" s="387"/>
      <c r="C61" s="387"/>
      <c r="D61" s="387"/>
      <c r="E61" s="387"/>
      <c r="F61" s="387"/>
      <c r="G61" s="444" t="s">
        <v>76</v>
      </c>
      <c r="H61" s="442"/>
      <c r="I61" s="442"/>
      <c r="J61" s="442"/>
      <c r="K61" s="442"/>
      <c r="L61" s="442"/>
      <c r="M61" s="442"/>
    </row>
    <row r="62" spans="1:13" s="144" customFormat="1">
      <c r="A62" s="441"/>
      <c r="B62" s="387"/>
      <c r="C62" s="387"/>
      <c r="D62" s="387"/>
      <c r="E62" s="387"/>
      <c r="F62" s="387"/>
      <c r="G62" s="387"/>
      <c r="H62" s="444" t="s">
        <v>184</v>
      </c>
      <c r="I62" s="442"/>
      <c r="J62" s="442"/>
      <c r="K62" s="442"/>
      <c r="L62" s="442"/>
      <c r="M62" s="442"/>
    </row>
    <row r="63" spans="1:13" s="144" customFormat="1" ht="103.5">
      <c r="A63" s="441"/>
      <c r="B63" s="387"/>
      <c r="C63" s="387"/>
      <c r="D63" s="387"/>
      <c r="E63" s="387"/>
      <c r="F63" s="387"/>
      <c r="G63" s="387"/>
      <c r="H63" s="443"/>
      <c r="I63" s="153" t="s">
        <v>366</v>
      </c>
      <c r="J63" s="151"/>
      <c r="K63" s="152">
        <v>1</v>
      </c>
      <c r="L63" s="152"/>
      <c r="M63" s="152">
        <v>1</v>
      </c>
    </row>
    <row r="64" spans="1:13" s="144" customFormat="1" ht="103.5">
      <c r="A64" s="441"/>
      <c r="B64" s="387"/>
      <c r="C64" s="387"/>
      <c r="D64" s="387"/>
      <c r="E64" s="387"/>
      <c r="F64" s="387"/>
      <c r="G64" s="387"/>
      <c r="H64" s="443"/>
      <c r="I64" s="153" t="s">
        <v>185</v>
      </c>
      <c r="J64" s="151"/>
      <c r="K64" s="152">
        <v>-2</v>
      </c>
      <c r="L64" s="152"/>
      <c r="M64" s="152">
        <v>-2</v>
      </c>
    </row>
    <row r="66" spans="1:13" s="147" customFormat="1" ht="30" customHeight="1">
      <c r="A66" s="452" t="s">
        <v>368</v>
      </c>
      <c r="B66" s="452"/>
      <c r="C66" s="452"/>
      <c r="D66" s="452"/>
      <c r="E66" s="452"/>
      <c r="F66" s="452"/>
      <c r="G66" s="452"/>
      <c r="H66" s="452"/>
      <c r="I66" s="452"/>
      <c r="J66" s="155">
        <f>+J67</f>
        <v>10000</v>
      </c>
      <c r="K66" s="155">
        <f t="shared" ref="K66:M66" si="4">+K67</f>
        <v>10000</v>
      </c>
      <c r="L66" s="155">
        <f t="shared" si="4"/>
        <v>10000</v>
      </c>
      <c r="M66" s="155">
        <f t="shared" si="4"/>
        <v>10000</v>
      </c>
    </row>
    <row r="67" spans="1:13" s="144" customFormat="1">
      <c r="A67" s="468"/>
      <c r="B67" s="84">
        <v>1189</v>
      </c>
      <c r="C67" s="442" t="s">
        <v>350</v>
      </c>
      <c r="D67" s="442"/>
      <c r="E67" s="442"/>
      <c r="F67" s="442"/>
      <c r="G67" s="442"/>
      <c r="H67" s="442"/>
      <c r="I67" s="442"/>
      <c r="J67" s="96">
        <f>+J68</f>
        <v>10000</v>
      </c>
      <c r="K67" s="96">
        <f t="shared" ref="K67:M67" si="5">+K68</f>
        <v>10000</v>
      </c>
      <c r="L67" s="96">
        <f t="shared" si="5"/>
        <v>10000</v>
      </c>
      <c r="M67" s="96">
        <f t="shared" si="5"/>
        <v>10000</v>
      </c>
    </row>
    <row r="68" spans="1:13" s="145" customFormat="1" ht="33" customHeight="1">
      <c r="A68" s="469"/>
      <c r="B68" s="387"/>
      <c r="C68" s="387"/>
      <c r="D68" s="84" t="s">
        <v>332</v>
      </c>
      <c r="E68" s="442" t="s">
        <v>351</v>
      </c>
      <c r="F68" s="442"/>
      <c r="G68" s="442"/>
      <c r="H68" s="442"/>
      <c r="I68" s="442"/>
      <c r="J68" s="136">
        <f>+'Հավելված N 3'!G151</f>
        <v>10000</v>
      </c>
      <c r="K68" s="136">
        <f>+'Հավելված N 3'!H151</f>
        <v>10000</v>
      </c>
      <c r="L68" s="136">
        <f>+'Հավելված N 3'!I151</f>
        <v>10000</v>
      </c>
      <c r="M68" s="136">
        <f>+'Հավելված N 3'!J151</f>
        <v>10000</v>
      </c>
    </row>
    <row r="69" spans="1:13" s="144" customFormat="1">
      <c r="A69" s="469"/>
      <c r="B69" s="387"/>
      <c r="C69" s="387"/>
      <c r="D69" s="387"/>
      <c r="E69" s="387"/>
      <c r="F69" s="442" t="s">
        <v>352</v>
      </c>
      <c r="G69" s="442"/>
      <c r="H69" s="442"/>
      <c r="I69" s="442"/>
      <c r="J69" s="442"/>
      <c r="K69" s="442"/>
      <c r="L69" s="442"/>
      <c r="M69" s="442"/>
    </row>
    <row r="70" spans="1:13" s="144" customFormat="1" ht="17.850000000000001" customHeight="1">
      <c r="A70" s="469"/>
      <c r="B70" s="387"/>
      <c r="C70" s="387"/>
      <c r="D70" s="387"/>
      <c r="E70" s="387"/>
      <c r="F70" s="387"/>
      <c r="G70" s="442" t="s">
        <v>353</v>
      </c>
      <c r="H70" s="442"/>
      <c r="I70" s="442"/>
      <c r="J70" s="442"/>
      <c r="K70" s="442"/>
      <c r="L70" s="442"/>
      <c r="M70" s="442"/>
    </row>
    <row r="71" spans="1:13" s="144" customFormat="1">
      <c r="A71" s="470"/>
      <c r="B71" s="387"/>
      <c r="C71" s="387"/>
      <c r="D71" s="387"/>
      <c r="E71" s="387"/>
      <c r="F71" s="387"/>
      <c r="G71" s="131"/>
      <c r="H71" s="442" t="s">
        <v>354</v>
      </c>
      <c r="I71" s="442"/>
      <c r="J71" s="442"/>
      <c r="K71" s="442"/>
      <c r="L71" s="442"/>
      <c r="M71" s="442"/>
    </row>
    <row r="73" spans="1:13" s="147" customFormat="1" ht="30" customHeight="1">
      <c r="A73" s="452" t="s">
        <v>369</v>
      </c>
      <c r="B73" s="452"/>
      <c r="C73" s="452"/>
      <c r="D73" s="452"/>
      <c r="E73" s="452"/>
      <c r="F73" s="452"/>
      <c r="G73" s="452"/>
      <c r="H73" s="452"/>
      <c r="I73" s="452"/>
      <c r="J73" s="155">
        <f>+J74+J84</f>
        <v>0</v>
      </c>
      <c r="K73" s="155">
        <f t="shared" ref="K73:M73" si="6">+K74+K84</f>
        <v>-1110000</v>
      </c>
      <c r="L73" s="155">
        <f t="shared" si="6"/>
        <v>-2590000</v>
      </c>
      <c r="M73" s="155">
        <f t="shared" si="6"/>
        <v>-3838167.6</v>
      </c>
    </row>
    <row r="74" spans="1:13">
      <c r="A74" s="472"/>
      <c r="B74" s="334">
        <v>1139</v>
      </c>
      <c r="C74" s="453" t="s">
        <v>405</v>
      </c>
      <c r="D74" s="453"/>
      <c r="E74" s="453"/>
      <c r="F74" s="453"/>
      <c r="G74" s="453"/>
      <c r="H74" s="453"/>
      <c r="I74" s="453"/>
      <c r="J74" s="333">
        <f>+J75+J79</f>
        <v>0</v>
      </c>
      <c r="K74" s="333">
        <f>+K75+K79</f>
        <v>0</v>
      </c>
      <c r="L74" s="333">
        <f>+L75+L79</f>
        <v>0</v>
      </c>
      <c r="M74" s="333">
        <f>+M75+M79</f>
        <v>0</v>
      </c>
    </row>
    <row r="75" spans="1:13" s="140" customFormat="1" ht="33" customHeight="1">
      <c r="A75" s="473"/>
      <c r="B75" s="471"/>
      <c r="C75" s="441"/>
      <c r="D75" s="142" t="s">
        <v>406</v>
      </c>
      <c r="E75" s="440" t="s">
        <v>394</v>
      </c>
      <c r="F75" s="440"/>
      <c r="G75" s="440"/>
      <c r="H75" s="440"/>
      <c r="I75" s="440"/>
      <c r="J75" s="141">
        <f>+'Հավելված N 3'!G172</f>
        <v>134230.1</v>
      </c>
      <c r="K75" s="141">
        <f>+'Հավելված N 3'!H172</f>
        <v>134230.1</v>
      </c>
      <c r="L75" s="141">
        <f>+'Հավելված N 3'!I172</f>
        <v>134230.1</v>
      </c>
      <c r="M75" s="141">
        <f>+'Հավելված N 3'!J172</f>
        <v>134230.1</v>
      </c>
    </row>
    <row r="76" spans="1:13" ht="33.4" customHeight="1">
      <c r="A76" s="473"/>
      <c r="B76" s="471"/>
      <c r="C76" s="441"/>
      <c r="D76" s="439"/>
      <c r="E76" s="439"/>
      <c r="F76" s="440" t="s">
        <v>407</v>
      </c>
      <c r="G76" s="440"/>
      <c r="H76" s="440"/>
      <c r="I76" s="440"/>
      <c r="J76" s="440"/>
      <c r="K76" s="440"/>
      <c r="L76" s="440"/>
      <c r="M76" s="440"/>
    </row>
    <row r="77" spans="1:13" ht="33.4" customHeight="1">
      <c r="A77" s="473"/>
      <c r="B77" s="471"/>
      <c r="C77" s="441"/>
      <c r="D77" s="439"/>
      <c r="E77" s="439"/>
      <c r="F77" s="439"/>
      <c r="G77" s="440" t="s">
        <v>356</v>
      </c>
      <c r="H77" s="440"/>
      <c r="I77" s="440"/>
      <c r="J77" s="440"/>
      <c r="K77" s="440"/>
      <c r="L77" s="440"/>
      <c r="M77" s="440"/>
    </row>
    <row r="78" spans="1:13" ht="33.4" customHeight="1">
      <c r="A78" s="473"/>
      <c r="B78" s="471"/>
      <c r="C78" s="441"/>
      <c r="D78" s="439"/>
      <c r="E78" s="439"/>
      <c r="F78" s="439"/>
      <c r="G78" s="142"/>
      <c r="H78" s="440" t="s">
        <v>408</v>
      </c>
      <c r="I78" s="440"/>
      <c r="J78" s="440"/>
      <c r="K78" s="440"/>
      <c r="L78" s="440"/>
      <c r="M78" s="440"/>
    </row>
    <row r="79" spans="1:13" s="140" customFormat="1" ht="33" customHeight="1">
      <c r="A79" s="473"/>
      <c r="B79" s="471"/>
      <c r="C79" s="441"/>
      <c r="D79" s="142" t="s">
        <v>406</v>
      </c>
      <c r="E79" s="440" t="s">
        <v>394</v>
      </c>
      <c r="F79" s="440"/>
      <c r="G79" s="440"/>
      <c r="H79" s="440"/>
      <c r="I79" s="440"/>
      <c r="J79" s="141">
        <f>+'Հավելված N 3'!G180</f>
        <v>-134230.1</v>
      </c>
      <c r="K79" s="141">
        <f>+'Հավելված N 3'!H180</f>
        <v>-134230.1</v>
      </c>
      <c r="L79" s="141">
        <f>+'Հավելված N 3'!I180</f>
        <v>-134230.1</v>
      </c>
      <c r="M79" s="141">
        <f>+'Հավելված N 3'!J180</f>
        <v>-134230.1</v>
      </c>
    </row>
    <row r="80" spans="1:13" ht="33.4" customHeight="1">
      <c r="A80" s="473"/>
      <c r="B80" s="471"/>
      <c r="C80" s="441"/>
      <c r="D80" s="439"/>
      <c r="E80" s="439"/>
      <c r="F80" s="440" t="s">
        <v>407</v>
      </c>
      <c r="G80" s="440"/>
      <c r="H80" s="440"/>
      <c r="I80" s="440"/>
      <c r="J80" s="440"/>
      <c r="K80" s="440"/>
      <c r="L80" s="440"/>
      <c r="M80" s="440"/>
    </row>
    <row r="81" spans="1:13" ht="33.4" customHeight="1">
      <c r="A81" s="473"/>
      <c r="B81" s="471"/>
      <c r="C81" s="441"/>
      <c r="D81" s="439"/>
      <c r="E81" s="439"/>
      <c r="F81" s="439"/>
      <c r="G81" s="440" t="s">
        <v>356</v>
      </c>
      <c r="H81" s="440"/>
      <c r="I81" s="440"/>
      <c r="J81" s="440"/>
      <c r="K81" s="440"/>
      <c r="L81" s="440"/>
      <c r="M81" s="440"/>
    </row>
    <row r="82" spans="1:13" ht="33.4" customHeight="1">
      <c r="A82" s="473"/>
      <c r="B82" s="471"/>
      <c r="C82" s="441"/>
      <c r="D82" s="439"/>
      <c r="E82" s="439"/>
      <c r="F82" s="439"/>
      <c r="G82" s="142"/>
      <c r="H82" s="440" t="s">
        <v>408</v>
      </c>
      <c r="I82" s="440"/>
      <c r="J82" s="440"/>
      <c r="K82" s="440"/>
      <c r="L82" s="440"/>
      <c r="M82" s="440"/>
    </row>
    <row r="83" spans="1:13" ht="8.65" customHeight="1">
      <c r="A83" s="473"/>
      <c r="B83" s="148"/>
      <c r="C83" s="148"/>
      <c r="D83" s="148"/>
      <c r="E83" s="148"/>
      <c r="F83" s="148"/>
      <c r="G83" s="148"/>
      <c r="H83" s="148"/>
      <c r="I83" s="148"/>
      <c r="J83" s="148"/>
      <c r="K83" s="148"/>
      <c r="L83" s="148"/>
      <c r="M83" s="149"/>
    </row>
    <row r="84" spans="1:13" s="144" customFormat="1">
      <c r="A84" s="473"/>
      <c r="B84" s="283">
        <v>1236</v>
      </c>
      <c r="C84" s="442" t="s">
        <v>75</v>
      </c>
      <c r="D84" s="442"/>
      <c r="E84" s="442"/>
      <c r="F84" s="442"/>
      <c r="G84" s="442"/>
      <c r="H84" s="442"/>
      <c r="I84" s="442"/>
      <c r="J84" s="96">
        <f>+J85+J89+J93</f>
        <v>0</v>
      </c>
      <c r="K84" s="96">
        <f t="shared" ref="K84:M84" si="7">+K85+K89+K93</f>
        <v>-1110000</v>
      </c>
      <c r="L84" s="96">
        <f t="shared" si="7"/>
        <v>-2590000</v>
      </c>
      <c r="M84" s="96">
        <f t="shared" si="7"/>
        <v>-3838167.6</v>
      </c>
    </row>
    <row r="85" spans="1:13" s="145" customFormat="1" ht="17.850000000000001" customHeight="1">
      <c r="A85" s="473"/>
      <c r="B85" s="466"/>
      <c r="C85" s="441"/>
      <c r="D85" s="283" t="s">
        <v>149</v>
      </c>
      <c r="E85" s="442" t="s">
        <v>84</v>
      </c>
      <c r="F85" s="442"/>
      <c r="G85" s="442"/>
      <c r="H85" s="442"/>
      <c r="I85" s="442"/>
      <c r="J85" s="136">
        <f>+'Հավելված N 3'!G56</f>
        <v>0</v>
      </c>
      <c r="K85" s="136">
        <f>+'Հավելված N 3'!H56</f>
        <v>-840000</v>
      </c>
      <c r="L85" s="136">
        <f>+'Հավելված N 3'!I56</f>
        <v>-1960000</v>
      </c>
      <c r="M85" s="136">
        <f>+'Հավելված N 3'!J56</f>
        <v>-2800000</v>
      </c>
    </row>
    <row r="86" spans="1:13" s="144" customFormat="1" ht="33.950000000000003" customHeight="1">
      <c r="A86" s="473"/>
      <c r="B86" s="466"/>
      <c r="C86" s="441"/>
      <c r="D86" s="466"/>
      <c r="E86" s="441"/>
      <c r="F86" s="467" t="s">
        <v>178</v>
      </c>
      <c r="G86" s="442"/>
      <c r="H86" s="442"/>
      <c r="I86" s="442"/>
      <c r="J86" s="442"/>
      <c r="K86" s="442"/>
      <c r="L86" s="442"/>
      <c r="M86" s="442"/>
    </row>
    <row r="87" spans="1:13" s="144" customFormat="1" ht="17.850000000000001" customHeight="1">
      <c r="A87" s="473"/>
      <c r="B87" s="466"/>
      <c r="C87" s="441"/>
      <c r="D87" s="466"/>
      <c r="E87" s="441"/>
      <c r="F87" s="441"/>
      <c r="G87" s="467" t="s">
        <v>76</v>
      </c>
      <c r="H87" s="442"/>
      <c r="I87" s="442"/>
      <c r="J87" s="442"/>
      <c r="K87" s="442"/>
      <c r="L87" s="442"/>
      <c r="M87" s="442"/>
    </row>
    <row r="88" spans="1:13" s="144" customFormat="1" ht="33.950000000000003" customHeight="1">
      <c r="A88" s="473"/>
      <c r="B88" s="466"/>
      <c r="C88" s="441"/>
      <c r="D88" s="466"/>
      <c r="E88" s="441"/>
      <c r="F88" s="441"/>
      <c r="G88" s="210"/>
      <c r="H88" s="467" t="s">
        <v>179</v>
      </c>
      <c r="I88" s="442"/>
      <c r="J88" s="442"/>
      <c r="K88" s="442"/>
      <c r="L88" s="442"/>
      <c r="M88" s="442"/>
    </row>
    <row r="89" spans="1:13" s="145" customFormat="1" ht="17.850000000000001" customHeight="1">
      <c r="A89" s="473"/>
      <c r="B89" s="466"/>
      <c r="C89" s="441"/>
      <c r="D89" s="283" t="s">
        <v>153</v>
      </c>
      <c r="E89" s="442" t="s">
        <v>84</v>
      </c>
      <c r="F89" s="442"/>
      <c r="G89" s="442"/>
      <c r="H89" s="442"/>
      <c r="I89" s="442"/>
      <c r="J89" s="136">
        <f>+'Հավելված N 3'!G114</f>
        <v>0</v>
      </c>
      <c r="K89" s="136">
        <f>+'Հավելված N 3'!H114</f>
        <v>-270000</v>
      </c>
      <c r="L89" s="136">
        <f>+'Հավելված N 3'!I114</f>
        <v>-630000</v>
      </c>
      <c r="M89" s="136">
        <f>+'Հավելված N 3'!J114</f>
        <v>-900000</v>
      </c>
    </row>
    <row r="90" spans="1:13" s="144" customFormat="1" ht="33.950000000000003" customHeight="1">
      <c r="A90" s="473"/>
      <c r="B90" s="466"/>
      <c r="C90" s="441"/>
      <c r="D90" s="466"/>
      <c r="E90" s="441"/>
      <c r="F90" s="467" t="s">
        <v>178</v>
      </c>
      <c r="G90" s="442"/>
      <c r="H90" s="442"/>
      <c r="I90" s="442"/>
      <c r="J90" s="442"/>
      <c r="K90" s="442"/>
      <c r="L90" s="442"/>
      <c r="M90" s="442"/>
    </row>
    <row r="91" spans="1:13" s="144" customFormat="1" ht="17.850000000000001" customHeight="1">
      <c r="A91" s="473"/>
      <c r="B91" s="466"/>
      <c r="C91" s="441"/>
      <c r="D91" s="466"/>
      <c r="E91" s="441"/>
      <c r="F91" s="441"/>
      <c r="G91" s="467" t="s">
        <v>76</v>
      </c>
      <c r="H91" s="442"/>
      <c r="I91" s="442"/>
      <c r="J91" s="442"/>
      <c r="K91" s="442"/>
      <c r="L91" s="442"/>
      <c r="M91" s="442"/>
    </row>
    <row r="92" spans="1:13" s="144" customFormat="1" ht="33.950000000000003" customHeight="1">
      <c r="A92" s="473"/>
      <c r="B92" s="466"/>
      <c r="C92" s="441"/>
      <c r="D92" s="466"/>
      <c r="E92" s="441"/>
      <c r="F92" s="441"/>
      <c r="G92" s="210"/>
      <c r="H92" s="467" t="s">
        <v>179</v>
      </c>
      <c r="I92" s="442"/>
      <c r="J92" s="442"/>
      <c r="K92" s="442"/>
      <c r="L92" s="442"/>
      <c r="M92" s="442"/>
    </row>
    <row r="93" spans="1:13" s="145" customFormat="1" ht="17.850000000000001" customHeight="1">
      <c r="A93" s="473"/>
      <c r="B93" s="466"/>
      <c r="C93" s="441"/>
      <c r="D93" s="283" t="s">
        <v>341</v>
      </c>
      <c r="E93" s="442" t="s">
        <v>358</v>
      </c>
      <c r="F93" s="442"/>
      <c r="G93" s="442"/>
      <c r="H93" s="442"/>
      <c r="I93" s="442"/>
      <c r="J93" s="136">
        <f>+'Հավելված N 3'!G72</f>
        <v>0</v>
      </c>
      <c r="K93" s="136">
        <f>+'Հավելված N 3'!H72</f>
        <v>0</v>
      </c>
      <c r="L93" s="136">
        <f>+'Հավելված N 3'!I72</f>
        <v>0</v>
      </c>
      <c r="M93" s="136">
        <f>+'Հավելված N 3'!J72</f>
        <v>-138167.6</v>
      </c>
    </row>
    <row r="94" spans="1:13" s="144" customFormat="1" ht="33.950000000000003" customHeight="1">
      <c r="A94" s="473"/>
      <c r="B94" s="466"/>
      <c r="C94" s="441"/>
      <c r="D94" s="441"/>
      <c r="E94" s="441"/>
      <c r="F94" s="467" t="s">
        <v>359</v>
      </c>
      <c r="G94" s="442"/>
      <c r="H94" s="442"/>
      <c r="I94" s="442"/>
      <c r="J94" s="442"/>
      <c r="K94" s="442"/>
      <c r="L94" s="442"/>
      <c r="M94" s="442"/>
    </row>
    <row r="95" spans="1:13" s="144" customFormat="1" ht="17.850000000000001" customHeight="1">
      <c r="A95" s="473"/>
      <c r="B95" s="466"/>
      <c r="C95" s="441"/>
      <c r="D95" s="441"/>
      <c r="E95" s="441"/>
      <c r="F95" s="441"/>
      <c r="G95" s="467" t="s">
        <v>76</v>
      </c>
      <c r="H95" s="442"/>
      <c r="I95" s="442"/>
      <c r="J95" s="442"/>
      <c r="K95" s="442"/>
      <c r="L95" s="442"/>
      <c r="M95" s="442"/>
    </row>
    <row r="96" spans="1:13" s="144" customFormat="1" ht="33.950000000000003" customHeight="1">
      <c r="A96" s="474"/>
      <c r="B96" s="466"/>
      <c r="C96" s="441"/>
      <c r="D96" s="441"/>
      <c r="E96" s="441"/>
      <c r="F96" s="441"/>
      <c r="G96" s="210"/>
      <c r="H96" s="467" t="s">
        <v>179</v>
      </c>
      <c r="I96" s="442"/>
      <c r="J96" s="442"/>
      <c r="K96" s="442"/>
      <c r="L96" s="442"/>
      <c r="M96" s="442"/>
    </row>
  </sheetData>
  <mergeCells count="144">
    <mergeCell ref="A9:A10"/>
    <mergeCell ref="B9:C9"/>
    <mergeCell ref="D9:G9"/>
    <mergeCell ref="H9:H10"/>
    <mergeCell ref="I9:I10"/>
    <mergeCell ref="J9:M9"/>
    <mergeCell ref="G1:H1"/>
    <mergeCell ref="K1:M1"/>
    <mergeCell ref="K2:M2"/>
    <mergeCell ref="G3:H3"/>
    <mergeCell ref="K3:M3"/>
    <mergeCell ref="A6:M6"/>
    <mergeCell ref="A11:I11"/>
    <mergeCell ref="A12:I12"/>
    <mergeCell ref="A13:I13"/>
    <mergeCell ref="A14:A64"/>
    <mergeCell ref="C14:I14"/>
    <mergeCell ref="B15:B19"/>
    <mergeCell ref="C15:C27"/>
    <mergeCell ref="E15:I15"/>
    <mergeCell ref="D16:D19"/>
    <mergeCell ref="E16:E19"/>
    <mergeCell ref="F16:M16"/>
    <mergeCell ref="F17:F19"/>
    <mergeCell ref="G17:M17"/>
    <mergeCell ref="G18:G19"/>
    <mergeCell ref="H18:M18"/>
    <mergeCell ref="B20:B24"/>
    <mergeCell ref="E20:I20"/>
    <mergeCell ref="D21:D27"/>
    <mergeCell ref="E21:E27"/>
    <mergeCell ref="F21:M21"/>
    <mergeCell ref="C29:I29"/>
    <mergeCell ref="B30:B64"/>
    <mergeCell ref="C30:C64"/>
    <mergeCell ref="E30:I30"/>
    <mergeCell ref="D31:D33"/>
    <mergeCell ref="E31:E33"/>
    <mergeCell ref="F22:F27"/>
    <mergeCell ref="G22:M22"/>
    <mergeCell ref="G23:G27"/>
    <mergeCell ref="H23:M23"/>
    <mergeCell ref="F31:M31"/>
    <mergeCell ref="F32:F33"/>
    <mergeCell ref="G32:M32"/>
    <mergeCell ref="H33:M33"/>
    <mergeCell ref="E34:I34"/>
    <mergeCell ref="D35:D40"/>
    <mergeCell ref="E35:E40"/>
    <mergeCell ref="F35:M35"/>
    <mergeCell ref="F36:F40"/>
    <mergeCell ref="G36:M36"/>
    <mergeCell ref="G37:G40"/>
    <mergeCell ref="H37:M37"/>
    <mergeCell ref="H38:H40"/>
    <mergeCell ref="E41:I41"/>
    <mergeCell ref="D42:D46"/>
    <mergeCell ref="E42:E46"/>
    <mergeCell ref="F42:M42"/>
    <mergeCell ref="F43:F46"/>
    <mergeCell ref="G43:M43"/>
    <mergeCell ref="G44:G46"/>
    <mergeCell ref="H44:M44"/>
    <mergeCell ref="H45:H46"/>
    <mergeCell ref="E47:I47"/>
    <mergeCell ref="D48:D50"/>
    <mergeCell ref="E48:E50"/>
    <mergeCell ref="F48:M48"/>
    <mergeCell ref="F49:F50"/>
    <mergeCell ref="G49:M49"/>
    <mergeCell ref="H50:M50"/>
    <mergeCell ref="E51:I51"/>
    <mergeCell ref="D52:D58"/>
    <mergeCell ref="E52:E58"/>
    <mergeCell ref="F52:M52"/>
    <mergeCell ref="F53:F58"/>
    <mergeCell ref="G53:M53"/>
    <mergeCell ref="G54:G58"/>
    <mergeCell ref="H54:M54"/>
    <mergeCell ref="H55:H58"/>
    <mergeCell ref="F90:M90"/>
    <mergeCell ref="F91:F92"/>
    <mergeCell ref="G91:M91"/>
    <mergeCell ref="H92:M92"/>
    <mergeCell ref="E59:I59"/>
    <mergeCell ref="D60:D64"/>
    <mergeCell ref="E60:E64"/>
    <mergeCell ref="F60:M60"/>
    <mergeCell ref="F61:F64"/>
    <mergeCell ref="G61:M61"/>
    <mergeCell ref="G62:G64"/>
    <mergeCell ref="H62:M62"/>
    <mergeCell ref="H63:H64"/>
    <mergeCell ref="G70:M70"/>
    <mergeCell ref="H71:M71"/>
    <mergeCell ref="C74:I74"/>
    <mergeCell ref="A67:A71"/>
    <mergeCell ref="A73:I73"/>
    <mergeCell ref="C84:I84"/>
    <mergeCell ref="E85:I85"/>
    <mergeCell ref="B75:B82"/>
    <mergeCell ref="A66:I66"/>
    <mergeCell ref="C67:I67"/>
    <mergeCell ref="B68:B71"/>
    <mergeCell ref="C68:C71"/>
    <mergeCell ref="E68:I68"/>
    <mergeCell ref="D69:D71"/>
    <mergeCell ref="E69:E71"/>
    <mergeCell ref="F69:M69"/>
    <mergeCell ref="F70:F71"/>
    <mergeCell ref="D80:D82"/>
    <mergeCell ref="E80:E82"/>
    <mergeCell ref="F80:M80"/>
    <mergeCell ref="F81:F82"/>
    <mergeCell ref="G81:M81"/>
    <mergeCell ref="H82:M82"/>
    <mergeCell ref="A74:A96"/>
    <mergeCell ref="G95:M95"/>
    <mergeCell ref="H96:M96"/>
    <mergeCell ref="F95:F96"/>
    <mergeCell ref="E94:E96"/>
    <mergeCell ref="D94:D96"/>
    <mergeCell ref="C85:C96"/>
    <mergeCell ref="B85:B96"/>
    <mergeCell ref="C75:C82"/>
    <mergeCell ref="F86:M86"/>
    <mergeCell ref="G87:M87"/>
    <mergeCell ref="H88:M88"/>
    <mergeCell ref="F87:F88"/>
    <mergeCell ref="E86:E88"/>
    <mergeCell ref="D86:D88"/>
    <mergeCell ref="E93:I93"/>
    <mergeCell ref="F94:M94"/>
    <mergeCell ref="E89:I89"/>
    <mergeCell ref="E75:I75"/>
    <mergeCell ref="D76:D78"/>
    <mergeCell ref="E76:E78"/>
    <mergeCell ref="F76:M76"/>
    <mergeCell ref="F77:F78"/>
    <mergeCell ref="G77:M77"/>
    <mergeCell ref="H78:M78"/>
    <mergeCell ref="E79:I79"/>
    <mergeCell ref="D90:D92"/>
    <mergeCell ref="E90:E9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Y96"/>
  <sheetViews>
    <sheetView topLeftCell="A115" zoomScale="85" zoomScaleNormal="85" workbookViewId="0">
      <selection activeCell="G60" sqref="G60"/>
    </sheetView>
  </sheetViews>
  <sheetFormatPr defaultColWidth="9.140625" defaultRowHeight="17.25"/>
  <cols>
    <col min="1" max="4" width="18.140625" style="117" customWidth="1"/>
    <col min="5" max="6" width="14.42578125" style="183" customWidth="1"/>
    <col min="7" max="7" width="21.140625" style="184" customWidth="1"/>
    <col min="8" max="8" width="14.42578125" style="184" customWidth="1"/>
    <col min="9" max="9" width="30.140625" style="183" customWidth="1"/>
    <col min="10" max="10" width="37.140625" style="117" customWidth="1"/>
    <col min="11" max="11" width="20.140625" style="117" customWidth="1"/>
    <col min="12" max="12" width="14" style="117" bestFit="1" customWidth="1"/>
    <col min="13" max="16384" width="9.140625" style="117"/>
  </cols>
  <sheetData>
    <row r="1" spans="1:10" s="22" customFormat="1" ht="33.4" customHeight="1">
      <c r="A1" s="232"/>
      <c r="B1" s="232"/>
      <c r="C1" s="232"/>
      <c r="D1" s="232"/>
      <c r="E1" s="233"/>
      <c r="F1" s="233"/>
      <c r="G1" s="234"/>
      <c r="H1" s="483" t="s">
        <v>378</v>
      </c>
      <c r="I1" s="483"/>
    </row>
    <row r="2" spans="1:10" s="22" customFormat="1">
      <c r="A2" s="232"/>
      <c r="B2" s="232"/>
      <c r="C2" s="232"/>
      <c r="D2" s="232"/>
      <c r="E2" s="233"/>
      <c r="F2" s="233"/>
      <c r="G2" s="234"/>
      <c r="H2" s="484" t="s">
        <v>126</v>
      </c>
      <c r="I2" s="484"/>
    </row>
    <row r="3" spans="1:10" s="22" customFormat="1">
      <c r="A3" s="232"/>
      <c r="B3" s="232"/>
      <c r="C3" s="232"/>
      <c r="D3" s="232"/>
      <c r="E3" s="233"/>
      <c r="F3" s="233"/>
      <c r="G3" s="234"/>
      <c r="H3" s="484" t="s">
        <v>0</v>
      </c>
      <c r="I3" s="484"/>
    </row>
    <row r="4" spans="1:10" s="22" customFormat="1">
      <c r="A4" s="232"/>
      <c r="B4" s="232"/>
      <c r="C4" s="232"/>
      <c r="D4" s="232"/>
      <c r="E4" s="233"/>
      <c r="F4" s="233"/>
      <c r="G4" s="234"/>
      <c r="H4" s="234"/>
      <c r="I4" s="235"/>
    </row>
    <row r="5" spans="1:10" s="22" customFormat="1">
      <c r="A5" s="232"/>
      <c r="B5" s="232"/>
      <c r="C5" s="232"/>
      <c r="D5" s="232"/>
      <c r="E5" s="233"/>
      <c r="F5" s="233"/>
      <c r="G5" s="234"/>
      <c r="H5" s="234"/>
      <c r="I5" s="235"/>
    </row>
    <row r="6" spans="1:10" s="22" customFormat="1" ht="32.25" customHeight="1">
      <c r="A6" s="485" t="s">
        <v>127</v>
      </c>
      <c r="B6" s="485"/>
      <c r="C6" s="485"/>
      <c r="D6" s="485"/>
      <c r="E6" s="485"/>
      <c r="F6" s="485"/>
      <c r="G6" s="485"/>
      <c r="H6" s="485"/>
      <c r="I6" s="485"/>
    </row>
    <row r="7" spans="1:10" s="22" customFormat="1" ht="21" customHeight="1">
      <c r="A7" s="485"/>
      <c r="B7" s="485"/>
      <c r="C7" s="485"/>
      <c r="D7" s="485"/>
      <c r="E7" s="485"/>
      <c r="F7" s="485"/>
      <c r="G7" s="485"/>
      <c r="H7" s="485"/>
      <c r="I7" s="485"/>
    </row>
    <row r="8" spans="1:10" s="22" customFormat="1" ht="21" customHeight="1">
      <c r="A8" s="236"/>
      <c r="B8" s="236"/>
      <c r="C8" s="236"/>
      <c r="D8" s="236"/>
      <c r="E8" s="236"/>
      <c r="F8" s="236"/>
      <c r="G8" s="236"/>
      <c r="H8" s="236"/>
      <c r="I8" s="236"/>
    </row>
    <row r="9" spans="1:10" s="22" customFormat="1" ht="21" customHeight="1">
      <c r="A9" s="236"/>
      <c r="B9" s="236"/>
      <c r="C9" s="236"/>
      <c r="D9" s="236"/>
      <c r="E9" s="236"/>
      <c r="F9" s="236"/>
      <c r="G9" s="236"/>
      <c r="H9" s="236"/>
      <c r="I9" s="236"/>
    </row>
    <row r="10" spans="1:10" s="22" customFormat="1" ht="73.7" customHeight="1">
      <c r="A10" s="486" t="s">
        <v>25</v>
      </c>
      <c r="B10" s="486" t="s">
        <v>26</v>
      </c>
      <c r="C10" s="486"/>
      <c r="D10" s="486"/>
      <c r="E10" s="486" t="s">
        <v>27</v>
      </c>
      <c r="F10" s="486" t="s">
        <v>28</v>
      </c>
      <c r="G10" s="486" t="s">
        <v>29</v>
      </c>
      <c r="H10" s="487" t="s">
        <v>128</v>
      </c>
      <c r="I10" s="487"/>
    </row>
    <row r="11" spans="1:10" s="22" customFormat="1" ht="21" customHeight="1">
      <c r="A11" s="486"/>
      <c r="B11" s="486"/>
      <c r="C11" s="486"/>
      <c r="D11" s="486"/>
      <c r="E11" s="486"/>
      <c r="F11" s="486"/>
      <c r="G11" s="486"/>
      <c r="H11" s="237" t="s">
        <v>30</v>
      </c>
      <c r="I11" s="238" t="s">
        <v>31</v>
      </c>
    </row>
    <row r="12" spans="1:10" s="22" customFormat="1">
      <c r="A12" s="239">
        <v>1</v>
      </c>
      <c r="B12" s="488">
        <v>2</v>
      </c>
      <c r="C12" s="489"/>
      <c r="D12" s="490"/>
      <c r="E12" s="237">
        <v>3</v>
      </c>
      <c r="F12" s="237">
        <v>4</v>
      </c>
      <c r="G12" s="237">
        <v>5</v>
      </c>
      <c r="H12" s="237">
        <v>6</v>
      </c>
      <c r="I12" s="237">
        <v>7</v>
      </c>
    </row>
    <row r="13" spans="1:10" s="22" customFormat="1" ht="44.85" customHeight="1">
      <c r="A13" s="491" t="s">
        <v>12</v>
      </c>
      <c r="B13" s="491"/>
      <c r="C13" s="491"/>
      <c r="D13" s="491"/>
      <c r="E13" s="491"/>
      <c r="F13" s="491"/>
      <c r="G13" s="491"/>
      <c r="H13" s="491"/>
      <c r="I13" s="240">
        <f>+I14+I30+I63+I90</f>
        <v>4343252.6000000006</v>
      </c>
      <c r="J13" s="241"/>
    </row>
    <row r="14" spans="1:10" s="2" customFormat="1">
      <c r="A14" s="91" t="s">
        <v>198</v>
      </c>
      <c r="B14" s="91" t="s">
        <v>88</v>
      </c>
      <c r="C14" s="91" t="s">
        <v>65</v>
      </c>
      <c r="D14" s="492" t="s">
        <v>199</v>
      </c>
      <c r="E14" s="507"/>
      <c r="F14" s="507"/>
      <c r="G14" s="507"/>
      <c r="H14" s="494"/>
      <c r="I14" s="63">
        <f>+I15</f>
        <v>134230.09999999998</v>
      </c>
      <c r="J14" s="197"/>
    </row>
    <row r="15" spans="1:10" s="65" customFormat="1" ht="54.95" customHeight="1">
      <c r="A15" s="92" t="s">
        <v>195</v>
      </c>
      <c r="B15" s="480" t="s">
        <v>196</v>
      </c>
      <c r="C15" s="480"/>
      <c r="D15" s="480"/>
      <c r="E15" s="480"/>
      <c r="F15" s="480"/>
      <c r="G15" s="480"/>
      <c r="H15" s="480"/>
      <c r="I15" s="64">
        <f>+I16+I21</f>
        <v>134230.09999999998</v>
      </c>
      <c r="J15" s="178"/>
    </row>
    <row r="16" spans="1:10" s="68" customFormat="1" ht="21" customHeight="1">
      <c r="A16" s="82"/>
      <c r="B16" s="481" t="s">
        <v>110</v>
      </c>
      <c r="C16" s="482"/>
      <c r="D16" s="349"/>
      <c r="E16" s="179" t="s">
        <v>67</v>
      </c>
      <c r="F16" s="179" t="s">
        <v>67</v>
      </c>
      <c r="G16" s="179" t="s">
        <v>67</v>
      </c>
      <c r="H16" s="69"/>
      <c r="I16" s="108">
        <f>SUM(I17:I20)</f>
        <v>129999.89999999998</v>
      </c>
    </row>
    <row r="17" spans="1:25" s="182" customFormat="1" ht="35.65" customHeight="1">
      <c r="A17" s="164">
        <v>45211137</v>
      </c>
      <c r="B17" s="501" t="s">
        <v>211</v>
      </c>
      <c r="C17" s="502"/>
      <c r="D17" s="503"/>
      <c r="E17" s="165" t="s">
        <v>51</v>
      </c>
      <c r="F17" s="165" t="s">
        <v>49</v>
      </c>
      <c r="G17" s="180">
        <v>22578091</v>
      </c>
      <c r="H17" s="181">
        <v>1</v>
      </c>
      <c r="I17" s="112">
        <f>+ROUNDUP(H17*G17/1000,1)</f>
        <v>22578.1</v>
      </c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</row>
    <row r="18" spans="1:25" s="182" customFormat="1" ht="35.65" customHeight="1">
      <c r="A18" s="164">
        <v>45211137</v>
      </c>
      <c r="B18" s="501" t="s">
        <v>211</v>
      </c>
      <c r="C18" s="502"/>
      <c r="D18" s="503"/>
      <c r="E18" s="165" t="s">
        <v>51</v>
      </c>
      <c r="F18" s="165" t="s">
        <v>49</v>
      </c>
      <c r="G18" s="180">
        <v>46751640</v>
      </c>
      <c r="H18" s="181">
        <v>1</v>
      </c>
      <c r="I18" s="112">
        <f t="shared" ref="I18:I20" si="0">+ROUNDUP(H18*G18/1000,1)</f>
        <v>46751.7</v>
      </c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</row>
    <row r="19" spans="1:25" s="182" customFormat="1" ht="35.65" customHeight="1">
      <c r="A19" s="164">
        <v>45211137</v>
      </c>
      <c r="B19" s="501" t="s">
        <v>211</v>
      </c>
      <c r="C19" s="502"/>
      <c r="D19" s="503"/>
      <c r="E19" s="165" t="s">
        <v>51</v>
      </c>
      <c r="F19" s="165" t="s">
        <v>49</v>
      </c>
      <c r="G19" s="180">
        <v>29838840</v>
      </c>
      <c r="H19" s="181">
        <v>1</v>
      </c>
      <c r="I19" s="112">
        <f t="shared" si="0"/>
        <v>29838.899999999998</v>
      </c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</row>
    <row r="20" spans="1:25" s="182" customFormat="1" ht="35.65" customHeight="1">
      <c r="A20" s="164">
        <v>45211137</v>
      </c>
      <c r="B20" s="501" t="s">
        <v>211</v>
      </c>
      <c r="C20" s="502"/>
      <c r="D20" s="503"/>
      <c r="E20" s="165" t="s">
        <v>51</v>
      </c>
      <c r="F20" s="165" t="s">
        <v>49</v>
      </c>
      <c r="G20" s="180">
        <v>30831180</v>
      </c>
      <c r="H20" s="181">
        <v>1</v>
      </c>
      <c r="I20" s="112">
        <f t="shared" si="0"/>
        <v>30831.199999999997</v>
      </c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</row>
    <row r="21" spans="1:25" s="68" customFormat="1" ht="21" customHeight="1">
      <c r="A21" s="82"/>
      <c r="B21" s="481" t="s">
        <v>50</v>
      </c>
      <c r="C21" s="482"/>
      <c r="D21" s="349"/>
      <c r="E21" s="179" t="s">
        <v>67</v>
      </c>
      <c r="F21" s="179" t="s">
        <v>67</v>
      </c>
      <c r="G21" s="179" t="s">
        <v>67</v>
      </c>
      <c r="H21" s="69"/>
      <c r="I21" s="108">
        <f>SUM(I22:I29)</f>
        <v>4230.2</v>
      </c>
    </row>
    <row r="22" spans="1:25" s="182" customFormat="1">
      <c r="A22" s="164">
        <v>71351540</v>
      </c>
      <c r="B22" s="352" t="s">
        <v>57</v>
      </c>
      <c r="C22" s="352"/>
      <c r="D22" s="352"/>
      <c r="E22" s="165" t="s">
        <v>104</v>
      </c>
      <c r="F22" s="165" t="s">
        <v>49</v>
      </c>
      <c r="G22" s="180">
        <v>650984</v>
      </c>
      <c r="H22" s="181">
        <v>1</v>
      </c>
      <c r="I22" s="112">
        <f>+ROUNDUP(H22*G22/1000,1)</f>
        <v>651</v>
      </c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</row>
    <row r="23" spans="1:25" s="182" customFormat="1">
      <c r="A23" s="164">
        <v>71351540</v>
      </c>
      <c r="B23" s="352" t="s">
        <v>57</v>
      </c>
      <c r="C23" s="352"/>
      <c r="D23" s="352"/>
      <c r="E23" s="165" t="s">
        <v>104</v>
      </c>
      <c r="F23" s="165" t="s">
        <v>49</v>
      </c>
      <c r="G23" s="180">
        <v>973694</v>
      </c>
      <c r="H23" s="181">
        <v>1</v>
      </c>
      <c r="I23" s="112">
        <f t="shared" ref="I23:I25" si="1">+ROUNDUP(H23*G23/1000,1)</f>
        <v>973.7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</row>
    <row r="24" spans="1:25" s="182" customFormat="1">
      <c r="A24" s="164">
        <v>71351540</v>
      </c>
      <c r="B24" s="352" t="s">
        <v>57</v>
      </c>
      <c r="C24" s="352"/>
      <c r="D24" s="352"/>
      <c r="E24" s="165" t="s">
        <v>104</v>
      </c>
      <c r="F24" s="165" t="s">
        <v>49</v>
      </c>
      <c r="G24" s="180">
        <v>676306</v>
      </c>
      <c r="H24" s="181">
        <v>1</v>
      </c>
      <c r="I24" s="112">
        <f t="shared" si="1"/>
        <v>676.4</v>
      </c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</row>
    <row r="25" spans="1:25" s="182" customFormat="1">
      <c r="A25" s="164">
        <v>71351540</v>
      </c>
      <c r="B25" s="352" t="s">
        <v>57</v>
      </c>
      <c r="C25" s="352"/>
      <c r="D25" s="352"/>
      <c r="E25" s="165" t="s">
        <v>104</v>
      </c>
      <c r="F25" s="165" t="s">
        <v>49</v>
      </c>
      <c r="G25" s="180">
        <v>889016</v>
      </c>
      <c r="H25" s="181">
        <v>1</v>
      </c>
      <c r="I25" s="112">
        <f t="shared" si="1"/>
        <v>889.1</v>
      </c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</row>
    <row r="26" spans="1:25" s="182" customFormat="1">
      <c r="A26" s="164">
        <v>98111140</v>
      </c>
      <c r="B26" s="352" t="s">
        <v>58</v>
      </c>
      <c r="C26" s="352"/>
      <c r="D26" s="352"/>
      <c r="E26" s="165" t="s">
        <v>52</v>
      </c>
      <c r="F26" s="165" t="s">
        <v>49</v>
      </c>
      <c r="G26" s="180">
        <v>210000</v>
      </c>
      <c r="H26" s="181">
        <v>1</v>
      </c>
      <c r="I26" s="112">
        <f t="shared" ref="I26:I29" si="2">+ROUND(H26*G26/1000,1)</f>
        <v>210</v>
      </c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</row>
    <row r="27" spans="1:25" s="182" customFormat="1">
      <c r="A27" s="164">
        <v>98111140</v>
      </c>
      <c r="B27" s="352" t="s">
        <v>58</v>
      </c>
      <c r="C27" s="352"/>
      <c r="D27" s="352"/>
      <c r="E27" s="165" t="s">
        <v>52</v>
      </c>
      <c r="F27" s="165" t="s">
        <v>49</v>
      </c>
      <c r="G27" s="180">
        <v>330000</v>
      </c>
      <c r="H27" s="181">
        <v>1</v>
      </c>
      <c r="I27" s="112">
        <f t="shared" si="2"/>
        <v>330</v>
      </c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</row>
    <row r="28" spans="1:25" s="182" customFormat="1">
      <c r="A28" s="164">
        <v>98111140</v>
      </c>
      <c r="B28" s="352" t="s">
        <v>58</v>
      </c>
      <c r="C28" s="352"/>
      <c r="D28" s="352"/>
      <c r="E28" s="165" t="s">
        <v>52</v>
      </c>
      <c r="F28" s="165" t="s">
        <v>49</v>
      </c>
      <c r="G28" s="180">
        <v>210000</v>
      </c>
      <c r="H28" s="181">
        <v>1</v>
      </c>
      <c r="I28" s="112">
        <f t="shared" si="2"/>
        <v>210</v>
      </c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</row>
    <row r="29" spans="1:25" s="182" customFormat="1">
      <c r="A29" s="164">
        <v>98111140</v>
      </c>
      <c r="B29" s="352" t="s">
        <v>58</v>
      </c>
      <c r="C29" s="352"/>
      <c r="D29" s="352"/>
      <c r="E29" s="165" t="s">
        <v>52</v>
      </c>
      <c r="F29" s="165" t="s">
        <v>49</v>
      </c>
      <c r="G29" s="180">
        <v>290000</v>
      </c>
      <c r="H29" s="181">
        <v>1</v>
      </c>
      <c r="I29" s="112">
        <f t="shared" si="2"/>
        <v>290</v>
      </c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</row>
    <row r="30" spans="1:25" s="2" customFormat="1">
      <c r="A30" s="231" t="s">
        <v>63</v>
      </c>
      <c r="B30" s="231" t="s">
        <v>88</v>
      </c>
      <c r="C30" s="231" t="s">
        <v>65</v>
      </c>
      <c r="D30" s="505" t="s">
        <v>89</v>
      </c>
      <c r="E30" s="506"/>
      <c r="F30" s="506"/>
      <c r="G30" s="506"/>
      <c r="H30" s="494"/>
      <c r="I30" s="63">
        <f>+I31+I58</f>
        <v>2477529.8000000003</v>
      </c>
    </row>
    <row r="31" spans="1:25" s="65" customFormat="1" ht="54.95" customHeight="1">
      <c r="A31" s="15" t="s">
        <v>77</v>
      </c>
      <c r="B31" s="508" t="s">
        <v>78</v>
      </c>
      <c r="C31" s="508"/>
      <c r="D31" s="508"/>
      <c r="E31" s="508"/>
      <c r="F31" s="508"/>
      <c r="G31" s="508"/>
      <c r="H31" s="508"/>
      <c r="I31" s="64">
        <f>+I32+I43</f>
        <v>2355178.0000000005</v>
      </c>
    </row>
    <row r="32" spans="1:25" s="17" customFormat="1" ht="21" customHeight="1">
      <c r="A32" s="60"/>
      <c r="B32" s="347" t="s">
        <v>66</v>
      </c>
      <c r="C32" s="348"/>
      <c r="D32" s="349"/>
      <c r="E32" s="61"/>
      <c r="F32" s="61"/>
      <c r="G32" s="61"/>
      <c r="H32" s="62"/>
      <c r="I32" s="36">
        <f>SUM(I33:I42)</f>
        <v>2342455.9000000004</v>
      </c>
    </row>
    <row r="33" spans="1:9" s="68" customFormat="1" ht="34.35" customHeight="1">
      <c r="A33" s="82">
        <v>45211228</v>
      </c>
      <c r="B33" s="475" t="s">
        <v>210</v>
      </c>
      <c r="C33" s="475"/>
      <c r="D33" s="475"/>
      <c r="E33" s="66" t="s">
        <v>87</v>
      </c>
      <c r="F33" s="66" t="s">
        <v>62</v>
      </c>
      <c r="G33" s="67">
        <v>309206800</v>
      </c>
      <c r="H33" s="35">
        <v>1</v>
      </c>
      <c r="I33" s="106">
        <f t="shared" ref="I33" si="3">+ROUNDUP(H33*G33/1000,1)</f>
        <v>309206.8</v>
      </c>
    </row>
    <row r="34" spans="1:9" s="68" customFormat="1" ht="34.35" customHeight="1">
      <c r="A34" s="164">
        <v>45211228</v>
      </c>
      <c r="B34" s="475" t="s">
        <v>210</v>
      </c>
      <c r="C34" s="475"/>
      <c r="D34" s="475"/>
      <c r="E34" s="66" t="s">
        <v>87</v>
      </c>
      <c r="F34" s="66" t="s">
        <v>62</v>
      </c>
      <c r="G34" s="67">
        <v>79248397</v>
      </c>
      <c r="H34" s="35">
        <v>1</v>
      </c>
      <c r="I34" s="106">
        <f t="shared" ref="I34" si="4">+ROUNDUP(H34*G34/1000,1)</f>
        <v>79248.400000000009</v>
      </c>
    </row>
    <row r="35" spans="1:9" s="68" customFormat="1" ht="34.35" customHeight="1">
      <c r="A35" s="164" t="s">
        <v>212</v>
      </c>
      <c r="B35" s="475" t="s">
        <v>210</v>
      </c>
      <c r="C35" s="475"/>
      <c r="D35" s="475"/>
      <c r="E35" s="66" t="s">
        <v>87</v>
      </c>
      <c r="F35" s="66" t="s">
        <v>62</v>
      </c>
      <c r="G35" s="67"/>
      <c r="H35" s="35"/>
      <c r="I35" s="106">
        <v>134160</v>
      </c>
    </row>
    <row r="36" spans="1:9" s="68" customFormat="1" ht="34.35" customHeight="1">
      <c r="A36" s="82">
        <v>45211228</v>
      </c>
      <c r="B36" s="475" t="s">
        <v>210</v>
      </c>
      <c r="C36" s="475"/>
      <c r="D36" s="475"/>
      <c r="E36" s="66" t="s">
        <v>87</v>
      </c>
      <c r="F36" s="66" t="s">
        <v>62</v>
      </c>
      <c r="G36" s="67">
        <v>309206800</v>
      </c>
      <c r="H36" s="35">
        <v>1</v>
      </c>
      <c r="I36" s="106">
        <f t="shared" ref="I36" si="5">+ROUNDUP(H36*G36/1000,1)</f>
        <v>309206.8</v>
      </c>
    </row>
    <row r="37" spans="1:9" s="68" customFormat="1" ht="34.35" customHeight="1">
      <c r="A37" s="82">
        <v>45211228</v>
      </c>
      <c r="B37" s="475" t="s">
        <v>210</v>
      </c>
      <c r="C37" s="475"/>
      <c r="D37" s="475"/>
      <c r="E37" s="66" t="s">
        <v>87</v>
      </c>
      <c r="F37" s="66" t="s">
        <v>62</v>
      </c>
      <c r="G37" s="67">
        <v>309206800</v>
      </c>
      <c r="H37" s="35">
        <v>1</v>
      </c>
      <c r="I37" s="106">
        <f t="shared" ref="I37" si="6">+ROUNDUP(H37*G37/1000,1)</f>
        <v>309206.8</v>
      </c>
    </row>
    <row r="38" spans="1:9" s="68" customFormat="1" ht="34.35" customHeight="1">
      <c r="A38" s="82">
        <v>45211228</v>
      </c>
      <c r="B38" s="475" t="s">
        <v>210</v>
      </c>
      <c r="C38" s="475"/>
      <c r="D38" s="475"/>
      <c r="E38" s="66" t="s">
        <v>87</v>
      </c>
      <c r="F38" s="66" t="s">
        <v>62</v>
      </c>
      <c r="G38" s="67">
        <v>309206800</v>
      </c>
      <c r="H38" s="35">
        <v>1</v>
      </c>
      <c r="I38" s="106">
        <f t="shared" ref="I38" si="7">+ROUNDUP(H38*G38/1000,1)</f>
        <v>309206.8</v>
      </c>
    </row>
    <row r="39" spans="1:9" s="68" customFormat="1" ht="34.35" customHeight="1">
      <c r="A39" s="164" t="s">
        <v>213</v>
      </c>
      <c r="B39" s="475" t="s">
        <v>210</v>
      </c>
      <c r="C39" s="475"/>
      <c r="D39" s="475"/>
      <c r="E39" s="66" t="s">
        <v>87</v>
      </c>
      <c r="F39" s="66" t="s">
        <v>62</v>
      </c>
      <c r="G39" s="67"/>
      <c r="H39" s="35"/>
      <c r="I39" s="106">
        <v>139041</v>
      </c>
    </row>
    <row r="40" spans="1:9" s="68" customFormat="1" ht="34.35" customHeight="1">
      <c r="A40" s="164" t="s">
        <v>214</v>
      </c>
      <c r="B40" s="475" t="s">
        <v>210</v>
      </c>
      <c r="C40" s="475"/>
      <c r="D40" s="475"/>
      <c r="E40" s="66" t="s">
        <v>87</v>
      </c>
      <c r="F40" s="66" t="s">
        <v>62</v>
      </c>
      <c r="G40" s="67"/>
      <c r="H40" s="35"/>
      <c r="I40" s="106">
        <v>175698</v>
      </c>
    </row>
    <row r="41" spans="1:9" s="68" customFormat="1" ht="34.35" customHeight="1">
      <c r="A41" s="82">
        <v>45211228</v>
      </c>
      <c r="B41" s="475" t="s">
        <v>210</v>
      </c>
      <c r="C41" s="475"/>
      <c r="D41" s="475"/>
      <c r="E41" s="66" t="s">
        <v>87</v>
      </c>
      <c r="F41" s="66" t="s">
        <v>62</v>
      </c>
      <c r="G41" s="67">
        <v>309206800</v>
      </c>
      <c r="H41" s="35">
        <v>1</v>
      </c>
      <c r="I41" s="106">
        <f t="shared" ref="I41" si="8">+ROUNDUP(H41*G41/1000,1)</f>
        <v>309206.8</v>
      </c>
    </row>
    <row r="42" spans="1:9" s="68" customFormat="1" ht="34.35" customHeight="1">
      <c r="A42" s="82">
        <v>45211228</v>
      </c>
      <c r="B42" s="475" t="s">
        <v>210</v>
      </c>
      <c r="C42" s="475"/>
      <c r="D42" s="475"/>
      <c r="E42" s="66" t="s">
        <v>87</v>
      </c>
      <c r="F42" s="66" t="s">
        <v>62</v>
      </c>
      <c r="G42" s="67">
        <v>268274500</v>
      </c>
      <c r="H42" s="35">
        <v>1</v>
      </c>
      <c r="I42" s="106">
        <f t="shared" ref="I42" si="9">+ROUNDUP(H42*G42/1000,1)</f>
        <v>268274.5</v>
      </c>
    </row>
    <row r="43" spans="1:9" s="68" customFormat="1" ht="21" customHeight="1">
      <c r="A43" s="163"/>
      <c r="B43" s="347" t="s">
        <v>50</v>
      </c>
      <c r="C43" s="348"/>
      <c r="D43" s="349"/>
      <c r="E43" s="61" t="s">
        <v>67</v>
      </c>
      <c r="F43" s="61" t="s">
        <v>67</v>
      </c>
      <c r="G43" s="61" t="s">
        <v>67</v>
      </c>
      <c r="H43" s="69"/>
      <c r="I43" s="36">
        <f>SUM(I44:I57)</f>
        <v>12722.1</v>
      </c>
    </row>
    <row r="44" spans="1:9" s="68" customFormat="1">
      <c r="A44" s="82">
        <v>71351540</v>
      </c>
      <c r="B44" s="475" t="s">
        <v>57</v>
      </c>
      <c r="C44" s="475"/>
      <c r="D44" s="475"/>
      <c r="E44" s="97" t="s">
        <v>104</v>
      </c>
      <c r="F44" s="97" t="s">
        <v>49</v>
      </c>
      <c r="G44" s="104">
        <v>862000</v>
      </c>
      <c r="H44" s="105">
        <v>1</v>
      </c>
      <c r="I44" s="106">
        <f t="shared" ref="I44" si="10">+ROUNDUP(H44*G44/1000,1)</f>
        <v>862</v>
      </c>
    </row>
    <row r="45" spans="1:9" s="68" customFormat="1">
      <c r="A45" s="164" t="s">
        <v>124</v>
      </c>
      <c r="B45" s="475" t="s">
        <v>57</v>
      </c>
      <c r="C45" s="475"/>
      <c r="D45" s="475"/>
      <c r="E45" s="97" t="s">
        <v>104</v>
      </c>
      <c r="F45" s="97" t="s">
        <v>49</v>
      </c>
      <c r="G45" s="104"/>
      <c r="H45" s="105"/>
      <c r="I45" s="106">
        <v>-2796</v>
      </c>
    </row>
    <row r="46" spans="1:9" s="68" customFormat="1">
      <c r="A46" s="82">
        <v>71351540</v>
      </c>
      <c r="B46" s="475" t="s">
        <v>57</v>
      </c>
      <c r="C46" s="475"/>
      <c r="D46" s="475"/>
      <c r="E46" s="97" t="s">
        <v>104</v>
      </c>
      <c r="F46" s="97" t="s">
        <v>49</v>
      </c>
      <c r="G46" s="104">
        <v>862000</v>
      </c>
      <c r="H46" s="105">
        <v>1</v>
      </c>
      <c r="I46" s="106">
        <f t="shared" ref="I46" si="11">+ROUNDUP(H46*G46/1000,1)</f>
        <v>862</v>
      </c>
    </row>
    <row r="47" spans="1:9" s="68" customFormat="1">
      <c r="A47" s="82">
        <v>71351540</v>
      </c>
      <c r="B47" s="475" t="s">
        <v>57</v>
      </c>
      <c r="C47" s="475"/>
      <c r="D47" s="475"/>
      <c r="E47" s="97" t="s">
        <v>104</v>
      </c>
      <c r="F47" s="97" t="s">
        <v>49</v>
      </c>
      <c r="G47" s="104">
        <v>862000</v>
      </c>
      <c r="H47" s="105">
        <v>1</v>
      </c>
      <c r="I47" s="106">
        <f t="shared" ref="I47" si="12">+ROUNDUP(H47*G47/1000,1)</f>
        <v>862</v>
      </c>
    </row>
    <row r="48" spans="1:9" s="68" customFormat="1">
      <c r="A48" s="82">
        <v>71351540</v>
      </c>
      <c r="B48" s="475" t="s">
        <v>57</v>
      </c>
      <c r="C48" s="475"/>
      <c r="D48" s="475"/>
      <c r="E48" s="97" t="s">
        <v>104</v>
      </c>
      <c r="F48" s="97" t="s">
        <v>49</v>
      </c>
      <c r="G48" s="104">
        <v>862000</v>
      </c>
      <c r="H48" s="105">
        <v>1</v>
      </c>
      <c r="I48" s="106">
        <f t="shared" ref="I48" si="13">+ROUNDUP(H48*G48/1000,1)</f>
        <v>862</v>
      </c>
    </row>
    <row r="49" spans="1:9" s="68" customFormat="1">
      <c r="A49" s="164" t="s">
        <v>215</v>
      </c>
      <c r="B49" s="475" t="s">
        <v>57</v>
      </c>
      <c r="C49" s="475"/>
      <c r="D49" s="475"/>
      <c r="E49" s="97" t="s">
        <v>104</v>
      </c>
      <c r="F49" s="97" t="s">
        <v>49</v>
      </c>
      <c r="G49" s="104"/>
      <c r="H49" s="105"/>
      <c r="I49" s="106">
        <v>-1678</v>
      </c>
    </row>
    <row r="50" spans="1:9" s="68" customFormat="1">
      <c r="A50" s="164" t="s">
        <v>116</v>
      </c>
      <c r="B50" s="475" t="s">
        <v>57</v>
      </c>
      <c r="C50" s="475"/>
      <c r="D50" s="475"/>
      <c r="E50" s="97" t="s">
        <v>104</v>
      </c>
      <c r="F50" s="97" t="s">
        <v>49</v>
      </c>
      <c r="G50" s="104"/>
      <c r="H50" s="105"/>
      <c r="I50" s="106">
        <v>-2655</v>
      </c>
    </row>
    <row r="51" spans="1:9" s="68" customFormat="1">
      <c r="A51" s="82">
        <v>71351540</v>
      </c>
      <c r="B51" s="475" t="s">
        <v>57</v>
      </c>
      <c r="C51" s="475"/>
      <c r="D51" s="475"/>
      <c r="E51" s="97" t="s">
        <v>104</v>
      </c>
      <c r="F51" s="97" t="s">
        <v>49</v>
      </c>
      <c r="G51" s="104">
        <v>862000</v>
      </c>
      <c r="H51" s="105">
        <v>1</v>
      </c>
      <c r="I51" s="106">
        <f t="shared" ref="I51" si="14">+ROUNDUP(H51*G51/1000,1)</f>
        <v>862</v>
      </c>
    </row>
    <row r="52" spans="1:9" s="68" customFormat="1">
      <c r="A52" s="82">
        <v>71351540</v>
      </c>
      <c r="B52" s="475" t="s">
        <v>57</v>
      </c>
      <c r="C52" s="475"/>
      <c r="D52" s="475"/>
      <c r="E52" s="97" t="s">
        <v>104</v>
      </c>
      <c r="F52" s="97" t="s">
        <v>49</v>
      </c>
      <c r="G52" s="104">
        <v>930000</v>
      </c>
      <c r="H52" s="105">
        <v>1</v>
      </c>
      <c r="I52" s="106">
        <f t="shared" ref="I52" si="15">+ROUNDUP(H52*G52/1000,1)</f>
        <v>930</v>
      </c>
    </row>
    <row r="53" spans="1:9" s="68" customFormat="1">
      <c r="A53" s="198">
        <v>98111140</v>
      </c>
      <c r="B53" s="479" t="s">
        <v>58</v>
      </c>
      <c r="C53" s="479"/>
      <c r="D53" s="479"/>
      <c r="E53" s="66" t="s">
        <v>52</v>
      </c>
      <c r="F53" s="66" t="s">
        <v>49</v>
      </c>
      <c r="G53" s="67">
        <v>1000270</v>
      </c>
      <c r="H53" s="105">
        <v>1</v>
      </c>
      <c r="I53" s="106">
        <f t="shared" ref="I53" si="16">+ROUNDUP(H53*G53/1000,1)</f>
        <v>1000.3000000000001</v>
      </c>
    </row>
    <row r="54" spans="1:9" s="68" customFormat="1">
      <c r="A54" s="198" t="s">
        <v>125</v>
      </c>
      <c r="B54" s="479" t="s">
        <v>58</v>
      </c>
      <c r="C54" s="479"/>
      <c r="D54" s="479"/>
      <c r="E54" s="66" t="s">
        <v>52</v>
      </c>
      <c r="F54" s="66" t="s">
        <v>49</v>
      </c>
      <c r="G54" s="67"/>
      <c r="H54" s="35"/>
      <c r="I54" s="106">
        <v>1198.3</v>
      </c>
    </row>
    <row r="55" spans="1:9" s="68" customFormat="1">
      <c r="A55" s="198" t="s">
        <v>117</v>
      </c>
      <c r="B55" s="479" t="s">
        <v>58</v>
      </c>
      <c r="C55" s="479"/>
      <c r="D55" s="479"/>
      <c r="E55" s="66" t="s">
        <v>52</v>
      </c>
      <c r="F55" s="66" t="s">
        <v>49</v>
      </c>
      <c r="G55" s="67"/>
      <c r="H55" s="35"/>
      <c r="I55" s="106">
        <v>808.5</v>
      </c>
    </row>
    <row r="56" spans="1:9" s="68" customFormat="1">
      <c r="A56" s="198" t="s">
        <v>216</v>
      </c>
      <c r="B56" s="479" t="s">
        <v>58</v>
      </c>
      <c r="C56" s="479"/>
      <c r="D56" s="479"/>
      <c r="E56" s="66" t="s">
        <v>52</v>
      </c>
      <c r="F56" s="66" t="s">
        <v>49</v>
      </c>
      <c r="G56" s="67"/>
      <c r="H56" s="35"/>
      <c r="I56" s="106">
        <v>854</v>
      </c>
    </row>
    <row r="57" spans="1:9" s="68" customFormat="1">
      <c r="A57" s="82">
        <v>71241200</v>
      </c>
      <c r="B57" s="475" t="s">
        <v>122</v>
      </c>
      <c r="C57" s="475"/>
      <c r="D57" s="475"/>
      <c r="E57" s="97" t="s">
        <v>51</v>
      </c>
      <c r="F57" s="97" t="s">
        <v>49</v>
      </c>
      <c r="G57" s="104">
        <v>10750000</v>
      </c>
      <c r="H57" s="105">
        <v>1</v>
      </c>
      <c r="I57" s="108">
        <f t="shared" ref="I57" si="17">+ROUND(H57*G57/1000,1)</f>
        <v>10750</v>
      </c>
    </row>
    <row r="58" spans="1:9" s="65" customFormat="1" ht="54.95" customHeight="1">
      <c r="A58" s="15" t="s">
        <v>220</v>
      </c>
      <c r="B58" s="480" t="s">
        <v>218</v>
      </c>
      <c r="C58" s="480"/>
      <c r="D58" s="480"/>
      <c r="E58" s="480"/>
      <c r="F58" s="480"/>
      <c r="G58" s="480"/>
      <c r="H58" s="480"/>
      <c r="I58" s="64">
        <f>+I59+I61</f>
        <v>122351.8</v>
      </c>
    </row>
    <row r="59" spans="1:9" s="17" customFormat="1" ht="21" customHeight="1">
      <c r="A59" s="60"/>
      <c r="B59" s="347" t="s">
        <v>66</v>
      </c>
      <c r="C59" s="348"/>
      <c r="D59" s="349"/>
      <c r="E59" s="61"/>
      <c r="F59" s="61"/>
      <c r="G59" s="61"/>
      <c r="H59" s="62"/>
      <c r="I59" s="36">
        <f>+I60</f>
        <v>120967.6</v>
      </c>
    </row>
    <row r="60" spans="1:9" s="68" customFormat="1" ht="34.35" customHeight="1">
      <c r="A60" s="82">
        <v>45211228</v>
      </c>
      <c r="B60" s="475" t="s">
        <v>210</v>
      </c>
      <c r="C60" s="475"/>
      <c r="D60" s="475"/>
      <c r="E60" s="66" t="s">
        <v>87</v>
      </c>
      <c r="F60" s="66" t="s">
        <v>62</v>
      </c>
      <c r="G60" s="67">
        <f>44103809+76863715.7</f>
        <v>120967524.7</v>
      </c>
      <c r="H60" s="35">
        <v>1</v>
      </c>
      <c r="I60" s="106">
        <f t="shared" ref="I60" si="18">+ROUNDUP(H60*G60/1000,1)</f>
        <v>120967.6</v>
      </c>
    </row>
    <row r="61" spans="1:9" s="68" customFormat="1" ht="21" customHeight="1">
      <c r="A61" s="82"/>
      <c r="B61" s="481" t="s">
        <v>50</v>
      </c>
      <c r="C61" s="482"/>
      <c r="D61" s="349"/>
      <c r="E61" s="179" t="s">
        <v>67</v>
      </c>
      <c r="F61" s="179" t="s">
        <v>67</v>
      </c>
      <c r="G61" s="179" t="s">
        <v>67</v>
      </c>
      <c r="H61" s="69"/>
      <c r="I61" s="108">
        <f>+I62</f>
        <v>1384.1999999999998</v>
      </c>
    </row>
    <row r="62" spans="1:9" s="68" customFormat="1">
      <c r="A62" s="82">
        <v>98111140</v>
      </c>
      <c r="B62" s="475" t="s">
        <v>58</v>
      </c>
      <c r="C62" s="475"/>
      <c r="D62" s="475"/>
      <c r="E62" s="97" t="s">
        <v>52</v>
      </c>
      <c r="F62" s="97" t="s">
        <v>49</v>
      </c>
      <c r="G62" s="104">
        <v>1384130</v>
      </c>
      <c r="H62" s="113">
        <v>1</v>
      </c>
      <c r="I62" s="112">
        <f>+ROUNDUP(H62*G62/1000,1)</f>
        <v>1384.1999999999998</v>
      </c>
    </row>
    <row r="63" spans="1:9" s="2" customFormat="1" ht="17.850000000000001" customHeight="1">
      <c r="A63" s="91" t="s">
        <v>63</v>
      </c>
      <c r="B63" s="91" t="s">
        <v>103</v>
      </c>
      <c r="C63" s="91" t="s">
        <v>65</v>
      </c>
      <c r="D63" s="492" t="s">
        <v>99</v>
      </c>
      <c r="E63" s="493"/>
      <c r="F63" s="493"/>
      <c r="G63" s="493"/>
      <c r="H63" s="494"/>
      <c r="I63" s="63">
        <f>+I64+I84</f>
        <v>1414813.9</v>
      </c>
    </row>
    <row r="64" spans="1:9" s="65" customFormat="1" ht="54.95" customHeight="1">
      <c r="A64" s="92" t="s">
        <v>120</v>
      </c>
      <c r="B64" s="480" t="s">
        <v>121</v>
      </c>
      <c r="C64" s="480"/>
      <c r="D64" s="480"/>
      <c r="E64" s="480"/>
      <c r="F64" s="480"/>
      <c r="G64" s="480"/>
      <c r="H64" s="480"/>
      <c r="I64" s="64">
        <f>+I65</f>
        <v>1354178.7</v>
      </c>
    </row>
    <row r="65" spans="1:9" s="17" customFormat="1" ht="21" customHeight="1">
      <c r="A65" s="60"/>
      <c r="B65" s="347" t="s">
        <v>66</v>
      </c>
      <c r="C65" s="348"/>
      <c r="D65" s="349"/>
      <c r="E65" s="61"/>
      <c r="F65" s="61"/>
      <c r="G65" s="61"/>
      <c r="H65" s="62"/>
      <c r="I65" s="36">
        <f>SUM(I66:I83)</f>
        <v>1354178.7</v>
      </c>
    </row>
    <row r="66" spans="1:9" s="68" customFormat="1" ht="17.649999999999999" customHeight="1">
      <c r="A66" s="82" t="s">
        <v>287</v>
      </c>
      <c r="B66" s="475" t="s">
        <v>251</v>
      </c>
      <c r="C66" s="475"/>
      <c r="D66" s="475"/>
      <c r="E66" s="97" t="s">
        <v>104</v>
      </c>
      <c r="F66" s="66" t="s">
        <v>62</v>
      </c>
      <c r="G66" s="67"/>
      <c r="H66" s="113"/>
      <c r="I66" s="112">
        <v>5000</v>
      </c>
    </row>
    <row r="67" spans="1:9" s="68" customFormat="1" ht="17.649999999999999" customHeight="1">
      <c r="A67" s="82" t="s">
        <v>288</v>
      </c>
      <c r="B67" s="475" t="s">
        <v>251</v>
      </c>
      <c r="C67" s="475"/>
      <c r="D67" s="475"/>
      <c r="E67" s="97" t="s">
        <v>104</v>
      </c>
      <c r="F67" s="66" t="s">
        <v>62</v>
      </c>
      <c r="G67" s="67"/>
      <c r="H67" s="113"/>
      <c r="I67" s="112">
        <v>50</v>
      </c>
    </row>
    <row r="68" spans="1:9" s="68" customFormat="1" ht="17.649999999999999" customHeight="1">
      <c r="A68" s="82" t="s">
        <v>299</v>
      </c>
      <c r="B68" s="475" t="s">
        <v>251</v>
      </c>
      <c r="C68" s="475"/>
      <c r="D68" s="475"/>
      <c r="E68" s="97" t="s">
        <v>104</v>
      </c>
      <c r="F68" s="66" t="s">
        <v>62</v>
      </c>
      <c r="G68" s="67">
        <v>98490000</v>
      </c>
      <c r="H68" s="113">
        <v>1</v>
      </c>
      <c r="I68" s="112">
        <f t="shared" ref="I68" si="19">+ROUND(H68*G68/1000,1)</f>
        <v>98490</v>
      </c>
    </row>
    <row r="69" spans="1:9" s="68" customFormat="1" ht="17.649999999999999" customHeight="1">
      <c r="A69" s="82" t="s">
        <v>289</v>
      </c>
      <c r="B69" s="475" t="s">
        <v>251</v>
      </c>
      <c r="C69" s="475"/>
      <c r="D69" s="475"/>
      <c r="E69" s="97" t="s">
        <v>104</v>
      </c>
      <c r="F69" s="66" t="s">
        <v>62</v>
      </c>
      <c r="G69" s="67"/>
      <c r="H69" s="113"/>
      <c r="I69" s="112">
        <v>6</v>
      </c>
    </row>
    <row r="70" spans="1:9" s="68" customFormat="1" ht="17.649999999999999" customHeight="1">
      <c r="A70" s="82" t="s">
        <v>290</v>
      </c>
      <c r="B70" s="475" t="s">
        <v>251</v>
      </c>
      <c r="C70" s="475"/>
      <c r="D70" s="475"/>
      <c r="E70" s="97" t="s">
        <v>104</v>
      </c>
      <c r="F70" s="66" t="s">
        <v>62</v>
      </c>
      <c r="G70" s="67"/>
      <c r="H70" s="113"/>
      <c r="I70" s="112">
        <v>50</v>
      </c>
    </row>
    <row r="71" spans="1:9" s="68" customFormat="1" ht="17.649999999999999" customHeight="1">
      <c r="A71" s="82" t="s">
        <v>291</v>
      </c>
      <c r="B71" s="475" t="s">
        <v>251</v>
      </c>
      <c r="C71" s="475"/>
      <c r="D71" s="475"/>
      <c r="E71" s="97" t="s">
        <v>104</v>
      </c>
      <c r="F71" s="66" t="s">
        <v>62</v>
      </c>
      <c r="G71" s="67"/>
      <c r="H71" s="113"/>
      <c r="I71" s="112">
        <v>50</v>
      </c>
    </row>
    <row r="72" spans="1:9" s="68" customFormat="1" ht="17.649999999999999" customHeight="1">
      <c r="A72" s="82" t="s">
        <v>292</v>
      </c>
      <c r="B72" s="475" t="s">
        <v>251</v>
      </c>
      <c r="C72" s="475"/>
      <c r="D72" s="475"/>
      <c r="E72" s="97" t="s">
        <v>104</v>
      </c>
      <c r="F72" s="66" t="s">
        <v>62</v>
      </c>
      <c r="G72" s="67"/>
      <c r="H72" s="113"/>
      <c r="I72" s="112">
        <v>4244.3</v>
      </c>
    </row>
    <row r="73" spans="1:9" s="68" customFormat="1" ht="17.649999999999999" customHeight="1">
      <c r="A73" s="82" t="s">
        <v>293</v>
      </c>
      <c r="B73" s="475" t="s">
        <v>251</v>
      </c>
      <c r="C73" s="475"/>
      <c r="D73" s="475"/>
      <c r="E73" s="97" t="s">
        <v>104</v>
      </c>
      <c r="F73" s="66" t="s">
        <v>62</v>
      </c>
      <c r="G73" s="67"/>
      <c r="H73" s="113"/>
      <c r="I73" s="112">
        <v>5000</v>
      </c>
    </row>
    <row r="74" spans="1:9" s="68" customFormat="1" ht="17.649999999999999" customHeight="1">
      <c r="A74" s="82" t="s">
        <v>294</v>
      </c>
      <c r="B74" s="475" t="s">
        <v>251</v>
      </c>
      <c r="C74" s="475"/>
      <c r="D74" s="475"/>
      <c r="E74" s="97" t="s">
        <v>104</v>
      </c>
      <c r="F74" s="66" t="s">
        <v>62</v>
      </c>
      <c r="G74" s="67"/>
      <c r="H74" s="113"/>
      <c r="I74" s="112">
        <v>5000</v>
      </c>
    </row>
    <row r="75" spans="1:9" s="68" customFormat="1" ht="17.649999999999999" customHeight="1">
      <c r="A75" s="82" t="s">
        <v>300</v>
      </c>
      <c r="B75" s="475" t="s">
        <v>251</v>
      </c>
      <c r="C75" s="475"/>
      <c r="D75" s="475"/>
      <c r="E75" s="97" t="s">
        <v>104</v>
      </c>
      <c r="F75" s="66" t="s">
        <v>62</v>
      </c>
      <c r="G75" s="67">
        <v>97800000</v>
      </c>
      <c r="H75" s="113">
        <v>1</v>
      </c>
      <c r="I75" s="112">
        <f t="shared" ref="I75" si="20">+ROUND(H75*G75/1000,1)</f>
        <v>97800</v>
      </c>
    </row>
    <row r="76" spans="1:9" s="68" customFormat="1" ht="17.649999999999999" customHeight="1">
      <c r="A76" s="82" t="s">
        <v>295</v>
      </c>
      <c r="B76" s="475" t="s">
        <v>251</v>
      </c>
      <c r="C76" s="475"/>
      <c r="D76" s="475"/>
      <c r="E76" s="97" t="s">
        <v>104</v>
      </c>
      <c r="F76" s="66" t="s">
        <v>62</v>
      </c>
      <c r="G76" s="67"/>
      <c r="H76" s="113"/>
      <c r="I76" s="112">
        <v>24500</v>
      </c>
    </row>
    <row r="77" spans="1:9" s="68" customFormat="1" ht="17.649999999999999" customHeight="1">
      <c r="A77" s="82" t="s">
        <v>296</v>
      </c>
      <c r="B77" s="475" t="s">
        <v>251</v>
      </c>
      <c r="C77" s="475"/>
      <c r="D77" s="475"/>
      <c r="E77" s="97" t="s">
        <v>104</v>
      </c>
      <c r="F77" s="66" t="s">
        <v>62</v>
      </c>
      <c r="G77" s="67"/>
      <c r="H77" s="113"/>
      <c r="I77" s="112">
        <v>32000</v>
      </c>
    </row>
    <row r="78" spans="1:9" s="68" customFormat="1" ht="17.649999999999999" customHeight="1">
      <c r="A78" s="82" t="s">
        <v>297</v>
      </c>
      <c r="B78" s="475" t="s">
        <v>251</v>
      </c>
      <c r="C78" s="475"/>
      <c r="D78" s="475"/>
      <c r="E78" s="97" t="s">
        <v>104</v>
      </c>
      <c r="F78" s="66" t="s">
        <v>62</v>
      </c>
      <c r="G78" s="67"/>
      <c r="H78" s="113"/>
      <c r="I78" s="112">
        <v>5000</v>
      </c>
    </row>
    <row r="79" spans="1:9" s="68" customFormat="1" ht="17.649999999999999" customHeight="1">
      <c r="A79" s="82">
        <v>45211229</v>
      </c>
      <c r="B79" s="475" t="s">
        <v>251</v>
      </c>
      <c r="C79" s="475"/>
      <c r="D79" s="475"/>
      <c r="E79" s="97" t="s">
        <v>104</v>
      </c>
      <c r="F79" s="66" t="s">
        <v>62</v>
      </c>
      <c r="G79" s="67">
        <v>450000000</v>
      </c>
      <c r="H79" s="113">
        <v>1</v>
      </c>
      <c r="I79" s="112">
        <f t="shared" ref="I79:I81" si="21">+ROUND(H79*G79/1000,1)</f>
        <v>450000</v>
      </c>
    </row>
    <row r="80" spans="1:9" s="68" customFormat="1" ht="17.649999999999999" customHeight="1">
      <c r="A80" s="82" t="s">
        <v>298</v>
      </c>
      <c r="B80" s="475" t="s">
        <v>251</v>
      </c>
      <c r="C80" s="475"/>
      <c r="D80" s="475"/>
      <c r="E80" s="97" t="s">
        <v>104</v>
      </c>
      <c r="F80" s="66" t="s">
        <v>62</v>
      </c>
      <c r="G80" s="67">
        <v>227680000</v>
      </c>
      <c r="H80" s="113">
        <v>1</v>
      </c>
      <c r="I80" s="112">
        <f t="shared" ref="I80" si="22">+ROUND(H80*G80/1000,1)</f>
        <v>227680</v>
      </c>
    </row>
    <row r="81" spans="1:10" s="68" customFormat="1" ht="17.649999999999999" customHeight="1">
      <c r="A81" s="82" t="s">
        <v>301</v>
      </c>
      <c r="B81" s="475" t="s">
        <v>251</v>
      </c>
      <c r="C81" s="475"/>
      <c r="D81" s="475"/>
      <c r="E81" s="97" t="s">
        <v>104</v>
      </c>
      <c r="F81" s="66" t="s">
        <v>62</v>
      </c>
      <c r="G81" s="67">
        <v>258314400</v>
      </c>
      <c r="H81" s="113">
        <v>1</v>
      </c>
      <c r="I81" s="112">
        <f t="shared" si="21"/>
        <v>258314.4</v>
      </c>
    </row>
    <row r="82" spans="1:10" s="68" customFormat="1" ht="17.649999999999999" customHeight="1">
      <c r="A82" s="82" t="s">
        <v>302</v>
      </c>
      <c r="B82" s="475" t="s">
        <v>251</v>
      </c>
      <c r="C82" s="475"/>
      <c r="D82" s="475"/>
      <c r="E82" s="97" t="s">
        <v>104</v>
      </c>
      <c r="F82" s="66" t="s">
        <v>62</v>
      </c>
      <c r="G82" s="67">
        <v>96000000</v>
      </c>
      <c r="H82" s="113">
        <v>1</v>
      </c>
      <c r="I82" s="112">
        <f t="shared" ref="I82" si="23">+ROUND(H82*G82/1000,1)</f>
        <v>96000</v>
      </c>
    </row>
    <row r="83" spans="1:10" s="68" customFormat="1" ht="17.649999999999999" customHeight="1">
      <c r="A83" s="82" t="s">
        <v>303</v>
      </c>
      <c r="B83" s="475" t="s">
        <v>251</v>
      </c>
      <c r="C83" s="475"/>
      <c r="D83" s="475"/>
      <c r="E83" s="97" t="s">
        <v>104</v>
      </c>
      <c r="F83" s="66" t="s">
        <v>62</v>
      </c>
      <c r="G83" s="67">
        <v>44994000</v>
      </c>
      <c r="H83" s="113">
        <v>1</v>
      </c>
      <c r="I83" s="112">
        <f t="shared" ref="I83" si="24">+ROUND(H83*G83/1000,1)</f>
        <v>44994</v>
      </c>
    </row>
    <row r="84" spans="1:10" s="65" customFormat="1" ht="54.95" customHeight="1">
      <c r="A84" s="92" t="s">
        <v>107</v>
      </c>
      <c r="B84" s="480" t="s">
        <v>101</v>
      </c>
      <c r="C84" s="480"/>
      <c r="D84" s="480"/>
      <c r="E84" s="480"/>
      <c r="F84" s="480"/>
      <c r="G84" s="480"/>
      <c r="H84" s="480"/>
      <c r="I84" s="64">
        <f>+I85+I88</f>
        <v>60635.199999999953</v>
      </c>
      <c r="J84" s="178"/>
    </row>
    <row r="85" spans="1:10" s="17" customFormat="1" ht="21" customHeight="1">
      <c r="A85" s="60"/>
      <c r="B85" s="347" t="s">
        <v>66</v>
      </c>
      <c r="C85" s="348"/>
      <c r="D85" s="349"/>
      <c r="E85" s="61"/>
      <c r="F85" s="61"/>
      <c r="G85" s="61"/>
      <c r="H85" s="62"/>
      <c r="I85" s="36">
        <f>SUM(I86:I87)</f>
        <v>65550.199999999953</v>
      </c>
    </row>
    <row r="86" spans="1:10" s="68" customFormat="1" ht="17.649999999999999" customHeight="1">
      <c r="A86" s="82">
        <v>45211229</v>
      </c>
      <c r="B86" s="475" t="s">
        <v>251</v>
      </c>
      <c r="C86" s="475"/>
      <c r="D86" s="475"/>
      <c r="E86" s="97" t="s">
        <v>104</v>
      </c>
      <c r="F86" s="66" t="s">
        <v>62</v>
      </c>
      <c r="G86" s="67">
        <v>600000000</v>
      </c>
      <c r="H86" s="113">
        <v>1</v>
      </c>
      <c r="I86" s="112">
        <f t="shared" ref="I86" si="25">+ROUND(H86*G86/1000,1)</f>
        <v>600000</v>
      </c>
    </row>
    <row r="87" spans="1:10" s="68" customFormat="1">
      <c r="A87" s="82" t="s">
        <v>261</v>
      </c>
      <c r="B87" s="480" t="s">
        <v>111</v>
      </c>
      <c r="C87" s="480"/>
      <c r="D87" s="480"/>
      <c r="E87" s="97" t="s">
        <v>104</v>
      </c>
      <c r="F87" s="66" t="s">
        <v>62</v>
      </c>
      <c r="G87" s="67">
        <v>534449800</v>
      </c>
      <c r="H87" s="113">
        <v>-1</v>
      </c>
      <c r="I87" s="112">
        <f>+ROUND(H87*G87/1000,1)</f>
        <v>-534449.80000000005</v>
      </c>
    </row>
    <row r="88" spans="1:10" s="68" customFormat="1" ht="21" customHeight="1">
      <c r="A88" s="163"/>
      <c r="B88" s="347" t="s">
        <v>50</v>
      </c>
      <c r="C88" s="348"/>
      <c r="D88" s="349"/>
      <c r="E88" s="61" t="s">
        <v>67</v>
      </c>
      <c r="F88" s="61" t="s">
        <v>67</v>
      </c>
      <c r="G88" s="61" t="s">
        <v>67</v>
      </c>
      <c r="H88" s="69"/>
      <c r="I88" s="36">
        <f>+I89</f>
        <v>-4915</v>
      </c>
    </row>
    <row r="89" spans="1:10" s="68" customFormat="1" ht="17.850000000000001" customHeight="1">
      <c r="A89" s="163" t="s">
        <v>262</v>
      </c>
      <c r="B89" s="476" t="s">
        <v>57</v>
      </c>
      <c r="C89" s="477"/>
      <c r="D89" s="478"/>
      <c r="E89" s="66" t="s">
        <v>104</v>
      </c>
      <c r="F89" s="66" t="s">
        <v>49</v>
      </c>
      <c r="G89" s="67">
        <v>4915000</v>
      </c>
      <c r="H89" s="35">
        <v>-1</v>
      </c>
      <c r="I89" s="106">
        <f>+ROUND(H89*G89/1000,1)</f>
        <v>-4915</v>
      </c>
    </row>
    <row r="90" spans="1:10" s="44" customFormat="1">
      <c r="A90" s="91" t="s">
        <v>63</v>
      </c>
      <c r="B90" s="91" t="s">
        <v>64</v>
      </c>
      <c r="C90" s="91" t="s">
        <v>65</v>
      </c>
      <c r="D90" s="492" t="s">
        <v>71</v>
      </c>
      <c r="E90" s="493"/>
      <c r="F90" s="493"/>
      <c r="G90" s="493"/>
      <c r="H90" s="494"/>
      <c r="I90" s="98">
        <f>+I91</f>
        <v>316678.8</v>
      </c>
    </row>
    <row r="91" spans="1:10" s="22" customFormat="1" ht="54.75" customHeight="1">
      <c r="A91" s="123" t="s">
        <v>80</v>
      </c>
      <c r="B91" s="495" t="s">
        <v>86</v>
      </c>
      <c r="C91" s="496"/>
      <c r="D91" s="496"/>
      <c r="E91" s="496"/>
      <c r="F91" s="496"/>
      <c r="G91" s="496"/>
      <c r="H91" s="497"/>
      <c r="I91" s="124">
        <f>+I92+I94</f>
        <v>316678.8</v>
      </c>
    </row>
    <row r="92" spans="1:10" s="22" customFormat="1" ht="16.5" customHeight="1">
      <c r="A92" s="99"/>
      <c r="B92" s="498" t="s">
        <v>110</v>
      </c>
      <c r="C92" s="499"/>
      <c r="D92" s="500"/>
      <c r="E92" s="100"/>
      <c r="F92" s="100"/>
      <c r="G92" s="101"/>
      <c r="H92" s="101"/>
      <c r="I92" s="102">
        <f>SUM(I93:I93)</f>
        <v>314264.8</v>
      </c>
    </row>
    <row r="93" spans="1:10" s="107" customFormat="1">
      <c r="A93" s="81">
        <v>45211131</v>
      </c>
      <c r="B93" s="480" t="s">
        <v>123</v>
      </c>
      <c r="C93" s="480"/>
      <c r="D93" s="480"/>
      <c r="E93" s="103" t="s">
        <v>87</v>
      </c>
      <c r="F93" s="103" t="s">
        <v>49</v>
      </c>
      <c r="G93" s="104">
        <v>314264796</v>
      </c>
      <c r="H93" s="105">
        <v>1</v>
      </c>
      <c r="I93" s="106">
        <f>+ROUNDUP(H93*G93/1000,1)</f>
        <v>314264.8</v>
      </c>
    </row>
    <row r="94" spans="1:10" s="22" customFormat="1" ht="16.5" customHeight="1">
      <c r="A94" s="99"/>
      <c r="B94" s="498" t="s">
        <v>50</v>
      </c>
      <c r="C94" s="499"/>
      <c r="D94" s="500"/>
      <c r="E94" s="100"/>
      <c r="F94" s="100"/>
      <c r="G94" s="101"/>
      <c r="H94" s="101"/>
      <c r="I94" s="102">
        <f>SUM(I95:I96)</f>
        <v>2414</v>
      </c>
    </row>
    <row r="95" spans="1:10" s="107" customFormat="1" ht="18" customHeight="1">
      <c r="A95" s="162" t="s">
        <v>189</v>
      </c>
      <c r="B95" s="504" t="s">
        <v>57</v>
      </c>
      <c r="C95" s="504"/>
      <c r="D95" s="504"/>
      <c r="E95" s="103" t="s">
        <v>51</v>
      </c>
      <c r="F95" s="103" t="s">
        <v>49</v>
      </c>
      <c r="G95" s="104">
        <v>561661</v>
      </c>
      <c r="H95" s="105">
        <v>1</v>
      </c>
      <c r="I95" s="106">
        <f t="shared" ref="I95:I96" si="26">+ROUNDUP(H95*G95/1000,1)</f>
        <v>561.70000000000005</v>
      </c>
    </row>
    <row r="96" spans="1:10" s="107" customFormat="1" ht="18" customHeight="1">
      <c r="A96" s="162">
        <v>98111140</v>
      </c>
      <c r="B96" s="504" t="s">
        <v>58</v>
      </c>
      <c r="C96" s="504"/>
      <c r="D96" s="504"/>
      <c r="E96" s="103" t="s">
        <v>52</v>
      </c>
      <c r="F96" s="103" t="s">
        <v>49</v>
      </c>
      <c r="G96" s="104">
        <v>1852205</v>
      </c>
      <c r="H96" s="105">
        <v>1</v>
      </c>
      <c r="I96" s="106">
        <f t="shared" si="26"/>
        <v>1852.3</v>
      </c>
    </row>
  </sheetData>
  <mergeCells count="95">
    <mergeCell ref="B31:H31"/>
    <mergeCell ref="B32:D32"/>
    <mergeCell ref="B33:D33"/>
    <mergeCell ref="B43:D43"/>
    <mergeCell ref="B24:D24"/>
    <mergeCell ref="B25:D25"/>
    <mergeCell ref="B26:D26"/>
    <mergeCell ref="B27:D27"/>
    <mergeCell ref="B28:D28"/>
    <mergeCell ref="B38:D38"/>
    <mergeCell ref="B23:D23"/>
    <mergeCell ref="D30:H30"/>
    <mergeCell ref="B29:D29"/>
    <mergeCell ref="D14:H14"/>
    <mergeCell ref="B57:D57"/>
    <mergeCell ref="B34:D34"/>
    <mergeCell ref="B35:D35"/>
    <mergeCell ref="B45:D45"/>
    <mergeCell ref="B54:D54"/>
    <mergeCell ref="B36:D36"/>
    <mergeCell ref="B46:D46"/>
    <mergeCell ref="B37:D37"/>
    <mergeCell ref="B47:D47"/>
    <mergeCell ref="B48:D48"/>
    <mergeCell ref="B39:D39"/>
    <mergeCell ref="B40:D40"/>
    <mergeCell ref="B94:D94"/>
    <mergeCell ref="B95:D95"/>
    <mergeCell ref="B96:D96"/>
    <mergeCell ref="B93:D93"/>
    <mergeCell ref="D90:H90"/>
    <mergeCell ref="B12:D12"/>
    <mergeCell ref="A13:H13"/>
    <mergeCell ref="D63:H63"/>
    <mergeCell ref="B91:H91"/>
    <mergeCell ref="B92:D92"/>
    <mergeCell ref="B41:D41"/>
    <mergeCell ref="B51:D51"/>
    <mergeCell ref="B42:D42"/>
    <mergeCell ref="B15:H15"/>
    <mergeCell ref="B16:D16"/>
    <mergeCell ref="B17:D17"/>
    <mergeCell ref="B18:D18"/>
    <mergeCell ref="B19:D19"/>
    <mergeCell ref="B20:D20"/>
    <mergeCell ref="B21:D21"/>
    <mergeCell ref="B22:D22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64:H64"/>
    <mergeCell ref="B67:D67"/>
    <mergeCell ref="B84:H84"/>
    <mergeCell ref="B88:D88"/>
    <mergeCell ref="B55:D55"/>
    <mergeCell ref="B56:D56"/>
    <mergeCell ref="B58:H58"/>
    <mergeCell ref="B59:D59"/>
    <mergeCell ref="B60:D60"/>
    <mergeCell ref="B61:D61"/>
    <mergeCell ref="B62:D62"/>
    <mergeCell ref="B65:D65"/>
    <mergeCell ref="B66:D66"/>
    <mergeCell ref="B70:D70"/>
    <mergeCell ref="B71:D71"/>
    <mergeCell ref="B87:D87"/>
    <mergeCell ref="B89:D89"/>
    <mergeCell ref="B74:D74"/>
    <mergeCell ref="B75:D75"/>
    <mergeCell ref="B49:D49"/>
    <mergeCell ref="B44:D44"/>
    <mergeCell ref="B68:D68"/>
    <mergeCell ref="B69:D69"/>
    <mergeCell ref="B80:D80"/>
    <mergeCell ref="B73:D73"/>
    <mergeCell ref="B81:D81"/>
    <mergeCell ref="B82:D82"/>
    <mergeCell ref="B83:D83"/>
    <mergeCell ref="B50:D50"/>
    <mergeCell ref="B53:D53"/>
    <mergeCell ref="B52:D52"/>
    <mergeCell ref="B72:D72"/>
    <mergeCell ref="B86:D86"/>
    <mergeCell ref="B79:D79"/>
    <mergeCell ref="B76:D76"/>
    <mergeCell ref="B77:D77"/>
    <mergeCell ref="B78:D78"/>
    <mergeCell ref="B85:D85"/>
  </mergeCells>
  <phoneticPr fontId="96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52"/>
  <sheetViews>
    <sheetView tabSelected="1" topLeftCell="A43" zoomScale="70" zoomScaleNormal="70" zoomScaleSheetLayoutView="100" workbookViewId="0">
      <selection activeCell="I56" sqref="I56"/>
    </sheetView>
  </sheetViews>
  <sheetFormatPr defaultColWidth="9.140625" defaultRowHeight="17.25"/>
  <cols>
    <col min="1" max="3" width="8.85546875" style="2" customWidth="1"/>
    <col min="4" max="4" width="10.28515625" style="2" customWidth="1"/>
    <col min="5" max="5" width="14.5703125" style="2" customWidth="1"/>
    <col min="6" max="6" width="62.140625" style="2" customWidth="1"/>
    <col min="7" max="10" width="19" style="2" customWidth="1"/>
    <col min="11" max="11" width="49.85546875" style="2" customWidth="1"/>
    <col min="12" max="12" width="14.28515625" style="2" customWidth="1"/>
    <col min="13" max="16384" width="9.140625" style="2"/>
  </cols>
  <sheetData>
    <row r="1" spans="1:10" ht="38.1" customHeight="1">
      <c r="F1" s="511" t="s">
        <v>396</v>
      </c>
      <c r="G1" s="511"/>
      <c r="H1" s="511"/>
      <c r="I1" s="511"/>
      <c r="J1" s="511"/>
    </row>
    <row r="2" spans="1:10" ht="17.649999999999999" customHeight="1">
      <c r="G2" s="18"/>
      <c r="H2" s="18"/>
      <c r="I2" s="18"/>
      <c r="J2" s="18" t="s">
        <v>126</v>
      </c>
    </row>
    <row r="3" spans="1:10" ht="17.649999999999999" customHeight="1">
      <c r="G3" s="18"/>
      <c r="H3" s="18"/>
      <c r="I3" s="18"/>
      <c r="J3" s="18" t="s">
        <v>0</v>
      </c>
    </row>
    <row r="6" spans="1:10" ht="52.5" customHeight="1">
      <c r="A6" s="385" t="s">
        <v>397</v>
      </c>
      <c r="B6" s="385"/>
      <c r="C6" s="385"/>
      <c r="D6" s="385"/>
      <c r="E6" s="385"/>
      <c r="F6" s="385"/>
      <c r="G6" s="385"/>
      <c r="H6" s="385"/>
      <c r="I6" s="385"/>
      <c r="J6" s="385"/>
    </row>
    <row r="8" spans="1:10">
      <c r="G8" s="314"/>
      <c r="H8" s="314"/>
      <c r="I8" s="314"/>
      <c r="J8" s="314"/>
    </row>
    <row r="9" spans="1:10" s="9" customFormat="1" ht="45.6" customHeight="1">
      <c r="A9" s="443" t="s">
        <v>10</v>
      </c>
      <c r="B9" s="443"/>
      <c r="C9" s="443"/>
      <c r="D9" s="443" t="s">
        <v>1</v>
      </c>
      <c r="E9" s="443"/>
      <c r="F9" s="443" t="s">
        <v>5</v>
      </c>
      <c r="G9" s="481" t="s">
        <v>383</v>
      </c>
      <c r="H9" s="482"/>
      <c r="I9" s="482"/>
      <c r="J9" s="349"/>
    </row>
    <row r="10" spans="1:10" s="9" customFormat="1" ht="45" customHeight="1">
      <c r="A10" s="97" t="s">
        <v>384</v>
      </c>
      <c r="B10" s="97" t="s">
        <v>385</v>
      </c>
      <c r="C10" s="97" t="s">
        <v>11</v>
      </c>
      <c r="D10" s="97" t="s">
        <v>4</v>
      </c>
      <c r="E10" s="97" t="s">
        <v>309</v>
      </c>
      <c r="F10" s="443"/>
      <c r="G10" s="97" t="s">
        <v>3</v>
      </c>
      <c r="H10" s="97" t="s">
        <v>3</v>
      </c>
      <c r="I10" s="97" t="s">
        <v>3</v>
      </c>
      <c r="J10" s="97" t="s">
        <v>3</v>
      </c>
    </row>
    <row r="11" spans="1:10" s="9" customFormat="1" ht="22.7" customHeight="1">
      <c r="A11" s="81"/>
      <c r="B11" s="81"/>
      <c r="C11" s="81"/>
      <c r="D11" s="97"/>
      <c r="E11" s="97"/>
      <c r="F11" s="205" t="s">
        <v>8</v>
      </c>
      <c r="G11" s="83">
        <f>+G13+G33</f>
        <v>0</v>
      </c>
      <c r="H11" s="83">
        <f>+H13+H33</f>
        <v>0</v>
      </c>
      <c r="I11" s="83">
        <f>+I13+I33</f>
        <v>0</v>
      </c>
      <c r="J11" s="83">
        <f>+J13+J33</f>
        <v>0</v>
      </c>
    </row>
    <row r="12" spans="1:10" s="9" customFormat="1" ht="22.7" customHeight="1">
      <c r="A12" s="81"/>
      <c r="B12" s="81"/>
      <c r="C12" s="81"/>
      <c r="D12" s="97"/>
      <c r="E12" s="97"/>
      <c r="F12" s="81" t="s">
        <v>386</v>
      </c>
      <c r="G12" s="83"/>
      <c r="H12" s="83"/>
      <c r="I12" s="83"/>
      <c r="J12" s="83"/>
    </row>
    <row r="13" spans="1:10" s="68" customFormat="1" ht="27" customHeight="1">
      <c r="A13" s="82"/>
      <c r="B13" s="82"/>
      <c r="C13" s="82"/>
      <c r="D13" s="97"/>
      <c r="E13" s="97"/>
      <c r="F13" s="205" t="s">
        <v>369</v>
      </c>
      <c r="G13" s="83">
        <f t="shared" ref="G13:J13" si="0">+G14</f>
        <v>-134230.1</v>
      </c>
      <c r="H13" s="83">
        <f t="shared" si="0"/>
        <v>-134230.1</v>
      </c>
      <c r="I13" s="83">
        <f t="shared" si="0"/>
        <v>-134230.1</v>
      </c>
      <c r="J13" s="83">
        <f t="shared" si="0"/>
        <v>-134230.1</v>
      </c>
    </row>
    <row r="14" spans="1:10" ht="34.5">
      <c r="A14" s="509" t="s">
        <v>387</v>
      </c>
      <c r="B14" s="509"/>
      <c r="C14" s="509"/>
      <c r="D14" s="509"/>
      <c r="E14" s="509"/>
      <c r="F14" s="211" t="s">
        <v>388</v>
      </c>
      <c r="G14" s="83">
        <f t="shared" ref="G14:J14" si="1">+G16</f>
        <v>-134230.1</v>
      </c>
      <c r="H14" s="83">
        <f t="shared" si="1"/>
        <v>-134230.1</v>
      </c>
      <c r="I14" s="83">
        <f t="shared" si="1"/>
        <v>-134230.1</v>
      </c>
      <c r="J14" s="83">
        <f t="shared" si="1"/>
        <v>-134230.1</v>
      </c>
    </row>
    <row r="15" spans="1:10">
      <c r="A15" s="509"/>
      <c r="B15" s="509"/>
      <c r="C15" s="509"/>
      <c r="D15" s="509"/>
      <c r="E15" s="509"/>
      <c r="F15" s="81" t="s">
        <v>6</v>
      </c>
      <c r="G15" s="315"/>
      <c r="H15" s="315"/>
      <c r="I15" s="315"/>
      <c r="J15" s="315"/>
    </row>
    <row r="16" spans="1:10" ht="34.5">
      <c r="A16" s="509"/>
      <c r="B16" s="509" t="s">
        <v>389</v>
      </c>
      <c r="C16" s="509"/>
      <c r="D16" s="509"/>
      <c r="E16" s="509"/>
      <c r="F16" s="211" t="s">
        <v>390</v>
      </c>
      <c r="G16" s="83">
        <f t="shared" ref="G16:J16" si="2">+G18</f>
        <v>-134230.1</v>
      </c>
      <c r="H16" s="83">
        <f t="shared" si="2"/>
        <v>-134230.1</v>
      </c>
      <c r="I16" s="83">
        <f t="shared" si="2"/>
        <v>-134230.1</v>
      </c>
      <c r="J16" s="83">
        <f t="shared" si="2"/>
        <v>-134230.1</v>
      </c>
    </row>
    <row r="17" spans="1:10">
      <c r="A17" s="509"/>
      <c r="B17" s="509"/>
      <c r="C17" s="509"/>
      <c r="D17" s="509"/>
      <c r="E17" s="509"/>
      <c r="F17" s="81" t="s">
        <v>6</v>
      </c>
      <c r="G17" s="315"/>
      <c r="H17" s="315"/>
      <c r="I17" s="315"/>
      <c r="J17" s="315"/>
    </row>
    <row r="18" spans="1:10">
      <c r="A18" s="509"/>
      <c r="B18" s="509"/>
      <c r="C18" s="509" t="s">
        <v>389</v>
      </c>
      <c r="D18" s="509"/>
      <c r="E18" s="509"/>
      <c r="F18" s="205" t="s">
        <v>391</v>
      </c>
      <c r="G18" s="316">
        <f t="shared" ref="G18:J18" si="3">+G20</f>
        <v>-134230.1</v>
      </c>
      <c r="H18" s="316">
        <f t="shared" si="3"/>
        <v>-134230.1</v>
      </c>
      <c r="I18" s="316">
        <f t="shared" si="3"/>
        <v>-134230.1</v>
      </c>
      <c r="J18" s="316">
        <f t="shared" si="3"/>
        <v>-134230.1</v>
      </c>
    </row>
    <row r="19" spans="1:10" ht="18" customHeight="1">
      <c r="A19" s="509"/>
      <c r="B19" s="509"/>
      <c r="C19" s="509"/>
      <c r="D19" s="509"/>
      <c r="E19" s="509"/>
      <c r="F19" s="81" t="s">
        <v>6</v>
      </c>
      <c r="G19" s="317"/>
      <c r="H19" s="317"/>
      <c r="I19" s="317"/>
      <c r="J19" s="317"/>
    </row>
    <row r="20" spans="1:10">
      <c r="A20" s="509"/>
      <c r="B20" s="509"/>
      <c r="C20" s="509"/>
      <c r="D20" s="509"/>
      <c r="E20" s="509"/>
      <c r="F20" s="81" t="s">
        <v>392</v>
      </c>
      <c r="G20" s="316">
        <f t="shared" ref="G20:J20" si="4">+G22</f>
        <v>-134230.1</v>
      </c>
      <c r="H20" s="316">
        <f t="shared" si="4"/>
        <v>-134230.1</v>
      </c>
      <c r="I20" s="316">
        <f t="shared" si="4"/>
        <v>-134230.1</v>
      </c>
      <c r="J20" s="316">
        <f t="shared" si="4"/>
        <v>-134230.1</v>
      </c>
    </row>
    <row r="21" spans="1:10">
      <c r="A21" s="509"/>
      <c r="B21" s="509"/>
      <c r="C21" s="509"/>
      <c r="D21" s="509"/>
      <c r="E21" s="509"/>
      <c r="F21" s="81" t="s">
        <v>6</v>
      </c>
      <c r="G21" s="318"/>
      <c r="H21" s="318"/>
      <c r="I21" s="318"/>
      <c r="J21" s="318"/>
    </row>
    <row r="22" spans="1:10" s="17" customFormat="1" ht="22.7" customHeight="1">
      <c r="A22" s="509"/>
      <c r="B22" s="509"/>
      <c r="C22" s="509"/>
      <c r="D22" s="509" t="s">
        <v>393</v>
      </c>
      <c r="E22" s="442" t="s">
        <v>394</v>
      </c>
      <c r="F22" s="442" t="s">
        <v>391</v>
      </c>
      <c r="G22" s="316">
        <f t="shared" ref="G22:J22" si="5">+G24</f>
        <v>-134230.1</v>
      </c>
      <c r="H22" s="316">
        <f t="shared" si="5"/>
        <v>-134230.1</v>
      </c>
      <c r="I22" s="316">
        <f t="shared" si="5"/>
        <v>-134230.1</v>
      </c>
      <c r="J22" s="316">
        <f t="shared" si="5"/>
        <v>-134230.1</v>
      </c>
    </row>
    <row r="23" spans="1:10" ht="17.850000000000001" customHeight="1">
      <c r="A23" s="509"/>
      <c r="B23" s="509"/>
      <c r="C23" s="509"/>
      <c r="D23" s="509"/>
      <c r="E23" s="319"/>
      <c r="F23" s="81" t="s">
        <v>6</v>
      </c>
      <c r="G23" s="104"/>
      <c r="H23" s="104"/>
      <c r="I23" s="104"/>
      <c r="J23" s="104"/>
    </row>
    <row r="24" spans="1:10" ht="20.100000000000001" customHeight="1">
      <c r="A24" s="509"/>
      <c r="B24" s="509"/>
      <c r="C24" s="509"/>
      <c r="D24" s="509"/>
      <c r="E24" s="320" t="s">
        <v>395</v>
      </c>
      <c r="F24" s="205" t="s">
        <v>391</v>
      </c>
      <c r="G24" s="321">
        <f t="shared" ref="G24:J24" si="6">+G26</f>
        <v>-134230.1</v>
      </c>
      <c r="H24" s="321">
        <f t="shared" si="6"/>
        <v>-134230.1</v>
      </c>
      <c r="I24" s="321">
        <f t="shared" si="6"/>
        <v>-134230.1</v>
      </c>
      <c r="J24" s="321">
        <f t="shared" si="6"/>
        <v>-134230.1</v>
      </c>
    </row>
    <row r="25" spans="1:10" ht="17.850000000000001" customHeight="1">
      <c r="A25" s="509"/>
      <c r="B25" s="509"/>
      <c r="C25" s="509"/>
      <c r="D25" s="509"/>
      <c r="E25" s="510"/>
      <c r="F25" s="81" t="s">
        <v>16</v>
      </c>
      <c r="G25" s="322"/>
      <c r="H25" s="322"/>
      <c r="I25" s="322"/>
      <c r="J25" s="322"/>
    </row>
    <row r="26" spans="1:10">
      <c r="A26" s="509"/>
      <c r="B26" s="509"/>
      <c r="C26" s="509"/>
      <c r="D26" s="509"/>
      <c r="E26" s="510"/>
      <c r="F26" s="323" t="s">
        <v>392</v>
      </c>
      <c r="G26" s="324">
        <f t="shared" ref="G26:J26" si="7">+G28</f>
        <v>-134230.1</v>
      </c>
      <c r="H26" s="324">
        <f t="shared" si="7"/>
        <v>-134230.1</v>
      </c>
      <c r="I26" s="324">
        <f t="shared" si="7"/>
        <v>-134230.1</v>
      </c>
      <c r="J26" s="324">
        <f t="shared" si="7"/>
        <v>-134230.1</v>
      </c>
    </row>
    <row r="27" spans="1:10" ht="51.75">
      <c r="A27" s="509"/>
      <c r="B27" s="509"/>
      <c r="C27" s="509"/>
      <c r="D27" s="509"/>
      <c r="E27" s="510"/>
      <c r="F27" s="81" t="s">
        <v>13</v>
      </c>
      <c r="G27" s="322"/>
      <c r="H27" s="322"/>
      <c r="I27" s="322"/>
      <c r="J27" s="322"/>
    </row>
    <row r="28" spans="1:10" ht="17.850000000000001" customHeight="1">
      <c r="A28" s="509"/>
      <c r="B28" s="509"/>
      <c r="C28" s="509"/>
      <c r="D28" s="509"/>
      <c r="E28" s="510"/>
      <c r="F28" s="97" t="s">
        <v>7</v>
      </c>
      <c r="G28" s="104">
        <f t="shared" ref="G28:J30" si="8">+G29</f>
        <v>-134230.1</v>
      </c>
      <c r="H28" s="104">
        <f t="shared" si="8"/>
        <v>-134230.1</v>
      </c>
      <c r="I28" s="104">
        <f t="shared" si="8"/>
        <v>-134230.1</v>
      </c>
      <c r="J28" s="104">
        <f t="shared" si="8"/>
        <v>-134230.1</v>
      </c>
    </row>
    <row r="29" spans="1:10" ht="17.850000000000001" customHeight="1">
      <c r="A29" s="509"/>
      <c r="B29" s="509"/>
      <c r="C29" s="509"/>
      <c r="D29" s="509"/>
      <c r="E29" s="510"/>
      <c r="F29" s="325" t="s">
        <v>318</v>
      </c>
      <c r="G29" s="322">
        <f t="shared" si="8"/>
        <v>-134230.1</v>
      </c>
      <c r="H29" s="322">
        <f t="shared" si="8"/>
        <v>-134230.1</v>
      </c>
      <c r="I29" s="322">
        <f t="shared" si="8"/>
        <v>-134230.1</v>
      </c>
      <c r="J29" s="322">
        <f t="shared" si="8"/>
        <v>-134230.1</v>
      </c>
    </row>
    <row r="30" spans="1:10" ht="17.850000000000001" customHeight="1">
      <c r="A30" s="509"/>
      <c r="B30" s="509"/>
      <c r="C30" s="509"/>
      <c r="D30" s="509"/>
      <c r="E30" s="510"/>
      <c r="F30" s="325" t="s">
        <v>319</v>
      </c>
      <c r="G30" s="322">
        <f t="shared" si="8"/>
        <v>-134230.1</v>
      </c>
      <c r="H30" s="322">
        <f t="shared" si="8"/>
        <v>-134230.1</v>
      </c>
      <c r="I30" s="322">
        <f t="shared" si="8"/>
        <v>-134230.1</v>
      </c>
      <c r="J30" s="322">
        <f t="shared" si="8"/>
        <v>-134230.1</v>
      </c>
    </row>
    <row r="31" spans="1:10" ht="17.850000000000001" customHeight="1">
      <c r="A31" s="509"/>
      <c r="B31" s="509"/>
      <c r="C31" s="509"/>
      <c r="D31" s="509"/>
      <c r="E31" s="510"/>
      <c r="F31" s="325" t="s">
        <v>400</v>
      </c>
      <c r="G31" s="322">
        <f>+'Հավելված N 3'!G185</f>
        <v>-134230.1</v>
      </c>
      <c r="H31" s="322">
        <f>+'Հավելված N 3'!H185</f>
        <v>-134230.1</v>
      </c>
      <c r="I31" s="322">
        <f>+'Հավելված N 3'!I185</f>
        <v>-134230.1</v>
      </c>
      <c r="J31" s="322">
        <f>+'Հավելված N 3'!J185</f>
        <v>-134230.1</v>
      </c>
    </row>
    <row r="32" spans="1:10" ht="9.4" customHeight="1">
      <c r="A32" s="326"/>
      <c r="B32" s="327"/>
      <c r="C32" s="328"/>
      <c r="D32" s="81"/>
      <c r="E32" s="81"/>
    </row>
    <row r="33" spans="1:10" s="68" customFormat="1" ht="34.5">
      <c r="A33" s="82"/>
      <c r="B33" s="82"/>
      <c r="C33" s="82"/>
      <c r="D33" s="82"/>
      <c r="E33" s="82"/>
      <c r="F33" s="205" t="s">
        <v>17</v>
      </c>
      <c r="G33" s="83">
        <f>+G34</f>
        <v>134230.1</v>
      </c>
      <c r="H33" s="83">
        <f t="shared" ref="H33:J33" si="9">+H34</f>
        <v>134230.1</v>
      </c>
      <c r="I33" s="83">
        <f t="shared" si="9"/>
        <v>134230.1</v>
      </c>
      <c r="J33" s="83">
        <f t="shared" si="9"/>
        <v>134230.1</v>
      </c>
    </row>
    <row r="34" spans="1:10" s="9" customFormat="1" ht="17.649999999999999" customHeight="1">
      <c r="A34" s="370" t="s">
        <v>323</v>
      </c>
      <c r="B34" s="363"/>
      <c r="C34" s="372"/>
      <c r="D34" s="359"/>
      <c r="E34" s="31"/>
      <c r="F34" s="205" t="s">
        <v>324</v>
      </c>
      <c r="G34" s="83">
        <f t="shared" ref="G34:I34" si="10">+G36</f>
        <v>134230.1</v>
      </c>
      <c r="H34" s="83">
        <f t="shared" si="10"/>
        <v>134230.1</v>
      </c>
      <c r="I34" s="83">
        <f t="shared" si="10"/>
        <v>134230.1</v>
      </c>
      <c r="J34" s="83">
        <f>+J36</f>
        <v>134230.1</v>
      </c>
    </row>
    <row r="35" spans="1:10" s="9" customFormat="1" ht="16.350000000000001" customHeight="1">
      <c r="A35" s="371"/>
      <c r="B35" s="363"/>
      <c r="C35" s="374"/>
      <c r="D35" s="360"/>
      <c r="E35" s="32"/>
      <c r="F35" s="81" t="s">
        <v>6</v>
      </c>
      <c r="G35" s="88"/>
      <c r="H35" s="88"/>
      <c r="I35" s="88"/>
      <c r="J35" s="88"/>
    </row>
    <row r="36" spans="1:10" s="9" customFormat="1" ht="19.350000000000001" customHeight="1">
      <c r="A36" s="371"/>
      <c r="B36" s="370" t="s">
        <v>70</v>
      </c>
      <c r="C36" s="206"/>
      <c r="D36" s="360"/>
      <c r="E36" s="32"/>
      <c r="F36" s="205" t="s">
        <v>199</v>
      </c>
      <c r="G36" s="80">
        <f t="shared" ref="G36:J36" si="11">+G38</f>
        <v>134230.1</v>
      </c>
      <c r="H36" s="80">
        <f t="shared" si="11"/>
        <v>134230.1</v>
      </c>
      <c r="I36" s="80">
        <f t="shared" si="11"/>
        <v>134230.1</v>
      </c>
      <c r="J36" s="80">
        <f t="shared" si="11"/>
        <v>134230.1</v>
      </c>
    </row>
    <row r="37" spans="1:10" s="9" customFormat="1" ht="16.899999999999999" customHeight="1">
      <c r="A37" s="371"/>
      <c r="B37" s="371"/>
      <c r="C37" s="206"/>
      <c r="D37" s="360"/>
      <c r="E37" s="32"/>
      <c r="F37" s="81" t="s">
        <v>6</v>
      </c>
      <c r="G37" s="88"/>
      <c r="H37" s="88"/>
      <c r="I37" s="88"/>
      <c r="J37" s="88"/>
    </row>
    <row r="38" spans="1:10" s="9" customFormat="1" ht="19.350000000000001" customHeight="1">
      <c r="A38" s="371"/>
      <c r="B38" s="371"/>
      <c r="C38" s="370" t="s">
        <v>70</v>
      </c>
      <c r="D38" s="360"/>
      <c r="E38" s="32"/>
      <c r="F38" s="205" t="s">
        <v>199</v>
      </c>
      <c r="G38" s="80">
        <f t="shared" ref="G38:J38" si="12">+G40</f>
        <v>134230.1</v>
      </c>
      <c r="H38" s="80">
        <f t="shared" si="12"/>
        <v>134230.1</v>
      </c>
      <c r="I38" s="80">
        <f t="shared" si="12"/>
        <v>134230.1</v>
      </c>
      <c r="J38" s="80">
        <f t="shared" si="12"/>
        <v>134230.1</v>
      </c>
    </row>
    <row r="39" spans="1:10" s="9" customFormat="1" ht="16.899999999999999" customHeight="1">
      <c r="A39" s="371"/>
      <c r="B39" s="371"/>
      <c r="C39" s="371"/>
      <c r="D39" s="360"/>
      <c r="E39" s="32"/>
      <c r="F39" s="81" t="s">
        <v>6</v>
      </c>
      <c r="G39" s="246"/>
      <c r="H39" s="246"/>
      <c r="I39" s="246"/>
      <c r="J39" s="246"/>
    </row>
    <row r="40" spans="1:10" s="9" customFormat="1" ht="34.5">
      <c r="A40" s="371"/>
      <c r="B40" s="371"/>
      <c r="C40" s="371"/>
      <c r="D40" s="360"/>
      <c r="E40" s="32"/>
      <c r="F40" s="82" t="s">
        <v>12</v>
      </c>
      <c r="G40" s="246">
        <f t="shared" ref="G40:J40" si="13">+G42</f>
        <v>134230.1</v>
      </c>
      <c r="H40" s="246">
        <f t="shared" si="13"/>
        <v>134230.1</v>
      </c>
      <c r="I40" s="246">
        <f t="shared" si="13"/>
        <v>134230.1</v>
      </c>
      <c r="J40" s="246">
        <f t="shared" si="13"/>
        <v>134230.1</v>
      </c>
    </row>
    <row r="41" spans="1:10" s="9" customFormat="1" ht="16.899999999999999" customHeight="1">
      <c r="A41" s="371"/>
      <c r="B41" s="371"/>
      <c r="C41" s="371"/>
      <c r="D41" s="361"/>
      <c r="E41" s="32"/>
      <c r="F41" s="329" t="s">
        <v>6</v>
      </c>
      <c r="G41" s="246"/>
      <c r="H41" s="246"/>
      <c r="I41" s="246"/>
      <c r="J41" s="246"/>
    </row>
    <row r="42" spans="1:10" s="9" customFormat="1" ht="18" customHeight="1">
      <c r="A42" s="371"/>
      <c r="B42" s="371"/>
      <c r="C42" s="371"/>
      <c r="D42" s="391">
        <v>1163</v>
      </c>
      <c r="E42" s="353" t="s">
        <v>81</v>
      </c>
      <c r="F42" s="353"/>
      <c r="G42" s="83">
        <f t="shared" ref="G42:J42" si="14">+G44</f>
        <v>134230.1</v>
      </c>
      <c r="H42" s="83">
        <f t="shared" si="14"/>
        <v>134230.1</v>
      </c>
      <c r="I42" s="83">
        <f t="shared" si="14"/>
        <v>134230.1</v>
      </c>
      <c r="J42" s="83">
        <f t="shared" si="14"/>
        <v>134230.1</v>
      </c>
    </row>
    <row r="43" spans="1:10" s="9" customFormat="1" ht="16.899999999999999" customHeight="1">
      <c r="A43" s="371"/>
      <c r="B43" s="371"/>
      <c r="C43" s="371"/>
      <c r="D43" s="392"/>
      <c r="E43" s="203"/>
      <c r="F43" s="81" t="s">
        <v>6</v>
      </c>
      <c r="G43" s="246"/>
      <c r="H43" s="246"/>
      <c r="I43" s="246"/>
      <c r="J43" s="246"/>
    </row>
    <row r="44" spans="1:10" s="9" customFormat="1" ht="34.5">
      <c r="A44" s="371"/>
      <c r="B44" s="371"/>
      <c r="C44" s="371"/>
      <c r="D44" s="392"/>
      <c r="E44" s="84">
        <v>32005</v>
      </c>
      <c r="F44" s="211" t="s">
        <v>190</v>
      </c>
      <c r="G44" s="330">
        <f t="shared" ref="G44:J44" si="15">+G46</f>
        <v>134230.1</v>
      </c>
      <c r="H44" s="330">
        <f t="shared" si="15"/>
        <v>134230.1</v>
      </c>
      <c r="I44" s="330">
        <f t="shared" si="15"/>
        <v>134230.1</v>
      </c>
      <c r="J44" s="330">
        <f t="shared" si="15"/>
        <v>134230.1</v>
      </c>
    </row>
    <row r="45" spans="1:10" s="9" customFormat="1" ht="16.899999999999999" customHeight="1">
      <c r="A45" s="371"/>
      <c r="B45" s="371"/>
      <c r="C45" s="371"/>
      <c r="D45" s="392"/>
      <c r="E45" s="354"/>
      <c r="F45" s="81" t="s">
        <v>16</v>
      </c>
      <c r="G45" s="88"/>
      <c r="H45" s="88"/>
      <c r="I45" s="88"/>
      <c r="J45" s="88"/>
    </row>
    <row r="46" spans="1:10" s="12" customFormat="1" ht="34.5">
      <c r="A46" s="371"/>
      <c r="B46" s="371"/>
      <c r="C46" s="371"/>
      <c r="D46" s="392"/>
      <c r="E46" s="355"/>
      <c r="F46" s="86" t="s">
        <v>12</v>
      </c>
      <c r="G46" s="331">
        <f t="shared" ref="G46:J46" si="16">+G48</f>
        <v>134230.1</v>
      </c>
      <c r="H46" s="331">
        <f t="shared" si="16"/>
        <v>134230.1</v>
      </c>
      <c r="I46" s="331">
        <f t="shared" si="16"/>
        <v>134230.1</v>
      </c>
      <c r="J46" s="331">
        <f t="shared" si="16"/>
        <v>134230.1</v>
      </c>
    </row>
    <row r="47" spans="1:10" s="9" customFormat="1" ht="51.75">
      <c r="A47" s="371"/>
      <c r="B47" s="371"/>
      <c r="C47" s="371"/>
      <c r="D47" s="392"/>
      <c r="E47" s="355"/>
      <c r="F47" s="81" t="s">
        <v>13</v>
      </c>
      <c r="G47" s="88"/>
      <c r="H47" s="88"/>
      <c r="I47" s="88"/>
      <c r="J47" s="88"/>
    </row>
    <row r="48" spans="1:10" s="9" customFormat="1" ht="16.899999999999999" customHeight="1">
      <c r="A48" s="371"/>
      <c r="B48" s="371"/>
      <c r="C48" s="371"/>
      <c r="D48" s="392"/>
      <c r="E48" s="355"/>
      <c r="F48" s="90" t="s">
        <v>7</v>
      </c>
      <c r="G48" s="332">
        <f t="shared" ref="G48:J51" si="17">+G49</f>
        <v>134230.1</v>
      </c>
      <c r="H48" s="332">
        <f t="shared" si="17"/>
        <v>134230.1</v>
      </c>
      <c r="I48" s="332">
        <f t="shared" si="17"/>
        <v>134230.1</v>
      </c>
      <c r="J48" s="332">
        <f t="shared" si="17"/>
        <v>134230.1</v>
      </c>
    </row>
    <row r="49" spans="1:10" s="9" customFormat="1" ht="16.899999999999999" customHeight="1">
      <c r="A49" s="371"/>
      <c r="B49" s="371"/>
      <c r="C49" s="371"/>
      <c r="D49" s="392"/>
      <c r="E49" s="355"/>
      <c r="F49" s="81" t="s">
        <v>54</v>
      </c>
      <c r="G49" s="78">
        <f t="shared" si="17"/>
        <v>134230.1</v>
      </c>
      <c r="H49" s="78">
        <f t="shared" si="17"/>
        <v>134230.1</v>
      </c>
      <c r="I49" s="78">
        <f t="shared" si="17"/>
        <v>134230.1</v>
      </c>
      <c r="J49" s="78">
        <f t="shared" si="17"/>
        <v>134230.1</v>
      </c>
    </row>
    <row r="50" spans="1:10" s="9" customFormat="1" ht="16.899999999999999" customHeight="1">
      <c r="A50" s="371"/>
      <c r="B50" s="371"/>
      <c r="C50" s="371"/>
      <c r="D50" s="392"/>
      <c r="E50" s="355"/>
      <c r="F50" s="81" t="s">
        <v>55</v>
      </c>
      <c r="G50" s="78">
        <f t="shared" si="17"/>
        <v>134230.1</v>
      </c>
      <c r="H50" s="78">
        <f t="shared" si="17"/>
        <v>134230.1</v>
      </c>
      <c r="I50" s="78">
        <f t="shared" si="17"/>
        <v>134230.1</v>
      </c>
      <c r="J50" s="78">
        <f t="shared" si="17"/>
        <v>134230.1</v>
      </c>
    </row>
    <row r="51" spans="1:10" s="9" customFormat="1" ht="16.899999999999999" customHeight="1">
      <c r="A51" s="371"/>
      <c r="B51" s="371"/>
      <c r="C51" s="371"/>
      <c r="D51" s="392"/>
      <c r="E51" s="355"/>
      <c r="F51" s="247" t="s">
        <v>56</v>
      </c>
      <c r="G51" s="78">
        <f t="shared" si="17"/>
        <v>134230.1</v>
      </c>
      <c r="H51" s="78">
        <f t="shared" si="17"/>
        <v>134230.1</v>
      </c>
      <c r="I51" s="78">
        <f t="shared" si="17"/>
        <v>134230.1</v>
      </c>
      <c r="J51" s="78">
        <f t="shared" si="17"/>
        <v>134230.1</v>
      </c>
    </row>
    <row r="52" spans="1:10" s="9" customFormat="1">
      <c r="A52" s="375"/>
      <c r="B52" s="375"/>
      <c r="C52" s="375"/>
      <c r="D52" s="393"/>
      <c r="E52" s="366"/>
      <c r="F52" s="247" t="s">
        <v>47</v>
      </c>
      <c r="G52" s="78">
        <f>+'Հավելված N 3'!G34</f>
        <v>134230.1</v>
      </c>
      <c r="H52" s="78">
        <f>+'Հավելված N 3'!H34</f>
        <v>134230.1</v>
      </c>
      <c r="I52" s="78">
        <f>+'Հավելված N 3'!I34</f>
        <v>134230.1</v>
      </c>
      <c r="J52" s="78">
        <f>+'Հավելված N 3'!J34</f>
        <v>134230.1</v>
      </c>
    </row>
  </sheetData>
  <mergeCells count="25">
    <mergeCell ref="F1:J1"/>
    <mergeCell ref="A6:J6"/>
    <mergeCell ref="A9:C9"/>
    <mergeCell ref="D9:E9"/>
    <mergeCell ref="F9:F10"/>
    <mergeCell ref="G9:J9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E42:F42"/>
    <mergeCell ref="E45:E52"/>
    <mergeCell ref="A34:A52"/>
    <mergeCell ref="B34:B35"/>
    <mergeCell ref="C34:C35"/>
    <mergeCell ref="D34:D41"/>
    <mergeCell ref="B36:B52"/>
    <mergeCell ref="C38:C52"/>
    <mergeCell ref="D42:D52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Հավելված N 1 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  <vt:lpstr>Հավելված N 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https://mul2.gov.am/tasks/1118460/oneclick?token=79d13c5aeb6da1523dc833e222a6ae58</cp:keywords>
  <cp:lastModifiedBy>Merri Saribekyan</cp:lastModifiedBy>
  <cp:lastPrinted>2024-02-19T11:31:34Z</cp:lastPrinted>
  <dcterms:created xsi:type="dcterms:W3CDTF">2022-01-04T07:12:58Z</dcterms:created>
  <dcterms:modified xsi:type="dcterms:W3CDTF">2025-03-04T10:41:49Z</dcterms:modified>
</cp:coreProperties>
</file>