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APITAL\2025\GOV DECREES\KGMSN\"/>
    </mc:Choice>
  </mc:AlternateContent>
  <bookViews>
    <workbookView xWindow="-107" yWindow="-107" windowWidth="23255" windowHeight="12573" tabRatio="878" activeTab="3"/>
  </bookViews>
  <sheets>
    <sheet name="Հավելված N 1" sheetId="67" r:id="rId1"/>
    <sheet name="Հավելված N 2" sheetId="32" r:id="rId2"/>
    <sheet name="Հավելված N 3" sheetId="55" r:id="rId3"/>
    <sheet name="Հավելված N 4" sheetId="56" r:id="rId4"/>
    <sheet name="Հավելված N 5" sheetId="63" r:id="rId5"/>
    <sheet name="Հավելված N 6" sheetId="69" r:id="rId6"/>
    <sheet name="Հավելված N 7" sheetId="70" r:id="rId7"/>
    <sheet name="Հավելված N 8" sheetId="54" r:id="rId8"/>
    <sheet name="Հավելված N 9" sheetId="68" r:id="rId9"/>
  </sheets>
  <definedNames>
    <definedName name="a" localSheetId="0">#REF!</definedName>
    <definedName name="a" localSheetId="5">#REF!</definedName>
    <definedName name="a" localSheetId="6">#REF!</definedName>
    <definedName name="a" localSheetId="8">#REF!</definedName>
    <definedName name="a">#REF!</definedName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6">#REF!</definedName>
    <definedName name="AgencyCode" localSheetId="7">#REF!</definedName>
    <definedName name="AgencyCode" localSheetId="8">#REF!</definedName>
    <definedName name="AgencyCode">#REF!</definedName>
    <definedName name="AgencyName" localSheetId="0">#REF!</definedName>
    <definedName name="AgencyName" localSheetId="1">#REF!</definedName>
    <definedName name="AgencyName" localSheetId="5">#REF!</definedName>
    <definedName name="AgencyName" localSheetId="6">#REF!</definedName>
    <definedName name="AgencyName" localSheetId="8">#REF!</definedName>
    <definedName name="AgencyName">#REF!</definedName>
    <definedName name="åû" localSheetId="6">#REF!</definedName>
    <definedName name="åû">#REF!</definedName>
    <definedName name="davit" localSheetId="0">#REF!</definedName>
    <definedName name="davit" localSheetId="5">#REF!</definedName>
    <definedName name="davit" localSheetId="6">#REF!</definedName>
    <definedName name="davit" localSheetId="8">#REF!</definedName>
    <definedName name="davit">#REF!</definedName>
    <definedName name="Functional1" localSheetId="0">#REF!</definedName>
    <definedName name="Functional1" localSheetId="1">#REF!</definedName>
    <definedName name="Functional1" localSheetId="5">#REF!</definedName>
    <definedName name="Functional1" localSheetId="6">#REF!</definedName>
    <definedName name="Functional1" localSheetId="8">#REF!</definedName>
    <definedName name="Functional1">#REF!</definedName>
    <definedName name="ggg" localSheetId="0">#REF!</definedName>
    <definedName name="ggg" localSheetId="5">#REF!</definedName>
    <definedName name="ggg" localSheetId="6">#REF!</definedName>
    <definedName name="ggg" localSheetId="8">#REF!</definedName>
    <definedName name="ggg">#REF!</definedName>
    <definedName name="mas" localSheetId="6">#REF!</definedName>
    <definedName name="mas">#REF!</definedName>
    <definedName name="mass" localSheetId="6">#REF!</definedName>
    <definedName name="mass">#REF!</definedName>
    <definedName name="PANature" localSheetId="0">#REF!</definedName>
    <definedName name="PANature" localSheetId="1">#REF!</definedName>
    <definedName name="PANature" localSheetId="5">#REF!</definedName>
    <definedName name="PANature" localSheetId="6">#REF!</definedName>
    <definedName name="PANature" localSheetId="8">#REF!</definedName>
    <definedName name="PANature">#REF!</definedName>
    <definedName name="PAType" localSheetId="0">#REF!</definedName>
    <definedName name="PAType" localSheetId="1">#REF!</definedName>
    <definedName name="PAType" localSheetId="5">#REF!</definedName>
    <definedName name="PAType" localSheetId="6">#REF!</definedName>
    <definedName name="PAType" localSheetId="8">#REF!</definedName>
    <definedName name="PAType">#REF!</definedName>
    <definedName name="Performance2" localSheetId="0">#REF!</definedName>
    <definedName name="Performance2" localSheetId="1">#REF!</definedName>
    <definedName name="Performance2" localSheetId="5">#REF!</definedName>
    <definedName name="Performance2" localSheetId="6">#REF!</definedName>
    <definedName name="Performance2" localSheetId="8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5">#REF!</definedName>
    <definedName name="PerformanceType" localSheetId="6">#REF!</definedName>
    <definedName name="PerformanceType" localSheetId="8">#REF!</definedName>
    <definedName name="PerformanceType">#REF!</definedName>
    <definedName name="x" localSheetId="6">#REF!</definedName>
    <definedName name="x">#REF!</definedName>
    <definedName name="Հավելված" localSheetId="0">#REF!</definedName>
    <definedName name="Հավելված" localSheetId="4">#REF!</definedName>
    <definedName name="Հավելված" localSheetId="5">#REF!</definedName>
    <definedName name="Հավելված" localSheetId="6">#REF!</definedName>
    <definedName name="Հավելված" localSheetId="8">#REF!</definedName>
    <definedName name="Հավելված">#REF!</definedName>
    <definedName name="Հավելված10" localSheetId="6">#REF!</definedName>
    <definedName name="Հավելված10">#REF!</definedName>
    <definedName name="Հավելված11" localSheetId="6">#REF!</definedName>
    <definedName name="Հավելված11">#REF!</definedName>
    <definedName name="Հավելված20" localSheetId="6">#REF!</definedName>
    <definedName name="Հավելված20">#REF!</definedName>
    <definedName name="Հավելված9" localSheetId="6">#REF!</definedName>
    <definedName name="Հավելված9">#REF!</definedName>
    <definedName name="Մաս" localSheetId="0">#REF!</definedName>
    <definedName name="Մաս" localSheetId="5">#REF!</definedName>
    <definedName name="Մաս" localSheetId="6">#REF!</definedName>
    <definedName name="Մաս" localSheetId="8">#REF!</definedName>
    <definedName name="Մաս">#REF!</definedName>
    <definedName name="շախմատիստ" localSheetId="0">#REF!</definedName>
    <definedName name="շախմատիստ" localSheetId="5">#REF!</definedName>
    <definedName name="շախմատիստ" localSheetId="6">#REF!</definedName>
    <definedName name="շախմատիստ" localSheetId="8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G101" i="56" l="1"/>
  <c r="F101" i="56"/>
  <c r="D89" i="56" l="1"/>
  <c r="G51" i="68" l="1"/>
  <c r="G50" i="68" s="1"/>
  <c r="G49" i="68" s="1"/>
  <c r="G146" i="32" l="1"/>
  <c r="H127" i="32"/>
  <c r="H126" i="32" s="1"/>
  <c r="H125" i="32" s="1"/>
  <c r="H124" i="32" s="1"/>
  <c r="H123" i="32" s="1"/>
  <c r="H121" i="32" s="1"/>
  <c r="E101" i="56"/>
  <c r="H17" i="55"/>
  <c r="E17" i="55"/>
  <c r="G20" i="56"/>
  <c r="F20" i="56"/>
  <c r="I127" i="32"/>
  <c r="I126" i="32" s="1"/>
  <c r="I125" i="32" s="1"/>
  <c r="I124" i="32" s="1"/>
  <c r="I123" i="32" s="1"/>
  <c r="I121" i="32" s="1"/>
  <c r="G127" i="32"/>
  <c r="G126" i="32" s="1"/>
  <c r="G125" i="32" s="1"/>
  <c r="G124" i="32" s="1"/>
  <c r="G123" i="32" s="1"/>
  <c r="G121" i="32" s="1"/>
  <c r="G107" i="32"/>
  <c r="G106" i="32" s="1"/>
  <c r="G105" i="32" s="1"/>
  <c r="G104" i="32" s="1"/>
  <c r="G103" i="32" s="1"/>
  <c r="G101" i="32" s="1"/>
  <c r="H119" i="32" l="1"/>
  <c r="H32" i="67" s="1"/>
  <c r="K75" i="69" s="1"/>
  <c r="K75" i="70"/>
  <c r="G99" i="32"/>
  <c r="J65" i="70"/>
  <c r="I119" i="32"/>
  <c r="I32" i="67" s="1"/>
  <c r="L75" i="69" s="1"/>
  <c r="L75" i="70"/>
  <c r="G119" i="32"/>
  <c r="G32" i="67" s="1"/>
  <c r="J75" i="69" s="1"/>
  <c r="J75" i="70"/>
  <c r="G145" i="32"/>
  <c r="G97" i="32"/>
  <c r="G96" i="32" s="1"/>
  <c r="G95" i="32" s="1"/>
  <c r="G93" i="32" s="1"/>
  <c r="H97" i="32"/>
  <c r="H96" i="32" s="1"/>
  <c r="H95" i="32" s="1"/>
  <c r="H93" i="32" s="1"/>
  <c r="J97" i="32"/>
  <c r="J96" i="32" s="1"/>
  <c r="J95" i="32" s="1"/>
  <c r="J93" i="32" s="1"/>
  <c r="I97" i="32"/>
  <c r="I96" i="32" s="1"/>
  <c r="I95" i="32" s="1"/>
  <c r="I93" i="32" s="1"/>
  <c r="H91" i="32" l="1"/>
  <c r="K61" i="70"/>
  <c r="G91" i="32"/>
  <c r="G28" i="67" s="1"/>
  <c r="J61" i="70"/>
  <c r="J60" i="70" s="1"/>
  <c r="G29" i="67"/>
  <c r="J65" i="69" s="1"/>
  <c r="I91" i="32"/>
  <c r="L61" i="70"/>
  <c r="J91" i="32"/>
  <c r="M61" i="70"/>
  <c r="E99" i="56"/>
  <c r="G99" i="56"/>
  <c r="F99" i="56"/>
  <c r="D81" i="55"/>
  <c r="H101" i="56" s="1"/>
  <c r="J127" i="32" s="1"/>
  <c r="J126" i="32" s="1"/>
  <c r="J125" i="32" s="1"/>
  <c r="J124" i="32" s="1"/>
  <c r="J123" i="32" s="1"/>
  <c r="J121" i="32" s="1"/>
  <c r="J55" i="32"/>
  <c r="J51" i="68" s="1"/>
  <c r="J50" i="68" s="1"/>
  <c r="J49" i="68" s="1"/>
  <c r="I55" i="32"/>
  <c r="I51" i="68" s="1"/>
  <c r="I50" i="68" s="1"/>
  <c r="I49" i="68" s="1"/>
  <c r="H55" i="32"/>
  <c r="H51" i="68" s="1"/>
  <c r="H50" i="68" s="1"/>
  <c r="H49" i="68" s="1"/>
  <c r="J119" i="32" l="1"/>
  <c r="J32" i="67" s="1"/>
  <c r="M75" i="69" s="1"/>
  <c r="M75" i="70"/>
  <c r="I28" i="67"/>
  <c r="J61" i="69"/>
  <c r="J60" i="69" s="1"/>
  <c r="G27" i="67"/>
  <c r="J28" i="67"/>
  <c r="G89" i="32"/>
  <c r="H28" i="67"/>
  <c r="H99" i="56"/>
  <c r="M61" i="69" l="1"/>
  <c r="L61" i="69"/>
  <c r="K61" i="69"/>
  <c r="G54" i="32"/>
  <c r="G53" i="32" s="1"/>
  <c r="E90" i="56"/>
  <c r="J54" i="32" l="1"/>
  <c r="I54" i="32"/>
  <c r="H54" i="32"/>
  <c r="I53" i="32" l="1"/>
  <c r="H53" i="32"/>
  <c r="J53" i="32"/>
  <c r="D98" i="56" l="1"/>
  <c r="I50" i="54"/>
  <c r="I49" i="54"/>
  <c r="I48" i="54" s="1"/>
  <c r="I47" i="54"/>
  <c r="I46" i="54" s="1"/>
  <c r="F80" i="55" l="1"/>
  <c r="E97" i="56"/>
  <c r="E95" i="56" s="1"/>
  <c r="I45" i="54"/>
  <c r="E80" i="55"/>
  <c r="D80" i="55" s="1"/>
  <c r="H98" i="56" s="1"/>
  <c r="G98" i="56" s="1"/>
  <c r="G97" i="56" s="1"/>
  <c r="G95" i="56" s="1"/>
  <c r="H79" i="55"/>
  <c r="G79" i="55"/>
  <c r="G77" i="55" s="1"/>
  <c r="F79" i="55"/>
  <c r="F77" i="55" s="1"/>
  <c r="E79" i="55"/>
  <c r="E77" i="55" s="1"/>
  <c r="H77" i="55"/>
  <c r="E75" i="55"/>
  <c r="D75" i="55" s="1"/>
  <c r="H89" i="56" s="1"/>
  <c r="G89" i="56" s="1"/>
  <c r="G88" i="56" s="1"/>
  <c r="G86" i="56" s="1"/>
  <c r="H74" i="55"/>
  <c r="H72" i="55" s="1"/>
  <c r="G74" i="55"/>
  <c r="G72" i="55" s="1"/>
  <c r="F74" i="55"/>
  <c r="F72" i="55" s="1"/>
  <c r="D71" i="56"/>
  <c r="G61" i="55"/>
  <c r="G59" i="55" s="1"/>
  <c r="H61" i="55"/>
  <c r="H59" i="55" s="1"/>
  <c r="E61" i="55"/>
  <c r="D63" i="55"/>
  <c r="H71" i="56" s="1"/>
  <c r="G70" i="56"/>
  <c r="F70" i="56"/>
  <c r="I26" i="54"/>
  <c r="I25" i="54"/>
  <c r="I23" i="54"/>
  <c r="I22" i="54" s="1"/>
  <c r="I20" i="54"/>
  <c r="I19" i="54"/>
  <c r="D77" i="56"/>
  <c r="G76" i="56"/>
  <c r="G74" i="56" s="1"/>
  <c r="F76" i="56"/>
  <c r="F74" i="56" s="1"/>
  <c r="E76" i="56"/>
  <c r="E74" i="56"/>
  <c r="G59" i="32" s="1"/>
  <c r="H66" i="55"/>
  <c r="H64" i="55" s="1"/>
  <c r="G66" i="55"/>
  <c r="G64" i="55"/>
  <c r="E80" i="56"/>
  <c r="G166" i="32" s="1"/>
  <c r="F82" i="56"/>
  <c r="D83" i="56"/>
  <c r="E82" i="56"/>
  <c r="F80" i="56"/>
  <c r="H166" i="32" s="1"/>
  <c r="E71" i="55"/>
  <c r="E70" i="55" s="1"/>
  <c r="E68" i="55" s="1"/>
  <c r="I76" i="54"/>
  <c r="I75" i="54" s="1"/>
  <c r="H70" i="55"/>
  <c r="H68" i="55" s="1"/>
  <c r="G70" i="55"/>
  <c r="G68" i="55" s="1"/>
  <c r="D70" i="56"/>
  <c r="I16" i="54"/>
  <c r="E59" i="55"/>
  <c r="G19" i="63"/>
  <c r="G18" i="63"/>
  <c r="J34" i="32" s="1"/>
  <c r="D28" i="56"/>
  <c r="E27" i="56"/>
  <c r="F27" i="55"/>
  <c r="H27" i="55"/>
  <c r="E27" i="55"/>
  <c r="G28" i="55"/>
  <c r="D28" i="55" s="1"/>
  <c r="H28" i="56" s="1"/>
  <c r="G27" i="56" s="1"/>
  <c r="E24" i="56"/>
  <c r="D26" i="56"/>
  <c r="E24" i="55"/>
  <c r="I64" i="54"/>
  <c r="I70" i="54"/>
  <c r="D25" i="56"/>
  <c r="E22" i="55"/>
  <c r="E15" i="55" s="1"/>
  <c r="F22" i="55"/>
  <c r="G22" i="55"/>
  <c r="H22" i="55"/>
  <c r="I68" i="54"/>
  <c r="E22" i="56"/>
  <c r="D23" i="56"/>
  <c r="I63" i="54"/>
  <c r="D23" i="55"/>
  <c r="H23" i="56" s="1"/>
  <c r="D21" i="56"/>
  <c r="F72" i="56" l="1"/>
  <c r="H59" i="32"/>
  <c r="E93" i="56"/>
  <c r="G118" i="32"/>
  <c r="E78" i="56"/>
  <c r="F78" i="56"/>
  <c r="E72" i="56"/>
  <c r="G72" i="56"/>
  <c r="I59" i="32"/>
  <c r="G93" i="56"/>
  <c r="I118" i="32"/>
  <c r="I34" i="32"/>
  <c r="I33" i="32" s="1"/>
  <c r="I32" i="32" s="1"/>
  <c r="I31" i="32" s="1"/>
  <c r="G34" i="32"/>
  <c r="G33" i="32" s="1"/>
  <c r="G32" i="32" s="1"/>
  <c r="G31" i="32" s="1"/>
  <c r="H34" i="32"/>
  <c r="H33" i="32" s="1"/>
  <c r="H32" i="32" s="1"/>
  <c r="H31" i="32" s="1"/>
  <c r="J33" i="32"/>
  <c r="J32" i="32" s="1"/>
  <c r="J31" i="32" s="1"/>
  <c r="G58" i="32"/>
  <c r="G57" i="32" s="1"/>
  <c r="G56" i="32" s="1"/>
  <c r="G52" i="32" s="1"/>
  <c r="G50" i="32" s="1"/>
  <c r="G55" i="68"/>
  <c r="G54" i="68" s="1"/>
  <c r="G53" i="68" s="1"/>
  <c r="G52" i="68" s="1"/>
  <c r="G48" i="68" s="1"/>
  <c r="G46" i="68" s="1"/>
  <c r="G44" i="68" s="1"/>
  <c r="G42" i="68" s="1"/>
  <c r="G40" i="68" s="1"/>
  <c r="G38" i="68" s="1"/>
  <c r="G36" i="68" s="1"/>
  <c r="G34" i="68" s="1"/>
  <c r="G33" i="68" s="1"/>
  <c r="G84" i="56"/>
  <c r="I175" i="32"/>
  <c r="E71" i="56"/>
  <c r="E69" i="56" s="1"/>
  <c r="E67" i="56" s="1"/>
  <c r="G71" i="56"/>
  <c r="G69" i="56" s="1"/>
  <c r="F71" i="56"/>
  <c r="F69" i="56" s="1"/>
  <c r="F67" i="56" s="1"/>
  <c r="D76" i="55"/>
  <c r="H92" i="56" s="1"/>
  <c r="H97" i="56"/>
  <c r="H95" i="56" s="1"/>
  <c r="F98" i="56"/>
  <c r="F97" i="56" s="1"/>
  <c r="F95" i="56" s="1"/>
  <c r="D77" i="55"/>
  <c r="I18" i="54"/>
  <c r="I15" i="54" s="1"/>
  <c r="I14" i="54" s="1"/>
  <c r="I24" i="54"/>
  <c r="I21" i="54" s="1"/>
  <c r="F89" i="56"/>
  <c r="F88" i="56" s="1"/>
  <c r="F86" i="56" s="1"/>
  <c r="E67" i="55"/>
  <c r="H88" i="56"/>
  <c r="H86" i="56" s="1"/>
  <c r="E89" i="56"/>
  <c r="E88" i="56" s="1"/>
  <c r="E86" i="56" s="1"/>
  <c r="D79" i="55"/>
  <c r="E74" i="55"/>
  <c r="E72" i="55" s="1"/>
  <c r="F62" i="55"/>
  <c r="F66" i="55"/>
  <c r="F64" i="55" s="1"/>
  <c r="G27" i="55"/>
  <c r="D27" i="55" s="1"/>
  <c r="G26" i="55"/>
  <c r="H27" i="56"/>
  <c r="F27" i="56"/>
  <c r="H22" i="56"/>
  <c r="F23" i="56"/>
  <c r="F22" i="56" s="1"/>
  <c r="G23" i="56"/>
  <c r="G22" i="56" s="1"/>
  <c r="D20" i="56"/>
  <c r="D19" i="56"/>
  <c r="D18" i="56"/>
  <c r="I66" i="54"/>
  <c r="G21" i="55" s="1"/>
  <c r="I67" i="54"/>
  <c r="I62" i="54"/>
  <c r="F84" i="56" l="1"/>
  <c r="H175" i="32"/>
  <c r="F65" i="56"/>
  <c r="H38" i="32"/>
  <c r="H37" i="32" s="1"/>
  <c r="H36" i="32" s="1"/>
  <c r="H35" i="32" s="1"/>
  <c r="E84" i="56"/>
  <c r="G175" i="32"/>
  <c r="F93" i="56"/>
  <c r="H118" i="32"/>
  <c r="H30" i="32"/>
  <c r="H28" i="32" s="1"/>
  <c r="H58" i="32"/>
  <c r="H57" i="32" s="1"/>
  <c r="H56" i="32" s="1"/>
  <c r="H52" i="32" s="1"/>
  <c r="H50" i="32" s="1"/>
  <c r="H55" i="68"/>
  <c r="H54" i="68" s="1"/>
  <c r="H53" i="68" s="1"/>
  <c r="H52" i="68" s="1"/>
  <c r="H48" i="68" s="1"/>
  <c r="H46" i="68" s="1"/>
  <c r="H44" i="68" s="1"/>
  <c r="H42" i="68" s="1"/>
  <c r="H40" i="68" s="1"/>
  <c r="H38" i="68" s="1"/>
  <c r="H36" i="68" s="1"/>
  <c r="H34" i="68" s="1"/>
  <c r="H33" i="68" s="1"/>
  <c r="H84" i="56"/>
  <c r="J175" i="32"/>
  <c r="H93" i="56"/>
  <c r="J118" i="32"/>
  <c r="I58" i="32"/>
  <c r="I57" i="32" s="1"/>
  <c r="I56" i="32" s="1"/>
  <c r="I52" i="32" s="1"/>
  <c r="I50" i="32" s="1"/>
  <c r="I55" i="68"/>
  <c r="I54" i="68" s="1"/>
  <c r="I53" i="68" s="1"/>
  <c r="I52" i="68" s="1"/>
  <c r="I48" i="68" s="1"/>
  <c r="I46" i="68" s="1"/>
  <c r="I44" i="68" s="1"/>
  <c r="I42" i="68" s="1"/>
  <c r="I40" i="68" s="1"/>
  <c r="I38" i="68" s="1"/>
  <c r="I36" i="68" s="1"/>
  <c r="I34" i="68" s="1"/>
  <c r="I33" i="68" s="1"/>
  <c r="F92" i="56"/>
  <c r="J107" i="32"/>
  <c r="J106" i="32" s="1"/>
  <c r="J105" i="32" s="1"/>
  <c r="J104" i="32" s="1"/>
  <c r="J103" i="32" s="1"/>
  <c r="J101" i="32" s="1"/>
  <c r="G92" i="56"/>
  <c r="I107" i="32" s="1"/>
  <c r="I106" i="32" s="1"/>
  <c r="I105" i="32" s="1"/>
  <c r="I104" i="32" s="1"/>
  <c r="I103" i="32" s="1"/>
  <c r="I101" i="32" s="1"/>
  <c r="H90" i="56"/>
  <c r="E65" i="56"/>
  <c r="G38" i="32"/>
  <c r="G37" i="32" s="1"/>
  <c r="G36" i="32" s="1"/>
  <c r="G35" i="32" s="1"/>
  <c r="G30" i="32" s="1"/>
  <c r="G28" i="32" s="1"/>
  <c r="G48" i="32"/>
  <c r="J44" i="70"/>
  <c r="F61" i="55"/>
  <c r="D61" i="55" s="1"/>
  <c r="E66" i="55"/>
  <c r="E64" i="55" s="1"/>
  <c r="D67" i="55"/>
  <c r="H77" i="56" s="1"/>
  <c r="H76" i="56" s="1"/>
  <c r="H74" i="56" s="1"/>
  <c r="D62" i="55"/>
  <c r="H70" i="56" s="1"/>
  <c r="H69" i="56" s="1"/>
  <c r="H67" i="56" s="1"/>
  <c r="D74" i="55"/>
  <c r="D72" i="55"/>
  <c r="D64" i="55"/>
  <c r="G67" i="56"/>
  <c r="G19" i="55"/>
  <c r="D21" i="55"/>
  <c r="H21" i="56" s="1"/>
  <c r="F33" i="56"/>
  <c r="F31" i="56" s="1"/>
  <c r="F29" i="56" s="1"/>
  <c r="H155" i="32" s="1"/>
  <c r="H154" i="32" s="1"/>
  <c r="H153" i="32" s="1"/>
  <c r="H152" i="32" s="1"/>
  <c r="H151" i="32" s="1"/>
  <c r="H149" i="32" s="1"/>
  <c r="G33" i="56"/>
  <c r="G31" i="56" s="1"/>
  <c r="G29" i="56" s="1"/>
  <c r="I155" i="32" s="1"/>
  <c r="I154" i="32" s="1"/>
  <c r="I153" i="32" s="1"/>
  <c r="I152" i="32" s="1"/>
  <c r="I151" i="32" s="1"/>
  <c r="I149" i="32" s="1"/>
  <c r="E33" i="56"/>
  <c r="E31" i="56" s="1"/>
  <c r="E29" i="56" s="1"/>
  <c r="G155" i="32" s="1"/>
  <c r="G154" i="32" s="1"/>
  <c r="G153" i="32" s="1"/>
  <c r="G152" i="32" s="1"/>
  <c r="G151" i="32" s="1"/>
  <c r="G149" i="32" s="1"/>
  <c r="D34" i="56"/>
  <c r="F31" i="55"/>
  <c r="F29" i="55" s="1"/>
  <c r="H31" i="55"/>
  <c r="H29" i="55" s="1"/>
  <c r="E31" i="55"/>
  <c r="E29" i="55" s="1"/>
  <c r="I74" i="54"/>
  <c r="I73" i="54"/>
  <c r="I60" i="54"/>
  <c r="I58" i="54"/>
  <c r="I55" i="54"/>
  <c r="I53" i="54" s="1"/>
  <c r="G26" i="32" l="1"/>
  <c r="J34" i="70"/>
  <c r="G23" i="67"/>
  <c r="J44" i="69" s="1"/>
  <c r="G195" i="32"/>
  <c r="I99" i="32"/>
  <c r="L65" i="70"/>
  <c r="L60" i="70" s="1"/>
  <c r="H48" i="32"/>
  <c r="K44" i="70"/>
  <c r="G147" i="32"/>
  <c r="G18" i="67" s="1"/>
  <c r="J20" i="69" s="1"/>
  <c r="J20" i="70"/>
  <c r="J99" i="32"/>
  <c r="M65" i="70"/>
  <c r="M60" i="70" s="1"/>
  <c r="I48" i="32"/>
  <c r="L44" i="70"/>
  <c r="H26" i="32"/>
  <c r="K34" i="70"/>
  <c r="I147" i="32"/>
  <c r="I18" i="67" s="1"/>
  <c r="L20" i="69" s="1"/>
  <c r="L20" i="70"/>
  <c r="G65" i="56"/>
  <c r="I38" i="32"/>
  <c r="I37" i="32" s="1"/>
  <c r="I36" i="32" s="1"/>
  <c r="I35" i="32" s="1"/>
  <c r="I30" i="32" s="1"/>
  <c r="I28" i="32" s="1"/>
  <c r="H65" i="56"/>
  <c r="J38" i="32"/>
  <c r="J37" i="32" s="1"/>
  <c r="J36" i="32" s="1"/>
  <c r="J35" i="32" s="1"/>
  <c r="J30" i="32" s="1"/>
  <c r="J28" i="32" s="1"/>
  <c r="H107" i="32"/>
  <c r="H106" i="32" s="1"/>
  <c r="H105" i="32" s="1"/>
  <c r="H104" i="32" s="1"/>
  <c r="H103" i="32" s="1"/>
  <c r="H101" i="32" s="1"/>
  <c r="F90" i="56"/>
  <c r="H147" i="32"/>
  <c r="H18" i="67" s="1"/>
  <c r="K20" i="69" s="1"/>
  <c r="K20" i="70"/>
  <c r="H72" i="56"/>
  <c r="J59" i="32"/>
  <c r="G90" i="56"/>
  <c r="D66" i="55"/>
  <c r="F59" i="55"/>
  <c r="D59" i="55" s="1"/>
  <c r="I72" i="54"/>
  <c r="I71" i="54" s="1"/>
  <c r="F20" i="55"/>
  <c r="G32" i="55"/>
  <c r="D32" i="55" s="1"/>
  <c r="H34" i="56" s="1"/>
  <c r="H33" i="56" s="1"/>
  <c r="H31" i="56" s="1"/>
  <c r="H29" i="56" s="1"/>
  <c r="J155" i="32" s="1"/>
  <c r="J154" i="32" s="1"/>
  <c r="J153" i="32" s="1"/>
  <c r="J152" i="32" s="1"/>
  <c r="J151" i="32" s="1"/>
  <c r="J149" i="32" s="1"/>
  <c r="F21" i="56"/>
  <c r="G21" i="56"/>
  <c r="F18" i="55"/>
  <c r="F17" i="55" s="1"/>
  <c r="H195" i="32" l="1"/>
  <c r="H23" i="67"/>
  <c r="K44" i="69" s="1"/>
  <c r="J58" i="32"/>
  <c r="J57" i="32" s="1"/>
  <c r="J56" i="32" s="1"/>
  <c r="J52" i="32" s="1"/>
  <c r="J50" i="32" s="1"/>
  <c r="J55" i="68"/>
  <c r="J54" i="68" s="1"/>
  <c r="J53" i="68" s="1"/>
  <c r="J52" i="68" s="1"/>
  <c r="J48" i="68" s="1"/>
  <c r="J46" i="68" s="1"/>
  <c r="J44" i="68" s="1"/>
  <c r="J42" i="68" s="1"/>
  <c r="J40" i="68" s="1"/>
  <c r="J38" i="68" s="1"/>
  <c r="J36" i="68" s="1"/>
  <c r="J34" i="68" s="1"/>
  <c r="J33" i="68" s="1"/>
  <c r="I26" i="32"/>
  <c r="L34" i="70"/>
  <c r="I23" i="67"/>
  <c r="L44" i="69" s="1"/>
  <c r="I195" i="32"/>
  <c r="H99" i="32"/>
  <c r="K65" i="70"/>
  <c r="K60" i="70" s="1"/>
  <c r="I29" i="67"/>
  <c r="I89" i="32"/>
  <c r="J147" i="32"/>
  <c r="J18" i="67" s="1"/>
  <c r="M20" i="69" s="1"/>
  <c r="M20" i="70"/>
  <c r="J26" i="32"/>
  <c r="M34" i="70"/>
  <c r="H21" i="67"/>
  <c r="K34" i="69" s="1"/>
  <c r="J29" i="67"/>
  <c r="J89" i="32"/>
  <c r="G194" i="32"/>
  <c r="G193" i="32" s="1"/>
  <c r="G192" i="32" s="1"/>
  <c r="G190" i="32" s="1"/>
  <c r="G203" i="32"/>
  <c r="G21" i="67"/>
  <c r="J34" i="69" s="1"/>
  <c r="G31" i="55"/>
  <c r="G29" i="55" s="1"/>
  <c r="F18" i="56"/>
  <c r="I61" i="54"/>
  <c r="I56" i="54" s="1"/>
  <c r="I52" i="54" s="1"/>
  <c r="I51" i="54" s="1"/>
  <c r="D26" i="55"/>
  <c r="H26" i="56" s="1"/>
  <c r="F26" i="56" s="1"/>
  <c r="H146" i="32" s="1"/>
  <c r="H145" i="32" s="1"/>
  <c r="D25" i="55"/>
  <c r="H25" i="56" s="1"/>
  <c r="G25" i="56" s="1"/>
  <c r="H24" i="55"/>
  <c r="D19" i="55"/>
  <c r="H19" i="56" s="1"/>
  <c r="H15" i="55"/>
  <c r="F41" i="56"/>
  <c r="G41" i="56"/>
  <c r="H41" i="56"/>
  <c r="E41" i="56"/>
  <c r="D64" i="56"/>
  <c r="D61" i="56"/>
  <c r="D57" i="56"/>
  <c r="D53" i="56"/>
  <c r="D52" i="56"/>
  <c r="D50" i="56"/>
  <c r="E49" i="56"/>
  <c r="E47" i="56"/>
  <c r="D48" i="56"/>
  <c r="D46" i="56"/>
  <c r="D44" i="56"/>
  <c r="E43" i="56"/>
  <c r="G45" i="55"/>
  <c r="H45" i="55"/>
  <c r="E45" i="55"/>
  <c r="F47" i="55"/>
  <c r="D47" i="55" s="1"/>
  <c r="H53" i="56" s="1"/>
  <c r="F42" i="55"/>
  <c r="D42" i="55" s="1"/>
  <c r="H48" i="56" s="1"/>
  <c r="G48" i="56" s="1"/>
  <c r="G47" i="56" s="1"/>
  <c r="H41" i="55"/>
  <c r="G41" i="55"/>
  <c r="E41" i="55"/>
  <c r="F44" i="55"/>
  <c r="D44" i="55" s="1"/>
  <c r="H50" i="56" s="1"/>
  <c r="G50" i="56" s="1"/>
  <c r="G49" i="56" s="1"/>
  <c r="H43" i="55"/>
  <c r="G43" i="55"/>
  <c r="E43" i="55"/>
  <c r="F38" i="55"/>
  <c r="G19" i="56" l="1"/>
  <c r="J146" i="32"/>
  <c r="J145" i="32" s="1"/>
  <c r="M65" i="69"/>
  <c r="M60" i="69" s="1"/>
  <c r="J27" i="67"/>
  <c r="J21" i="67"/>
  <c r="M34" i="69" s="1"/>
  <c r="L65" i="69"/>
  <c r="L60" i="69" s="1"/>
  <c r="I27" i="67"/>
  <c r="J48" i="32"/>
  <c r="M44" i="70"/>
  <c r="E18" i="56"/>
  <c r="H144" i="32"/>
  <c r="F17" i="56"/>
  <c r="G202" i="32"/>
  <c r="G201" i="32" s="1"/>
  <c r="G200" i="32" s="1"/>
  <c r="G198" i="32" s="1"/>
  <c r="G31" i="68"/>
  <c r="G30" i="68" s="1"/>
  <c r="G29" i="68" s="1"/>
  <c r="G28" i="68" s="1"/>
  <c r="G26" i="68" s="1"/>
  <c r="G24" i="68" s="1"/>
  <c r="G22" i="68" s="1"/>
  <c r="G20" i="68" s="1"/>
  <c r="G18" i="68" s="1"/>
  <c r="G16" i="68" s="1"/>
  <c r="G14" i="68" s="1"/>
  <c r="G13" i="68" s="1"/>
  <c r="G11" i="68" s="1"/>
  <c r="G188" i="32"/>
  <c r="G36" i="67" s="1"/>
  <c r="J82" i="70"/>
  <c r="H29" i="67"/>
  <c r="H89" i="32"/>
  <c r="I21" i="67"/>
  <c r="L34" i="69" s="1"/>
  <c r="I203" i="32"/>
  <c r="I194" i="32"/>
  <c r="I193" i="32" s="1"/>
  <c r="I192" i="32" s="1"/>
  <c r="I190" i="32" s="1"/>
  <c r="H203" i="32"/>
  <c r="H194" i="32"/>
  <c r="H193" i="32" s="1"/>
  <c r="H192" i="32" s="1"/>
  <c r="H190" i="32" s="1"/>
  <c r="D31" i="55"/>
  <c r="G20" i="55"/>
  <c r="G26" i="56"/>
  <c r="G24" i="56" s="1"/>
  <c r="F24" i="56"/>
  <c r="F15" i="56" s="1"/>
  <c r="F13" i="56" s="1"/>
  <c r="H24" i="56"/>
  <c r="F24" i="55"/>
  <c r="F15" i="55" s="1"/>
  <c r="D18" i="55"/>
  <c r="H18" i="56" s="1"/>
  <c r="G24" i="55"/>
  <c r="H49" i="56"/>
  <c r="F50" i="56"/>
  <c r="F49" i="56" s="1"/>
  <c r="F47" i="56"/>
  <c r="H47" i="56"/>
  <c r="F41" i="55"/>
  <c r="D41" i="55" s="1"/>
  <c r="F43" i="55"/>
  <c r="D43" i="55" s="1"/>
  <c r="H37" i="55"/>
  <c r="G37" i="55"/>
  <c r="E37" i="55"/>
  <c r="F56" i="55"/>
  <c r="H56" i="55"/>
  <c r="E56" i="55"/>
  <c r="I43" i="54"/>
  <c r="G58" i="55" s="1"/>
  <c r="D58" i="55" s="1"/>
  <c r="H64" i="56" s="1"/>
  <c r="G64" i="56" s="1"/>
  <c r="H50" i="55"/>
  <c r="F50" i="55"/>
  <c r="E50" i="55"/>
  <c r="H52" i="55"/>
  <c r="F52" i="55"/>
  <c r="E52" i="55"/>
  <c r="H54" i="55"/>
  <c r="F54" i="55"/>
  <c r="E54" i="55"/>
  <c r="D29" i="55" s="1"/>
  <c r="I42" i="54"/>
  <c r="G57" i="55" s="1"/>
  <c r="I41" i="54"/>
  <c r="G55" i="55" s="1"/>
  <c r="D55" i="55" s="1"/>
  <c r="H61" i="56" s="1"/>
  <c r="G61" i="56" s="1"/>
  <c r="G60" i="56" s="1"/>
  <c r="I40" i="54"/>
  <c r="G53" i="55" s="1"/>
  <c r="G52" i="55" s="1"/>
  <c r="I188" i="32" l="1"/>
  <c r="L82" i="70"/>
  <c r="J82" i="69"/>
  <c r="H188" i="32"/>
  <c r="K82" i="70"/>
  <c r="I202" i="32"/>
  <c r="I201" i="32" s="1"/>
  <c r="I200" i="32" s="1"/>
  <c r="I198" i="32" s="1"/>
  <c r="I31" i="68"/>
  <c r="I30" i="68" s="1"/>
  <c r="I29" i="68" s="1"/>
  <c r="I28" i="68" s="1"/>
  <c r="I26" i="68" s="1"/>
  <c r="I24" i="68" s="1"/>
  <c r="I22" i="68" s="1"/>
  <c r="I20" i="68" s="1"/>
  <c r="I18" i="68" s="1"/>
  <c r="I16" i="68" s="1"/>
  <c r="I14" i="68" s="1"/>
  <c r="I13" i="68" s="1"/>
  <c r="I11" i="68" s="1"/>
  <c r="G144" i="32"/>
  <c r="E17" i="56"/>
  <c r="E15" i="56" s="1"/>
  <c r="E13" i="56" s="1"/>
  <c r="H202" i="32"/>
  <c r="H201" i="32" s="1"/>
  <c r="H200" i="32" s="1"/>
  <c r="H198" i="32" s="1"/>
  <c r="H31" i="68"/>
  <c r="H30" i="68" s="1"/>
  <c r="H29" i="68" s="1"/>
  <c r="H28" i="68" s="1"/>
  <c r="H26" i="68" s="1"/>
  <c r="H24" i="68" s="1"/>
  <c r="H22" i="68" s="1"/>
  <c r="H20" i="68" s="1"/>
  <c r="H18" i="68" s="1"/>
  <c r="H16" i="68" s="1"/>
  <c r="H14" i="68" s="1"/>
  <c r="H13" i="68" s="1"/>
  <c r="H11" i="68" s="1"/>
  <c r="K65" i="69"/>
  <c r="K60" i="69" s="1"/>
  <c r="H27" i="67"/>
  <c r="G196" i="32"/>
  <c r="J86" i="70"/>
  <c r="D20" i="55"/>
  <c r="H20" i="56" s="1"/>
  <c r="H17" i="56" s="1"/>
  <c r="H15" i="56" s="1"/>
  <c r="H13" i="56" s="1"/>
  <c r="G17" i="55"/>
  <c r="D17" i="55" s="1"/>
  <c r="J81" i="70"/>
  <c r="J80" i="70" s="1"/>
  <c r="J23" i="67"/>
  <c r="M44" i="69" s="1"/>
  <c r="J195" i="32"/>
  <c r="I146" i="32"/>
  <c r="I145" i="32" s="1"/>
  <c r="D22" i="55"/>
  <c r="H48" i="55"/>
  <c r="D24" i="55"/>
  <c r="E48" i="55"/>
  <c r="F48" i="55"/>
  <c r="G18" i="56"/>
  <c r="F64" i="56"/>
  <c r="E61" i="56"/>
  <c r="E60" i="56" s="1"/>
  <c r="F61" i="56"/>
  <c r="F60" i="56" s="1"/>
  <c r="H60" i="56"/>
  <c r="E64" i="56"/>
  <c r="G56" i="55"/>
  <c r="G54" i="55"/>
  <c r="I144" i="32" l="1"/>
  <c r="G17" i="56"/>
  <c r="G15" i="56" s="1"/>
  <c r="G13" i="56" s="1"/>
  <c r="J144" i="32"/>
  <c r="I196" i="32"/>
  <c r="I37" i="67" s="1"/>
  <c r="L86" i="69" s="1"/>
  <c r="L86" i="70"/>
  <c r="G186" i="32"/>
  <c r="G184" i="32" s="1"/>
  <c r="G182" i="32" s="1"/>
  <c r="G180" i="32" s="1"/>
  <c r="G178" i="32" s="1"/>
  <c r="G177" i="32" s="1"/>
  <c r="G37" i="67"/>
  <c r="H196" i="32"/>
  <c r="H37" i="67" s="1"/>
  <c r="K86" i="69" s="1"/>
  <c r="K86" i="70"/>
  <c r="K81" i="70" s="1"/>
  <c r="K80" i="70" s="1"/>
  <c r="G15" i="55"/>
  <c r="J203" i="32"/>
  <c r="J194" i="32"/>
  <c r="J193" i="32" s="1"/>
  <c r="J192" i="32" s="1"/>
  <c r="J190" i="32" s="1"/>
  <c r="H186" i="32"/>
  <c r="H184" i="32" s="1"/>
  <c r="H182" i="32" s="1"/>
  <c r="H180" i="32" s="1"/>
  <c r="H178" i="32" s="1"/>
  <c r="H177" i="32" s="1"/>
  <c r="H36" i="67"/>
  <c r="L81" i="70"/>
  <c r="L80" i="70" s="1"/>
  <c r="I36" i="67"/>
  <c r="I186" i="32"/>
  <c r="I184" i="32" s="1"/>
  <c r="I182" i="32" s="1"/>
  <c r="I180" i="32" s="1"/>
  <c r="I178" i="32" s="1"/>
  <c r="I177" i="32" s="1"/>
  <c r="D54" i="55"/>
  <c r="I39" i="54"/>
  <c r="G51" i="55" s="1"/>
  <c r="G50" i="55" s="1"/>
  <c r="G48" i="55" s="1"/>
  <c r="G39" i="55"/>
  <c r="G35" i="55" s="1"/>
  <c r="H39" i="55"/>
  <c r="H35" i="55" s="1"/>
  <c r="H33" i="55" s="1"/>
  <c r="H13" i="55" s="1"/>
  <c r="E39" i="55"/>
  <c r="E35" i="55" s="1"/>
  <c r="E33" i="55" s="1"/>
  <c r="E13" i="55" s="1"/>
  <c r="I34" i="54"/>
  <c r="F46" i="55" s="1"/>
  <c r="F45" i="55" s="1"/>
  <c r="I38" i="54"/>
  <c r="I37" i="54"/>
  <c r="I30" i="54"/>
  <c r="L82" i="69" l="1"/>
  <c r="L81" i="69" s="1"/>
  <c r="L80" i="69" s="1"/>
  <c r="I35" i="67"/>
  <c r="I34" i="67" s="1"/>
  <c r="J188" i="32"/>
  <c r="M82" i="70"/>
  <c r="J86" i="69"/>
  <c r="J81" i="69" s="1"/>
  <c r="J80" i="69" s="1"/>
  <c r="G35" i="67"/>
  <c r="G34" i="67" s="1"/>
  <c r="J202" i="32"/>
  <c r="J201" i="32" s="1"/>
  <c r="J200" i="32" s="1"/>
  <c r="J198" i="32" s="1"/>
  <c r="J31" i="68"/>
  <c r="J30" i="68" s="1"/>
  <c r="J29" i="68" s="1"/>
  <c r="J28" i="68" s="1"/>
  <c r="J26" i="68" s="1"/>
  <c r="J24" i="68" s="1"/>
  <c r="J22" i="68" s="1"/>
  <c r="J20" i="68" s="1"/>
  <c r="J18" i="68" s="1"/>
  <c r="J16" i="68" s="1"/>
  <c r="J14" i="68" s="1"/>
  <c r="J13" i="68" s="1"/>
  <c r="J11" i="68" s="1"/>
  <c r="K82" i="69"/>
  <c r="K81" i="69" s="1"/>
  <c r="K80" i="69" s="1"/>
  <c r="H35" i="67"/>
  <c r="H34" i="67" s="1"/>
  <c r="I29" i="54"/>
  <c r="I36" i="54"/>
  <c r="F40" i="55"/>
  <c r="F39" i="55" s="1"/>
  <c r="G33" i="55"/>
  <c r="G13" i="55" s="1"/>
  <c r="D38" i="55"/>
  <c r="H44" i="56" s="1"/>
  <c r="F37" i="55"/>
  <c r="D51" i="55"/>
  <c r="H57" i="56" s="1"/>
  <c r="D50" i="55"/>
  <c r="D46" i="55"/>
  <c r="H52" i="56" s="1"/>
  <c r="G20" i="63"/>
  <c r="J47" i="32" s="1"/>
  <c r="G17" i="63"/>
  <c r="G16" i="63"/>
  <c r="G15" i="63"/>
  <c r="G14" i="63" s="1"/>
  <c r="J196" i="32" l="1"/>
  <c r="J37" i="67" s="1"/>
  <c r="M86" i="69" s="1"/>
  <c r="M86" i="70"/>
  <c r="M81" i="70" s="1"/>
  <c r="M80" i="70" s="1"/>
  <c r="J36" i="67"/>
  <c r="I47" i="32"/>
  <c r="I46" i="32" s="1"/>
  <c r="I45" i="32" s="1"/>
  <c r="I44" i="32" s="1"/>
  <c r="I43" i="32" s="1"/>
  <c r="I41" i="32" s="1"/>
  <c r="J46" i="32"/>
  <c r="J45" i="32" s="1"/>
  <c r="J44" i="32" s="1"/>
  <c r="J43" i="32" s="1"/>
  <c r="J41" i="32" s="1"/>
  <c r="G47" i="32"/>
  <c r="G46" i="32" s="1"/>
  <c r="G45" i="32" s="1"/>
  <c r="G44" i="32" s="1"/>
  <c r="G43" i="32" s="1"/>
  <c r="G41" i="32" s="1"/>
  <c r="H47" i="32"/>
  <c r="H46" i="32" s="1"/>
  <c r="H45" i="32" s="1"/>
  <c r="H44" i="32" s="1"/>
  <c r="H43" i="32" s="1"/>
  <c r="H41" i="32" s="1"/>
  <c r="I28" i="54"/>
  <c r="D40" i="55"/>
  <c r="H46" i="56" s="1"/>
  <c r="G46" i="56" s="1"/>
  <c r="G45" i="56" s="1"/>
  <c r="E57" i="56"/>
  <c r="E56" i="56" s="1"/>
  <c r="H56" i="56"/>
  <c r="G57" i="56"/>
  <c r="G56" i="56" s="1"/>
  <c r="F57" i="56"/>
  <c r="F56" i="56" s="1"/>
  <c r="D37" i="55"/>
  <c r="F35" i="55"/>
  <c r="F33" i="55" s="1"/>
  <c r="G52" i="56"/>
  <c r="G51" i="56" s="1"/>
  <c r="F52" i="56"/>
  <c r="F51" i="56" s="1"/>
  <c r="E52" i="56"/>
  <c r="E51" i="56" s="1"/>
  <c r="H51" i="56"/>
  <c r="F44" i="56"/>
  <c r="F43" i="56" s="1"/>
  <c r="H43" i="56"/>
  <c r="G44" i="56"/>
  <c r="G43" i="56" s="1"/>
  <c r="D45" i="55"/>
  <c r="D39" i="55"/>
  <c r="G39" i="32" l="1"/>
  <c r="J39" i="70"/>
  <c r="M82" i="69"/>
  <c r="M81" i="69" s="1"/>
  <c r="M80" i="69" s="1"/>
  <c r="J35" i="67"/>
  <c r="J34" i="67" s="1"/>
  <c r="J39" i="32"/>
  <c r="M39" i="70"/>
  <c r="I39" i="32"/>
  <c r="L39" i="70"/>
  <c r="H39" i="32"/>
  <c r="K39" i="70"/>
  <c r="J186" i="32"/>
  <c r="J184" i="32" s="1"/>
  <c r="J182" i="32" s="1"/>
  <c r="J180" i="32" s="1"/>
  <c r="J178" i="32" s="1"/>
  <c r="J177" i="32" s="1"/>
  <c r="F46" i="56"/>
  <c r="F45" i="56" s="1"/>
  <c r="D35" i="55"/>
  <c r="H45" i="56"/>
  <c r="H39" i="56" s="1"/>
  <c r="J78" i="32" s="1"/>
  <c r="J77" i="32" s="1"/>
  <c r="E46" i="56"/>
  <c r="E45" i="56" s="1"/>
  <c r="E39" i="56" s="1"/>
  <c r="G78" i="32" s="1"/>
  <c r="G77" i="32" s="1"/>
  <c r="F39" i="56"/>
  <c r="H78" i="32" s="1"/>
  <c r="H77" i="32" s="1"/>
  <c r="D15" i="55"/>
  <c r="G39" i="56"/>
  <c r="I78" i="32" s="1"/>
  <c r="I77" i="32" s="1"/>
  <c r="I22" i="67" l="1"/>
  <c r="L39" i="69" s="1"/>
  <c r="I24" i="32"/>
  <c r="I22" i="32" s="1"/>
  <c r="I20" i="32" s="1"/>
  <c r="H22" i="67"/>
  <c r="K39" i="69" s="1"/>
  <c r="H24" i="32"/>
  <c r="H22" i="32" s="1"/>
  <c r="H20" i="32" s="1"/>
  <c r="J22" i="67"/>
  <c r="M39" i="69" s="1"/>
  <c r="J24" i="32"/>
  <c r="J22" i="32" s="1"/>
  <c r="J20" i="32" s="1"/>
  <c r="G22" i="67"/>
  <c r="J39" i="69" s="1"/>
  <c r="G24" i="32"/>
  <c r="G22" i="32" s="1"/>
  <c r="G20" i="32" s="1"/>
  <c r="G143" i="32"/>
  <c r="G142" i="32" l="1"/>
  <c r="G141" i="32" s="1"/>
  <c r="G140" i="32" s="1"/>
  <c r="G138" i="32" s="1"/>
  <c r="J15" i="70" s="1"/>
  <c r="J14" i="70" s="1"/>
  <c r="H143" i="32"/>
  <c r="I143" i="32"/>
  <c r="J143" i="32"/>
  <c r="G165" i="32"/>
  <c r="G164" i="32" s="1"/>
  <c r="G163" i="32" s="1"/>
  <c r="G162" i="32" s="1"/>
  <c r="G160" i="32" s="1"/>
  <c r="H165" i="32"/>
  <c r="H164" i="32" s="1"/>
  <c r="H163" i="32" s="1"/>
  <c r="H162" i="32" s="1"/>
  <c r="H160" i="32" s="1"/>
  <c r="K51" i="70" s="1"/>
  <c r="G158" i="32" l="1"/>
  <c r="G25" i="67" s="1"/>
  <c r="J51" i="70"/>
  <c r="H142" i="32"/>
  <c r="H141" i="32" s="1"/>
  <c r="H140" i="32" s="1"/>
  <c r="H138" i="32" s="1"/>
  <c r="K15" i="70" s="1"/>
  <c r="K14" i="70" s="1"/>
  <c r="J142" i="32"/>
  <c r="J141" i="32" s="1"/>
  <c r="J140" i="32" s="1"/>
  <c r="J138" i="32" s="1"/>
  <c r="M15" i="70" s="1"/>
  <c r="M14" i="70" s="1"/>
  <c r="I142" i="32"/>
  <c r="I141" i="32" s="1"/>
  <c r="I140" i="32" s="1"/>
  <c r="I138" i="32" s="1"/>
  <c r="L15" i="70" s="1"/>
  <c r="L14" i="70" s="1"/>
  <c r="G136" i="32"/>
  <c r="G17" i="67" s="1"/>
  <c r="H158" i="32"/>
  <c r="H25" i="67" s="1"/>
  <c r="K51" i="69" l="1"/>
  <c r="G16" i="67"/>
  <c r="J15" i="69"/>
  <c r="J14" i="69" s="1"/>
  <c r="J51" i="69"/>
  <c r="J136" i="32"/>
  <c r="J17" i="67" s="1"/>
  <c r="G134" i="32"/>
  <c r="H136" i="32"/>
  <c r="I136" i="32"/>
  <c r="I17" i="67" s="1"/>
  <c r="J16" i="67" l="1"/>
  <c r="M15" i="69"/>
  <c r="M14" i="69" s="1"/>
  <c r="L15" i="69"/>
  <c r="L14" i="69" s="1"/>
  <c r="I16" i="67"/>
  <c r="H134" i="32"/>
  <c r="H17" i="67"/>
  <c r="I134" i="32"/>
  <c r="J134" i="32"/>
  <c r="H16" i="67" l="1"/>
  <c r="K15" i="69"/>
  <c r="K14" i="69" s="1"/>
  <c r="G12" i="63"/>
  <c r="J74" i="32" l="1"/>
  <c r="G11" i="63"/>
  <c r="G10" i="63" s="1"/>
  <c r="H117" i="32"/>
  <c r="H116" i="32" s="1"/>
  <c r="H115" i="32" s="1"/>
  <c r="H114" i="32" s="1"/>
  <c r="H112" i="32" s="1"/>
  <c r="K71" i="70" s="1"/>
  <c r="K70" i="70" s="1"/>
  <c r="G74" i="32" l="1"/>
  <c r="H74" i="32"/>
  <c r="I74" i="32"/>
  <c r="H110" i="32"/>
  <c r="H31" i="67" s="1"/>
  <c r="I117" i="32"/>
  <c r="I116" i="32" s="1"/>
  <c r="I115" i="32" s="1"/>
  <c r="I114" i="32" s="1"/>
  <c r="I112" i="32" s="1"/>
  <c r="L71" i="70" s="1"/>
  <c r="L70" i="70" s="1"/>
  <c r="G117" i="32"/>
  <c r="G116" i="32" s="1"/>
  <c r="G115" i="32" s="1"/>
  <c r="G114" i="32" s="1"/>
  <c r="G112" i="32" s="1"/>
  <c r="J71" i="70" s="1"/>
  <c r="J70" i="70" s="1"/>
  <c r="K71" i="69" l="1"/>
  <c r="K70" i="69" s="1"/>
  <c r="H30" i="67"/>
  <c r="H108" i="32"/>
  <c r="H87" i="32" s="1"/>
  <c r="G110" i="32"/>
  <c r="G31" i="67" s="1"/>
  <c r="I110" i="32"/>
  <c r="I31" i="67" s="1"/>
  <c r="J117" i="32"/>
  <c r="J116" i="32" s="1"/>
  <c r="J115" i="32" s="1"/>
  <c r="J114" i="32" s="1"/>
  <c r="J112" i="32" s="1"/>
  <c r="M71" i="70" s="1"/>
  <c r="M70" i="70" s="1"/>
  <c r="L71" i="69" l="1"/>
  <c r="L70" i="69" s="1"/>
  <c r="I30" i="67"/>
  <c r="J71" i="69"/>
  <c r="J70" i="69" s="1"/>
  <c r="G30" i="67"/>
  <c r="G108" i="32"/>
  <c r="G87" i="32" s="1"/>
  <c r="I108" i="32"/>
  <c r="I87" i="32" s="1"/>
  <c r="J110" i="32"/>
  <c r="J31" i="67" s="1"/>
  <c r="M71" i="69" l="1"/>
  <c r="M70" i="69" s="1"/>
  <c r="J30" i="67"/>
  <c r="J108" i="32"/>
  <c r="J87" i="32" s="1"/>
  <c r="I174" i="32" l="1"/>
  <c r="I173" i="32" s="1"/>
  <c r="I172" i="32" s="1"/>
  <c r="I171" i="32" s="1"/>
  <c r="I169" i="32" s="1"/>
  <c r="L55" i="70" s="1"/>
  <c r="J174" i="32"/>
  <c r="J173" i="32" s="1"/>
  <c r="J172" i="32" s="1"/>
  <c r="J171" i="32" s="1"/>
  <c r="J169" i="32" s="1"/>
  <c r="M55" i="70" s="1"/>
  <c r="G174" i="32"/>
  <c r="G173" i="32" s="1"/>
  <c r="G172" i="32" s="1"/>
  <c r="G171" i="32" s="1"/>
  <c r="G169" i="32" s="1"/>
  <c r="J55" i="70" s="1"/>
  <c r="J50" i="70" s="1"/>
  <c r="H174" i="32"/>
  <c r="H173" i="32" s="1"/>
  <c r="H172" i="32" s="1"/>
  <c r="H171" i="32" s="1"/>
  <c r="H169" i="32" s="1"/>
  <c r="K55" i="70" s="1"/>
  <c r="K50" i="70" s="1"/>
  <c r="D63" i="56"/>
  <c r="D59" i="56"/>
  <c r="H167" i="32" l="1"/>
  <c r="G167" i="32"/>
  <c r="J167" i="32"/>
  <c r="I167" i="32"/>
  <c r="I26" i="67" l="1"/>
  <c r="L55" i="69" s="1"/>
  <c r="G156" i="32"/>
  <c r="G132" i="32" s="1"/>
  <c r="G26" i="67"/>
  <c r="J26" i="67"/>
  <c r="M55" i="69" s="1"/>
  <c r="H156" i="32"/>
  <c r="H132" i="32" s="1"/>
  <c r="H26" i="67"/>
  <c r="I44" i="54"/>
  <c r="J55" i="69" l="1"/>
  <c r="J50" i="69" s="1"/>
  <c r="G24" i="67"/>
  <c r="K55" i="69"/>
  <c r="K50" i="69" s="1"/>
  <c r="H24" i="67"/>
  <c r="G85" i="32"/>
  <c r="G83" i="32" s="1"/>
  <c r="G130" i="32"/>
  <c r="G128" i="32" s="1"/>
  <c r="G81" i="32" l="1"/>
  <c r="I85" i="32" l="1"/>
  <c r="I83" i="32" s="1"/>
  <c r="H85" i="32"/>
  <c r="H83" i="32" s="1"/>
  <c r="H130" i="32" l="1"/>
  <c r="H128" i="32" s="1"/>
  <c r="H81" i="32" s="1"/>
  <c r="J73" i="32" l="1"/>
  <c r="J72" i="32" s="1"/>
  <c r="J71" i="32" s="1"/>
  <c r="D57" i="55"/>
  <c r="H63" i="56" s="1"/>
  <c r="D53" i="55"/>
  <c r="H59" i="56" s="1"/>
  <c r="G63" i="56" l="1"/>
  <c r="G62" i="56" s="1"/>
  <c r="H62" i="56"/>
  <c r="F63" i="56"/>
  <c r="F62" i="56" s="1"/>
  <c r="E63" i="56"/>
  <c r="E62" i="56" s="1"/>
  <c r="H58" i="56"/>
  <c r="G59" i="56"/>
  <c r="G58" i="56" s="1"/>
  <c r="G54" i="56" s="1"/>
  <c r="E59" i="56"/>
  <c r="E58" i="56" s="1"/>
  <c r="F59" i="56"/>
  <c r="F58" i="56" s="1"/>
  <c r="D56" i="55"/>
  <c r="D52" i="55"/>
  <c r="G37" i="56" l="1"/>
  <c r="I80" i="32"/>
  <c r="F54" i="56"/>
  <c r="H54" i="56"/>
  <c r="E54" i="56"/>
  <c r="H37" i="56" l="1"/>
  <c r="J80" i="32"/>
  <c r="F37" i="56"/>
  <c r="H80" i="32"/>
  <c r="H79" i="32" s="1"/>
  <c r="H76" i="32" s="1"/>
  <c r="E37" i="56"/>
  <c r="E35" i="56" s="1"/>
  <c r="E11" i="56" s="1"/>
  <c r="G80" i="32"/>
  <c r="G79" i="32"/>
  <c r="G76" i="32" s="1"/>
  <c r="I79" i="32" l="1"/>
  <c r="I76" i="32" s="1"/>
  <c r="J79" i="32"/>
  <c r="J76" i="32" s="1"/>
  <c r="I27" i="54"/>
  <c r="I13" i="54" s="1"/>
  <c r="D48" i="55" l="1"/>
  <c r="D71" i="55" l="1"/>
  <c r="H83" i="56" s="1"/>
  <c r="F70" i="55"/>
  <c r="G11" i="55"/>
  <c r="H11" i="55"/>
  <c r="G83" i="56" l="1"/>
  <c r="H82" i="56"/>
  <c r="H80" i="56" s="1"/>
  <c r="F68" i="55"/>
  <c r="F13" i="55" s="1"/>
  <c r="D70" i="55"/>
  <c r="F35" i="56"/>
  <c r="F11" i="56" s="1"/>
  <c r="D33" i="55"/>
  <c r="H78" i="56" l="1"/>
  <c r="J166" i="32"/>
  <c r="J165" i="32" s="1"/>
  <c r="J164" i="32" s="1"/>
  <c r="J163" i="32" s="1"/>
  <c r="J162" i="32" s="1"/>
  <c r="J160" i="32" s="1"/>
  <c r="D68" i="55"/>
  <c r="F11" i="55"/>
  <c r="G82" i="56"/>
  <c r="G80" i="56" s="1"/>
  <c r="G35" i="56"/>
  <c r="E11" i="55"/>
  <c r="M51" i="70" l="1"/>
  <c r="M50" i="70" s="1"/>
  <c r="J158" i="32"/>
  <c r="G11" i="56"/>
  <c r="G78" i="56"/>
  <c r="I166" i="32"/>
  <c r="I165" i="32" s="1"/>
  <c r="I164" i="32" s="1"/>
  <c r="I163" i="32" s="1"/>
  <c r="I162" i="32" s="1"/>
  <c r="I160" i="32" s="1"/>
  <c r="D11" i="55"/>
  <c r="D13" i="55"/>
  <c r="H35" i="56"/>
  <c r="H11" i="56" s="1"/>
  <c r="J25" i="67" l="1"/>
  <c r="J156" i="32"/>
  <c r="J132" i="32" s="1"/>
  <c r="L51" i="70"/>
  <c r="L50" i="70" s="1"/>
  <c r="I158" i="32"/>
  <c r="G75" i="32"/>
  <c r="G73" i="32" s="1"/>
  <c r="G72" i="32" s="1"/>
  <c r="G71" i="32" s="1"/>
  <c r="G70" i="32" s="1"/>
  <c r="I25" i="67" l="1"/>
  <c r="I156" i="32"/>
  <c r="I132" i="32" s="1"/>
  <c r="I130" i="32" s="1"/>
  <c r="I128" i="32" s="1"/>
  <c r="I81" i="32" s="1"/>
  <c r="J24" i="67"/>
  <c r="M51" i="69"/>
  <c r="M50" i="69" s="1"/>
  <c r="H75" i="32"/>
  <c r="H73" i="32" s="1"/>
  <c r="H72" i="32" s="1"/>
  <c r="H71" i="32" s="1"/>
  <c r="G68" i="32"/>
  <c r="J27" i="70" s="1"/>
  <c r="J26" i="70" s="1"/>
  <c r="J13" i="70" s="1"/>
  <c r="J11" i="70" s="1"/>
  <c r="I24" i="67" l="1"/>
  <c r="L51" i="69"/>
  <c r="L50" i="69" s="1"/>
  <c r="G66" i="32"/>
  <c r="H70" i="32"/>
  <c r="H68" i="32" s="1"/>
  <c r="K27" i="70" s="1"/>
  <c r="K26" i="70" s="1"/>
  <c r="K13" i="70" s="1"/>
  <c r="K11" i="70" s="1"/>
  <c r="I75" i="32"/>
  <c r="I73" i="32" s="1"/>
  <c r="I72" i="32" s="1"/>
  <c r="I71" i="32" s="1"/>
  <c r="G64" i="32" l="1"/>
  <c r="G20" i="67"/>
  <c r="G62" i="32"/>
  <c r="G60" i="32" s="1"/>
  <c r="G18" i="32" s="1"/>
  <c r="I70" i="32"/>
  <c r="I68" i="32" s="1"/>
  <c r="L27" i="70" s="1"/>
  <c r="L26" i="70" s="1"/>
  <c r="L13" i="70" s="1"/>
  <c r="L11" i="70" s="1"/>
  <c r="H66" i="32"/>
  <c r="J75" i="32"/>
  <c r="J27" i="69" l="1"/>
  <c r="J26" i="69" s="1"/>
  <c r="J13" i="69" s="1"/>
  <c r="J11" i="69" s="1"/>
  <c r="G19" i="67"/>
  <c r="H64" i="32"/>
  <c r="H62" i="32" s="1"/>
  <c r="H60" i="32" s="1"/>
  <c r="H18" i="32" s="1"/>
  <c r="H20" i="67"/>
  <c r="J70" i="32"/>
  <c r="J68" i="32" s="1"/>
  <c r="M27" i="70" s="1"/>
  <c r="M26" i="70" s="1"/>
  <c r="M13" i="70" s="1"/>
  <c r="M11" i="70" s="1"/>
  <c r="I66" i="32"/>
  <c r="K27" i="69" l="1"/>
  <c r="K26" i="69" s="1"/>
  <c r="K13" i="69" s="1"/>
  <c r="K11" i="69" s="1"/>
  <c r="H19" i="67"/>
  <c r="H15" i="67" s="1"/>
  <c r="H13" i="67" s="1"/>
  <c r="I64" i="32"/>
  <c r="I20" i="67"/>
  <c r="G15" i="67"/>
  <c r="G13" i="67" s="1"/>
  <c r="G16" i="32"/>
  <c r="G15" i="32" s="1"/>
  <c r="G13" i="32" s="1"/>
  <c r="I62" i="32"/>
  <c r="I60" i="32" s="1"/>
  <c r="I18" i="32" s="1"/>
  <c r="J66" i="32"/>
  <c r="J20" i="67" s="1"/>
  <c r="L27" i="69" l="1"/>
  <c r="L26" i="69" s="1"/>
  <c r="L13" i="69" s="1"/>
  <c r="L11" i="69" s="1"/>
  <c r="I19" i="67"/>
  <c r="I15" i="67" s="1"/>
  <c r="I13" i="67" s="1"/>
  <c r="J19" i="67"/>
  <c r="J15" i="67" s="1"/>
  <c r="J13" i="67" s="1"/>
  <c r="M27" i="69"/>
  <c r="M26" i="69" s="1"/>
  <c r="M13" i="69" s="1"/>
  <c r="M11" i="69" s="1"/>
  <c r="J64" i="32"/>
  <c r="J62" i="32" s="1"/>
  <c r="J60" i="32" s="1"/>
  <c r="J18" i="32" s="1"/>
  <c r="I16" i="32"/>
  <c r="H16" i="32"/>
  <c r="H15" i="32" s="1"/>
  <c r="H13" i="32" s="1"/>
  <c r="I15" i="32" l="1"/>
  <c r="I13" i="32" s="1"/>
  <c r="J16" i="32"/>
  <c r="J85" i="32" l="1"/>
  <c r="J83" i="32" s="1"/>
  <c r="J130" i="32" l="1"/>
  <c r="J128" i="32" s="1"/>
  <c r="J81" i="32" s="1"/>
  <c r="J15" i="32" l="1"/>
  <c r="J13" i="32" s="1"/>
</calcChain>
</file>

<file path=xl/sharedStrings.xml><?xml version="1.0" encoding="utf-8"?>
<sst xmlns="http://schemas.openxmlformats.org/spreadsheetml/2006/main" count="1034" uniqueCount="362">
  <si>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</si>
  <si>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</si>
  <si>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</si>
  <si>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</si>
  <si>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</si>
  <si>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</si>
  <si>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</si>
  <si>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</si>
  <si>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</si>
  <si>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</si>
  <si>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</si>
  <si>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</si>
  <si>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</si>
  <si>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</si>
  <si>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</si>
  <si>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</si>
  <si>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</si>
  <si>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</si>
  <si>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</si>
  <si>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</si>
  <si>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</si>
  <si>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</si>
  <si>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 xml:space="preserve">Ցուցանիշների փոփոխությունը (ավելացումները նշված են դրական նշանով)  </t>
  </si>
  <si>
    <t>08</t>
  </si>
  <si>
    <t xml:space="preserve"> ՀԱՆԳԻՍՏ, ՄՇԱԿՈՒՅԹ ԵՎ ԿՐՈՆ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</si>
  <si>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</si>
  <si>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</si>
  <si>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</si>
  <si>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ՀՀ կառավարություն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</si>
  <si>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</si>
  <si>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</si>
  <si>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</si>
  <si>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</si>
  <si>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</si>
  <si>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</si>
  <si>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</si>
  <si>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08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</si>
  <si>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</si>
  <si>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</si>
  <si>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</si>
  <si>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</si>
  <si>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</si>
  <si>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</si>
  <si>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</si>
  <si>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</si>
  <si>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</si>
  <si>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</si>
  <si>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</si>
  <si>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</si>
  <si>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</si>
  <si>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Առաջին կիսամյակ</t>
  </si>
  <si>
    <t>Առաջին եռամսյակ</t>
  </si>
  <si>
    <t xml:space="preserve"> - Շենքերի և շինությունների շինարարություն</t>
  </si>
  <si>
    <t>ՀՀ Արմավիրի մարզ</t>
  </si>
  <si>
    <t>Երևան քաղաք</t>
  </si>
  <si>
    <t xml:space="preserve"> ՄԱՍ II. ԱՇԽԱՏԱՆՔՆԵՐ</t>
  </si>
  <si>
    <t>դրամ</t>
  </si>
  <si>
    <t xml:space="preserve"> ՄԱՍ III. ԾԱՌԱՅՈՒԹՅՈՒՆՆԵՐ</t>
  </si>
  <si>
    <t>ԳՀ</t>
  </si>
  <si>
    <t>ՄԱ</t>
  </si>
  <si>
    <t xml:space="preserve">Ցուցանիշների փոփոխությունը (ավելացումները նշված են դրական նշանով, իսկ նվազեցումները՝ փակագծերում)  </t>
  </si>
  <si>
    <t>ՈՉ ՖԻՆԱՆՍԱԿԱՆ ԱԿՏԻՎՆԵՐԻ ԳԾՈՎ ԾԱԽՍԵՐ</t>
  </si>
  <si>
    <t>ՀԻՄՆԱԿԱՆ ՄԻՋՈՑՆԵՐ</t>
  </si>
  <si>
    <t>ՇԵՆՔԵՐ ԵՎ ՇԻՆՈՒԹՅՈՒՆՆԵՐ</t>
  </si>
  <si>
    <t xml:space="preserve"> Հուշարձանների ամրակայում, նորոգում և վերականգնում</t>
  </si>
  <si>
    <t>որից`</t>
  </si>
  <si>
    <t>2. Վավերագրման և ուսումնասիրման աշխատանքներ, (այդ թվում՝ հետախուզումև պեղում), գիտանախագծային փաստաթղթերի կազմում և փորձաքննում</t>
  </si>
  <si>
    <t>ՀՀ Տավուշի մարզ</t>
  </si>
  <si>
    <t>Խումբ N 02</t>
  </si>
  <si>
    <t>Դաս N 07</t>
  </si>
  <si>
    <t xml:space="preserve"> Հուշարձանների և մշակութային արժեքների վերականգնում և պահպանում</t>
  </si>
  <si>
    <t>1075-21001</t>
  </si>
  <si>
    <t xml:space="preserve"> տեխնիկական հսկողության ծառայություններ</t>
  </si>
  <si>
    <t xml:space="preserve"> հեղինակային հսկողության ծառայություններ</t>
  </si>
  <si>
    <t>ՀՀ Կոտայքի մարզ</t>
  </si>
  <si>
    <t>ՀՀ Լոռու մարզ</t>
  </si>
  <si>
    <t xml:space="preserve"> փորձաքննության ծառայություններ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</si>
  <si>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</si>
  <si>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</si>
  <si>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>Մշակութային ժառանգության ծրագիր</t>
  </si>
  <si>
    <t>«Պատմամշակութային արգելոց-թանգարանների և պատմական միջավայրի պահպանության ծառայություն» ՊՈԱԿ</t>
  </si>
  <si>
    <t>այդ թվում՝ ըստ ուղղությունների և միջոցառումների անվանումների</t>
  </si>
  <si>
    <t>Վավերագրման և ուսումնասիրման աշխատանքներ, (այդ թվում՝ հետախուզումև պեղում), գիտանախագծային փաստաթղթերի կազմում և փորձաքննում</t>
  </si>
  <si>
    <t>02</t>
  </si>
  <si>
    <t>07</t>
  </si>
  <si>
    <t xml:space="preserve"> Մշակութային ծառայություններ</t>
  </si>
  <si>
    <t xml:space="preserve"> ԱՅԼ ՀԻՄՆԱԿԱՆ ՄԻՋՈՑՆԵՐ</t>
  </si>
  <si>
    <t xml:space="preserve"> - Նախագծահետազոտական ծախսեր</t>
  </si>
  <si>
    <t xml:space="preserve"> ԸՆԹԱՑԻԿ ԾԱԽՍԵՐ</t>
  </si>
  <si>
    <t xml:space="preserve"> ԴՐԱՄԱՇՆՈՐՀՆԵՐ</t>
  </si>
  <si>
    <t>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</si>
  <si>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</si>
  <si>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 xml:space="preserve"> այդ թվում՝</t>
  </si>
  <si>
    <t>Ցուցանիշների փոփոխությունը (ավելացումները նշված են դրական նշանով, իսկ նվազեցումները՝ փակագծերում)</t>
  </si>
  <si>
    <t>ՀՀ Գեղարքունիքի մարզ</t>
  </si>
  <si>
    <t>ՀՀ Վայոց Ձորի մարզ</t>
  </si>
  <si>
    <t>ՀՀ Արագածոտնի մարզ</t>
  </si>
  <si>
    <t xml:space="preserve"> դրամ</t>
  </si>
  <si>
    <t>Բաժին N 09</t>
  </si>
  <si>
    <t>Խումբ N 06</t>
  </si>
  <si>
    <t>Դաս N 01</t>
  </si>
  <si>
    <t xml:space="preserve"> Կրթությանը տրամադրվող օժանդակ ծառայություններ</t>
  </si>
  <si>
    <t xml:space="preserve"> ՄԱՍ II.  ԱՇԽԱՏԱՆՔՆԵՐ</t>
  </si>
  <si>
    <t xml:space="preserve"> </t>
  </si>
  <si>
    <t xml:space="preserve"> նախագծերի պատրաստում, ծախսերի գնահատում</t>
  </si>
  <si>
    <t>09</t>
  </si>
  <si>
    <t>06</t>
  </si>
  <si>
    <t>01</t>
  </si>
  <si>
    <t>Կրթությանը տրամադրվող օժանդակ ծառայություններ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</si>
  <si>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</si>
  <si>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</si>
  <si>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>ԱՅԼ ՀԻՄՆԱԿԱՆ ՄԻՋՈՑՆԵՐ</t>
  </si>
  <si>
    <t xml:space="preserve"> Հանրակրթական և նախադպրոցական հաստատությունների հիմնում, կառուցում,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</si>
  <si>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</si>
  <si>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Հավելված N 8 </t>
  </si>
  <si>
    <t>Հավելված N 7</t>
  </si>
  <si>
    <t>Հավելված 5</t>
  </si>
  <si>
    <t>Հավելված N 4</t>
  </si>
  <si>
    <t xml:space="preserve"> Ապահով դպրոց</t>
  </si>
  <si>
    <t>Ապահով դպրոց</t>
  </si>
  <si>
    <t>Մասսայական սպորտ</t>
  </si>
  <si>
    <t xml:space="preserve"> Միջոցառում</t>
  </si>
  <si>
    <t>այդ թվում</t>
  </si>
  <si>
    <t xml:space="preserve"> Հիմնական ընդհանուր կրթություն</t>
  </si>
  <si>
    <t xml:space="preserve"> - Շենքերի և շինությունների կապիտալ վերանորոգում</t>
  </si>
  <si>
    <t xml:space="preserve"> Միջնակարգ ընդհանուր կրթություն</t>
  </si>
  <si>
    <t>ՀՀ Լոռու մարզի Քոբայրավանքի պարիսպների և կից եկեղեցու պեղումներ</t>
  </si>
  <si>
    <t>«Պատմամշակութային ժառանգության գիտահետազոտական կենտրոն» ՊՈԱԿ</t>
  </si>
  <si>
    <t>ՀՀ Լոռու մարզի Կայանբերդ ամրոցի պեղումներ</t>
  </si>
  <si>
    <t>ՀՀ Վայոց Ձորի մարզի Շատիվանքի վանական համալիրի պեղումներ</t>
  </si>
  <si>
    <t>ՀՀ ԳԱԱ «Հնագիտության և ազգագրության ինստիտուտ» ՊՈԱԿ</t>
  </si>
  <si>
    <t>Թանգարանների և պատկերասրահների գույքային և տեխնիկական հագեցվածության բարելավում</t>
  </si>
  <si>
    <t xml:space="preserve">ՀՀ կառավարության  2025 թվականի </t>
  </si>
  <si>
    <t>ՀԱՅԱՍՏԱՆԻ ՀԱՆՐԱՊԵՏՈՒԹՅԱՆ ԿԱՌԱՎԱՐՈՒԹՅԱՆ 2024 ԹՎԱԿԱՆԻ ԴԵԿՏԵՄԲԵՐԻ 27-Ի N 2060-Ն ՈՐՈՇՄԱՆ N 5 ՀԱՎԵԼՎԱԾԻ N 7 ԱՂՅՈՒՍԱԿՈՒՄ  ԿԱՏԱՐՎՈՂ  ԼՐԱՑՈՒՄՆԵՐԸ</t>
  </si>
  <si>
    <t>1. Վերականգնողական աշխատանքներ</t>
  </si>
  <si>
    <t>Քոբայրավանք համալիրի գլխավոր եկեղեցու, նրան կից եկեղեցու և Մարիամաշեն եկեղեցու տանիքների վերականգնում</t>
  </si>
  <si>
    <t xml:space="preserve"> վերականգնողական աշխատանքներ</t>
  </si>
  <si>
    <t>ԲՄ</t>
  </si>
  <si>
    <t>Կիրանց գյուղի Սուրբ Երրորդություն եկեղեցու վերականգնում</t>
  </si>
  <si>
    <t>45451600-17</t>
  </si>
  <si>
    <t>45451600-18</t>
  </si>
  <si>
    <t>Բագարանի Սբ․ Շուշանիկ եկեղեցու վերականգնման գիտանախագծային փաստաթղթեր</t>
  </si>
  <si>
    <t>Բերդկունքի Սպիտակ բերդի նորոգման, ամրակայման և վերականգնման գիտանախագծային փաստաթղթեր</t>
  </si>
  <si>
    <t>Ալավերդի համայնքի Կաճաճկուտ բնակավայրի Սեդվի վանական համալիրի փլուզված եռահարկ աշտարակի նորոգման, ամրակայման, վերականգնման և տարածքի բարեկարգման գիտանախագծային փաստաթղթեր</t>
  </si>
  <si>
    <t>Հորսի  իշխան Չեսար Օրբելյանի ապարանքի  ամրակայման, նորոգման, վերականգնման գիտանախագծային փաստաթղթեր</t>
  </si>
  <si>
    <t>Աղնջաձորի Օրբելյանների քարավանատան (Սելիմի) ամրակայման, նորոգման, վերականգնման և տարածքի բարեկարգման գիտանախագծային փաստաթղթերի կազմում</t>
  </si>
  <si>
    <t>Ամբերդ ամրոցի հրատապ ամրակայման ենթակա հատվածների նորոգում և վերականգնում</t>
  </si>
  <si>
    <t>45451600-2</t>
  </si>
  <si>
    <t>45451600-12</t>
  </si>
  <si>
    <t>45451600-19</t>
  </si>
  <si>
    <t>ՀՀ Շիրակի մարզ</t>
  </si>
  <si>
    <t>Երերույքի տաճարի և փոքր դամբարանի թաղերի ամրակայում, Անիպեմզայի մշակույթի տան վերականգնում և փոքրիկ թանգարանի ստեղծում</t>
  </si>
  <si>
    <t>Պտղնու տաճարի նորոգում, ամրակայում և մասնակի վերականգնում</t>
  </si>
  <si>
    <t>Տավուշի մարզի «Տավուշ» ամրոցի պարիսպների, կից կառույցների, եկեղեցու ամրակայում, վերականգնում և տարածքի բարեկարգում</t>
  </si>
  <si>
    <t>Հայոց ցեղասպանության հուշահամալիրի և թանգարանի հիմնանորոգում և բարեկարգում</t>
  </si>
  <si>
    <t>«Երևանի հ․8 արհեստագործական պետական ուսումնարան» ՊՈԱԿ</t>
  </si>
  <si>
    <t>«Երևանի Շառլ Ազնավուրի անվան մշակույթի և արվեստի պետական քոլեջ» ՊՈԱԿ</t>
  </si>
  <si>
    <t>«Երևանի զարդարվեստի պետական արհեստագործական ուսումնարան» ՊՈԱԿ</t>
  </si>
  <si>
    <t xml:space="preserve">«Արթիկի պետական քոլեջ» ՊՈԱԿ </t>
  </si>
  <si>
    <t>«Գյումրու պետական բժշկական քոլեջ» ՊՈԱԿ</t>
  </si>
  <si>
    <t>1045-32001</t>
  </si>
  <si>
    <t>45611100-1</t>
  </si>
  <si>
    <t xml:space="preserve"> կրթական օբյեկտների հիմնանորոգում</t>
  </si>
  <si>
    <t>71351540-1</t>
  </si>
  <si>
    <t>71351540-2</t>
  </si>
  <si>
    <t>98111140-1</t>
  </si>
  <si>
    <t>98111140-2</t>
  </si>
  <si>
    <t>71241200-3</t>
  </si>
  <si>
    <t>50531140-3</t>
  </si>
  <si>
    <t xml:space="preserve"> այդ թվում`ըստ ուղղությունների</t>
  </si>
  <si>
    <t>45611100-2</t>
  </si>
  <si>
    <t xml:space="preserve"> Մասնագիտական ուսումնական հաստատությունների շենքային պայմանների բարելավում</t>
  </si>
  <si>
    <t xml:space="preserve"> Մասնագիտական ուսումնական հաստատությունների շենքերի կառուցում</t>
  </si>
  <si>
    <t>1045-32005</t>
  </si>
  <si>
    <t>71241200-1</t>
  </si>
  <si>
    <t>50531140-1</t>
  </si>
  <si>
    <t>«Երևանի պարարվեստի պետական քոլեջ» ՊՈԱԿ</t>
  </si>
  <si>
    <t>«Աբովյանի բազմագործառութային պետական քոլեջ» ՊՈԱԿ</t>
  </si>
  <si>
    <t>«Դիլիջանի բազմագործառութային պետական քոլեջ» ՊՈԱԿ</t>
  </si>
  <si>
    <t>71241200-5</t>
  </si>
  <si>
    <t>50531140-4</t>
  </si>
  <si>
    <t xml:space="preserve"> Ներդրումներ թանգարանների և պատկերասրահների հիմնանորոգման համար</t>
  </si>
  <si>
    <t>«Ռուսական արվեստի թանգարան (պրոֆեսոր Ա. Աբրահամյանի հավաքածու)» ՊՈԱԿ</t>
  </si>
  <si>
    <t>Ներդրումներ թանգարանների և պատկերասրահների հիմնանորոգման համար</t>
  </si>
  <si>
    <t>«Հ. Թումանյանի թանգարան» ՊՈԱԿ</t>
  </si>
  <si>
    <t>Դաս N 02</t>
  </si>
  <si>
    <t xml:space="preserve"> Թանգարաններ և ցուցասրահներ</t>
  </si>
  <si>
    <t>1075-32001</t>
  </si>
  <si>
    <t>45611200-1</t>
  </si>
  <si>
    <t xml:space="preserve"> մշակութային օբյեկտների հիմնանորոգում</t>
  </si>
  <si>
    <t>Կրթական օբյեկտների շենքային ապահովվածության բարելավում</t>
  </si>
  <si>
    <t>«Երևանի թիվ 54 ավագ դպրոց» ՊՈԱԿ</t>
  </si>
  <si>
    <t>1183-32002</t>
  </si>
  <si>
    <t xml:space="preserve"> Կրթական օբյեկտների շենքային ապահովվածության բարելավում</t>
  </si>
  <si>
    <t>Թանգարանների համար նոր շենքերի կառուցում</t>
  </si>
  <si>
    <t>1075-32012</t>
  </si>
  <si>
    <t xml:space="preserve"> Թանգարանների համար նոր շենքերի կառուցում</t>
  </si>
  <si>
    <t xml:space="preserve"> ընդհանուր շինարարական աշխատանքներ</t>
  </si>
  <si>
    <t>«Հայաստանի ազգային պատկերասրահ» ՊՈԱԿ</t>
  </si>
  <si>
    <t>Ավագ մակարդակի կրթություն իրականացնող ուսումնական հաստատությունների շենքային պայմանների բարելավում</t>
  </si>
  <si>
    <t>«Գյումրու «Ֆոտոն» վարժարան» ՊՈԱԿ</t>
  </si>
  <si>
    <t>Հանրակրթական դպրոցների շենքերի վերակառուցում, հիմնանորոգում</t>
  </si>
  <si>
    <t>ՀՀ Արարատի մարզ</t>
  </si>
  <si>
    <t>«Արտաշատի ավագ դպրոց» ՊՈԱԿ</t>
  </si>
  <si>
    <t>1236-32004</t>
  </si>
  <si>
    <t xml:space="preserve"> Հանրակրթական դպրոցների շենքերի վերակառուցում, հիմնանորոգում</t>
  </si>
  <si>
    <t xml:space="preserve"> քանդման աշխատանքներ</t>
  </si>
  <si>
    <t>ՀՄԱ</t>
  </si>
  <si>
    <t>ՀՀ կառավարության  2025 թվականի</t>
  </si>
  <si>
    <t>«ՀԱՅԱUՏԱՆԻ ՀԱՆՐԱՊԵՏՈՒԹՅԱՆ 2025 ԹՎԱԿԱՆԻ ՊԵՏԱԿԱՆ ԲՅՈՒՋԵԻ ՄԱUԻՆ» ՀԱՅԱUՏԱՆԻ ՀԱՆՐԱՊԵՏՈՒԹՅԱՆ OՐԵՆՔԻ N 1 ՀԱՎԵԼՎԱԾԻ N 3 ԱՂՅՈՒՍԱԿՈՒՄ ԿԱՏԱՐՎՈՂ ՓՈՓՈԽՈՒԹՅՈՒՆՆԵՐԸ ԵՎ ԼՐԱՑՈՒՄՆԵՐԸ</t>
  </si>
  <si>
    <t>ՀԱՅԱՍՏԱՆԻ ՀԱՆՐԱՊԵՏՈՒԹՅԱՆ ԿԱՌԱՎԱՐՈՒԹՅԱՆ 2024 ԹՎԱԿԱՆԻ ԴԵԿՏԵՄԲԵՐԻ 27-Ի N 2060-Ն ՈՐՈՇՄԱՆ N 5 ՀԱՎԵԼՎԱԾԻ N 2 ԱՂՅՈՒՍԱԿՈՒՄ ԿԱՏԱՐՎՈՂ ՓՈՓՈԽՈՒԹՅՈՒՆՆԵՐԸ ԵՎ ԼՐԱՑՈՒՄՆԵՐԸ</t>
  </si>
  <si>
    <t xml:space="preserve">ՀԱՅԱՍՏԱՆԻ ՀԱՆՐԱՊԵՏՈՒԹՅԱՆ ԿԱՌԱՎԱՐՈՒԹՅԱՆ 2024 ԹՎԱԿԱՆԻ ԴԵԿՏԵՄԲԵՐԻ 27-Ի N 2060-Ն N 10 ՀԱՎԵԼՎԱԾՈՒՄ ԿԱՏԱՐՎՈՂ ՓՈՓՈԽՈՒԹՅՈՒՆՆԵՐԸ ԵՎ ԼՐԱՑՈՒՄՆԵՐԸ
</t>
  </si>
  <si>
    <t>ՀՀ պետական դպրոցների՝ ԳՏՃՄ լաբորատորիաներով ապահովում</t>
  </si>
  <si>
    <t>ՀԱՅԱՍՏԱՆԻ ՀԱՆՐԱՊԵՏՈՒԹՅԱՆ ԿԱՌԱՎԱՐՈՒԹՅԱՆ 2024 ԹՎԱԿԱՆԻ ԴԵԿՏԵՄԲԵՐԻ 27-Ի N 2060-Ն ՈՐՈՇՄԱՆ N 3 ԵՎ N 4 ՀԱՎԵԼՎԱԾՆԵՐՈՒՄ ԿԱՏԱՐՎՈՂ  ՓՈՓՈԽՈՒԹՅՈՒՆՆԵՐԸ ԵՎ ԼՐԱՑՈՒՄՆԵՐԸ</t>
  </si>
  <si>
    <t xml:space="preserve"> ԱՅԼ ԾԱԽՍԵՐ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</si>
  <si>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</si>
  <si>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>Հանրակրթական դպրոցների, մանկապարտեզների և կրթահամալիրների գույքով և տեխնիկայով ապահովում</t>
  </si>
  <si>
    <t xml:space="preserve"> Կրթության որակի ապահովում</t>
  </si>
  <si>
    <t xml:space="preserve"> ՀՀ մարզերում տեղակայված պետական դպրոցների՝ ԳՏՃՄ առարկաներ դասավանդող ուսուցիչների վերապատրաստում նոր ստանդարտներին համապատասխան</t>
  </si>
  <si>
    <t xml:space="preserve"> ԱՅԼ  ԾԱԽՍԵՐ</t>
  </si>
  <si>
    <t xml:space="preserve"> Այլ ծախսեր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</si>
  <si>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</si>
  <si>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</si>
  <si>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</si>
  <si>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Այլ մեքենաներ և սարքավորումներ</t>
  </si>
  <si>
    <t>Մասնագիտական կրթության և ուսուցման ծրագիր</t>
  </si>
  <si>
    <t xml:space="preserve"> Մասնագիտական կրթության և ուսուցման ծրագիր</t>
  </si>
  <si>
    <t xml:space="preserve"> Թանգարանների և պատկերասրահների գույքային և տեխնիկական հագեցվածության բարելավում</t>
  </si>
  <si>
    <t xml:space="preserve"> ՀՀ ԿԱՌԱՎԱՐՈՒԹՅՈՒՆ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</si>
  <si>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</si>
  <si>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</si>
  <si>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</si>
  <si>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</si>
  <si>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- Պահուստային միջոցներ</t>
  </si>
  <si>
    <t>այդ թվում՝</t>
  </si>
  <si>
    <t>«ՀԱՅԱUՏԱՆԻ ՀԱՆՐԱՊԵՏՈՒԹՅԱՆ 2025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</si>
  <si>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</si>
  <si>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</si>
  <si>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</si>
  <si>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</si>
  <si>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եռամսյակ</t>
  </si>
  <si>
    <t xml:space="preserve"> Առաջին կիսամյակ</t>
  </si>
  <si>
    <t>ԸՆԴԱՄԵՆԸ</t>
  </si>
  <si>
    <t>Այլ պետական կազմակերպությունների կողմից օգտագործվող ոչ ֆինանսական ակտիվների հետ գործառնություններ</t>
  </si>
  <si>
    <t>Ծառայությունների մատուցում</t>
  </si>
  <si>
    <t>1236</t>
  </si>
  <si>
    <t>Հանրակրթական և նախադպրոցական հաստատությունների հիմնում, կառուցում, բարելավում</t>
  </si>
  <si>
    <t>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</si>
  <si>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Կրթական միջավայրի բարելավում</t>
  </si>
  <si>
    <t>1236 - 32004</t>
  </si>
  <si>
    <t>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</t>
  </si>
  <si>
    <t>ՀՀ ԿԱՌԱՎԱՐՈՒԹՅՈՒՆ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</si>
  <si>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</si>
  <si>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</si>
  <si>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</si>
  <si>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</si>
  <si>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</si>
  <si>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Աշխատաշուկայի արդի պահանջներին համապատասխան արհեստագործական և միջին մասնագիտական կրթության որակավորում ունեցող մասնագետների պատրաստում, կրթության մատչելիության ապահովում:</t>
  </si>
  <si>
    <t>Արհեստագործական և միջին մասնագիտական կրթության  գրավչության բարձրացում, մատչելի և մրցունակ արհեստագործական և միջին մասնագիտական կրթության ապահովում</t>
  </si>
  <si>
    <t>1045 - 32001</t>
  </si>
  <si>
    <t>Մասնագիտական ուսումնական հաստատությունների շենքային պայմանների բարելավում</t>
  </si>
  <si>
    <t>Մասնագիտական ուսումնական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</si>
  <si>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>1045 - 32005</t>
  </si>
  <si>
    <t>Մասնագիտական ուսումնական հաստատությունների շենքերի կառուցում</t>
  </si>
  <si>
    <t>Մասնագիտական ուսումնական հաստատությունների շենքերի (մասնաշենքերի) կառուցման և նախագծման աշխատանքների իրականացում</t>
  </si>
  <si>
    <t>Մշակութային ժառանգության պահպանում, օգտագործում, համալրում և հանրահռչակում</t>
  </si>
  <si>
    <t>Մշակութային ժառանգության շարունակական պահպանում, մշակութային զբոսաշրջության զարգացում և խթանում</t>
  </si>
  <si>
    <t>1075 - 32001</t>
  </si>
  <si>
    <t>Թանգարանների և պատկերասրահների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</si>
  <si>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>1075 - 21001</t>
  </si>
  <si>
    <t>Հուշարձանների ամրակայում, նորոգում և վերականգնում</t>
  </si>
  <si>
    <t>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</si>
  <si>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>Հանրության կողմից անմիջականորեն օգտագործվող ակտիվների հետ կապված միջոցառումներ</t>
  </si>
  <si>
    <t>1075 - 32008</t>
  </si>
  <si>
    <t>Թանգարանների և պատկերասրահների գույքային և տեխնիկական  հագեցվածության բարելավում</t>
  </si>
  <si>
    <t>Թանգարանների և պատկերասրահների համար անհրաժեշտ  գույքի, տեխնիկայի և սարքավորումների ձեռքբերում</t>
  </si>
  <si>
    <t>1075 - 32012</t>
  </si>
  <si>
    <t>Թանգարանների շենքերի, մասնաշենքերի կառուցում և նախագծում, նորաստեղծ թանգարանների նորակառույց շենքերով ապահովում</t>
  </si>
  <si>
    <t>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</si>
  <si>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>Դպրոցական միջավայրի բարելավում</t>
  </si>
  <si>
    <t>1183 - 32002</t>
  </si>
  <si>
    <t>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</si>
  <si>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>1183 - 32004</t>
  </si>
  <si>
    <t>Ավագ դպրոցների շենքային պայմանների բարելավում</t>
  </si>
  <si>
    <t>Կրթության որակի ապահովում</t>
  </si>
  <si>
    <t>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</si>
  <si>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>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</si>
  <si>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>1192 - 11024</t>
  </si>
  <si>
    <t>ՀՀ պետական դպրոցների ԳՏՃՄ առարկաներ դասավանդող ուսուցիչների վերապատրաստում`  նոր ստանդարտներին համապատասխան</t>
  </si>
  <si>
    <t>Աջակցություն ԳՏՃՄ առարկաների դասավանդման և ուսուցման որակը բարելավելու համար</t>
  </si>
  <si>
    <t>1192 - 32007</t>
  </si>
  <si>
    <t>ՀՀ պետական դպրոցների` ԳՏՃՄ լաբորատորիաներով ապահովում</t>
  </si>
  <si>
    <t>ՀՀ պետական դպրոցների համար ԳՏՃՄ առարկաների լաբորատոր սարքավարումների և կահույքի ձեռքբերում</t>
  </si>
  <si>
    <t>1236 - 32006</t>
  </si>
  <si>
    <t>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</t>
  </si>
  <si>
    <t>ՀԱՅԱՍՏԱՆԻ ՀԱՆՐԱՊԵՏՈՒԹՅԱՆ 2025 ԹՎԱԿԱՆԻ ՊԵՏԱԿԱՆ ԲՅՈՒՋԵՈՎ ՆԱԽԱՏԵՍՎԱԾ՝ ՀԱՅԱՍՏԱՆԻ ՀԱՆՐԱՊԵՏՈՒԹՅԱՆ ԿԱՌԱՎԱՐՈՒԹՅԱՆ ՊԱՀՈՒՍՏԱՅԻՆ ՖՈՆԴԻՑ ՀԱՏԿԱՑՈՒՄՆԵՐ ԿԱՏԱՐԵԼՈՒ ՎԵՐԱԲԵՐՅԱԼ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</si>
  <si>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</si>
  <si>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</si>
  <si>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</si>
  <si>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11</t>
  </si>
  <si>
    <t xml:space="preserve"> 01</t>
  </si>
  <si>
    <t xml:space="preserve"> ՀՀ կառավարություն</t>
  </si>
  <si>
    <t xml:space="preserve"> 1139</t>
  </si>
  <si>
    <t xml:space="preserve"> 11001</t>
  </si>
  <si>
    <t>Հավելված N 9</t>
  </si>
  <si>
    <t>ՀԱՅԱՍՏԱՆԻ ՀԱՆՐԱՊԵՏՈՒԹՅԱՆ ԿԱՌԱՎԱՐՈՒԹՅԱՆ 2024 ԹՎԱԿԱՆԻ ԴԵԿՏԵՄԲԵՐԻ 27-Ի N 2060-Ն ՈՐՈՇՄԱՆ N 9 ՀԱՎԵԼՎԱԾՈՒՄ ԿԱՏԱՐՎՈՂ ՓՈՓՈԽՈՒԹՅՈՒՆՆԵՐԸ ԵՎ ԼՐԱՑՈՒՄՆԵՐԸ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</si>
  <si>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</si>
  <si>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</si>
  <si>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</si>
  <si>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</si>
  <si>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</si>
  <si>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</si>
  <si>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</si>
  <si>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</si>
  <si>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</si>
  <si>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</si>
  <si>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</si>
  <si>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</si>
  <si>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</si>
  <si>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</si>
  <si>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</si>
  <si>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>ՀՀ ԿՐԹՈՒԹՅԱՆ, ԳԻՏՈՒԹՅԱՆ, ՄՇԱԿՈԻՅԹԻ ԵՎ ՍՊՈՐՏԻ ՆԱԽԱՐԱՐՈՒԹՅՈՒՆ</t>
  </si>
  <si>
    <t/>
  </si>
  <si>
    <t xml:space="preserve"> Ծառայությունների մատուցում </t>
  </si>
  <si>
    <t xml:space="preserve">  Ակտիվն օգտագործող կազմակերպությունների անվանումները` Հանրակրթական դպրոցներ </t>
  </si>
  <si>
    <t xml:space="preserve"> 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 </t>
  </si>
  <si>
    <t xml:space="preserve"> ՀՀ կառավարության պահուստային ֆոնդ </t>
  </si>
  <si>
    <t xml:space="preserve">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</si>
  <si>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</si>
  <si>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</si>
  <si>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Մասնագիտական ուսումնական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 </t>
  </si>
  <si>
    <t xml:space="preserve">  Ակտիվն օգտագործող կազմակերպությունների անվանումները` Մասնագիտական ուսումնական հաստատություններ </t>
  </si>
  <si>
    <t>Հիմնանորոգվող մասնագիտական ուսումնական հաստատությունների քանակ, հատ</t>
  </si>
  <si>
    <t xml:space="preserve">1045 - 32005 </t>
  </si>
  <si>
    <t xml:space="preserve"> Մասնագիտական ուսումնական հաստատությունների շենքերի (մասնաշենքերի) կառուցման և նախագծման աշխատանքների իրականացում </t>
  </si>
  <si>
    <t>Նախագծանախահաշվային փաստաթղթերի քանակ, հատ</t>
  </si>
  <si>
    <t xml:space="preserve"> Մշակութային ժառանգության ծրագիր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</si>
  <si>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</si>
  <si>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</si>
  <si>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Ծառայությունը մատուցող կազմակերպության անվանումը` Մասնագիտացված կազմակերպություններ </t>
  </si>
  <si>
    <t>Հուշարձանների ամրակայման, նորոգման և վերականգնման աշխատանքներ, քանակ</t>
  </si>
  <si>
    <t>Հուշարձանների նախագծման, փորձաքննության աշխատանքներ, քանակ</t>
  </si>
  <si>
    <t>Հուշարձանների ուսումնասիրման, հետախուզումների և պեղումների աշխատանքներ, քանակ</t>
  </si>
  <si>
    <t xml:space="preserve"> Թանգարանների և պատկերասրահների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</si>
  <si>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 Ակտիվն օգտագործող կազմակերպության անվանումը` Թանգարաններ և պատկերասրահներ </t>
  </si>
  <si>
    <t>Հիմնանորոգվող Թանգարաններ և պատկերասրահներ քանակ, հատ</t>
  </si>
  <si>
    <t xml:space="preserve"> Թանգարանների և պատկերասրահների համար անհրաժեշտ  գույքի, տեխնիկայի և սարքավորումների ձեռքբերում </t>
  </si>
  <si>
    <t>Կազմակերպությունների թիվը, որտեղ կատարվում են ներդրումները</t>
  </si>
  <si>
    <t xml:space="preserve"> Թանգարանների շենքերի, մասնաշենքերի կառուցում և նախագծում, նորաստեղծ թանգարանների նորակառույց շենքերով ապահովում</t>
  </si>
  <si>
    <t xml:space="preserve"> Ակտիվն օգտագործող կազմակերպության անվանումը` Թանգարաններ </t>
  </si>
  <si>
    <t>Կառուցվող թանգարաններ քանակ, հատ</t>
  </si>
  <si>
    <t xml:space="preserve"> 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</si>
  <si>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 xml:space="preserve"> Ակտիվն օգտագործող կազմակերպությունների անվանումները` Հանրակրթական դպրոցներ </t>
  </si>
  <si>
    <t xml:space="preserve"> Ակտիվն օգտագործող կազմակերպությունների անվանումները` Ավագ դպրոցներ </t>
  </si>
  <si>
    <t xml:space="preserve"> Աջակցություն ԳՏՃՄ առարկաների դասավանդման և ուսուցման որակը բարելավելու համար </t>
  </si>
  <si>
    <t xml:space="preserve"> Ծառայությունը մատուցողի անվանումը`  Մասնագիտացված կազմակերպություն </t>
  </si>
  <si>
    <t xml:space="preserve"> ՀՀ պետական դպրոցների համար ԳՏՃՄ առարկաների լաբորատոր սարքավարումների և կահույքի ձեռքբերում </t>
  </si>
  <si>
    <t xml:space="preserve"> Ակտիվն օգտագործող կազմակերպության անվանումը` Հանրակրթական ուսումնական հաստատություններ </t>
  </si>
  <si>
    <t xml:space="preserve"> 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 </t>
  </si>
  <si>
    <t xml:space="preserve"> Ակտիվն օգտագործող կազմակերպությունների անվանումները` Հանրակրթական դպրոցներ, մանկապարտեզներ և կրթահամալիրներ </t>
  </si>
  <si>
    <t>ՀԱՅԱՍՏԱՆԻ ՀԱՆՐԱՊԵՏՈՒԹՅԱՆ ԿԱՌԱՎԱՐՈՒԹՅԱՆ 2024 ԹՎԱԿԱՆԻ ԴԵԿՏԵՄԲԵՐԻ 27-Ի N 2060-Ն ՈՐՈՇՄԱՆ N 9.1 ՀԱՎԵԼՎԱԾՈՒՄ ԿԱՏԱՐՎՈՂ ՓՈՓՈԽՈՒԹՅՈՒՆՆԵՐԸ ԵՎ ԼՐԱՑՈՒՄՆԵՐԸ</t>
  </si>
  <si>
    <t xml:space="preserve"> ԲՍԿ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</si>
</sst>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General_)"/>
    <numFmt numFmtId="174" formatCode="_-* #,##0.0\ _р_._-;\-* #,##0.0\ _р_._-;_-* &quot;-&quot;?\ _р_._-;_-@_-"/>
    <numFmt numFmtId="175" formatCode="_-* #,##0.00\ _р_._-;\-* #,##0.00\ _р_._-;_-* &quot;-&quot;??\ _р_._-;_-@_-"/>
    <numFmt numFmtId="176" formatCode="0.000%"/>
    <numFmt numFmtId="177" formatCode="0_);\(0\)"/>
    <numFmt numFmtId="178" formatCode="_(* #,##0.0_);_(* \(#,##0.0\);_(* &quot;-&quot;?_);_(@_)"/>
    <numFmt numFmtId="179" formatCode="#,##0.000000000000_);\(#,##0.000000000000\)"/>
  </numFmts>
  <fonts count="9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1"/>
      <name val="GHEA Grapalat"/>
      <family val="3"/>
    </font>
    <font>
      <i/>
      <sz val="12"/>
      <color theme="1"/>
      <name val="GHEA Grapalat"/>
      <family val="3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sz val="11"/>
      <color rgb="FFFF0000"/>
      <name val="GHEA Grapalat"/>
      <family val="3"/>
    </font>
    <font>
      <i/>
      <sz val="11"/>
      <name val="GHEA Grapalat"/>
      <family val="3"/>
    </font>
    <font>
      <b/>
      <u/>
      <sz val="12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/>
      <diagonal/>
    </border>
  </borders>
  <cellStyleXfs count="2031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7" applyNumberFormat="0" applyAlignment="0" applyProtection="0"/>
    <xf numFmtId="0" fontId="25" fillId="7" borderId="8" applyNumberFormat="0" applyAlignment="0" applyProtection="0"/>
    <xf numFmtId="0" fontId="26" fillId="7" borderId="7" applyNumberFormat="0" applyAlignment="0" applyProtection="0"/>
    <xf numFmtId="0" fontId="27" fillId="0" borderId="9" applyNumberFormat="0" applyFill="0" applyAlignment="0" applyProtection="0"/>
    <xf numFmtId="0" fontId="28" fillId="8" borderId="10" applyNumberFormat="0" applyAlignment="0" applyProtection="0"/>
    <xf numFmtId="0" fontId="29" fillId="0" borderId="0" applyNumberFormat="0" applyFill="0" applyBorder="0" applyAlignment="0" applyProtection="0"/>
    <xf numFmtId="0" fontId="12" fillId="9" borderId="11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2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1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4" applyNumberFormat="0" applyFill="0" applyAlignment="0" applyProtection="0"/>
    <xf numFmtId="0" fontId="34" fillId="25" borderId="0" applyNumberFormat="0" applyBorder="0" applyAlignment="0" applyProtection="0"/>
    <xf numFmtId="0" fontId="42" fillId="0" borderId="6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9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7" applyNumberFormat="0" applyAlignment="0" applyProtection="0"/>
    <xf numFmtId="0" fontId="39" fillId="3" borderId="0" applyNumberFormat="0" applyBorder="0" applyAlignment="0" applyProtection="0"/>
    <xf numFmtId="0" fontId="46" fillId="7" borderId="8" applyNumberFormat="0" applyAlignment="0" applyProtection="0"/>
    <xf numFmtId="0" fontId="43" fillId="6" borderId="7" applyNumberFormat="0" applyAlignment="0" applyProtection="0"/>
    <xf numFmtId="0" fontId="41" fillId="0" borderId="5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0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2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3" applyNumberFormat="0" applyAlignment="0" applyProtection="0"/>
    <xf numFmtId="0" fontId="56" fillId="53" borderId="14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15" applyNumberFormat="0" applyFill="0" applyAlignment="0" applyProtection="0"/>
    <xf numFmtId="0" fontId="60" fillId="0" borderId="16" applyNumberFormat="0" applyFill="0" applyAlignment="0" applyProtection="0"/>
    <xf numFmtId="0" fontId="61" fillId="0" borderId="17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3" applyNumberFormat="0" applyAlignment="0" applyProtection="0"/>
    <xf numFmtId="0" fontId="63" fillId="0" borderId="18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19" applyNumberFormat="0" applyFont="0" applyAlignment="0" applyProtection="0"/>
    <xf numFmtId="0" fontId="65" fillId="52" borderId="20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1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1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1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25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3" fontId="81" fillId="0" borderId="26">
      <protection locked="0"/>
    </xf>
    <xf numFmtId="173" fontId="82" fillId="56" borderId="26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85" fillId="0" borderId="0"/>
    <xf numFmtId="43" fontId="85" fillId="0" borderId="0" applyFont="0" applyFill="0" applyBorder="0" applyAlignment="0" applyProtection="0"/>
    <xf numFmtId="175" fontId="83" fillId="0" borderId="0" applyFont="0" applyFill="0" applyBorder="0" applyAlignment="0" applyProtection="0"/>
    <xf numFmtId="0" fontId="12" fillId="0" borderId="0"/>
    <xf numFmtId="9" fontId="83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498">
    <xf numFmtId="0" fontId="0" fillId="0" borderId="0" xfId="0"/>
    <xf numFmtId="0" fontId="73" fillId="2" borderId="0" xfId="0" applyFont="1" applyFill="1"/>
    <xf numFmtId="169" fontId="16" fillId="2" borderId="22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0" fontId="16" fillId="2" borderId="22" xfId="0" applyFont="1" applyFill="1" applyBorder="1" applyAlignment="1">
      <alignment horizontal="left" vertical="top" wrapText="1"/>
    </xf>
    <xf numFmtId="166" fontId="72" fillId="2" borderId="22" xfId="7" applyNumberFormat="1" applyFont="1" applyFill="1" applyBorder="1" applyAlignment="1">
      <alignment horizontal="center" vertical="center" wrapText="1"/>
    </xf>
    <xf numFmtId="169" fontId="72" fillId="2" borderId="22" xfId="7" applyNumberFormat="1" applyFont="1" applyFill="1" applyBorder="1" applyAlignment="1">
      <alignment horizontal="center" vertical="center" wrapText="1"/>
    </xf>
    <xf numFmtId="166" fontId="72" fillId="2" borderId="22" xfId="7" applyNumberFormat="1" applyFont="1" applyFill="1" applyBorder="1" applyAlignment="1">
      <alignment horizontal="right" vertical="center" wrapText="1"/>
    </xf>
    <xf numFmtId="169" fontId="16" fillId="2" borderId="22" xfId="7" applyNumberFormat="1" applyFont="1" applyFill="1" applyBorder="1" applyAlignment="1">
      <alignment horizontal="center" vertical="top" wrapText="1"/>
    </xf>
    <xf numFmtId="0" fontId="72" fillId="2" borderId="22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left" vertical="top" wrapText="1"/>
    </xf>
    <xf numFmtId="43" fontId="72" fillId="2" borderId="22" xfId="7" applyFont="1" applyFill="1" applyBorder="1" applyAlignment="1">
      <alignment horizontal="center" vertical="center" wrapText="1"/>
    </xf>
    <xf numFmtId="169" fontId="16" fillId="2" borderId="22" xfId="7" applyNumberFormat="1" applyFont="1" applyFill="1" applyBorder="1" applyAlignment="1">
      <alignment horizontal="right" vertical="center" wrapText="1"/>
    </xf>
    <xf numFmtId="0" fontId="84" fillId="2" borderId="0" xfId="0" applyFont="1" applyFill="1" applyAlignment="1">
      <alignment horizontal="left" vertical="top" wrapText="1"/>
    </xf>
    <xf numFmtId="172" fontId="72" fillId="2" borderId="0" xfId="0" applyNumberFormat="1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16" fillId="2" borderId="22" xfId="0" applyFont="1" applyFill="1" applyBorder="1" applyAlignment="1">
      <alignment horizontal="center" vertical="top" wrapText="1"/>
    </xf>
    <xf numFmtId="0" fontId="72" fillId="2" borderId="27" xfId="0" applyFont="1" applyFill="1" applyBorder="1" applyAlignment="1">
      <alignment vertical="top" wrapText="1"/>
    </xf>
    <xf numFmtId="0" fontId="16" fillId="2" borderId="27" xfId="0" applyFont="1" applyFill="1" applyBorder="1" applyAlignment="1">
      <alignment horizontal="left" vertical="top" wrapText="1"/>
    </xf>
    <xf numFmtId="0" fontId="72" fillId="2" borderId="27" xfId="0" applyFont="1" applyFill="1" applyBorder="1" applyAlignment="1">
      <alignment horizontal="left" vertical="top" wrapText="1"/>
    </xf>
    <xf numFmtId="0" fontId="72" fillId="2" borderId="27" xfId="0" applyFont="1" applyFill="1" applyBorder="1" applyAlignment="1">
      <alignment horizontal="left" vertical="center" wrapText="1"/>
    </xf>
    <xf numFmtId="0" fontId="16" fillId="2" borderId="27" xfId="0" applyFont="1" applyFill="1" applyBorder="1" applyAlignment="1">
      <alignment horizontal="center"/>
    </xf>
    <xf numFmtId="0" fontId="84" fillId="2" borderId="27" xfId="165" applyFont="1" applyFill="1" applyBorder="1">
      <alignment horizontal="left" vertical="top" wrapText="1"/>
    </xf>
    <xf numFmtId="0" fontId="16" fillId="2" borderId="27" xfId="0" applyFont="1" applyFill="1" applyBorder="1" applyAlignment="1">
      <alignment horizontal="left" vertical="center" wrapText="1"/>
    </xf>
    <xf numFmtId="169" fontId="72" fillId="2" borderId="27" xfId="7" applyNumberFormat="1" applyFont="1" applyFill="1" applyBorder="1" applyAlignment="1">
      <alignment horizontal="right" vertical="center" wrapText="1"/>
    </xf>
    <xf numFmtId="0" fontId="72" fillId="2" borderId="27" xfId="0" applyFont="1" applyFill="1" applyBorder="1"/>
    <xf numFmtId="0" fontId="72" fillId="2" borderId="0" xfId="0" applyFont="1" applyFill="1" applyAlignment="1">
      <alignment vertical="center"/>
    </xf>
    <xf numFmtId="0" fontId="72" fillId="2" borderId="0" xfId="0" applyFont="1" applyFill="1" applyAlignment="1">
      <alignment horizontal="right"/>
    </xf>
    <xf numFmtId="0" fontId="72" fillId="2" borderId="22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72" fillId="2" borderId="27" xfId="0" applyFont="1" applyFill="1" applyBorder="1" applyAlignment="1">
      <alignment horizontal="center" vertical="top" wrapText="1"/>
    </xf>
    <xf numFmtId="0" fontId="16" fillId="2" borderId="27" xfId="0" applyFont="1" applyFill="1" applyBorder="1" applyAlignment="1">
      <alignment horizontal="center" vertical="center" wrapText="1"/>
    </xf>
    <xf numFmtId="0" fontId="72" fillId="2" borderId="28" xfId="1737" applyFont="1" applyFill="1" applyBorder="1" applyAlignment="1">
      <alignment vertical="center"/>
    </xf>
    <xf numFmtId="0" fontId="72" fillId="2" borderId="29" xfId="1737" applyFont="1" applyFill="1" applyBorder="1" applyAlignment="1">
      <alignment vertical="center"/>
    </xf>
    <xf numFmtId="0" fontId="72" fillId="2" borderId="29" xfId="1737" applyFont="1" applyFill="1" applyBorder="1" applyAlignment="1">
      <alignment horizontal="center" vertical="center"/>
    </xf>
    <xf numFmtId="0" fontId="72" fillId="2" borderId="0" xfId="299" applyFont="1" applyFill="1"/>
    <xf numFmtId="171" fontId="72" fillId="2" borderId="27" xfId="6" applyNumberFormat="1" applyFont="1" applyFill="1" applyBorder="1" applyAlignment="1">
      <alignment horizontal="center" vertical="center"/>
    </xf>
    <xf numFmtId="0" fontId="72" fillId="2" borderId="0" xfId="299" applyFont="1" applyFill="1" applyAlignment="1">
      <alignment horizontal="left" vertical="center" wrapText="1"/>
    </xf>
    <xf numFmtId="175" fontId="72" fillId="2" borderId="0" xfId="2027" applyFont="1" applyFill="1" applyAlignment="1">
      <alignment horizontal="left" vertical="center" wrapText="1"/>
    </xf>
    <xf numFmtId="175" fontId="72" fillId="2" borderId="0" xfId="2027" applyFont="1" applyFill="1"/>
    <xf numFmtId="165" fontId="16" fillId="2" borderId="27" xfId="6" applyFont="1" applyFill="1" applyBorder="1" applyAlignment="1">
      <alignment horizontal="center" vertical="center"/>
    </xf>
    <xf numFmtId="169" fontId="16" fillId="2" borderId="27" xfId="96" applyNumberFormat="1" applyFont="1" applyFill="1" applyBorder="1" applyAlignment="1">
      <alignment horizontal="center" vertical="center" wrapText="1"/>
    </xf>
    <xf numFmtId="0" fontId="72" fillId="2" borderId="27" xfId="96" applyFont="1" applyFill="1" applyBorder="1" applyAlignment="1">
      <alignment horizontal="center" vertical="center" wrapText="1"/>
    </xf>
    <xf numFmtId="168" fontId="72" fillId="2" borderId="27" xfId="96" applyNumberFormat="1" applyFont="1" applyFill="1" applyBorder="1" applyAlignment="1">
      <alignment horizontal="center" vertical="center" wrapText="1"/>
    </xf>
    <xf numFmtId="0" fontId="16" fillId="2" borderId="27" xfId="96" applyFont="1" applyFill="1" applyBorder="1" applyAlignment="1">
      <alignment horizontal="center" vertical="center" wrapText="1"/>
    </xf>
    <xf numFmtId="0" fontId="16" fillId="2" borderId="27" xfId="96" applyFont="1" applyFill="1" applyBorder="1" applyAlignment="1">
      <alignment vertical="center" wrapText="1"/>
    </xf>
    <xf numFmtId="166" fontId="86" fillId="2" borderId="27" xfId="223" applyNumberFormat="1" applyFont="1" applyFill="1" applyBorder="1"/>
    <xf numFmtId="166" fontId="84" fillId="2" borderId="27" xfId="223" applyNumberFormat="1" applyFont="1" applyFill="1" applyBorder="1" applyAlignment="1">
      <alignment vertical="center"/>
    </xf>
    <xf numFmtId="0" fontId="16" fillId="2" borderId="23" xfId="96" applyFont="1" applyFill="1" applyBorder="1" applyAlignment="1">
      <alignment horizontal="center" vertical="center" wrapText="1"/>
    </xf>
    <xf numFmtId="168" fontId="72" fillId="2" borderId="27" xfId="96" applyNumberFormat="1" applyFont="1" applyFill="1" applyBorder="1" applyAlignment="1">
      <alignment vertical="center" wrapText="1"/>
    </xf>
    <xf numFmtId="0" fontId="86" fillId="2" borderId="30" xfId="96" applyFont="1" applyFill="1" applyBorder="1" applyAlignment="1">
      <alignment horizontal="center" vertical="center" wrapText="1"/>
    </xf>
    <xf numFmtId="165" fontId="86" fillId="2" borderId="27" xfId="6" applyFont="1" applyFill="1" applyBorder="1" applyAlignment="1">
      <alignment horizontal="center" vertical="center"/>
    </xf>
    <xf numFmtId="166" fontId="87" fillId="2" borderId="0" xfId="0" applyNumberFormat="1" applyFont="1" applyFill="1"/>
    <xf numFmtId="0" fontId="87" fillId="2" borderId="0" xfId="0" applyFont="1" applyFill="1"/>
    <xf numFmtId="0" fontId="88" fillId="2" borderId="0" xfId="0" applyFont="1" applyFill="1"/>
    <xf numFmtId="0" fontId="86" fillId="2" borderId="27" xfId="96" applyFont="1" applyFill="1" applyBorder="1" applyAlignment="1">
      <alignment horizontal="left" vertical="center" wrapText="1"/>
    </xf>
    <xf numFmtId="0" fontId="72" fillId="2" borderId="23" xfId="0" applyFont="1" applyFill="1" applyBorder="1"/>
    <xf numFmtId="49" fontId="16" fillId="2" borderId="27" xfId="96" applyNumberFormat="1" applyFont="1" applyFill="1" applyBorder="1" applyAlignment="1">
      <alignment vertical="center" textRotation="90" wrapText="1"/>
    </xf>
    <xf numFmtId="169" fontId="72" fillId="57" borderId="30" xfId="0" applyNumberFormat="1" applyFont="1" applyFill="1" applyBorder="1" applyAlignment="1">
      <alignment horizontal="right" vertical="center" wrapText="1"/>
    </xf>
    <xf numFmtId="0" fontId="16" fillId="0" borderId="27" xfId="96" applyFont="1" applyBorder="1" applyAlignment="1">
      <alignment horizontal="left" vertical="center" wrapText="1"/>
    </xf>
    <xf numFmtId="0" fontId="72" fillId="2" borderId="27" xfId="0" applyFont="1" applyFill="1" applyBorder="1" applyAlignment="1">
      <alignment horizontal="center"/>
    </xf>
    <xf numFmtId="169" fontId="72" fillId="2" borderId="30" xfId="1737" applyNumberFormat="1" applyFont="1" applyFill="1" applyBorder="1" applyAlignment="1">
      <alignment vertical="center"/>
    </xf>
    <xf numFmtId="49" fontId="72" fillId="2" borderId="27" xfId="0" applyNumberFormat="1" applyFont="1" applyFill="1" applyBorder="1" applyAlignment="1">
      <alignment horizontal="left" vertical="top" wrapText="1"/>
    </xf>
    <xf numFmtId="0" fontId="72" fillId="2" borderId="23" xfId="0" applyFont="1" applyFill="1" applyBorder="1" applyAlignment="1">
      <alignment vertical="top" wrapText="1"/>
    </xf>
    <xf numFmtId="0" fontId="72" fillId="2" borderId="1" xfId="0" applyFont="1" applyFill="1" applyBorder="1" applyAlignment="1">
      <alignment vertical="top" wrapText="1"/>
    </xf>
    <xf numFmtId="166" fontId="72" fillId="2" borderId="27" xfId="7" applyNumberFormat="1" applyFont="1" applyFill="1" applyBorder="1" applyAlignment="1">
      <alignment horizontal="right" vertical="center" wrapText="1"/>
    </xf>
    <xf numFmtId="0" fontId="73" fillId="2" borderId="0" xfId="0" applyFont="1" applyFill="1" applyAlignment="1">
      <alignment horizontal="right"/>
    </xf>
    <xf numFmtId="0" fontId="72" fillId="2" borderId="27" xfId="8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wrapText="1"/>
    </xf>
    <xf numFmtId="0" fontId="86" fillId="2" borderId="27" xfId="96" applyFont="1" applyFill="1" applyBorder="1" applyAlignment="1">
      <alignment horizontal="center" vertical="center" wrapText="1"/>
    </xf>
    <xf numFmtId="0" fontId="72" fillId="57" borderId="27" xfId="0" applyFont="1" applyFill="1" applyBorder="1" applyAlignment="1">
      <alignment vertical="center" wrapText="1"/>
    </xf>
    <xf numFmtId="0" fontId="84" fillId="2" borderId="27" xfId="0" applyFont="1" applyFill="1" applyBorder="1" applyAlignment="1">
      <alignment vertical="center" wrapText="1"/>
    </xf>
    <xf numFmtId="177" fontId="72" fillId="0" borderId="27" xfId="0" applyNumberFormat="1" applyFont="1" applyBorder="1" applyAlignment="1">
      <alignment horizontal="center" vertical="center"/>
    </xf>
    <xf numFmtId="169" fontId="72" fillId="0" borderId="27" xfId="0" applyNumberFormat="1" applyFont="1" applyBorder="1" applyAlignment="1">
      <alignment horizontal="right" vertical="center" wrapText="1"/>
    </xf>
    <xf numFmtId="169" fontId="72" fillId="2" borderId="27" xfId="0" applyNumberFormat="1" applyFont="1" applyFill="1" applyBorder="1" applyAlignment="1">
      <alignment horizontal="right" vertical="center" wrapText="1"/>
    </xf>
    <xf numFmtId="166" fontId="86" fillId="2" borderId="27" xfId="223" applyNumberFormat="1" applyFont="1" applyFill="1" applyBorder="1" applyAlignment="1">
      <alignment vertical="center"/>
    </xf>
    <xf numFmtId="0" fontId="72" fillId="2" borderId="0" xfId="8" applyFont="1" applyFill="1">
      <alignment horizontal="left" vertical="top" wrapText="1"/>
    </xf>
    <xf numFmtId="0" fontId="72" fillId="2" borderId="27" xfId="8" applyFont="1" applyFill="1" applyBorder="1">
      <alignment horizontal="left" vertical="top" wrapText="1"/>
    </xf>
    <xf numFmtId="4" fontId="16" fillId="2" borderId="30" xfId="8" applyNumberFormat="1" applyFont="1" applyFill="1" applyBorder="1" applyAlignment="1">
      <alignment horizontal="center" vertical="top" wrapText="1"/>
    </xf>
    <xf numFmtId="0" fontId="84" fillId="2" borderId="2" xfId="0" applyFont="1" applyFill="1" applyBorder="1" applyAlignment="1">
      <alignment horizontal="left" vertical="center" wrapText="1"/>
    </xf>
    <xf numFmtId="0" fontId="72" fillId="2" borderId="0" xfId="8" applyFont="1" applyFill="1" applyAlignment="1">
      <alignment horizontal="left" vertical="center" wrapText="1"/>
    </xf>
    <xf numFmtId="165" fontId="72" fillId="2" borderId="0" xfId="8" applyNumberFormat="1" applyFont="1" applyFill="1" applyAlignment="1">
      <alignment horizontal="left" vertical="center" wrapText="1"/>
    </xf>
    <xf numFmtId="0" fontId="16" fillId="2" borderId="27" xfId="0" applyFont="1" applyFill="1" applyBorder="1" applyAlignment="1">
      <alignment horizontal="center" vertical="center"/>
    </xf>
    <xf numFmtId="0" fontId="73" fillId="2" borderId="27" xfId="0" applyFont="1" applyFill="1" applyBorder="1" applyAlignment="1">
      <alignment vertical="center" wrapText="1"/>
    </xf>
    <xf numFmtId="4" fontId="72" fillId="2" borderId="0" xfId="8" applyNumberFormat="1" applyFont="1" applyFill="1">
      <alignment horizontal="left" vertical="top" wrapText="1"/>
    </xf>
    <xf numFmtId="169" fontId="90" fillId="2" borderId="27" xfId="0" applyNumberFormat="1" applyFont="1" applyFill="1" applyBorder="1" applyAlignment="1">
      <alignment horizontal="right" vertical="center" wrapText="1"/>
    </xf>
    <xf numFmtId="0" fontId="73" fillId="0" borderId="30" xfId="0" applyFont="1" applyBorder="1" applyAlignment="1">
      <alignment horizontal="left" vertical="top" wrapText="1"/>
    </xf>
    <xf numFmtId="0" fontId="16" fillId="2" borderId="23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72" fillId="2" borderId="2" xfId="0" applyFont="1" applyFill="1" applyBorder="1" applyAlignment="1">
      <alignment vertical="top" wrapText="1"/>
    </xf>
    <xf numFmtId="169" fontId="84" fillId="2" borderId="22" xfId="7" applyNumberFormat="1" applyFont="1" applyFill="1" applyBorder="1" applyAlignment="1">
      <alignment horizontal="right" vertical="center" wrapText="1"/>
    </xf>
    <xf numFmtId="169" fontId="72" fillId="2" borderId="22" xfId="7" applyNumberFormat="1" applyFont="1" applyFill="1" applyBorder="1" applyAlignment="1">
      <alignment horizontal="right" vertical="center" wrapText="1"/>
    </xf>
    <xf numFmtId="0" fontId="72" fillId="2" borderId="0" xfId="299" applyFont="1" applyFill="1" applyAlignment="1">
      <alignment vertical="center"/>
    </xf>
    <xf numFmtId="0" fontId="72" fillId="2" borderId="27" xfId="299" applyFont="1" applyFill="1" applyBorder="1" applyAlignment="1">
      <alignment vertical="top"/>
    </xf>
    <xf numFmtId="43" fontId="72" fillId="2" borderId="27" xfId="7" applyFont="1" applyFill="1" applyBorder="1" applyAlignment="1">
      <alignment horizontal="right" vertical="top" wrapText="1"/>
    </xf>
    <xf numFmtId="0" fontId="16" fillId="2" borderId="0" xfId="0" applyFont="1" applyFill="1" applyAlignment="1">
      <alignment horizontal="center" wrapText="1"/>
    </xf>
    <xf numFmtId="0" fontId="72" fillId="2" borderId="23" xfId="0" applyFont="1" applyFill="1" applyBorder="1" applyAlignment="1">
      <alignment horizontal="center"/>
    </xf>
    <xf numFmtId="0" fontId="16" fillId="2" borderId="30" xfId="0" applyFont="1" applyFill="1" applyBorder="1" applyAlignment="1">
      <alignment horizontal="center" vertical="center"/>
    </xf>
    <xf numFmtId="0" fontId="72" fillId="2" borderId="27" xfId="208" applyFont="1" applyFill="1" applyBorder="1" applyAlignment="1">
      <alignment horizontal="center"/>
    </xf>
    <xf numFmtId="0" fontId="72" fillId="2" borderId="27" xfId="208" applyFont="1" applyFill="1" applyBorder="1" applyAlignment="1">
      <alignment horizontal="left"/>
    </xf>
    <xf numFmtId="169" fontId="72" fillId="0" borderId="27" xfId="208" applyNumberFormat="1" applyFont="1" applyBorder="1"/>
    <xf numFmtId="43" fontId="72" fillId="2" borderId="27" xfId="217" applyFont="1" applyFill="1" applyBorder="1"/>
    <xf numFmtId="0" fontId="72" fillId="2" borderId="27" xfId="208" applyFont="1" applyFill="1" applyBorder="1"/>
    <xf numFmtId="0" fontId="88" fillId="2" borderId="0" xfId="208" applyFont="1" applyFill="1"/>
    <xf numFmtId="0" fontId="72" fillId="2" borderId="29" xfId="0" applyFont="1" applyFill="1" applyBorder="1" applyAlignment="1">
      <alignment vertical="center"/>
    </xf>
    <xf numFmtId="0" fontId="72" fillId="57" borderId="27" xfId="0" applyFont="1" applyFill="1" applyBorder="1" applyAlignment="1">
      <alignment wrapText="1"/>
    </xf>
    <xf numFmtId="0" fontId="72" fillId="2" borderId="0" xfId="0" applyFont="1" applyFill="1" applyAlignment="1">
      <alignment vertical="top"/>
    </xf>
    <xf numFmtId="0" fontId="72" fillId="2" borderId="27" xfId="0" applyFont="1" applyFill="1" applyBorder="1" applyAlignment="1">
      <alignment horizontal="center" vertical="center" wrapText="1"/>
    </xf>
    <xf numFmtId="165" fontId="72" fillId="2" borderId="27" xfId="6" applyFont="1" applyFill="1" applyBorder="1" applyAlignment="1">
      <alignment horizontal="center" vertical="center"/>
    </xf>
    <xf numFmtId="0" fontId="72" fillId="2" borderId="0" xfId="0" applyFont="1" applyFill="1" applyAlignment="1">
      <alignment horizontal="left" vertical="center" wrapText="1"/>
    </xf>
    <xf numFmtId="0" fontId="72" fillId="2" borderId="30" xfId="0" applyFont="1" applyFill="1" applyBorder="1" applyAlignment="1">
      <alignment horizontal="center" vertical="center"/>
    </xf>
    <xf numFmtId="169" fontId="16" fillId="2" borderId="30" xfId="8" applyNumberFormat="1" applyFont="1" applyFill="1" applyBorder="1" applyAlignment="1">
      <alignment horizontal="right" vertical="center" wrapText="1"/>
    </xf>
    <xf numFmtId="169" fontId="16" fillId="2" borderId="30" xfId="8" applyNumberFormat="1" applyFont="1" applyFill="1" applyBorder="1" applyAlignment="1">
      <alignment horizontal="center" vertical="center" wrapText="1"/>
    </xf>
    <xf numFmtId="0" fontId="73" fillId="2" borderId="0" xfId="0" applyFont="1" applyFill="1" applyAlignment="1">
      <alignment vertical="top"/>
    </xf>
    <xf numFmtId="49" fontId="16" fillId="2" borderId="1" xfId="0" applyNumberFormat="1" applyFont="1" applyFill="1" applyBorder="1" applyAlignment="1">
      <alignment horizontal="center" vertical="top" wrapText="1"/>
    </xf>
    <xf numFmtId="0" fontId="72" fillId="2" borderId="35" xfId="0" applyFont="1" applyFill="1" applyBorder="1" applyAlignment="1">
      <alignment horizontal="center" vertical="center" wrapText="1"/>
    </xf>
    <xf numFmtId="0" fontId="72" fillId="2" borderId="35" xfId="0" applyFont="1" applyFill="1" applyBorder="1" applyAlignment="1">
      <alignment horizontal="left" vertical="top" wrapText="1"/>
    </xf>
    <xf numFmtId="43" fontId="72" fillId="57" borderId="30" xfId="7" applyFont="1" applyFill="1" applyBorder="1" applyAlignment="1">
      <alignment horizontal="right" vertical="center" wrapText="1"/>
    </xf>
    <xf numFmtId="169" fontId="16" fillId="2" borderId="35" xfId="7" applyNumberFormat="1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left" vertical="top" wrapText="1"/>
    </xf>
    <xf numFmtId="0" fontId="84" fillId="2" borderId="35" xfId="0" applyFont="1" applyFill="1" applyBorder="1" applyAlignment="1">
      <alignment horizontal="left" vertical="top" wrapText="1"/>
    </xf>
    <xf numFmtId="0" fontId="16" fillId="2" borderId="35" xfId="0" applyFont="1" applyFill="1" applyBorder="1" applyAlignment="1">
      <alignment horizontal="left" vertical="center" wrapText="1"/>
    </xf>
    <xf numFmtId="169" fontId="16" fillId="2" borderId="35" xfId="7" applyNumberFormat="1" applyFont="1" applyFill="1" applyBorder="1" applyAlignment="1">
      <alignment horizontal="right" vertical="center" wrapText="1"/>
    </xf>
    <xf numFmtId="0" fontId="72" fillId="2" borderId="35" xfId="0" applyFont="1" applyFill="1" applyBorder="1"/>
    <xf numFmtId="0" fontId="72" fillId="2" borderId="35" xfId="8" applyFont="1" applyFill="1" applyBorder="1">
      <alignment horizontal="left" vertical="top" wrapText="1"/>
    </xf>
    <xf numFmtId="0" fontId="16" fillId="2" borderId="2" xfId="0" applyFont="1" applyFill="1" applyBorder="1" applyAlignment="1">
      <alignment horizontal="left" vertical="top" wrapText="1"/>
    </xf>
    <xf numFmtId="0" fontId="89" fillId="2" borderId="35" xfId="0" applyFont="1" applyFill="1" applyBorder="1"/>
    <xf numFmtId="0" fontId="86" fillId="2" borderId="24" xfId="96" applyFont="1" applyFill="1" applyBorder="1" applyAlignment="1">
      <alignment horizontal="center" vertical="center" wrapText="1"/>
    </xf>
    <xf numFmtId="0" fontId="72" fillId="2" borderId="35" xfId="0" applyFont="1" applyFill="1" applyBorder="1" applyAlignment="1">
      <alignment horizontal="left" vertical="center" wrapText="1"/>
    </xf>
    <xf numFmtId="166" fontId="72" fillId="2" borderId="35" xfId="7" applyNumberFormat="1" applyFont="1" applyFill="1" applyBorder="1" applyAlignment="1">
      <alignment horizontal="center" vertical="center" wrapText="1"/>
    </xf>
    <xf numFmtId="169" fontId="72" fillId="2" borderId="35" xfId="7" applyNumberFormat="1" applyFont="1" applyFill="1" applyBorder="1" applyAlignment="1">
      <alignment horizontal="center" vertical="center" wrapText="1"/>
    </xf>
    <xf numFmtId="43" fontId="72" fillId="2" borderId="35" xfId="7" applyFont="1" applyFill="1" applyBorder="1" applyAlignment="1">
      <alignment horizontal="center" vertical="center" wrapText="1"/>
    </xf>
    <xf numFmtId="0" fontId="72" fillId="2" borderId="35" xfId="0" applyFont="1" applyFill="1" applyBorder="1" applyAlignment="1">
      <alignment vertical="top" wrapText="1"/>
    </xf>
    <xf numFmtId="166" fontId="72" fillId="2" borderId="35" xfId="7" applyNumberFormat="1" applyFont="1" applyFill="1" applyBorder="1" applyAlignment="1">
      <alignment horizontal="right" vertical="center" wrapText="1"/>
    </xf>
    <xf numFmtId="0" fontId="84" fillId="2" borderId="35" xfId="165" applyFont="1" applyFill="1" applyBorder="1">
      <alignment horizontal="left" vertical="top" wrapText="1"/>
    </xf>
    <xf numFmtId="169" fontId="84" fillId="2" borderId="35" xfId="7" applyNumberFormat="1" applyFont="1" applyFill="1" applyBorder="1" applyAlignment="1">
      <alignment horizontal="right" vertical="center" wrapText="1"/>
    </xf>
    <xf numFmtId="169" fontId="72" fillId="2" borderId="35" xfId="7" applyNumberFormat="1" applyFont="1" applyFill="1" applyBorder="1" applyAlignment="1">
      <alignment horizontal="right" vertical="center" wrapText="1"/>
    </xf>
    <xf numFmtId="0" fontId="16" fillId="2" borderId="35" xfId="0" applyFont="1" applyFill="1" applyBorder="1" applyAlignment="1">
      <alignment horizontal="center" vertical="center" wrapText="1"/>
    </xf>
    <xf numFmtId="0" fontId="72" fillId="0" borderId="35" xfId="0" applyFont="1" applyBorder="1" applyAlignment="1">
      <alignment horizontal="left" vertical="top" wrapText="1"/>
    </xf>
    <xf numFmtId="0" fontId="73" fillId="0" borderId="35" xfId="0" applyFont="1" applyBorder="1" applyAlignment="1">
      <alignment horizontal="left" vertical="top" wrapText="1"/>
    </xf>
    <xf numFmtId="0" fontId="16" fillId="2" borderId="1" xfId="0" applyFont="1" applyFill="1" applyBorder="1" applyAlignment="1">
      <alignment vertical="top" wrapText="1"/>
    </xf>
    <xf numFmtId="49" fontId="16" fillId="2" borderId="1" xfId="0" applyNumberFormat="1" applyFont="1" applyFill="1" applyBorder="1" applyAlignment="1">
      <alignment vertical="top" wrapText="1"/>
    </xf>
    <xf numFmtId="0" fontId="72" fillId="2" borderId="35" xfId="0" applyFont="1" applyFill="1" applyBorder="1" applyAlignment="1">
      <alignment vertical="center" wrapText="1"/>
    </xf>
    <xf numFmtId="39" fontId="72" fillId="0" borderId="0" xfId="299" applyNumberFormat="1" applyFont="1" applyAlignment="1">
      <alignment vertical="center"/>
    </xf>
    <xf numFmtId="0" fontId="89" fillId="2" borderId="2" xfId="0" applyFont="1" applyFill="1" applyBorder="1" applyAlignment="1">
      <alignment horizontal="center"/>
    </xf>
    <xf numFmtId="0" fontId="72" fillId="2" borderId="35" xfId="0" applyFont="1" applyFill="1" applyBorder="1" applyAlignment="1">
      <alignment horizontal="center" vertical="top" wrapText="1"/>
    </xf>
    <xf numFmtId="0" fontId="16" fillId="2" borderId="35" xfId="0" applyFont="1" applyFill="1" applyBorder="1" applyAlignment="1">
      <alignment horizontal="center" vertical="top" wrapText="1"/>
    </xf>
    <xf numFmtId="0" fontId="16" fillId="2" borderId="23" xfId="0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center"/>
    </xf>
    <xf numFmtId="0" fontId="13" fillId="2" borderId="0" xfId="0" applyFont="1" applyFill="1" applyAlignment="1">
      <alignment horizontal="center" vertical="center" wrapText="1"/>
    </xf>
    <xf numFmtId="0" fontId="72" fillId="2" borderId="24" xfId="0" applyFont="1" applyFill="1" applyBorder="1" applyAlignment="1">
      <alignment horizontal="center" vertical="top" wrapText="1"/>
    </xf>
    <xf numFmtId="39" fontId="90" fillId="2" borderId="35" xfId="0" applyNumberFormat="1" applyFont="1" applyFill="1" applyBorder="1" applyAlignment="1">
      <alignment horizontal="right" vertical="center" wrapText="1"/>
    </xf>
    <xf numFmtId="0" fontId="16" fillId="2" borderId="35" xfId="0" applyFont="1" applyFill="1" applyBorder="1" applyAlignment="1">
      <alignment horizontal="center" vertical="center"/>
    </xf>
    <xf numFmtId="4" fontId="16" fillId="2" borderId="24" xfId="8" applyNumberFormat="1" applyFont="1" applyFill="1" applyBorder="1" applyAlignment="1">
      <alignment horizontal="center" vertical="top" wrapText="1"/>
    </xf>
    <xf numFmtId="39" fontId="16" fillId="2" borderId="24" xfId="8" applyNumberFormat="1" applyFont="1" applyFill="1" applyBorder="1" applyAlignment="1">
      <alignment horizontal="center" vertical="center" wrapText="1"/>
    </xf>
    <xf numFmtId="169" fontId="84" fillId="2" borderId="35" xfId="0" applyNumberFormat="1" applyFont="1" applyFill="1" applyBorder="1" applyAlignment="1">
      <alignment horizontal="right" vertical="center" wrapText="1"/>
    </xf>
    <xf numFmtId="0" fontId="91" fillId="2" borderId="0" xfId="299" applyFont="1" applyFill="1"/>
    <xf numFmtId="168" fontId="92" fillId="2" borderId="27" xfId="96" applyNumberFormat="1" applyFont="1" applyFill="1" applyBorder="1" applyAlignment="1">
      <alignment horizontal="center" vertical="center" wrapText="1"/>
    </xf>
    <xf numFmtId="0" fontId="91" fillId="2" borderId="0" xfId="253" applyFont="1" applyFill="1"/>
    <xf numFmtId="0" fontId="91" fillId="2" borderId="0" xfId="299" applyFont="1" applyFill="1" applyAlignment="1">
      <alignment vertical="center"/>
    </xf>
    <xf numFmtId="0" fontId="91" fillId="2" borderId="0" xfId="299" applyFont="1" applyFill="1" applyAlignment="1">
      <alignment horizontal="center" vertical="center"/>
    </xf>
    <xf numFmtId="176" fontId="72" fillId="2" borderId="27" xfId="2029" applyNumberFormat="1" applyFont="1" applyFill="1" applyBorder="1"/>
    <xf numFmtId="166" fontId="72" fillId="2" borderId="27" xfId="0" applyNumberFormat="1" applyFont="1" applyFill="1" applyBorder="1"/>
    <xf numFmtId="166" fontId="84" fillId="2" borderId="35" xfId="223" applyNumberFormat="1" applyFont="1" applyFill="1" applyBorder="1" applyAlignment="1">
      <alignment vertical="center"/>
    </xf>
    <xf numFmtId="0" fontId="72" fillId="2" borderId="35" xfId="96" applyFont="1" applyFill="1" applyBorder="1" applyAlignment="1">
      <alignment horizontal="center" vertical="center" wrapText="1"/>
    </xf>
    <xf numFmtId="165" fontId="72" fillId="2" borderId="27" xfId="0" applyNumberFormat="1" applyFont="1" applyFill="1" applyBorder="1"/>
    <xf numFmtId="165" fontId="72" fillId="2" borderId="35" xfId="6" applyFont="1" applyFill="1" applyBorder="1" applyAlignment="1">
      <alignment horizontal="center" vertical="center"/>
    </xf>
    <xf numFmtId="0" fontId="72" fillId="2" borderId="27" xfId="253" applyFont="1" applyFill="1" applyBorder="1"/>
    <xf numFmtId="43" fontId="16" fillId="2" borderId="27" xfId="253" applyNumberFormat="1" applyFont="1" applyFill="1" applyBorder="1" applyAlignment="1">
      <alignment vertical="center"/>
    </xf>
    <xf numFmtId="0" fontId="72" fillId="2" borderId="0" xfId="253" applyFont="1" applyFill="1"/>
    <xf numFmtId="0" fontId="72" fillId="2" borderId="23" xfId="253" applyFont="1" applyFill="1" applyBorder="1" applyAlignment="1">
      <alignment horizontal="center"/>
    </xf>
    <xf numFmtId="43" fontId="72" fillId="2" borderId="27" xfId="7" applyFont="1" applyFill="1" applyBorder="1" applyAlignment="1">
      <alignment vertical="center"/>
    </xf>
    <xf numFmtId="43" fontId="72" fillId="2" borderId="35" xfId="7" applyFont="1" applyFill="1" applyBorder="1" applyAlignment="1">
      <alignment vertical="center"/>
    </xf>
    <xf numFmtId="0" fontId="72" fillId="2" borderId="27" xfId="299" applyFont="1" applyFill="1" applyBorder="1" applyAlignment="1">
      <alignment horizontal="center"/>
    </xf>
    <xf numFmtId="43" fontId="86" fillId="2" borderId="27" xfId="253" applyNumberFormat="1" applyFont="1" applyFill="1" applyBorder="1" applyAlignment="1">
      <alignment vertical="center"/>
    </xf>
    <xf numFmtId="43" fontId="72" fillId="2" borderId="0" xfId="299" applyNumberFormat="1" applyFont="1" applyFill="1"/>
    <xf numFmtId="0" fontId="72" fillId="2" borderId="35" xfId="253" applyFont="1" applyFill="1" applyBorder="1"/>
    <xf numFmtId="0" fontId="16" fillId="2" borderId="35" xfId="96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vertical="center" wrapText="1"/>
    </xf>
    <xf numFmtId="0" fontId="86" fillId="2" borderId="35" xfId="0" applyFont="1" applyFill="1" applyBorder="1" applyAlignment="1">
      <alignment vertical="center" wrapText="1"/>
    </xf>
    <xf numFmtId="166" fontId="86" fillId="2" borderId="35" xfId="223" applyNumberFormat="1" applyFont="1" applyFill="1" applyBorder="1"/>
    <xf numFmtId="43" fontId="87" fillId="2" borderId="0" xfId="7" applyFont="1" applyFill="1"/>
    <xf numFmtId="0" fontId="84" fillId="2" borderId="24" xfId="0" applyFont="1" applyFill="1" applyBorder="1" applyAlignment="1">
      <alignment vertical="center" wrapText="1"/>
    </xf>
    <xf numFmtId="43" fontId="88" fillId="2" borderId="0" xfId="7" applyFont="1" applyFill="1"/>
    <xf numFmtId="169" fontId="72" fillId="2" borderId="24" xfId="0" applyNumberFormat="1" applyFont="1" applyFill="1" applyBorder="1" applyAlignment="1">
      <alignment horizontal="right" vertical="top" wrapText="1"/>
    </xf>
    <xf numFmtId="0" fontId="72" fillId="2" borderId="37" xfId="0" applyFont="1" applyFill="1" applyBorder="1" applyAlignment="1">
      <alignment vertical="center"/>
    </xf>
    <xf numFmtId="169" fontId="72" fillId="2" borderId="35" xfId="0" applyNumberFormat="1" applyFont="1" applyFill="1" applyBorder="1" applyAlignment="1">
      <alignment horizontal="right" vertical="center" wrapText="1"/>
    </xf>
    <xf numFmtId="0" fontId="72" fillId="0" borderId="35" xfId="0" applyFont="1" applyBorder="1" applyAlignment="1">
      <alignment horizontal="left" vertical="center" wrapText="1"/>
    </xf>
    <xf numFmtId="0" fontId="72" fillId="0" borderId="35" xfId="0" applyFont="1" applyBorder="1" applyAlignment="1">
      <alignment horizontal="center" vertical="center"/>
    </xf>
    <xf numFmtId="0" fontId="72" fillId="0" borderId="35" xfId="0" applyFont="1" applyBorder="1" applyAlignment="1">
      <alignment horizontal="center" vertical="center" wrapText="1"/>
    </xf>
    <xf numFmtId="165" fontId="72" fillId="0" borderId="35" xfId="6" applyFont="1" applyFill="1" applyBorder="1" applyAlignment="1">
      <alignment horizontal="center" vertical="center"/>
    </xf>
    <xf numFmtId="171" fontId="72" fillId="0" borderId="35" xfId="6" applyNumberFormat="1" applyFont="1" applyFill="1" applyBorder="1" applyAlignment="1">
      <alignment horizontal="center" vertical="center"/>
    </xf>
    <xf numFmtId="169" fontId="72" fillId="0" borderId="35" xfId="0" applyNumberFormat="1" applyFont="1" applyBorder="1" applyAlignment="1">
      <alignment horizontal="right" vertical="center" wrapText="1"/>
    </xf>
    <xf numFmtId="0" fontId="72" fillId="0" borderId="0" xfId="0" applyFont="1" applyAlignment="1">
      <alignment horizontal="left" vertical="center" wrapText="1"/>
    </xf>
    <xf numFmtId="171" fontId="72" fillId="2" borderId="35" xfId="6" applyNumberFormat="1" applyFont="1" applyFill="1" applyBorder="1" applyAlignment="1">
      <alignment horizontal="center" vertical="center"/>
    </xf>
    <xf numFmtId="0" fontId="72" fillId="2" borderId="24" xfId="0" applyFont="1" applyFill="1" applyBorder="1" applyAlignment="1">
      <alignment horizontal="center" vertical="center"/>
    </xf>
    <xf numFmtId="0" fontId="89" fillId="2" borderId="1" xfId="0" applyFont="1" applyFill="1" applyBorder="1"/>
    <xf numFmtId="0" fontId="86" fillId="0" borderId="35" xfId="0" applyFont="1" applyBorder="1" applyAlignment="1">
      <alignment vertical="center" wrapText="1"/>
    </xf>
    <xf numFmtId="0" fontId="84" fillId="0" borderId="24" xfId="0" applyFont="1" applyBorder="1" applyAlignment="1">
      <alignment vertical="center" wrapText="1"/>
    </xf>
    <xf numFmtId="43" fontId="84" fillId="0" borderId="24" xfId="0" applyNumberFormat="1" applyFont="1" applyBorder="1" applyAlignment="1">
      <alignment vertical="center" wrapText="1"/>
    </xf>
    <xf numFmtId="0" fontId="72" fillId="2" borderId="2" xfId="0" applyFont="1" applyFill="1" applyBorder="1" applyAlignment="1">
      <alignment horizontal="center"/>
    </xf>
    <xf numFmtId="43" fontId="16" fillId="2" borderId="35" xfId="96" applyNumberFormat="1" applyFont="1" applyFill="1" applyBorder="1" applyAlignment="1">
      <alignment horizontal="left" vertical="center" wrapText="1"/>
    </xf>
    <xf numFmtId="168" fontId="72" fillId="2" borderId="0" xfId="253" applyNumberFormat="1" applyFont="1" applyFill="1"/>
    <xf numFmtId="0" fontId="72" fillId="2" borderId="35" xfId="299" applyFont="1" applyFill="1" applyBorder="1" applyAlignment="1">
      <alignment horizontal="center"/>
    </xf>
    <xf numFmtId="43" fontId="86" fillId="2" borderId="24" xfId="96" applyNumberFormat="1" applyFont="1" applyFill="1" applyBorder="1" applyAlignment="1">
      <alignment horizontal="center" vertical="center" wrapText="1"/>
    </xf>
    <xf numFmtId="43" fontId="86" fillId="0" borderId="35" xfId="0" applyNumberFormat="1" applyFont="1" applyBorder="1" applyAlignment="1">
      <alignment vertical="center" wrapText="1"/>
    </xf>
    <xf numFmtId="0" fontId="94" fillId="2" borderId="35" xfId="0" applyFont="1" applyFill="1" applyBorder="1"/>
    <xf numFmtId="43" fontId="86" fillId="2" borderId="35" xfId="253" applyNumberFormat="1" applyFont="1" applyFill="1" applyBorder="1" applyAlignment="1">
      <alignment vertical="center"/>
    </xf>
    <xf numFmtId="0" fontId="84" fillId="2" borderId="0" xfId="253" applyFont="1" applyFill="1"/>
    <xf numFmtId="0" fontId="16" fillId="2" borderId="35" xfId="96" applyFont="1" applyFill="1" applyBorder="1" applyAlignment="1">
      <alignment horizontal="left" vertical="center" wrapText="1"/>
    </xf>
    <xf numFmtId="168" fontId="72" fillId="2" borderId="35" xfId="96" applyNumberFormat="1" applyFont="1" applyFill="1" applyBorder="1" applyAlignment="1">
      <alignment vertical="center" wrapText="1"/>
    </xf>
    <xf numFmtId="166" fontId="72" fillId="2" borderId="35" xfId="96" applyNumberFormat="1" applyFont="1" applyFill="1" applyBorder="1" applyAlignment="1">
      <alignment vertical="center" wrapText="1"/>
    </xf>
    <xf numFmtId="0" fontId="73" fillId="2" borderId="37" xfId="0" applyFont="1" applyFill="1" applyBorder="1" applyAlignment="1">
      <alignment vertical="center" wrapText="1"/>
    </xf>
    <xf numFmtId="169" fontId="84" fillId="2" borderId="24" xfId="0" applyNumberFormat="1" applyFont="1" applyFill="1" applyBorder="1" applyAlignment="1">
      <alignment horizontal="right" vertical="center" wrapText="1"/>
    </xf>
    <xf numFmtId="165" fontId="16" fillId="2" borderId="35" xfId="6" applyFont="1" applyFill="1" applyBorder="1" applyAlignment="1">
      <alignment horizontal="center" vertical="center"/>
    </xf>
    <xf numFmtId="43" fontId="72" fillId="2" borderId="0" xfId="7" applyFont="1" applyFill="1"/>
    <xf numFmtId="0" fontId="16" fillId="2" borderId="1" xfId="96" applyFont="1" applyFill="1" applyBorder="1" applyAlignment="1">
      <alignment horizontal="center" vertical="center" wrapText="1"/>
    </xf>
    <xf numFmtId="0" fontId="72" fillId="2" borderId="24" xfId="0" applyFont="1" applyFill="1" applyBorder="1" applyAlignment="1">
      <alignment horizontal="center"/>
    </xf>
    <xf numFmtId="176" fontId="72" fillId="2" borderId="35" xfId="2029" applyNumberFormat="1" applyFont="1" applyFill="1" applyBorder="1"/>
    <xf numFmtId="0" fontId="72" fillId="57" borderId="35" xfId="0" applyFont="1" applyFill="1" applyBorder="1" applyAlignment="1">
      <alignment vertical="center" wrapText="1"/>
    </xf>
    <xf numFmtId="169" fontId="72" fillId="57" borderId="24" xfId="0" applyNumberFormat="1" applyFont="1" applyFill="1" applyBorder="1" applyAlignment="1">
      <alignment horizontal="right" vertical="center" wrapText="1"/>
    </xf>
    <xf numFmtId="169" fontId="72" fillId="2" borderId="0" xfId="299" applyNumberFormat="1" applyFont="1" applyFill="1" applyAlignment="1">
      <alignment vertical="center"/>
    </xf>
    <xf numFmtId="0" fontId="72" fillId="2" borderId="35" xfId="299" applyFont="1" applyFill="1" applyBorder="1" applyAlignment="1">
      <alignment vertical="top"/>
    </xf>
    <xf numFmtId="43" fontId="72" fillId="2" borderId="35" xfId="7" applyFont="1" applyFill="1" applyBorder="1" applyAlignment="1">
      <alignment horizontal="right" vertical="top" wrapText="1"/>
    </xf>
    <xf numFmtId="169" fontId="72" fillId="2" borderId="0" xfId="0" applyNumberFormat="1" applyFont="1" applyFill="1" applyAlignment="1">
      <alignment horizontal="left" vertical="center" wrapText="1"/>
    </xf>
    <xf numFmtId="0" fontId="72" fillId="2" borderId="36" xfId="1737" applyFont="1" applyFill="1" applyBorder="1" applyAlignment="1">
      <alignment vertical="center"/>
    </xf>
    <xf numFmtId="0" fontId="72" fillId="2" borderId="37" xfId="1737" applyFont="1" applyFill="1" applyBorder="1" applyAlignment="1">
      <alignment vertical="center"/>
    </xf>
    <xf numFmtId="0" fontId="72" fillId="2" borderId="37" xfId="1737" applyFont="1" applyFill="1" applyBorder="1" applyAlignment="1">
      <alignment horizontal="center" vertical="center"/>
    </xf>
    <xf numFmtId="169" fontId="72" fillId="2" borderId="24" xfId="1737" applyNumberFormat="1" applyFont="1" applyFill="1" applyBorder="1" applyAlignment="1">
      <alignment vertical="center"/>
    </xf>
    <xf numFmtId="165" fontId="72" fillId="0" borderId="35" xfId="6" applyFont="1" applyBorder="1" applyAlignment="1">
      <alignment horizontal="center" vertical="center"/>
    </xf>
    <xf numFmtId="177" fontId="72" fillId="0" borderId="35" xfId="0" applyNumberFormat="1" applyFont="1" applyBorder="1" applyAlignment="1">
      <alignment horizontal="center" vertical="center"/>
    </xf>
    <xf numFmtId="0" fontId="72" fillId="2" borderId="35" xfId="0" applyFont="1" applyFill="1" applyBorder="1" applyAlignment="1">
      <alignment horizontal="center"/>
    </xf>
    <xf numFmtId="169" fontId="72" fillId="2" borderId="0" xfId="0" applyNumberFormat="1" applyFont="1" applyFill="1" applyAlignment="1">
      <alignment vertical="top"/>
    </xf>
    <xf numFmtId="0" fontId="72" fillId="2" borderId="36" xfId="0" applyFont="1" applyFill="1" applyBorder="1" applyAlignment="1">
      <alignment vertical="center"/>
    </xf>
    <xf numFmtId="0" fontId="72" fillId="2" borderId="24" xfId="0" applyFont="1" applyFill="1" applyBorder="1" applyAlignment="1">
      <alignment vertical="center"/>
    </xf>
    <xf numFmtId="175" fontId="72" fillId="0" borderId="0" xfId="2027" applyFont="1" applyFill="1" applyAlignment="1">
      <alignment horizontal="left" vertical="center" wrapText="1"/>
    </xf>
    <xf numFmtId="0" fontId="72" fillId="0" borderId="0" xfId="299" applyFont="1" applyAlignment="1">
      <alignment horizontal="left" vertical="center" wrapText="1"/>
    </xf>
    <xf numFmtId="0" fontId="72" fillId="57" borderId="35" xfId="0" applyFont="1" applyFill="1" applyBorder="1" applyAlignment="1">
      <alignment wrapText="1"/>
    </xf>
    <xf numFmtId="39" fontId="72" fillId="57" borderId="24" xfId="0" applyNumberFormat="1" applyFont="1" applyFill="1" applyBorder="1" applyAlignment="1">
      <alignment horizontal="right" vertical="center" wrapText="1"/>
    </xf>
    <xf numFmtId="169" fontId="72" fillId="2" borderId="30" xfId="0" applyNumberFormat="1" applyFont="1" applyFill="1" applyBorder="1" applyAlignment="1">
      <alignment horizontal="right" vertical="top" wrapText="1"/>
    </xf>
    <xf numFmtId="0" fontId="72" fillId="2" borderId="28" xfId="0" applyFont="1" applyFill="1" applyBorder="1" applyAlignment="1">
      <alignment vertical="center"/>
    </xf>
    <xf numFmtId="0" fontId="72" fillId="2" borderId="30" xfId="0" applyFont="1" applyFill="1" applyBorder="1" applyAlignment="1">
      <alignment vertical="center"/>
    </xf>
    <xf numFmtId="0" fontId="72" fillId="2" borderId="0" xfId="1734" applyFont="1" applyFill="1"/>
    <xf numFmtId="0" fontId="72" fillId="2" borderId="0" xfId="1734" applyFont="1" applyFill="1" applyAlignment="1">
      <alignment vertical="center"/>
    </xf>
    <xf numFmtId="0" fontId="72" fillId="2" borderId="0" xfId="1734" applyFont="1" applyFill="1" applyAlignment="1">
      <alignment horizontal="center" vertical="center"/>
    </xf>
    <xf numFmtId="0" fontId="72" fillId="2" borderId="0" xfId="1734" applyFont="1" applyFill="1" applyAlignment="1">
      <alignment horizontal="right" vertical="center"/>
    </xf>
    <xf numFmtId="0" fontId="16" fillId="2" borderId="0" xfId="1734" applyFont="1" applyFill="1" applyAlignment="1">
      <alignment horizontal="center" vertical="center" wrapText="1"/>
    </xf>
    <xf numFmtId="0" fontId="72" fillId="2" borderId="27" xfId="1735" applyFont="1" applyFill="1" applyBorder="1" applyAlignment="1">
      <alignment horizontal="center" vertical="center" wrapText="1"/>
    </xf>
    <xf numFmtId="0" fontId="72" fillId="2" borderId="27" xfId="1736" applyFont="1" applyFill="1" applyBorder="1" applyAlignment="1">
      <alignment horizontal="center" vertical="center"/>
    </xf>
    <xf numFmtId="0" fontId="72" fillId="2" borderId="27" xfId="1735" applyFont="1" applyFill="1" applyBorder="1" applyAlignment="1">
      <alignment horizontal="center"/>
    </xf>
    <xf numFmtId="174" fontId="72" fillId="2" borderId="0" xfId="299" applyNumberFormat="1" applyFont="1" applyFill="1"/>
    <xf numFmtId="166" fontId="16" fillId="58" borderId="27" xfId="7" applyNumberFormat="1" applyFont="1" applyFill="1" applyBorder="1" applyAlignment="1">
      <alignment vertical="top" wrapText="1"/>
    </xf>
    <xf numFmtId="166" fontId="72" fillId="0" borderId="0" xfId="299" applyNumberFormat="1" applyFont="1"/>
    <xf numFmtId="0" fontId="72" fillId="2" borderId="0" xfId="1660" applyFont="1" applyFill="1" applyAlignment="1">
      <alignment vertical="top"/>
    </xf>
    <xf numFmtId="169" fontId="72" fillId="2" borderId="0" xfId="96" applyNumberFormat="1" applyFont="1" applyFill="1" applyAlignment="1">
      <alignment vertical="top" wrapText="1"/>
    </xf>
    <xf numFmtId="0" fontId="72" fillId="2" borderId="0" xfId="299" applyFont="1" applyFill="1" applyAlignment="1">
      <alignment vertical="top"/>
    </xf>
    <xf numFmtId="169" fontId="72" fillId="2" borderId="0" xfId="96" applyNumberFormat="1" applyFont="1" applyFill="1" applyAlignment="1">
      <alignment vertical="center" wrapText="1"/>
    </xf>
    <xf numFmtId="0" fontId="72" fillId="2" borderId="0" xfId="1660" applyFont="1" applyFill="1"/>
    <xf numFmtId="49" fontId="16" fillId="2" borderId="0" xfId="96" applyNumberFormat="1" applyFont="1" applyFill="1" applyAlignment="1">
      <alignment horizontal="center" vertical="center" wrapText="1"/>
    </xf>
    <xf numFmtId="0" fontId="16" fillId="2" borderId="0" xfId="96" applyFont="1" applyFill="1" applyAlignment="1">
      <alignment horizontal="center" vertical="center" wrapText="1"/>
    </xf>
    <xf numFmtId="0" fontId="72" fillId="2" borderId="0" xfId="2028" applyFont="1" applyFill="1"/>
    <xf numFmtId="49" fontId="16" fillId="2" borderId="27" xfId="96" applyNumberFormat="1" applyFont="1" applyFill="1" applyBorder="1" applyAlignment="1">
      <alignment horizontal="center" vertical="center" textRotation="90" wrapText="1"/>
    </xf>
    <xf numFmtId="168" fontId="16" fillId="2" borderId="27" xfId="96" applyNumberFormat="1" applyFont="1" applyFill="1" applyBorder="1" applyAlignment="1">
      <alignment horizontal="center" vertical="center" wrapText="1"/>
    </xf>
    <xf numFmtId="0" fontId="95" fillId="2" borderId="27" xfId="96" applyFont="1" applyFill="1" applyBorder="1" applyAlignment="1">
      <alignment horizontal="center" vertical="center" wrapText="1"/>
    </xf>
    <xf numFmtId="0" fontId="72" fillId="2" borderId="0" xfId="253" applyFont="1" applyFill="1" applyAlignment="1">
      <alignment vertical="top"/>
    </xf>
    <xf numFmtId="0" fontId="72" fillId="2" borderId="0" xfId="253" applyFont="1" applyFill="1" applyAlignment="1">
      <alignment wrapText="1"/>
    </xf>
    <xf numFmtId="0" fontId="16" fillId="2" borderId="0" xfId="299" applyFont="1" applyFill="1" applyAlignment="1">
      <alignment vertical="center" wrapText="1"/>
    </xf>
    <xf numFmtId="0" fontId="72" fillId="2" borderId="0" xfId="253" applyFont="1" applyFill="1" applyAlignment="1">
      <alignment horizontal="center"/>
    </xf>
    <xf numFmtId="0" fontId="16" fillId="2" borderId="27" xfId="165" applyFont="1" applyFill="1" applyBorder="1" applyAlignment="1">
      <alignment horizontal="center" vertical="center" wrapText="1"/>
    </xf>
    <xf numFmtId="0" fontId="95" fillId="2" borderId="27" xfId="253" applyFont="1" applyFill="1" applyBorder="1" applyAlignment="1">
      <alignment horizontal="center" vertical="center" wrapText="1"/>
    </xf>
    <xf numFmtId="0" fontId="84" fillId="2" borderId="27" xfId="253" applyFont="1" applyFill="1" applyBorder="1" applyAlignment="1">
      <alignment horizontal="center" vertical="center" wrapText="1"/>
    </xf>
    <xf numFmtId="0" fontId="72" fillId="2" borderId="24" xfId="0" applyFont="1" applyFill="1" applyBorder="1" applyAlignment="1">
      <alignment horizontal="left" vertical="top" wrapText="1"/>
    </xf>
    <xf numFmtId="0" fontId="73" fillId="0" borderId="24" xfId="0" applyFont="1" applyBorder="1" applyAlignment="1">
      <alignment horizontal="left" vertical="top" wrapText="1"/>
    </xf>
    <xf numFmtId="0" fontId="16" fillId="2" borderId="23" xfId="0" applyFont="1" applyFill="1" applyBorder="1" applyAlignment="1">
      <alignment vertical="top" wrapText="1"/>
    </xf>
    <xf numFmtId="0" fontId="72" fillId="0" borderId="24" xfId="0" applyFont="1" applyBorder="1" applyAlignment="1">
      <alignment horizontal="left" vertical="top" wrapText="1"/>
    </xf>
    <xf numFmtId="0" fontId="16" fillId="2" borderId="2" xfId="0" applyFont="1" applyFill="1" applyBorder="1" applyAlignment="1">
      <alignment vertical="top" wrapText="1"/>
    </xf>
    <xf numFmtId="0" fontId="16" fillId="0" borderId="35" xfId="96" applyFont="1" applyBorder="1" applyAlignment="1">
      <alignment horizontal="left" vertical="center" wrapText="1"/>
    </xf>
    <xf numFmtId="179" fontId="72" fillId="2" borderId="27" xfId="208" applyNumberFormat="1" applyFont="1" applyFill="1" applyBorder="1"/>
    <xf numFmtId="0" fontId="16" fillId="2" borderId="35" xfId="0" applyFont="1" applyFill="1" applyBorder="1" applyAlignment="1">
      <alignment horizontal="center" wrapText="1"/>
    </xf>
    <xf numFmtId="0" fontId="72" fillId="2" borderId="0" xfId="0" applyFont="1" applyFill="1" applyAlignment="1">
      <alignment horizontal="center" vertical="center"/>
    </xf>
    <xf numFmtId="0" fontId="72" fillId="2" borderId="0" xfId="0" applyFont="1" applyFill="1" applyAlignment="1">
      <alignment horizontal="right" vertical="center"/>
    </xf>
    <xf numFmtId="0" fontId="16" fillId="2" borderId="0" xfId="0" applyFont="1" applyFill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73" fillId="2" borderId="0" xfId="0" applyFont="1" applyFill="1" applyAlignment="1">
      <alignment horizontal="left" vertical="center" wrapText="1"/>
    </xf>
    <xf numFmtId="0" fontId="73" fillId="0" borderId="0" xfId="0" applyFont="1" applyAlignment="1">
      <alignment horizontal="left" vertical="center" wrapText="1"/>
    </xf>
    <xf numFmtId="43" fontId="16" fillId="2" borderId="35" xfId="7" applyFont="1" applyFill="1" applyBorder="1" applyAlignment="1">
      <alignment vertical="center" wrapText="1"/>
    </xf>
    <xf numFmtId="43" fontId="72" fillId="2" borderId="35" xfId="7" applyFont="1" applyFill="1" applyBorder="1" applyAlignment="1">
      <alignment vertical="center" wrapText="1"/>
    </xf>
    <xf numFmtId="43" fontId="16" fillId="2" borderId="35" xfId="0" applyNumberFormat="1" applyFont="1" applyFill="1" applyBorder="1" applyAlignment="1">
      <alignment vertical="center" wrapText="1"/>
    </xf>
    <xf numFmtId="0" fontId="72" fillId="2" borderId="31" xfId="0" applyFont="1" applyFill="1" applyBorder="1" applyAlignment="1">
      <alignment horizontal="right"/>
    </xf>
    <xf numFmtId="0" fontId="16" fillId="2" borderId="35" xfId="8" applyFont="1" applyFill="1" applyBorder="1" applyAlignment="1">
      <alignment horizontal="center" vertical="top" wrapText="1"/>
    </xf>
    <xf numFmtId="165" fontId="16" fillId="2" borderId="35" xfId="8" applyNumberFormat="1" applyFont="1" applyFill="1" applyBorder="1" applyAlignment="1">
      <alignment horizontal="center" vertical="center" wrapText="1"/>
    </xf>
    <xf numFmtId="169" fontId="16" fillId="2" borderId="35" xfId="0" applyNumberFormat="1" applyFont="1" applyFill="1" applyBorder="1" applyAlignment="1">
      <alignment horizontal="center" vertical="center"/>
    </xf>
    <xf numFmtId="165" fontId="72" fillId="2" borderId="35" xfId="8" applyNumberFormat="1" applyFont="1" applyFill="1" applyBorder="1" applyAlignment="1">
      <alignment horizontal="center" vertical="center" wrapText="1"/>
    </xf>
    <xf numFmtId="168" fontId="16" fillId="2" borderId="35" xfId="0" applyNumberFormat="1" applyFont="1" applyFill="1" applyBorder="1" applyAlignment="1">
      <alignment horizontal="center" vertical="center"/>
    </xf>
    <xf numFmtId="0" fontId="16" fillId="2" borderId="35" xfId="0" applyFont="1" applyFill="1" applyBorder="1" applyAlignment="1">
      <alignment wrapText="1"/>
    </xf>
    <xf numFmtId="165" fontId="16" fillId="2" borderId="35" xfId="6" applyFont="1" applyFill="1" applyBorder="1" applyAlignment="1">
      <alignment horizontal="right" vertical="center"/>
    </xf>
    <xf numFmtId="165" fontId="72" fillId="2" borderId="35" xfId="6" applyFont="1" applyFill="1" applyBorder="1" applyAlignment="1">
      <alignment horizontal="right" vertical="center"/>
    </xf>
    <xf numFmtId="165" fontId="84" fillId="2" borderId="35" xfId="6" applyFont="1" applyFill="1" applyBorder="1" applyAlignment="1">
      <alignment horizontal="right" vertical="center"/>
    </xf>
    <xf numFmtId="0" fontId="16" fillId="2" borderId="3" xfId="0" applyFont="1" applyFill="1" applyBorder="1" applyAlignment="1">
      <alignment horizontal="center" vertical="top" wrapText="1"/>
    </xf>
    <xf numFmtId="0" fontId="16" fillId="2" borderId="37" xfId="0" applyFont="1" applyFill="1" applyBorder="1" applyAlignment="1">
      <alignment horizontal="center" vertical="top" wrapText="1"/>
    </xf>
    <xf numFmtId="0" fontId="72" fillId="2" borderId="23" xfId="0" applyFont="1" applyFill="1" applyBorder="1" applyAlignment="1">
      <alignment horizontal="left" vertical="top" wrapText="1"/>
    </xf>
    <xf numFmtId="0" fontId="84" fillId="2" borderId="24" xfId="165" applyFont="1" applyFill="1" applyBorder="1">
      <alignment horizontal="left" vertical="top" wrapText="1"/>
    </xf>
    <xf numFmtId="0" fontId="16" fillId="2" borderId="24" xfId="0" applyFont="1" applyFill="1" applyBorder="1" applyAlignment="1">
      <alignment horizontal="center" vertical="top" wrapText="1"/>
    </xf>
    <xf numFmtId="0" fontId="16" fillId="2" borderId="39" xfId="0" applyFont="1" applyFill="1" applyBorder="1" applyAlignment="1">
      <alignment vertical="top" wrapText="1"/>
    </xf>
    <xf numFmtId="49" fontId="16" fillId="2" borderId="39" xfId="0" applyNumberFormat="1" applyFont="1" applyFill="1" applyBorder="1" applyAlignment="1">
      <alignment horizontal="center" vertical="top" wrapText="1"/>
    </xf>
    <xf numFmtId="0" fontId="72" fillId="2" borderId="23" xfId="0" applyFont="1" applyFill="1" applyBorder="1" applyAlignment="1">
      <alignment horizontal="left" vertical="center" wrapText="1"/>
    </xf>
    <xf numFmtId="0" fontId="73" fillId="2" borderId="0" xfId="0" applyFont="1" applyFill="1" applyAlignment="1">
      <alignment vertical="center" wrapText="1"/>
    </xf>
    <xf numFmtId="0" fontId="73" fillId="2" borderId="0" xfId="253" applyFont="1" applyFill="1" applyAlignment="1">
      <alignment vertical="top"/>
    </xf>
    <xf numFmtId="166" fontId="73" fillId="2" borderId="0" xfId="253" applyNumberFormat="1" applyFont="1" applyFill="1" applyAlignment="1">
      <alignment vertical="top" wrapText="1"/>
    </xf>
    <xf numFmtId="0" fontId="73" fillId="2" borderId="0" xfId="253" applyFont="1" applyFill="1"/>
    <xf numFmtId="0" fontId="73" fillId="2" borderId="0" xfId="253" applyFont="1" applyFill="1" applyAlignment="1">
      <alignment wrapText="1"/>
    </xf>
    <xf numFmtId="166" fontId="73" fillId="2" borderId="0" xfId="253" applyNumberFormat="1" applyFont="1" applyFill="1" applyAlignment="1">
      <alignment wrapText="1"/>
    </xf>
    <xf numFmtId="169" fontId="16" fillId="59" borderId="35" xfId="96" applyNumberFormat="1" applyFont="1" applyFill="1" applyBorder="1" applyAlignment="1">
      <alignment horizontal="center" vertical="top" wrapText="1"/>
    </xf>
    <xf numFmtId="0" fontId="72" fillId="0" borderId="0" xfId="0" applyFont="1" applyAlignment="1">
      <alignment horizontal="center" vertical="top" wrapText="1"/>
    </xf>
    <xf numFmtId="169" fontId="16" fillId="2" borderId="35" xfId="96" applyNumberFormat="1" applyFont="1" applyFill="1" applyBorder="1" applyAlignment="1">
      <alignment horizontal="center" vertical="center" wrapText="1"/>
    </xf>
    <xf numFmtId="0" fontId="89" fillId="0" borderId="0" xfId="0" applyFont="1" applyAlignment="1">
      <alignment horizontal="left" vertical="top" wrapText="1"/>
    </xf>
    <xf numFmtId="169" fontId="16" fillId="57" borderId="35" xfId="96" applyNumberFormat="1" applyFont="1" applyFill="1" applyBorder="1" applyAlignment="1">
      <alignment horizontal="center" vertical="center" wrapText="1"/>
    </xf>
    <xf numFmtId="0" fontId="72" fillId="0" borderId="0" xfId="0" applyFont="1" applyAlignment="1">
      <alignment horizontal="left" vertical="top" wrapText="1"/>
    </xf>
    <xf numFmtId="0" fontId="13" fillId="2" borderId="35" xfId="0" applyFont="1" applyFill="1" applyBorder="1" applyAlignment="1">
      <alignment horizontal="center" vertical="center" wrapText="1"/>
    </xf>
    <xf numFmtId="43" fontId="13" fillId="2" borderId="35" xfId="7" applyFont="1" applyFill="1" applyBorder="1" applyAlignment="1">
      <alignment vertical="center" wrapText="1"/>
    </xf>
    <xf numFmtId="0" fontId="13" fillId="2" borderId="0" xfId="0" applyFont="1" applyFill="1" applyAlignment="1">
      <alignment vertical="center" wrapText="1"/>
    </xf>
    <xf numFmtId="0" fontId="73" fillId="2" borderId="1" xfId="0" applyFont="1" applyFill="1" applyBorder="1" applyAlignment="1">
      <alignment horizontal="center" vertical="center" wrapText="1"/>
    </xf>
    <xf numFmtId="0" fontId="73" fillId="2" borderId="35" xfId="0" applyFont="1" applyFill="1" applyBorder="1" applyAlignment="1">
      <alignment vertical="center" wrapText="1"/>
    </xf>
    <xf numFmtId="0" fontId="13" fillId="2" borderId="34" xfId="0" applyFont="1" applyFill="1" applyBorder="1" applyAlignment="1">
      <alignment horizontal="center" vertical="center" wrapText="1"/>
    </xf>
    <xf numFmtId="0" fontId="73" fillId="2" borderId="24" xfId="0" applyFont="1" applyFill="1" applyBorder="1" applyAlignment="1">
      <alignment vertical="center" wrapText="1"/>
    </xf>
    <xf numFmtId="0" fontId="16" fillId="2" borderId="24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vertical="center" wrapText="1"/>
    </xf>
    <xf numFmtId="0" fontId="16" fillId="2" borderId="0" xfId="0" applyFont="1" applyFill="1" applyAlignment="1">
      <alignment vertical="center" wrapText="1"/>
    </xf>
    <xf numFmtId="169" fontId="16" fillId="2" borderId="23" xfId="96" applyNumberFormat="1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37" fontId="73" fillId="2" borderId="35" xfId="0" applyNumberFormat="1" applyFont="1" applyFill="1" applyBorder="1" applyAlignment="1">
      <alignment vertical="center" wrapText="1"/>
    </xf>
    <xf numFmtId="0" fontId="73" fillId="2" borderId="39" xfId="0" applyFont="1" applyFill="1" applyBorder="1" applyAlignment="1">
      <alignment horizontal="center" vertical="center" wrapText="1"/>
    </xf>
    <xf numFmtId="169" fontId="92" fillId="2" borderId="27" xfId="96" applyNumberFormat="1" applyFont="1" applyFill="1" applyBorder="1" applyAlignment="1">
      <alignment horizontal="center" vertical="center" wrapText="1"/>
    </xf>
    <xf numFmtId="168" fontId="92" fillId="2" borderId="2" xfId="96" applyNumberFormat="1" applyFont="1" applyFill="1" applyBorder="1" applyAlignment="1">
      <alignment horizontal="center" vertical="center" wrapText="1"/>
    </xf>
    <xf numFmtId="174" fontId="91" fillId="2" borderId="0" xfId="299" applyNumberFormat="1" applyFont="1" applyFill="1"/>
    <xf numFmtId="0" fontId="16" fillId="0" borderId="35" xfId="0" applyFont="1" applyBorder="1" applyAlignment="1">
      <alignment horizontal="left" vertical="center" wrapText="1"/>
    </xf>
    <xf numFmtId="0" fontId="16" fillId="0" borderId="24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72" fillId="0" borderId="35" xfId="0" applyFont="1" applyBorder="1" applyAlignment="1">
      <alignment horizontal="left" vertical="center" wrapText="1"/>
    </xf>
    <xf numFmtId="0" fontId="72" fillId="2" borderId="0" xfId="0" applyFont="1" applyFill="1" applyAlignment="1">
      <alignment horizontal="right" vertical="center"/>
    </xf>
    <xf numFmtId="0" fontId="16" fillId="2" borderId="0" xfId="0" applyFont="1" applyFill="1" applyAlignment="1">
      <alignment horizontal="center" vertical="center" wrapText="1"/>
    </xf>
    <xf numFmtId="0" fontId="72" fillId="2" borderId="36" xfId="0" applyFont="1" applyFill="1" applyBorder="1" applyAlignment="1">
      <alignment horizontal="center" vertical="center" wrapText="1"/>
    </xf>
    <xf numFmtId="0" fontId="72" fillId="2" borderId="37" xfId="0" applyFont="1" applyFill="1" applyBorder="1" applyAlignment="1">
      <alignment horizontal="center" vertical="center" wrapText="1"/>
    </xf>
    <xf numFmtId="0" fontId="72" fillId="2" borderId="24" xfId="0" applyFont="1" applyFill="1" applyBorder="1" applyAlignment="1">
      <alignment horizontal="center" vertical="center" wrapText="1"/>
    </xf>
    <xf numFmtId="49" fontId="16" fillId="2" borderId="35" xfId="0" applyNumberFormat="1" applyFont="1" applyFill="1" applyBorder="1" applyAlignment="1">
      <alignment horizontal="center" vertical="top"/>
    </xf>
    <xf numFmtId="0" fontId="72" fillId="2" borderId="35" xfId="0" applyFont="1" applyFill="1" applyBorder="1" applyAlignment="1">
      <alignment horizontal="center" vertical="top" wrapText="1"/>
    </xf>
    <xf numFmtId="0" fontId="16" fillId="2" borderId="23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49" fontId="16" fillId="2" borderId="35" xfId="0" applyNumberFormat="1" applyFont="1" applyFill="1" applyBorder="1" applyAlignment="1">
      <alignment horizontal="center" vertical="top" wrapText="1"/>
    </xf>
    <xf numFmtId="0" fontId="16" fillId="2" borderId="35" xfId="0" applyFont="1" applyFill="1" applyBorder="1" applyAlignment="1">
      <alignment horizontal="center" vertical="top" wrapText="1"/>
    </xf>
    <xf numFmtId="0" fontId="16" fillId="2" borderId="23" xfId="0" applyFont="1" applyFill="1" applyBorder="1" applyAlignment="1">
      <alignment horizontal="center" wrapText="1"/>
    </xf>
    <xf numFmtId="0" fontId="16" fillId="2" borderId="1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16" fillId="2" borderId="35" xfId="0" applyFont="1" applyFill="1" applyBorder="1" applyAlignment="1">
      <alignment horizontal="left" vertical="top" wrapText="1"/>
    </xf>
    <xf numFmtId="0" fontId="16" fillId="2" borderId="35" xfId="0" applyFont="1" applyFill="1" applyBorder="1" applyAlignment="1">
      <alignment horizontal="center" wrapText="1"/>
    </xf>
    <xf numFmtId="0" fontId="16" fillId="2" borderId="23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6" fillId="2" borderId="2" xfId="0" applyFont="1" applyFill="1" applyBorder="1" applyAlignment="1">
      <alignment horizontal="center"/>
    </xf>
    <xf numFmtId="0" fontId="16" fillId="2" borderId="27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72" fillId="2" borderId="27" xfId="0" applyFont="1" applyFill="1" applyBorder="1" applyAlignment="1">
      <alignment horizontal="center" vertical="top" wrapText="1"/>
    </xf>
    <xf numFmtId="0" fontId="16" fillId="2" borderId="0" xfId="0" applyFont="1" applyFill="1" applyAlignment="1">
      <alignment horizontal="center" wrapText="1"/>
    </xf>
    <xf numFmtId="0" fontId="72" fillId="2" borderId="22" xfId="0" applyFont="1" applyFill="1" applyBorder="1" applyAlignment="1">
      <alignment horizontal="center" vertical="center" wrapText="1"/>
    </xf>
    <xf numFmtId="0" fontId="72" fillId="2" borderId="28" xfId="0" applyFont="1" applyFill="1" applyBorder="1" applyAlignment="1">
      <alignment horizontal="center" vertical="center" wrapText="1"/>
    </xf>
    <xf numFmtId="0" fontId="72" fillId="2" borderId="29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center" vertical="center" wrapText="1"/>
    </xf>
    <xf numFmtId="0" fontId="16" fillId="2" borderId="23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top" wrapText="1"/>
    </xf>
    <xf numFmtId="49" fontId="16" fillId="2" borderId="23" xfId="0" applyNumberFormat="1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49" fontId="16" fillId="2" borderId="27" xfId="0" applyNumberFormat="1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72" fillId="2" borderId="23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horizontal="center" vertical="top" wrapText="1"/>
    </xf>
    <xf numFmtId="49" fontId="16" fillId="2" borderId="28" xfId="96" applyNumberFormat="1" applyFont="1" applyFill="1" applyBorder="1" applyAlignment="1">
      <alignment horizontal="center" vertical="center" wrapText="1"/>
    </xf>
    <xf numFmtId="49" fontId="16" fillId="2" borderId="30" xfId="96" applyNumberFormat="1" applyFont="1" applyFill="1" applyBorder="1" applyAlignment="1">
      <alignment horizontal="center" vertical="center" wrapText="1"/>
    </xf>
    <xf numFmtId="0" fontId="16" fillId="2" borderId="23" xfId="96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168" fontId="16" fillId="2" borderId="23" xfId="96" applyNumberFormat="1" applyFont="1" applyFill="1" applyBorder="1" applyAlignment="1">
      <alignment horizontal="center" vertical="center" wrapText="1"/>
    </xf>
    <xf numFmtId="168" fontId="16" fillId="2" borderId="2" xfId="96" applyNumberFormat="1" applyFont="1" applyFill="1" applyBorder="1" applyAlignment="1">
      <alignment horizontal="center" vertical="center" wrapText="1"/>
    </xf>
    <xf numFmtId="168" fontId="72" fillId="2" borderId="28" xfId="96" applyNumberFormat="1" applyFont="1" applyFill="1" applyBorder="1" applyAlignment="1">
      <alignment horizontal="center" vertical="center" wrapText="1"/>
    </xf>
    <xf numFmtId="168" fontId="72" fillId="2" borderId="29" xfId="96" applyNumberFormat="1" applyFont="1" applyFill="1" applyBorder="1" applyAlignment="1">
      <alignment horizontal="center" vertical="center" wrapText="1"/>
    </xf>
    <xf numFmtId="168" fontId="72" fillId="2" borderId="30" xfId="96" applyNumberFormat="1" applyFont="1" applyFill="1" applyBorder="1" applyAlignment="1">
      <alignment horizontal="center" vertical="center" wrapText="1"/>
    </xf>
    <xf numFmtId="0" fontId="72" fillId="2" borderId="23" xfId="0" applyFont="1" applyFill="1" applyBorder="1" applyAlignment="1">
      <alignment horizontal="center"/>
    </xf>
    <xf numFmtId="0" fontId="72" fillId="2" borderId="2" xfId="0" applyFont="1" applyFill="1" applyBorder="1" applyAlignment="1">
      <alignment horizontal="center"/>
    </xf>
    <xf numFmtId="169" fontId="72" fillId="2" borderId="0" xfId="96" applyNumberFormat="1" applyFont="1" applyFill="1" applyAlignment="1">
      <alignment horizontal="right" vertical="top" wrapText="1"/>
    </xf>
    <xf numFmtId="169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Alignment="1">
      <alignment horizontal="center" vertical="center" wrapText="1"/>
    </xf>
    <xf numFmtId="0" fontId="72" fillId="2" borderId="0" xfId="1660" applyFont="1" applyFill="1" applyAlignment="1">
      <alignment vertical="center" wrapText="1"/>
    </xf>
    <xf numFmtId="0" fontId="72" fillId="2" borderId="31" xfId="2028" applyFont="1" applyFill="1" applyBorder="1" applyAlignment="1">
      <alignment horizontal="right"/>
    </xf>
    <xf numFmtId="0" fontId="91" fillId="2" borderId="23" xfId="0" applyFont="1" applyFill="1" applyBorder="1" applyAlignment="1">
      <alignment horizontal="center"/>
    </xf>
    <xf numFmtId="0" fontId="91" fillId="2" borderId="1" xfId="0" applyFont="1" applyFill="1" applyBorder="1" applyAlignment="1">
      <alignment horizontal="center"/>
    </xf>
    <xf numFmtId="0" fontId="91" fillId="2" borderId="2" xfId="0" applyFont="1" applyFill="1" applyBorder="1" applyAlignment="1">
      <alignment horizontal="center"/>
    </xf>
    <xf numFmtId="0" fontId="72" fillId="2" borderId="0" xfId="253" applyFont="1" applyFill="1" applyAlignment="1">
      <alignment horizontal="right" vertical="top" wrapText="1"/>
    </xf>
    <xf numFmtId="0" fontId="72" fillId="2" borderId="0" xfId="253" applyFont="1" applyFill="1" applyAlignment="1">
      <alignment horizontal="right" wrapText="1"/>
    </xf>
    <xf numFmtId="0" fontId="16" fillId="2" borderId="0" xfId="299" applyFont="1" applyFill="1" applyAlignment="1">
      <alignment horizontal="center" vertical="center" wrapText="1"/>
    </xf>
    <xf numFmtId="0" fontId="89" fillId="2" borderId="23" xfId="0" applyFont="1" applyFill="1" applyBorder="1" applyAlignment="1">
      <alignment horizontal="center"/>
    </xf>
    <xf numFmtId="0" fontId="89" fillId="2" borderId="2" xfId="0" applyFont="1" applyFill="1" applyBorder="1" applyAlignment="1">
      <alignment horizontal="center"/>
    </xf>
    <xf numFmtId="0" fontId="93" fillId="2" borderId="23" xfId="0" applyFont="1" applyFill="1" applyBorder="1" applyAlignment="1">
      <alignment horizontal="center"/>
    </xf>
    <xf numFmtId="0" fontId="93" fillId="2" borderId="1" xfId="0" applyFont="1" applyFill="1" applyBorder="1" applyAlignment="1">
      <alignment horizontal="center"/>
    </xf>
    <xf numFmtId="0" fontId="93" fillId="2" borderId="2" xfId="0" applyFont="1" applyFill="1" applyBorder="1" applyAlignment="1">
      <alignment horizontal="center"/>
    </xf>
    <xf numFmtId="0" fontId="72" fillId="2" borderId="23" xfId="253" applyFont="1" applyFill="1" applyBorder="1" applyAlignment="1">
      <alignment horizontal="center"/>
    </xf>
    <xf numFmtId="0" fontId="72" fillId="2" borderId="2" xfId="253" applyFont="1" applyFill="1" applyBorder="1" applyAlignment="1">
      <alignment horizontal="center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6" fillId="2" borderId="36" xfId="0" applyFont="1" applyFill="1" applyBorder="1" applyAlignment="1">
      <alignment horizontal="left" vertical="center" wrapText="1"/>
    </xf>
    <xf numFmtId="0" fontId="16" fillId="2" borderId="37" xfId="0" applyFont="1" applyFill="1" applyBorder="1" applyAlignment="1">
      <alignment horizontal="left" vertical="center" wrapText="1"/>
    </xf>
    <xf numFmtId="0" fontId="16" fillId="2" borderId="24" xfId="0" applyFont="1" applyFill="1" applyBorder="1" applyAlignment="1">
      <alignment horizontal="left" vertical="center" wrapText="1"/>
    </xf>
    <xf numFmtId="178" fontId="84" fillId="2" borderId="28" xfId="98" applyNumberFormat="1" applyFont="1" applyFill="1" applyBorder="1" applyAlignment="1">
      <alignment horizontal="left" vertical="center" wrapText="1"/>
    </xf>
    <xf numFmtId="178" fontId="84" fillId="2" borderId="30" xfId="98" applyNumberFormat="1" applyFont="1" applyFill="1" applyBorder="1" applyAlignment="1">
      <alignment horizontal="left" vertical="center" wrapText="1"/>
    </xf>
    <xf numFmtId="0" fontId="16" fillId="2" borderId="28" xfId="0" applyFont="1" applyFill="1" applyBorder="1" applyAlignment="1">
      <alignment horizontal="left" vertical="center" wrapText="1"/>
    </xf>
    <xf numFmtId="0" fontId="16" fillId="2" borderId="29" xfId="0" applyFont="1" applyFill="1" applyBorder="1" applyAlignment="1">
      <alignment horizontal="left" vertical="center" wrapText="1"/>
    </xf>
    <xf numFmtId="0" fontId="16" fillId="2" borderId="30" xfId="0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center" vertical="center" wrapText="1"/>
    </xf>
    <xf numFmtId="0" fontId="13" fillId="2" borderId="31" xfId="0" applyFont="1" applyFill="1" applyBorder="1" applyAlignment="1">
      <alignment horizontal="right" wrapText="1"/>
    </xf>
    <xf numFmtId="0" fontId="72" fillId="2" borderId="27" xfId="8" applyFont="1" applyFill="1" applyBorder="1" applyAlignment="1">
      <alignment horizontal="center" vertical="center" wrapText="1"/>
    </xf>
    <xf numFmtId="0" fontId="72" fillId="2" borderId="33" xfId="8" applyFont="1" applyFill="1" applyBorder="1" applyAlignment="1">
      <alignment horizontal="center" vertical="center" wrapText="1"/>
    </xf>
    <xf numFmtId="0" fontId="72" fillId="2" borderId="34" xfId="8" applyFont="1" applyFill="1" applyBorder="1" applyAlignment="1">
      <alignment horizontal="center" vertical="center" wrapText="1"/>
    </xf>
    <xf numFmtId="0" fontId="72" fillId="2" borderId="3" xfId="8" applyFont="1" applyFill="1" applyBorder="1" applyAlignment="1">
      <alignment horizontal="center" vertical="center" wrapText="1"/>
    </xf>
    <xf numFmtId="0" fontId="72" fillId="2" borderId="32" xfId="8" applyFont="1" applyFill="1" applyBorder="1" applyAlignment="1">
      <alignment horizontal="center" vertical="center" wrapText="1"/>
    </xf>
    <xf numFmtId="0" fontId="72" fillId="2" borderId="23" xfId="8" applyFont="1" applyFill="1" applyBorder="1" applyAlignment="1">
      <alignment horizontal="center" vertical="center" wrapText="1"/>
    </xf>
    <xf numFmtId="0" fontId="72" fillId="2" borderId="2" xfId="8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16" fillId="2" borderId="29" xfId="0" applyFont="1" applyFill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/>
    </xf>
    <xf numFmtId="0" fontId="16" fillId="2" borderId="29" xfId="0" applyFont="1" applyFill="1" applyBorder="1" applyAlignment="1">
      <alignment horizontal="center" vertical="center"/>
    </xf>
    <xf numFmtId="0" fontId="16" fillId="2" borderId="30" xfId="0" applyFont="1" applyFill="1" applyBorder="1" applyAlignment="1">
      <alignment horizontal="center" vertical="center"/>
    </xf>
    <xf numFmtId="0" fontId="16" fillId="2" borderId="35" xfId="0" applyFont="1" applyFill="1" applyBorder="1" applyAlignment="1">
      <alignment horizontal="left" vertical="center" wrapText="1"/>
    </xf>
    <xf numFmtId="0" fontId="73" fillId="2" borderId="24" xfId="0" applyFont="1" applyFill="1" applyBorder="1" applyAlignment="1">
      <alignment horizontal="center" vertical="center" wrapText="1"/>
    </xf>
    <xf numFmtId="0" fontId="73" fillId="2" borderId="35" xfId="0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center" vertical="center" wrapText="1"/>
    </xf>
    <xf numFmtId="0" fontId="16" fillId="2" borderId="34" xfId="0" applyFont="1" applyFill="1" applyBorder="1" applyAlignment="1">
      <alignment horizontal="center" vertical="center" wrapText="1"/>
    </xf>
    <xf numFmtId="0" fontId="16" fillId="2" borderId="39" xfId="0" applyFont="1" applyFill="1" applyBorder="1" applyAlignment="1">
      <alignment horizontal="center" vertical="center" wrapText="1"/>
    </xf>
    <xf numFmtId="0" fontId="16" fillId="2" borderId="32" xfId="0" applyFont="1" applyFill="1" applyBorder="1" applyAlignment="1">
      <alignment horizontal="center" vertical="center" wrapText="1"/>
    </xf>
    <xf numFmtId="0" fontId="16" fillId="57" borderId="35" xfId="0" applyFont="1" applyFill="1" applyBorder="1" applyAlignment="1">
      <alignment horizontal="left" vertical="top" wrapText="1"/>
    </xf>
    <xf numFmtId="0" fontId="13" fillId="2" borderId="23" xfId="0" applyFont="1" applyFill="1" applyBorder="1" applyAlignment="1">
      <alignment horizontal="left" vertical="center" wrapText="1"/>
    </xf>
    <xf numFmtId="0" fontId="13" fillId="2" borderId="35" xfId="0" applyFont="1" applyFill="1" applyBorder="1" applyAlignment="1">
      <alignment horizontal="center" vertical="center" wrapText="1"/>
    </xf>
    <xf numFmtId="0" fontId="13" fillId="2" borderId="35" xfId="0" applyFont="1" applyFill="1" applyBorder="1" applyAlignment="1">
      <alignment horizontal="left" vertical="center" wrapText="1"/>
    </xf>
    <xf numFmtId="0" fontId="13" fillId="2" borderId="37" xfId="0" applyFont="1" applyFill="1" applyBorder="1" applyAlignment="1">
      <alignment horizontal="left" vertical="center" wrapText="1"/>
    </xf>
    <xf numFmtId="0" fontId="13" fillId="2" borderId="24" xfId="0" applyFont="1" applyFill="1" applyBorder="1" applyAlignment="1">
      <alignment horizontal="left" vertical="center" wrapText="1"/>
    </xf>
    <xf numFmtId="0" fontId="13" fillId="2" borderId="34" xfId="0" applyFont="1" applyFill="1" applyBorder="1" applyAlignment="1">
      <alignment horizontal="center" vertical="center" wrapText="1"/>
    </xf>
    <xf numFmtId="0" fontId="13" fillId="2" borderId="39" xfId="0" applyFont="1" applyFill="1" applyBorder="1" applyAlignment="1">
      <alignment horizontal="center" vertical="center" wrapText="1"/>
    </xf>
    <xf numFmtId="0" fontId="13" fillId="2" borderId="36" xfId="0" applyFont="1" applyFill="1" applyBorder="1" applyAlignment="1">
      <alignment horizontal="left" vertical="center" wrapText="1"/>
    </xf>
    <xf numFmtId="0" fontId="16" fillId="59" borderId="35" xfId="0" applyFont="1" applyFill="1" applyBorder="1" applyAlignment="1">
      <alignment horizontal="center" vertical="top" wrapText="1"/>
    </xf>
    <xf numFmtId="0" fontId="89" fillId="0" borderId="35" xfId="0" applyFont="1" applyBorder="1" applyAlignment="1">
      <alignment horizontal="left" vertical="top" wrapText="1"/>
    </xf>
    <xf numFmtId="0" fontId="13" fillId="2" borderId="2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38" xfId="0" applyFont="1" applyFill="1" applyBorder="1" applyAlignment="1">
      <alignment horizontal="left" vertical="center" wrapText="1"/>
    </xf>
    <xf numFmtId="0" fontId="72" fillId="0" borderId="35" xfId="0" applyFont="1" applyBorder="1" applyAlignment="1">
      <alignment horizontal="center" vertical="center" wrapText="1"/>
    </xf>
    <xf numFmtId="166" fontId="73" fillId="2" borderId="0" xfId="253" applyNumberFormat="1" applyFont="1" applyFill="1" applyAlignment="1">
      <alignment horizontal="right" vertical="top" wrapText="1"/>
    </xf>
    <xf numFmtId="166" fontId="73" fillId="2" borderId="0" xfId="253" applyNumberFormat="1" applyFont="1" applyFill="1" applyAlignment="1">
      <alignment horizontal="right" wrapText="1"/>
    </xf>
    <xf numFmtId="0" fontId="72" fillId="2" borderId="36" xfId="299" applyFont="1" applyFill="1" applyBorder="1" applyAlignment="1">
      <alignment horizontal="left" vertical="top" wrapText="1"/>
    </xf>
    <xf numFmtId="0" fontId="72" fillId="2" borderId="37" xfId="299" applyFont="1" applyFill="1" applyBorder="1" applyAlignment="1">
      <alignment horizontal="left" vertical="top" wrapText="1"/>
    </xf>
    <xf numFmtId="0" fontId="72" fillId="2" borderId="24" xfId="299" applyFont="1" applyFill="1" applyBorder="1" applyAlignment="1">
      <alignment horizontal="left" vertical="top" wrapText="1"/>
    </xf>
    <xf numFmtId="0" fontId="72" fillId="2" borderId="27" xfId="0" applyFont="1" applyFill="1" applyBorder="1" applyAlignment="1">
      <alignment horizontal="left" vertical="center" wrapText="1"/>
    </xf>
    <xf numFmtId="0" fontId="72" fillId="2" borderId="36" xfId="299" applyFont="1" applyFill="1" applyBorder="1" applyAlignment="1">
      <alignment horizontal="center" vertical="top" wrapText="1"/>
    </xf>
    <xf numFmtId="0" fontId="72" fillId="2" borderId="37" xfId="299" applyFont="1" applyFill="1" applyBorder="1" applyAlignment="1">
      <alignment horizontal="center" vertical="top" wrapText="1"/>
    </xf>
    <xf numFmtId="0" fontId="72" fillId="2" borderId="24" xfId="299" applyFont="1" applyFill="1" applyBorder="1" applyAlignment="1">
      <alignment horizontal="center" vertical="top" wrapText="1"/>
    </xf>
    <xf numFmtId="0" fontId="72" fillId="0" borderId="35" xfId="0" applyFont="1" applyBorder="1" applyAlignment="1">
      <alignment horizontal="left" vertical="top" wrapText="1"/>
    </xf>
    <xf numFmtId="0" fontId="72" fillId="2" borderId="27" xfId="0" applyFont="1" applyFill="1" applyBorder="1" applyAlignment="1">
      <alignment horizontal="left" vertical="top" wrapText="1"/>
    </xf>
    <xf numFmtId="0" fontId="72" fillId="2" borderId="35" xfId="0" applyFont="1" applyFill="1" applyBorder="1" applyAlignment="1">
      <alignment horizontal="left" vertical="center" wrapText="1"/>
    </xf>
    <xf numFmtId="0" fontId="72" fillId="2" borderId="35" xfId="0" applyFont="1" applyFill="1" applyBorder="1" applyAlignment="1">
      <alignment horizontal="left" vertical="top" wrapText="1"/>
    </xf>
    <xf numFmtId="0" fontId="72" fillId="57" borderId="36" xfId="0" applyFont="1" applyFill="1" applyBorder="1" applyAlignment="1">
      <alignment horizontal="left" vertical="center" wrapText="1"/>
    </xf>
    <xf numFmtId="0" fontId="72" fillId="57" borderId="37" xfId="0" applyFont="1" applyFill="1" applyBorder="1" applyAlignment="1">
      <alignment horizontal="left" vertical="center" wrapText="1"/>
    </xf>
    <xf numFmtId="0" fontId="72" fillId="57" borderId="24" xfId="0" applyFont="1" applyFill="1" applyBorder="1" applyAlignment="1">
      <alignment horizontal="left" vertical="center" wrapText="1"/>
    </xf>
    <xf numFmtId="0" fontId="72" fillId="57" borderId="28" xfId="0" applyFont="1" applyFill="1" applyBorder="1" applyAlignment="1">
      <alignment horizontal="left" vertical="center" wrapText="1"/>
    </xf>
    <xf numFmtId="0" fontId="72" fillId="57" borderId="29" xfId="0" applyFont="1" applyFill="1" applyBorder="1" applyAlignment="1">
      <alignment horizontal="left" vertical="center" wrapText="1"/>
    </xf>
    <xf numFmtId="0" fontId="72" fillId="57" borderId="30" xfId="0" applyFont="1" applyFill="1" applyBorder="1" applyAlignment="1">
      <alignment horizontal="left" vertical="center" wrapText="1"/>
    </xf>
    <xf numFmtId="0" fontId="72" fillId="2" borderId="28" xfId="299" applyFont="1" applyFill="1" applyBorder="1" applyAlignment="1">
      <alignment horizontal="left" vertical="top" wrapText="1"/>
    </xf>
    <xf numFmtId="0" fontId="72" fillId="2" borderId="29" xfId="299" applyFont="1" applyFill="1" applyBorder="1" applyAlignment="1">
      <alignment horizontal="left" vertical="top" wrapText="1"/>
    </xf>
    <xf numFmtId="0" fontId="72" fillId="2" borderId="30" xfId="299" applyFont="1" applyFill="1" applyBorder="1" applyAlignment="1">
      <alignment horizontal="left" vertical="top" wrapText="1"/>
    </xf>
    <xf numFmtId="0" fontId="72" fillId="2" borderId="28" xfId="299" applyFont="1" applyFill="1" applyBorder="1" applyAlignment="1">
      <alignment horizontal="center" vertical="top" wrapText="1"/>
    </xf>
    <xf numFmtId="0" fontId="72" fillId="2" borderId="29" xfId="299" applyFont="1" applyFill="1" applyBorder="1" applyAlignment="1">
      <alignment horizontal="center" vertical="top" wrapText="1"/>
    </xf>
    <xf numFmtId="0" fontId="72" fillId="2" borderId="30" xfId="299" applyFont="1" applyFill="1" applyBorder="1" applyAlignment="1">
      <alignment horizontal="center" vertical="top" wrapText="1"/>
    </xf>
    <xf numFmtId="0" fontId="72" fillId="2" borderId="28" xfId="1735" applyFont="1" applyFill="1" applyBorder="1" applyAlignment="1">
      <alignment horizontal="center" wrapText="1"/>
    </xf>
    <xf numFmtId="0" fontId="72" fillId="2" borderId="29" xfId="1735" applyFont="1" applyFill="1" applyBorder="1" applyAlignment="1">
      <alignment horizontal="center" wrapText="1"/>
    </xf>
    <xf numFmtId="0" fontId="72" fillId="2" borderId="30" xfId="1735" applyFont="1" applyFill="1" applyBorder="1" applyAlignment="1">
      <alignment horizontal="center" wrapText="1"/>
    </xf>
    <xf numFmtId="0" fontId="16" fillId="58" borderId="27" xfId="0" applyFont="1" applyFill="1" applyBorder="1" applyAlignment="1">
      <alignment vertical="top" wrapText="1"/>
    </xf>
    <xf numFmtId="0" fontId="72" fillId="2" borderId="0" xfId="1734" applyFont="1" applyFill="1" applyAlignment="1">
      <alignment horizontal="right" vertical="top"/>
    </xf>
    <xf numFmtId="0" fontId="72" fillId="2" borderId="0" xfId="1734" applyFont="1" applyFill="1" applyAlignment="1">
      <alignment horizontal="right" vertical="center"/>
    </xf>
    <xf numFmtId="0" fontId="16" fillId="2" borderId="27" xfId="1734" applyFont="1" applyFill="1" applyBorder="1" applyAlignment="1">
      <alignment horizontal="center" vertical="center" wrapText="1"/>
    </xf>
    <xf numFmtId="0" fontId="72" fillId="2" borderId="27" xfId="1735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top" wrapText="1"/>
    </xf>
    <xf numFmtId="0" fontId="16" fillId="2" borderId="34" xfId="0" applyFont="1" applyFill="1" applyBorder="1" applyAlignment="1">
      <alignment horizontal="center" vertical="top" wrapText="1"/>
    </xf>
    <xf numFmtId="0" fontId="16" fillId="2" borderId="35" xfId="8" applyFont="1" applyFill="1" applyBorder="1" applyAlignment="1">
      <alignment horizontal="center" vertical="top" wrapText="1"/>
    </xf>
    <xf numFmtId="0" fontId="72" fillId="2" borderId="35" xfId="8" applyFont="1" applyFill="1" applyBorder="1" applyAlignment="1">
      <alignment horizontal="center" vertical="top" wrapText="1"/>
    </xf>
    <xf numFmtId="0" fontId="72" fillId="2" borderId="35" xfId="0" applyFont="1" applyFill="1" applyBorder="1" applyAlignment="1">
      <alignment horizontal="center" vertical="center" wrapText="1"/>
    </xf>
    <xf numFmtId="0" fontId="16" fillId="2" borderId="23" xfId="8" applyFont="1" applyFill="1" applyBorder="1" applyAlignment="1">
      <alignment horizontal="center" vertical="top" wrapText="1"/>
    </xf>
    <xf numFmtId="0" fontId="16" fillId="2" borderId="1" xfId="8" applyFont="1" applyFill="1" applyBorder="1" applyAlignment="1">
      <alignment horizontal="center" vertical="top" wrapText="1"/>
    </xf>
    <xf numFmtId="0" fontId="16" fillId="2" borderId="2" xfId="8" applyFont="1" applyFill="1" applyBorder="1" applyAlignment="1">
      <alignment horizontal="center" vertical="top" wrapText="1"/>
    </xf>
  </cellXfs>
  <cellStyles count="2031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M37"/>
  <sheetViews>
    <sheetView topLeftCell="A31" zoomScale="55" zoomScaleNormal="55" zoomScaleSheetLayoutView="100" workbookViewId="0">
      <selection activeCell="F26" sqref="F26"/>
    </sheetView>
  </sheetViews>
  <sheetFormatPr defaultColWidth="9.09765625" defaultRowHeight="17.75"/>
  <cols>
    <col min="1" max="1" width="6.796875" style="26" customWidth="1"/>
    <col min="2" max="2" width="10.3984375" style="280" customWidth="1"/>
    <col min="3" max="3" width="15.19921875" style="26" customWidth="1"/>
    <col min="4" max="6" width="46.296875" style="26" customWidth="1"/>
    <col min="7" max="10" width="16.3984375" style="26" customWidth="1"/>
    <col min="11" max="12" width="12.19921875" style="26" customWidth="1"/>
    <col min="13" max="16384" width="9.09765625" style="26"/>
  </cols>
  <sheetData>
    <row r="1" spans="1:39" ht="37.35" customHeight="1">
      <c r="F1" s="341" t="s">
        <v>18</v>
      </c>
      <c r="G1" s="341"/>
      <c r="H1" s="341"/>
      <c r="I1" s="341"/>
      <c r="J1" s="341"/>
    </row>
    <row r="2" spans="1:39" ht="17.600000000000001" customHeight="1">
      <c r="F2" s="341" t="s">
        <v>132</v>
      </c>
      <c r="G2" s="341"/>
      <c r="H2" s="341"/>
      <c r="I2" s="341"/>
      <c r="J2" s="341"/>
    </row>
    <row r="3" spans="1:39" ht="17.600000000000001" customHeight="1">
      <c r="F3" s="341" t="s">
        <v>0</v>
      </c>
      <c r="G3" s="341"/>
      <c r="H3" s="341"/>
      <c r="I3" s="341"/>
      <c r="J3" s="341"/>
    </row>
    <row r="6" spans="1:39" ht="75.900000000000006" customHeight="1">
      <c r="A6" s="342" t="s">
        <v>235</v>
      </c>
      <c r="B6" s="342"/>
      <c r="C6" s="342"/>
      <c r="D6" s="342"/>
      <c r="E6" s="342"/>
      <c r="F6" s="342"/>
      <c r="G6" s="342"/>
      <c r="H6" s="342"/>
      <c r="I6" s="342"/>
      <c r="J6" s="342"/>
    </row>
    <row r="7" spans="1:39">
      <c r="A7" s="282"/>
      <c r="B7" s="282"/>
      <c r="C7" s="282"/>
      <c r="D7" s="282"/>
      <c r="E7" s="282"/>
      <c r="F7" s="282"/>
      <c r="G7" s="282"/>
    </row>
    <row r="9" spans="1:39">
      <c r="D9" s="281"/>
      <c r="E9" s="281"/>
      <c r="F9" s="281"/>
      <c r="G9" s="281"/>
      <c r="J9" s="281" t="s">
        <v>9</v>
      </c>
    </row>
    <row r="10" spans="1:39" ht="45.15" customHeight="1">
      <c r="A10" s="339" t="s">
        <v>236</v>
      </c>
      <c r="B10" s="339" t="s">
        <v>1</v>
      </c>
      <c r="C10" s="339"/>
      <c r="D10" s="339" t="s">
        <v>237</v>
      </c>
      <c r="E10" s="339" t="s">
        <v>238</v>
      </c>
      <c r="F10" s="339" t="s">
        <v>239</v>
      </c>
      <c r="G10" s="343" t="s">
        <v>27</v>
      </c>
      <c r="H10" s="344"/>
      <c r="I10" s="344"/>
      <c r="J10" s="345"/>
    </row>
    <row r="11" spans="1:39" ht="17.75" customHeight="1">
      <c r="A11" s="339"/>
      <c r="B11" s="339"/>
      <c r="C11" s="339"/>
      <c r="D11" s="339"/>
      <c r="E11" s="339"/>
      <c r="F11" s="339"/>
      <c r="G11" s="338" t="s">
        <v>240</v>
      </c>
      <c r="H11" s="339" t="s">
        <v>241</v>
      </c>
      <c r="I11" s="339" t="s">
        <v>2</v>
      </c>
      <c r="J11" s="339" t="s">
        <v>3</v>
      </c>
    </row>
    <row r="12" spans="1:39">
      <c r="A12" s="339"/>
      <c r="B12" s="283" t="s">
        <v>14</v>
      </c>
      <c r="C12" s="283" t="s">
        <v>15</v>
      </c>
      <c r="D12" s="339"/>
      <c r="E12" s="339"/>
      <c r="F12" s="339"/>
      <c r="G12" s="338"/>
      <c r="H12" s="339"/>
      <c r="I12" s="339"/>
      <c r="J12" s="339"/>
    </row>
    <row r="13" spans="1:39" s="285" customFormat="1" ht="25" customHeight="1">
      <c r="A13" s="337" t="s">
        <v>242</v>
      </c>
      <c r="B13" s="337"/>
      <c r="C13" s="337"/>
      <c r="D13" s="337"/>
      <c r="E13" s="337"/>
      <c r="F13" s="337"/>
      <c r="G13" s="119">
        <f>+G15+G34</f>
        <v>0</v>
      </c>
      <c r="H13" s="119">
        <f>+H15+H34</f>
        <v>2.5465851649641991E-11</v>
      </c>
      <c r="I13" s="119">
        <f>+I15+I34</f>
        <v>0</v>
      </c>
      <c r="J13" s="119">
        <f>+J15+J34</f>
        <v>0</v>
      </c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  <c r="AH13" s="284"/>
      <c r="AI13" s="284"/>
      <c r="AJ13" s="284"/>
      <c r="AK13" s="284"/>
      <c r="AL13" s="284"/>
      <c r="AM13" s="284"/>
    </row>
    <row r="14" spans="1:39" s="285" customFormat="1">
      <c r="A14" s="340" t="s">
        <v>234</v>
      </c>
      <c r="B14" s="340"/>
      <c r="C14" s="340"/>
      <c r="D14" s="340"/>
      <c r="E14" s="340"/>
      <c r="F14" s="340"/>
      <c r="G14" s="119"/>
      <c r="H14" s="119"/>
      <c r="I14" s="119"/>
      <c r="J14" s="119"/>
      <c r="K14" s="284"/>
      <c r="L14" s="284"/>
      <c r="M14" s="284"/>
      <c r="N14" s="284"/>
      <c r="O14" s="284"/>
      <c r="P14" s="284"/>
      <c r="Q14" s="284"/>
      <c r="R14" s="284"/>
      <c r="S14" s="284"/>
      <c r="T14" s="284"/>
      <c r="U14" s="284"/>
      <c r="V14" s="284"/>
      <c r="W14" s="284"/>
      <c r="X14" s="284"/>
      <c r="Y14" s="284"/>
      <c r="Z14" s="284"/>
      <c r="AA14" s="284"/>
      <c r="AB14" s="284"/>
      <c r="AC14" s="284"/>
      <c r="AD14" s="284"/>
      <c r="AE14" s="284"/>
      <c r="AF14" s="284"/>
      <c r="AG14" s="284"/>
      <c r="AH14" s="284"/>
      <c r="AI14" s="284"/>
      <c r="AJ14" s="284"/>
      <c r="AK14" s="284"/>
      <c r="AL14" s="284"/>
      <c r="AM14" s="284"/>
    </row>
    <row r="15" spans="1:39" s="285" customFormat="1">
      <c r="A15" s="337" t="s">
        <v>17</v>
      </c>
      <c r="B15" s="337"/>
      <c r="C15" s="337"/>
      <c r="D15" s="337"/>
      <c r="E15" s="337"/>
      <c r="F15" s="337"/>
      <c r="G15" s="119">
        <f>+G16+G19+G24+G27+G30</f>
        <v>0</v>
      </c>
      <c r="H15" s="119">
        <f t="shared" ref="H15:J15" si="0">+H16+H19+H24+H27+H30</f>
        <v>2.5465851649641991E-11</v>
      </c>
      <c r="I15" s="119">
        <f t="shared" si="0"/>
        <v>0</v>
      </c>
      <c r="J15" s="119">
        <f t="shared" si="0"/>
        <v>0</v>
      </c>
      <c r="K15" s="284"/>
      <c r="L15" s="284"/>
      <c r="M15" s="284"/>
      <c r="N15" s="284"/>
      <c r="O15" s="284"/>
      <c r="P15" s="284"/>
      <c r="Q15" s="284"/>
      <c r="R15" s="284"/>
      <c r="S15" s="284"/>
      <c r="T15" s="284"/>
      <c r="U15" s="284"/>
      <c r="V15" s="284"/>
      <c r="W15" s="284"/>
      <c r="X15" s="284"/>
      <c r="Y15" s="284"/>
      <c r="Z15" s="284"/>
      <c r="AA15" s="284"/>
      <c r="AB15" s="284"/>
      <c r="AC15" s="284"/>
      <c r="AD15" s="284"/>
      <c r="AE15" s="284"/>
      <c r="AF15" s="284"/>
      <c r="AG15" s="284"/>
      <c r="AH15" s="284"/>
      <c r="AI15" s="284"/>
      <c r="AJ15" s="284"/>
      <c r="AK15" s="284"/>
      <c r="AL15" s="284"/>
      <c r="AM15" s="284"/>
    </row>
    <row r="16" spans="1:39" ht="99.95">
      <c r="A16" s="143"/>
      <c r="B16" s="138">
        <v>1045</v>
      </c>
      <c r="C16" s="179"/>
      <c r="D16" s="179" t="s">
        <v>225</v>
      </c>
      <c r="E16" s="179" t="s">
        <v>257</v>
      </c>
      <c r="F16" s="179" t="s">
        <v>258</v>
      </c>
      <c r="G16" s="286">
        <f>+G17+G18</f>
        <v>4937</v>
      </c>
      <c r="H16" s="286">
        <f t="shared" ref="H16:J16" si="1">+H17+H18</f>
        <v>-56207.099999999991</v>
      </c>
      <c r="I16" s="286">
        <f t="shared" si="1"/>
        <v>-31203.000000000007</v>
      </c>
      <c r="J16" s="286">
        <f t="shared" si="1"/>
        <v>-10108.19999999999</v>
      </c>
    </row>
    <row r="17" spans="1:10" ht="124.15">
      <c r="A17" s="143"/>
      <c r="B17" s="116"/>
      <c r="C17" s="143" t="s">
        <v>259</v>
      </c>
      <c r="D17" s="143" t="s">
        <v>260</v>
      </c>
      <c r="E17" s="143" t="s">
        <v>261</v>
      </c>
      <c r="F17" s="143" t="s">
        <v>243</v>
      </c>
      <c r="G17" s="287">
        <f>+'Հավելված N 2'!G136</f>
        <v>4937</v>
      </c>
      <c r="H17" s="287">
        <f>+'Հավելված N 2'!H136</f>
        <v>-56207.099999999991</v>
      </c>
      <c r="I17" s="287">
        <f>+'Հավելված N 2'!I136</f>
        <v>-31203.000000000007</v>
      </c>
      <c r="J17" s="287">
        <f>+'Հավելված N 2'!J136</f>
        <v>-50850.299999999988</v>
      </c>
    </row>
    <row r="18" spans="1:10" ht="88.7">
      <c r="A18" s="143"/>
      <c r="B18" s="116"/>
      <c r="C18" s="143" t="s">
        <v>262</v>
      </c>
      <c r="D18" s="143" t="s">
        <v>263</v>
      </c>
      <c r="E18" s="143" t="s">
        <v>264</v>
      </c>
      <c r="F18" s="143" t="s">
        <v>243</v>
      </c>
      <c r="G18" s="287">
        <f>+'Հավելված N 2'!G147</f>
        <v>0</v>
      </c>
      <c r="H18" s="287">
        <f>+'Հավելված N 2'!H147</f>
        <v>0</v>
      </c>
      <c r="I18" s="287">
        <f>+'Հավելված N 2'!I147</f>
        <v>0</v>
      </c>
      <c r="J18" s="287">
        <f>+'Հավելված N 2'!J147</f>
        <v>40742.1</v>
      </c>
    </row>
    <row r="19" spans="1:10" ht="66.650000000000006">
      <c r="A19" s="143"/>
      <c r="B19" s="138">
        <v>1075</v>
      </c>
      <c r="C19" s="179"/>
      <c r="D19" s="179" t="s">
        <v>79</v>
      </c>
      <c r="E19" s="179" t="s">
        <v>265</v>
      </c>
      <c r="F19" s="179" t="s">
        <v>266</v>
      </c>
      <c r="G19" s="286">
        <f>+G20+G21+G22+G23</f>
        <v>31319.499999999993</v>
      </c>
      <c r="H19" s="286">
        <f t="shared" ref="H19:J19" si="2">+H20+H21+H22+H23</f>
        <v>60736.400000000016</v>
      </c>
      <c r="I19" s="286">
        <f t="shared" si="2"/>
        <v>-64131.5</v>
      </c>
      <c r="J19" s="286">
        <f t="shared" si="2"/>
        <v>-74422</v>
      </c>
    </row>
    <row r="20" spans="1:10" ht="106.4">
      <c r="A20" s="143"/>
      <c r="B20" s="116"/>
      <c r="C20" s="143" t="s">
        <v>269</v>
      </c>
      <c r="D20" s="143" t="s">
        <v>270</v>
      </c>
      <c r="E20" s="143" t="s">
        <v>271</v>
      </c>
      <c r="F20" s="143" t="s">
        <v>272</v>
      </c>
      <c r="G20" s="287">
        <f>+'Հավելված N 2'!G66</f>
        <v>-13862.600000000006</v>
      </c>
      <c r="H20" s="287">
        <f>+'Հավելված N 2'!H66</f>
        <v>12790.599999999999</v>
      </c>
      <c r="I20" s="287">
        <f>+'Հավելված N 2'!I66</f>
        <v>1120.5999999999985</v>
      </c>
      <c r="J20" s="287">
        <f>+'Հավելված N 2'!J66</f>
        <v>-9170</v>
      </c>
    </row>
    <row r="21" spans="1:10" ht="106.4">
      <c r="A21" s="143"/>
      <c r="B21" s="116"/>
      <c r="C21" s="143" t="s">
        <v>267</v>
      </c>
      <c r="D21" s="143" t="s">
        <v>183</v>
      </c>
      <c r="E21" s="143" t="s">
        <v>268</v>
      </c>
      <c r="F21" s="143" t="s">
        <v>243</v>
      </c>
      <c r="G21" s="287">
        <f>+'Հավելված N 2'!G26</f>
        <v>4012.1000000000004</v>
      </c>
      <c r="H21" s="287">
        <f>+'Հավելված N 2'!H26</f>
        <v>-63224.199999999983</v>
      </c>
      <c r="I21" s="287">
        <f>+'Հավելված N 2'!I26</f>
        <v>-176422.1</v>
      </c>
      <c r="J21" s="287">
        <f>+'Հավելված N 2'!J26</f>
        <v>-261320.5</v>
      </c>
    </row>
    <row r="22" spans="1:10" ht="53.2">
      <c r="A22" s="143"/>
      <c r="B22" s="116"/>
      <c r="C22" s="143" t="s">
        <v>273</v>
      </c>
      <c r="D22" s="143" t="s">
        <v>274</v>
      </c>
      <c r="E22" s="143" t="s">
        <v>275</v>
      </c>
      <c r="F22" s="143" t="s">
        <v>243</v>
      </c>
      <c r="G22" s="287">
        <f>+'Հավելված N 2'!G39</f>
        <v>9170</v>
      </c>
      <c r="H22" s="287">
        <f>+'Հավելված N 2'!H39</f>
        <v>9170</v>
      </c>
      <c r="I22" s="287">
        <f>+'Հավելված N 2'!I39</f>
        <v>9170</v>
      </c>
      <c r="J22" s="287">
        <f>+'Հավելված N 2'!J39</f>
        <v>9170</v>
      </c>
    </row>
    <row r="23" spans="1:10" ht="70.95">
      <c r="A23" s="143"/>
      <c r="B23" s="116"/>
      <c r="C23" s="143" t="s">
        <v>276</v>
      </c>
      <c r="D23" s="143" t="s">
        <v>194</v>
      </c>
      <c r="E23" s="143" t="s">
        <v>277</v>
      </c>
      <c r="F23" s="143" t="s">
        <v>243</v>
      </c>
      <c r="G23" s="287">
        <f>+'Հավելված N 2'!G48</f>
        <v>32000</v>
      </c>
      <c r="H23" s="287">
        <f>+'Հավելված N 2'!H48</f>
        <v>102000</v>
      </c>
      <c r="I23" s="287">
        <f>+'Հավելված N 2'!I48</f>
        <v>102000</v>
      </c>
      <c r="J23" s="287">
        <f>+'Հավելված N 2'!J48</f>
        <v>186898.5</v>
      </c>
    </row>
    <row r="24" spans="1:10" ht="116.6">
      <c r="A24" s="143"/>
      <c r="B24" s="138">
        <v>1183</v>
      </c>
      <c r="C24" s="179"/>
      <c r="D24" s="179" t="s">
        <v>119</v>
      </c>
      <c r="E24" s="179" t="s">
        <v>278</v>
      </c>
      <c r="F24" s="179" t="s">
        <v>279</v>
      </c>
      <c r="G24" s="288">
        <f>+G25+G26</f>
        <v>1410.6</v>
      </c>
      <c r="H24" s="288">
        <f t="shared" ref="H24:J24" si="3">+H25+H26</f>
        <v>1410.6</v>
      </c>
      <c r="I24" s="288">
        <f t="shared" si="3"/>
        <v>16822.599999999999</v>
      </c>
      <c r="J24" s="288">
        <f t="shared" si="3"/>
        <v>16822.599999999999</v>
      </c>
    </row>
    <row r="25" spans="1:10" ht="106.4">
      <c r="A25" s="143"/>
      <c r="B25" s="116"/>
      <c r="C25" s="143" t="s">
        <v>280</v>
      </c>
      <c r="D25" s="143" t="s">
        <v>190</v>
      </c>
      <c r="E25" s="143" t="s">
        <v>281</v>
      </c>
      <c r="F25" s="143" t="s">
        <v>243</v>
      </c>
      <c r="G25" s="287">
        <f>+'Հավելված N 2'!G158</f>
        <v>0</v>
      </c>
      <c r="H25" s="287">
        <f>+'Հավելված N 2'!H158</f>
        <v>0</v>
      </c>
      <c r="I25" s="287">
        <f>+'Հավելված N 2'!I158</f>
        <v>15412</v>
      </c>
      <c r="J25" s="287">
        <f>+'Հավելված N 2'!J158</f>
        <v>15412</v>
      </c>
    </row>
    <row r="26" spans="1:10" ht="70.95">
      <c r="A26" s="143"/>
      <c r="B26" s="116"/>
      <c r="C26" s="143" t="s">
        <v>282</v>
      </c>
      <c r="D26" s="143" t="s">
        <v>199</v>
      </c>
      <c r="E26" s="143" t="s">
        <v>283</v>
      </c>
      <c r="F26" s="143" t="s">
        <v>243</v>
      </c>
      <c r="G26" s="287">
        <f>+'Հավելված N 2'!G167</f>
        <v>1410.6</v>
      </c>
      <c r="H26" s="287">
        <f>+'Հավելված N 2'!H167</f>
        <v>1410.6</v>
      </c>
      <c r="I26" s="287">
        <f>+'Հավելված N 2'!I167</f>
        <v>1410.6</v>
      </c>
      <c r="J26" s="287">
        <f>+'Հավելված N 2'!J167</f>
        <v>1410.6</v>
      </c>
    </row>
    <row r="27" spans="1:10" ht="133.25">
      <c r="A27" s="143"/>
      <c r="B27" s="138">
        <v>1192</v>
      </c>
      <c r="C27" s="179"/>
      <c r="D27" s="179" t="s">
        <v>284</v>
      </c>
      <c r="E27" s="179" t="s">
        <v>285</v>
      </c>
      <c r="F27" s="179" t="s">
        <v>286</v>
      </c>
      <c r="G27" s="288">
        <f>+G28+G29</f>
        <v>0</v>
      </c>
      <c r="H27" s="288">
        <f t="shared" ref="H27" si="4">+H28+H29</f>
        <v>0</v>
      </c>
      <c r="I27" s="288">
        <f t="shared" ref="I27" si="5">+I28+I29</f>
        <v>0</v>
      </c>
      <c r="J27" s="288">
        <f t="shared" ref="J27" si="6">+J28+J29</f>
        <v>0</v>
      </c>
    </row>
    <row r="28" spans="1:10" ht="70.95">
      <c r="A28" s="143"/>
      <c r="B28" s="116"/>
      <c r="C28" s="143" t="s">
        <v>287</v>
      </c>
      <c r="D28" s="143" t="s">
        <v>288</v>
      </c>
      <c r="E28" s="143" t="s">
        <v>289</v>
      </c>
      <c r="F28" s="143" t="s">
        <v>244</v>
      </c>
      <c r="G28" s="287">
        <f>+'Հավելված N 2'!G91</f>
        <v>0</v>
      </c>
      <c r="H28" s="287">
        <f>+'Հավելված N 2'!H91</f>
        <v>112092.2</v>
      </c>
      <c r="I28" s="287">
        <f>+'Հավելված N 2'!I91</f>
        <v>112092.2</v>
      </c>
      <c r="J28" s="287">
        <f>+'Հավելված N 2'!J91</f>
        <v>112092.2</v>
      </c>
    </row>
    <row r="29" spans="1:10" ht="53.2">
      <c r="A29" s="143"/>
      <c r="B29" s="116"/>
      <c r="C29" s="143" t="s">
        <v>290</v>
      </c>
      <c r="D29" s="143" t="s">
        <v>291</v>
      </c>
      <c r="E29" s="143" t="s">
        <v>292</v>
      </c>
      <c r="F29" s="143" t="s">
        <v>243</v>
      </c>
      <c r="G29" s="287">
        <f>+'Հավելված N 2'!G99</f>
        <v>0</v>
      </c>
      <c r="H29" s="287">
        <f>+'Հավելված N 2'!H99</f>
        <v>-112092.2</v>
      </c>
      <c r="I29" s="287">
        <f>+'Հավելված N 2'!I99</f>
        <v>-112092.2</v>
      </c>
      <c r="J29" s="287">
        <f>+'Հավելված N 2'!J99</f>
        <v>-112092.2</v>
      </c>
    </row>
    <row r="30" spans="1:10" ht="83.3">
      <c r="A30" s="143"/>
      <c r="B30" s="138" t="s">
        <v>245</v>
      </c>
      <c r="C30" s="179"/>
      <c r="D30" s="179" t="s">
        <v>246</v>
      </c>
      <c r="E30" s="179" t="s">
        <v>247</v>
      </c>
      <c r="F30" s="179" t="s">
        <v>248</v>
      </c>
      <c r="G30" s="288">
        <f>+G31+G32</f>
        <v>-37667.1</v>
      </c>
      <c r="H30" s="288">
        <f t="shared" ref="H30:J30" si="7">+H31+H32</f>
        <v>-5939.9</v>
      </c>
      <c r="I30" s="288">
        <f t="shared" si="7"/>
        <v>78511.899999999994</v>
      </c>
      <c r="J30" s="288">
        <f t="shared" si="7"/>
        <v>67707.599999999991</v>
      </c>
    </row>
    <row r="31" spans="1:10" ht="88.7">
      <c r="A31" s="143"/>
      <c r="B31" s="116"/>
      <c r="C31" s="143" t="s">
        <v>249</v>
      </c>
      <c r="D31" s="143" t="s">
        <v>201</v>
      </c>
      <c r="E31" s="143" t="s">
        <v>250</v>
      </c>
      <c r="F31" s="143" t="s">
        <v>243</v>
      </c>
      <c r="G31" s="287">
        <f>+'Հավելված N 2'!G110</f>
        <v>0</v>
      </c>
      <c r="H31" s="287">
        <f>+'Հավելված N 2'!H110</f>
        <v>5703.9</v>
      </c>
      <c r="I31" s="287">
        <f>+'Հավելված N 2'!I110</f>
        <v>5703.9</v>
      </c>
      <c r="J31" s="287">
        <f>+'Հավելված N 2'!J110</f>
        <v>5703.9</v>
      </c>
    </row>
    <row r="32" spans="1:10" ht="124.15">
      <c r="A32" s="143"/>
      <c r="B32" s="116"/>
      <c r="C32" s="143" t="s">
        <v>293</v>
      </c>
      <c r="D32" s="143" t="s">
        <v>216</v>
      </c>
      <c r="E32" s="143" t="s">
        <v>294</v>
      </c>
      <c r="F32" s="143" t="s">
        <v>243</v>
      </c>
      <c r="G32" s="287">
        <f>+'Հավելված N 2'!G119</f>
        <v>-37667.1</v>
      </c>
      <c r="H32" s="287">
        <f>+'Հավելված N 2'!H119</f>
        <v>-11643.8</v>
      </c>
      <c r="I32" s="287">
        <f>+'Հավելված N 2'!I119</f>
        <v>72808</v>
      </c>
      <c r="J32" s="287">
        <f>+'Հավելված N 2'!J119</f>
        <v>62003.7</v>
      </c>
    </row>
    <row r="34" spans="1:39" s="285" customFormat="1">
      <c r="A34" s="337" t="s">
        <v>251</v>
      </c>
      <c r="B34" s="337"/>
      <c r="C34" s="337"/>
      <c r="D34" s="337"/>
      <c r="E34" s="337"/>
      <c r="F34" s="337"/>
      <c r="G34" s="119">
        <f>+G35+G38+G40</f>
        <v>0</v>
      </c>
      <c r="H34" s="119">
        <f t="shared" ref="H34:J34" si="8">+H35+H38+H40</f>
        <v>0</v>
      </c>
      <c r="I34" s="119">
        <f t="shared" si="8"/>
        <v>0</v>
      </c>
      <c r="J34" s="119">
        <f t="shared" si="8"/>
        <v>0</v>
      </c>
      <c r="K34" s="284"/>
      <c r="L34" s="284"/>
      <c r="M34" s="284"/>
      <c r="N34" s="284"/>
      <c r="O34" s="284"/>
      <c r="P34" s="284"/>
      <c r="Q34" s="284"/>
      <c r="R34" s="284"/>
      <c r="S34" s="284"/>
      <c r="T34" s="284"/>
      <c r="U34" s="284"/>
      <c r="V34" s="284"/>
      <c r="W34" s="284"/>
      <c r="X34" s="284"/>
      <c r="Y34" s="284"/>
      <c r="Z34" s="284"/>
      <c r="AA34" s="284"/>
      <c r="AB34" s="284"/>
      <c r="AC34" s="284"/>
      <c r="AD34" s="284"/>
      <c r="AE34" s="284"/>
      <c r="AF34" s="284"/>
      <c r="AG34" s="284"/>
      <c r="AH34" s="284"/>
      <c r="AI34" s="284"/>
      <c r="AJ34" s="284"/>
      <c r="AK34" s="284"/>
      <c r="AL34" s="284"/>
      <c r="AM34" s="284"/>
    </row>
    <row r="35" spans="1:39" ht="66.650000000000006">
      <c r="A35" s="143"/>
      <c r="B35" s="138">
        <v>1139</v>
      </c>
      <c r="C35" s="179"/>
      <c r="D35" s="179" t="s">
        <v>252</v>
      </c>
      <c r="E35" s="179" t="s">
        <v>253</v>
      </c>
      <c r="F35" s="179" t="s">
        <v>254</v>
      </c>
      <c r="G35" s="123">
        <f>+G36+G37</f>
        <v>0</v>
      </c>
      <c r="H35" s="123">
        <f t="shared" ref="H35:J35" si="9">+H36+H37</f>
        <v>0</v>
      </c>
      <c r="I35" s="123">
        <f t="shared" si="9"/>
        <v>0</v>
      </c>
      <c r="J35" s="123">
        <f t="shared" si="9"/>
        <v>0</v>
      </c>
    </row>
    <row r="36" spans="1:39" ht="106.4">
      <c r="A36" s="143"/>
      <c r="B36" s="116"/>
      <c r="C36" s="143" t="s">
        <v>255</v>
      </c>
      <c r="D36" s="143" t="s">
        <v>252</v>
      </c>
      <c r="E36" s="143" t="s">
        <v>256</v>
      </c>
      <c r="F36" s="143" t="s">
        <v>244</v>
      </c>
      <c r="G36" s="287">
        <f>+'Հավելված N 2'!G188</f>
        <v>32000</v>
      </c>
      <c r="H36" s="287">
        <f>+'Հավելված N 2'!H188</f>
        <v>102000</v>
      </c>
      <c r="I36" s="287">
        <f>+'Հավելված N 2'!I188</f>
        <v>102000</v>
      </c>
      <c r="J36" s="287">
        <f>+'Հավելված N 2'!J188</f>
        <v>186898.5</v>
      </c>
    </row>
    <row r="37" spans="1:39" ht="106.4">
      <c r="A37" s="143"/>
      <c r="B37" s="116"/>
      <c r="C37" s="143" t="s">
        <v>255</v>
      </c>
      <c r="D37" s="143" t="s">
        <v>252</v>
      </c>
      <c r="E37" s="143" t="s">
        <v>256</v>
      </c>
      <c r="F37" s="143" t="s">
        <v>244</v>
      </c>
      <c r="G37" s="287">
        <f>+'Հավելված N 2'!G196</f>
        <v>-32000</v>
      </c>
      <c r="H37" s="287">
        <f>+'Հավելված N 2'!H196</f>
        <v>-102000</v>
      </c>
      <c r="I37" s="287">
        <f>+'Հավելված N 2'!I196</f>
        <v>-102000</v>
      </c>
      <c r="J37" s="287">
        <f>+'Հավելված N 2'!J196</f>
        <v>-186898.5</v>
      </c>
    </row>
  </sheetData>
  <mergeCells count="18">
    <mergeCell ref="J11:J12"/>
    <mergeCell ref="A13:F13"/>
    <mergeCell ref="A14:F14"/>
    <mergeCell ref="F1:J1"/>
    <mergeCell ref="F2:J2"/>
    <mergeCell ref="F3:J3"/>
    <mergeCell ref="A6:J6"/>
    <mergeCell ref="A10:A12"/>
    <mergeCell ref="B10:C11"/>
    <mergeCell ref="D10:D12"/>
    <mergeCell ref="E10:E12"/>
    <mergeCell ref="F10:F12"/>
    <mergeCell ref="G10:J10"/>
    <mergeCell ref="A15:F15"/>
    <mergeCell ref="A34:F34"/>
    <mergeCell ref="G11:G12"/>
    <mergeCell ref="H11:H12"/>
    <mergeCell ref="I11:I12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K203"/>
  <sheetViews>
    <sheetView topLeftCell="A86" zoomScale="74" zoomScaleNormal="74" zoomScaleSheetLayoutView="100" workbookViewId="0">
      <selection activeCell="J98" sqref="J98"/>
    </sheetView>
  </sheetViews>
  <sheetFormatPr defaultColWidth="9.09765625" defaultRowHeight="17.75"/>
  <cols>
    <col min="1" max="3" width="8.09765625" style="3" customWidth="1"/>
    <col min="4" max="4" width="11.59765625" style="3" customWidth="1"/>
    <col min="5" max="5" width="13.8984375" style="3" customWidth="1"/>
    <col min="6" max="6" width="62.09765625" style="3" customWidth="1"/>
    <col min="7" max="10" width="19.69921875" style="3" customWidth="1"/>
    <col min="11" max="13" width="15" style="3" customWidth="1"/>
    <col min="14" max="16384" width="9.09765625" style="3"/>
  </cols>
  <sheetData>
    <row r="1" spans="1:10" s="29" customFormat="1" ht="37.5" customHeight="1">
      <c r="F1" s="362" t="s">
        <v>19</v>
      </c>
      <c r="G1" s="362"/>
      <c r="H1" s="362"/>
      <c r="I1" s="362"/>
      <c r="J1" s="362"/>
    </row>
    <row r="2" spans="1:10" s="27" customFormat="1" ht="17.600000000000001" customHeight="1">
      <c r="F2" s="363" t="s">
        <v>132</v>
      </c>
      <c r="G2" s="363"/>
      <c r="H2" s="363"/>
      <c r="I2" s="363"/>
      <c r="J2" s="363"/>
    </row>
    <row r="3" spans="1:10" s="27" customFormat="1" ht="17.600000000000001" customHeight="1">
      <c r="F3" s="363" t="s">
        <v>0</v>
      </c>
      <c r="G3" s="363"/>
      <c r="H3" s="363"/>
      <c r="I3" s="363"/>
      <c r="J3" s="363"/>
    </row>
    <row r="4" spans="1:10" ht="13.7" customHeight="1"/>
    <row r="5" spans="1:10" ht="13.7" customHeight="1"/>
    <row r="6" spans="1:10" ht="13.7" customHeight="1"/>
    <row r="7" spans="1:10" ht="52.55" customHeight="1">
      <c r="A7" s="365" t="s">
        <v>213</v>
      </c>
      <c r="B7" s="365"/>
      <c r="C7" s="365"/>
      <c r="D7" s="365"/>
      <c r="E7" s="365"/>
      <c r="F7" s="365"/>
      <c r="G7" s="365"/>
      <c r="H7" s="365"/>
      <c r="I7" s="365"/>
      <c r="J7" s="365"/>
    </row>
    <row r="8" spans="1:10">
      <c r="A8" s="96"/>
      <c r="B8" s="96"/>
      <c r="C8" s="96"/>
      <c r="D8" s="96"/>
      <c r="E8" s="96"/>
      <c r="F8" s="96"/>
      <c r="G8" s="96"/>
      <c r="H8" s="96"/>
      <c r="I8" s="96"/>
      <c r="J8" s="96"/>
    </row>
    <row r="10" spans="1:10">
      <c r="H10" s="27"/>
      <c r="J10" s="27" t="s">
        <v>9</v>
      </c>
    </row>
    <row r="11" spans="1:10" s="10" customFormat="1" ht="36.549999999999997" customHeight="1">
      <c r="A11" s="366" t="s">
        <v>10</v>
      </c>
      <c r="B11" s="366"/>
      <c r="C11" s="366"/>
      <c r="D11" s="366" t="s">
        <v>1</v>
      </c>
      <c r="E11" s="366"/>
      <c r="F11" s="366" t="s">
        <v>5</v>
      </c>
      <c r="G11" s="367" t="s">
        <v>27</v>
      </c>
      <c r="H11" s="368"/>
      <c r="I11" s="368"/>
      <c r="J11" s="369"/>
    </row>
    <row r="12" spans="1:10" s="10" customFormat="1" ht="35.5">
      <c r="A12" s="28" t="s">
        <v>25</v>
      </c>
      <c r="B12" s="28" t="s">
        <v>26</v>
      </c>
      <c r="C12" s="28" t="s">
        <v>11</v>
      </c>
      <c r="D12" s="28" t="s">
        <v>4</v>
      </c>
      <c r="E12" s="28" t="s">
        <v>15</v>
      </c>
      <c r="F12" s="366"/>
      <c r="G12" s="28" t="s">
        <v>51</v>
      </c>
      <c r="H12" s="28" t="s">
        <v>50</v>
      </c>
      <c r="I12" s="28" t="s">
        <v>2</v>
      </c>
      <c r="J12" s="28" t="s">
        <v>3</v>
      </c>
    </row>
    <row r="13" spans="1:10" s="10" customFormat="1" ht="34.950000000000003" customHeight="1">
      <c r="A13" s="9"/>
      <c r="B13" s="9"/>
      <c r="C13" s="9"/>
      <c r="D13" s="28"/>
      <c r="E13" s="28"/>
      <c r="F13" s="16" t="s">
        <v>8</v>
      </c>
      <c r="G13" s="8">
        <f>+G15+G177</f>
        <v>0</v>
      </c>
      <c r="H13" s="8">
        <f t="shared" ref="H13:J13" si="0">+H15+H177</f>
        <v>0</v>
      </c>
      <c r="I13" s="8">
        <f t="shared" si="0"/>
        <v>0</v>
      </c>
      <c r="J13" s="8">
        <f t="shared" si="0"/>
        <v>0</v>
      </c>
    </row>
    <row r="14" spans="1:10" s="10" customFormat="1">
      <c r="A14" s="9"/>
      <c r="B14" s="9"/>
      <c r="C14" s="9"/>
      <c r="D14" s="28"/>
      <c r="E14" s="28"/>
      <c r="F14" s="9" t="s">
        <v>92</v>
      </c>
      <c r="G14" s="2"/>
      <c r="H14" s="2"/>
      <c r="I14" s="2"/>
      <c r="J14" s="2"/>
    </row>
    <row r="15" spans="1:10" s="10" customFormat="1" ht="33.35">
      <c r="A15" s="9"/>
      <c r="B15" s="9"/>
      <c r="C15" s="9"/>
      <c r="D15" s="28"/>
      <c r="E15" s="28"/>
      <c r="F15" s="4" t="s">
        <v>17</v>
      </c>
      <c r="G15" s="2">
        <f>+G16+G81</f>
        <v>0</v>
      </c>
      <c r="H15" s="2">
        <f>+H16+H81</f>
        <v>0</v>
      </c>
      <c r="I15" s="2">
        <f>+ROUND(I16+I81,1)</f>
        <v>0</v>
      </c>
      <c r="J15" s="2">
        <f>+J16+J81</f>
        <v>0</v>
      </c>
    </row>
    <row r="16" spans="1:10" s="10" customFormat="1" ht="17.600000000000001" customHeight="1">
      <c r="A16" s="374" t="s">
        <v>23</v>
      </c>
      <c r="B16" s="364"/>
      <c r="C16" s="364"/>
      <c r="D16" s="87"/>
      <c r="E16" s="63"/>
      <c r="F16" s="18" t="s">
        <v>24</v>
      </c>
      <c r="G16" s="2">
        <f>+G18</f>
        <v>31319.499999999993</v>
      </c>
      <c r="H16" s="2">
        <f>+H18</f>
        <v>60736.400000000016</v>
      </c>
      <c r="I16" s="2">
        <f>+I18</f>
        <v>-64131.500000000007</v>
      </c>
      <c r="J16" s="2">
        <f>+J18</f>
        <v>-74422</v>
      </c>
    </row>
    <row r="17" spans="1:10" s="10" customFormat="1" ht="16.95" customHeight="1">
      <c r="A17" s="374"/>
      <c r="B17" s="364"/>
      <c r="C17" s="364"/>
      <c r="D17" s="88"/>
      <c r="E17" s="64"/>
      <c r="F17" s="19" t="s">
        <v>6</v>
      </c>
      <c r="G17" s="5"/>
      <c r="H17" s="5"/>
      <c r="I17" s="6"/>
      <c r="J17" s="5"/>
    </row>
    <row r="18" spans="1:10" s="10" customFormat="1">
      <c r="A18" s="374"/>
      <c r="B18" s="374" t="s">
        <v>83</v>
      </c>
      <c r="C18" s="364"/>
      <c r="D18" s="88"/>
      <c r="E18" s="64"/>
      <c r="F18" s="18" t="s">
        <v>85</v>
      </c>
      <c r="G18" s="6">
        <f>+G20+G60</f>
        <v>31319.499999999993</v>
      </c>
      <c r="H18" s="6">
        <f t="shared" ref="H18:J18" si="1">+H20+H60</f>
        <v>60736.400000000016</v>
      </c>
      <c r="I18" s="6">
        <f t="shared" si="1"/>
        <v>-64131.500000000007</v>
      </c>
      <c r="J18" s="6">
        <f t="shared" si="1"/>
        <v>-74422</v>
      </c>
    </row>
    <row r="19" spans="1:10" s="10" customFormat="1" ht="16.95" customHeight="1">
      <c r="A19" s="374"/>
      <c r="B19" s="374"/>
      <c r="C19" s="364"/>
      <c r="D19" s="88"/>
      <c r="E19" s="64"/>
      <c r="F19" s="19" t="s">
        <v>6</v>
      </c>
      <c r="G19" s="6"/>
      <c r="H19" s="5"/>
      <c r="I19" s="6"/>
      <c r="J19" s="5"/>
    </row>
    <row r="20" spans="1:10" s="10" customFormat="1">
      <c r="A20" s="351"/>
      <c r="B20" s="351"/>
      <c r="C20" s="372" t="s">
        <v>83</v>
      </c>
      <c r="D20" s="88"/>
      <c r="E20" s="64"/>
      <c r="F20" s="18" t="s">
        <v>186</v>
      </c>
      <c r="G20" s="6">
        <f>+G22</f>
        <v>45182.1</v>
      </c>
      <c r="H20" s="6">
        <f>+H22</f>
        <v>47945.800000000017</v>
      </c>
      <c r="I20" s="6">
        <f>+I22</f>
        <v>-65252.100000000006</v>
      </c>
      <c r="J20" s="6">
        <f>+J22</f>
        <v>-65252</v>
      </c>
    </row>
    <row r="21" spans="1:10" s="10" customFormat="1" ht="16.95" customHeight="1">
      <c r="A21" s="351"/>
      <c r="B21" s="351"/>
      <c r="C21" s="373"/>
      <c r="D21" s="88"/>
      <c r="E21" s="64"/>
      <c r="F21" s="19" t="s">
        <v>6</v>
      </c>
      <c r="G21" s="6"/>
      <c r="H21" s="11"/>
      <c r="I21" s="6"/>
      <c r="J21" s="11"/>
    </row>
    <row r="22" spans="1:10" s="10" customFormat="1" ht="35.5">
      <c r="A22" s="351"/>
      <c r="B22" s="351"/>
      <c r="C22" s="373"/>
      <c r="D22" s="88"/>
      <c r="E22" s="64"/>
      <c r="F22" s="20" t="s">
        <v>12</v>
      </c>
      <c r="G22" s="6">
        <f>+G24</f>
        <v>45182.1</v>
      </c>
      <c r="H22" s="11">
        <f>+H24</f>
        <v>47945.800000000017</v>
      </c>
      <c r="I22" s="6">
        <f>+I24</f>
        <v>-65252.100000000006</v>
      </c>
      <c r="J22" s="11">
        <f>+J24</f>
        <v>-65252</v>
      </c>
    </row>
    <row r="23" spans="1:10" s="10" customFormat="1" ht="16.95" customHeight="1">
      <c r="A23" s="351"/>
      <c r="B23" s="351"/>
      <c r="C23" s="373"/>
      <c r="D23" s="89"/>
      <c r="E23" s="90"/>
      <c r="F23" s="19" t="s">
        <v>6</v>
      </c>
      <c r="G23" s="6"/>
      <c r="H23" s="11"/>
      <c r="I23" s="6"/>
      <c r="J23" s="11"/>
    </row>
    <row r="24" spans="1:10" s="10" customFormat="1" ht="18" customHeight="1">
      <c r="A24" s="351"/>
      <c r="B24" s="351"/>
      <c r="C24" s="373"/>
      <c r="D24" s="370">
        <v>1075</v>
      </c>
      <c r="E24" s="361" t="s">
        <v>79</v>
      </c>
      <c r="F24" s="361"/>
      <c r="G24" s="2">
        <f>+G26+G39+G48</f>
        <v>45182.1</v>
      </c>
      <c r="H24" s="2">
        <f t="shared" ref="H24:J24" si="2">+H26+H39+H48</f>
        <v>47945.800000000017</v>
      </c>
      <c r="I24" s="2">
        <f t="shared" si="2"/>
        <v>-65252.100000000006</v>
      </c>
      <c r="J24" s="2">
        <f t="shared" si="2"/>
        <v>-65252</v>
      </c>
    </row>
    <row r="25" spans="1:10" s="10" customFormat="1" ht="16.95" customHeight="1">
      <c r="A25" s="351"/>
      <c r="B25" s="351"/>
      <c r="C25" s="373"/>
      <c r="D25" s="371"/>
      <c r="E25" s="21"/>
      <c r="F25" s="19" t="s">
        <v>6</v>
      </c>
      <c r="G25" s="2"/>
      <c r="H25" s="2"/>
      <c r="I25" s="2"/>
      <c r="J25" s="2"/>
    </row>
    <row r="26" spans="1:10" s="10" customFormat="1" ht="33.35">
      <c r="A26" s="351"/>
      <c r="B26" s="351"/>
      <c r="C26" s="373"/>
      <c r="D26" s="371"/>
      <c r="E26" s="31">
        <v>32001</v>
      </c>
      <c r="F26" s="23" t="s">
        <v>181</v>
      </c>
      <c r="G26" s="12">
        <f>+G28</f>
        <v>4012.1000000000004</v>
      </c>
      <c r="H26" s="12">
        <f>+H28</f>
        <v>-63224.199999999983</v>
      </c>
      <c r="I26" s="12">
        <f>+I28</f>
        <v>-176422.1</v>
      </c>
      <c r="J26" s="12">
        <f>+J28</f>
        <v>-261320.5</v>
      </c>
    </row>
    <row r="27" spans="1:10" s="10" customFormat="1">
      <c r="A27" s="351"/>
      <c r="B27" s="351"/>
      <c r="C27" s="373"/>
      <c r="D27" s="371"/>
      <c r="E27" s="353"/>
      <c r="F27" s="19" t="s">
        <v>16</v>
      </c>
      <c r="G27" s="6"/>
      <c r="H27" s="5"/>
      <c r="I27" s="6"/>
      <c r="J27" s="5"/>
    </row>
    <row r="28" spans="1:10" s="13" customFormat="1" ht="36.549999999999997" customHeight="1">
      <c r="A28" s="351"/>
      <c r="B28" s="351"/>
      <c r="C28" s="373"/>
      <c r="D28" s="371"/>
      <c r="E28" s="354"/>
      <c r="F28" s="22" t="s">
        <v>12</v>
      </c>
      <c r="G28" s="91">
        <f>+G30</f>
        <v>4012.1000000000004</v>
      </c>
      <c r="H28" s="91">
        <f>+H30</f>
        <v>-63224.199999999983</v>
      </c>
      <c r="I28" s="91">
        <f>+I30</f>
        <v>-176422.1</v>
      </c>
      <c r="J28" s="91">
        <f>+J30</f>
        <v>-261320.5</v>
      </c>
    </row>
    <row r="29" spans="1:10" s="10" customFormat="1" ht="53.2">
      <c r="A29" s="351"/>
      <c r="B29" s="351"/>
      <c r="C29" s="373"/>
      <c r="D29" s="371"/>
      <c r="E29" s="354"/>
      <c r="F29" s="19" t="s">
        <v>13</v>
      </c>
      <c r="G29" s="7"/>
      <c r="H29" s="5"/>
      <c r="I29" s="92"/>
      <c r="J29" s="5"/>
    </row>
    <row r="30" spans="1:10" s="10" customFormat="1" ht="16.95" customHeight="1">
      <c r="A30" s="351"/>
      <c r="B30" s="351"/>
      <c r="C30" s="373"/>
      <c r="D30" s="371"/>
      <c r="E30" s="354"/>
      <c r="F30" s="30" t="s">
        <v>7</v>
      </c>
      <c r="G30" s="6">
        <f>+G31+G35</f>
        <v>4012.1000000000004</v>
      </c>
      <c r="H30" s="6">
        <f>+H31+H35</f>
        <v>-63224.199999999983</v>
      </c>
      <c r="I30" s="6">
        <f>+I31+I35</f>
        <v>-176422.1</v>
      </c>
      <c r="J30" s="6">
        <f>+J31+J35</f>
        <v>-261320.5</v>
      </c>
    </row>
    <row r="31" spans="1:10" s="10" customFormat="1" ht="16.95" customHeight="1">
      <c r="A31" s="351"/>
      <c r="B31" s="351"/>
      <c r="C31" s="373"/>
      <c r="D31" s="371"/>
      <c r="E31" s="354"/>
      <c r="F31" s="19" t="s">
        <v>88</v>
      </c>
      <c r="G31" s="7">
        <f>+G32</f>
        <v>3888.3</v>
      </c>
      <c r="H31" s="7">
        <f t="shared" ref="G31:J33" si="3">+H32</f>
        <v>3888.3</v>
      </c>
      <c r="I31" s="92">
        <f t="shared" si="3"/>
        <v>3888.3</v>
      </c>
      <c r="J31" s="7">
        <f t="shared" si="3"/>
        <v>3888.3</v>
      </c>
    </row>
    <row r="32" spans="1:10" s="10" customFormat="1">
      <c r="A32" s="351"/>
      <c r="B32" s="351"/>
      <c r="C32" s="373"/>
      <c r="D32" s="371"/>
      <c r="E32" s="354"/>
      <c r="F32" s="19" t="s">
        <v>89</v>
      </c>
      <c r="G32" s="7">
        <f>+G33</f>
        <v>3888.3</v>
      </c>
      <c r="H32" s="7">
        <f>+H33</f>
        <v>3888.3</v>
      </c>
      <c r="I32" s="92">
        <f>+I33</f>
        <v>3888.3</v>
      </c>
      <c r="J32" s="7">
        <f>+J33</f>
        <v>3888.3</v>
      </c>
    </row>
    <row r="33" spans="1:11" s="10" customFormat="1" ht="35.5">
      <c r="A33" s="351"/>
      <c r="B33" s="351"/>
      <c r="C33" s="373"/>
      <c r="D33" s="371"/>
      <c r="E33" s="354"/>
      <c r="F33" s="19" t="s">
        <v>90</v>
      </c>
      <c r="G33" s="7">
        <f t="shared" si="3"/>
        <v>3888.3</v>
      </c>
      <c r="H33" s="7">
        <f t="shared" si="3"/>
        <v>3888.3</v>
      </c>
      <c r="I33" s="92">
        <f t="shared" si="3"/>
        <v>3888.3</v>
      </c>
      <c r="J33" s="7">
        <f t="shared" si="3"/>
        <v>3888.3</v>
      </c>
      <c r="K33" s="14"/>
    </row>
    <row r="34" spans="1:11" s="10" customFormat="1" ht="35.5">
      <c r="A34" s="351"/>
      <c r="B34" s="351"/>
      <c r="C34" s="373"/>
      <c r="D34" s="371"/>
      <c r="E34" s="354"/>
      <c r="F34" s="62" t="s">
        <v>91</v>
      </c>
      <c r="G34" s="7">
        <f>+J34</f>
        <v>3888.3</v>
      </c>
      <c r="H34" s="7">
        <f>+J34</f>
        <v>3888.3</v>
      </c>
      <c r="I34" s="7">
        <f>+J34</f>
        <v>3888.3</v>
      </c>
      <c r="J34" s="7">
        <f>+'Հավելված N 5'!G18</f>
        <v>3888.3</v>
      </c>
      <c r="K34" s="15"/>
    </row>
    <row r="35" spans="1:11" s="10" customFormat="1" ht="16.95" customHeight="1">
      <c r="A35" s="351"/>
      <c r="B35" s="351"/>
      <c r="C35" s="373"/>
      <c r="D35" s="371"/>
      <c r="E35" s="354"/>
      <c r="F35" s="19" t="s">
        <v>61</v>
      </c>
      <c r="G35" s="7">
        <f>+G36</f>
        <v>123.8</v>
      </c>
      <c r="H35" s="7">
        <f t="shared" ref="H35:J36" si="4">+H36</f>
        <v>-67112.499999999985</v>
      </c>
      <c r="I35" s="92">
        <f t="shared" si="4"/>
        <v>-180310.39999999999</v>
      </c>
      <c r="J35" s="7">
        <f t="shared" si="4"/>
        <v>-265208.8</v>
      </c>
    </row>
    <row r="36" spans="1:11" s="10" customFormat="1">
      <c r="A36" s="351"/>
      <c r="B36" s="351"/>
      <c r="C36" s="373"/>
      <c r="D36" s="371"/>
      <c r="E36" s="354"/>
      <c r="F36" s="19" t="s">
        <v>62</v>
      </c>
      <c r="G36" s="7">
        <f>+G37</f>
        <v>123.8</v>
      </c>
      <c r="H36" s="7">
        <f t="shared" si="4"/>
        <v>-67112.499999999985</v>
      </c>
      <c r="I36" s="7">
        <f t="shared" si="4"/>
        <v>-180310.39999999999</v>
      </c>
      <c r="J36" s="7">
        <f t="shared" si="4"/>
        <v>-265208.8</v>
      </c>
    </row>
    <row r="37" spans="1:11" s="10" customFormat="1">
      <c r="A37" s="351"/>
      <c r="B37" s="351"/>
      <c r="C37" s="373"/>
      <c r="D37" s="371"/>
      <c r="E37" s="354"/>
      <c r="F37" s="140" t="s">
        <v>63</v>
      </c>
      <c r="G37" s="65">
        <f>+G38</f>
        <v>123.8</v>
      </c>
      <c r="H37" s="65">
        <f>+H38</f>
        <v>-67112.499999999985</v>
      </c>
      <c r="I37" s="24">
        <f>+I38</f>
        <v>-180310.39999999999</v>
      </c>
      <c r="J37" s="65">
        <f>+J38</f>
        <v>-265208.8</v>
      </c>
      <c r="K37" s="15"/>
    </row>
    <row r="38" spans="1:11" s="10" customFormat="1">
      <c r="A38" s="351"/>
      <c r="B38" s="351"/>
      <c r="C38" s="373"/>
      <c r="D38" s="371"/>
      <c r="E38" s="355"/>
      <c r="F38" s="86" t="s">
        <v>124</v>
      </c>
      <c r="G38" s="65">
        <f>+'Հավելված N 4'!E67</f>
        <v>123.8</v>
      </c>
      <c r="H38" s="65">
        <f>+'Հավելված N 4'!F67</f>
        <v>-67112.499999999985</v>
      </c>
      <c r="I38" s="65">
        <f>+'Հավելված N 4'!G67</f>
        <v>-180310.39999999999</v>
      </c>
      <c r="J38" s="65">
        <f>+'Հավելված N 4'!H67</f>
        <v>-265208.8</v>
      </c>
      <c r="K38" s="15"/>
    </row>
    <row r="39" spans="1:11" s="10" customFormat="1" ht="33.35">
      <c r="A39" s="351"/>
      <c r="B39" s="351"/>
      <c r="C39" s="115"/>
      <c r="D39" s="371"/>
      <c r="E39" s="31">
        <v>32008</v>
      </c>
      <c r="F39" s="23" t="s">
        <v>227</v>
      </c>
      <c r="G39" s="12">
        <f>+G41</f>
        <v>9170</v>
      </c>
      <c r="H39" s="12">
        <f>+H41</f>
        <v>9170</v>
      </c>
      <c r="I39" s="12">
        <f>+I41</f>
        <v>9170</v>
      </c>
      <c r="J39" s="12">
        <f>+J41</f>
        <v>9170</v>
      </c>
    </row>
    <row r="40" spans="1:11" s="10" customFormat="1">
      <c r="A40" s="351"/>
      <c r="B40" s="351"/>
      <c r="C40" s="115"/>
      <c r="D40" s="371"/>
      <c r="E40" s="353"/>
      <c r="F40" s="19" t="s">
        <v>16</v>
      </c>
      <c r="G40" s="6"/>
      <c r="H40" s="5"/>
      <c r="I40" s="6"/>
      <c r="J40" s="5"/>
    </row>
    <row r="41" spans="1:11" s="13" customFormat="1" ht="36.549999999999997" customHeight="1">
      <c r="A41" s="351"/>
      <c r="B41" s="351"/>
      <c r="C41" s="115"/>
      <c r="D41" s="371"/>
      <c r="E41" s="354"/>
      <c r="F41" s="22" t="s">
        <v>12</v>
      </c>
      <c r="G41" s="91">
        <f>+G43</f>
        <v>9170</v>
      </c>
      <c r="H41" s="91">
        <f>+H43</f>
        <v>9170</v>
      </c>
      <c r="I41" s="91">
        <f>+I43</f>
        <v>9170</v>
      </c>
      <c r="J41" s="91">
        <f>+J43</f>
        <v>9170</v>
      </c>
    </row>
    <row r="42" spans="1:11" s="10" customFormat="1" ht="53.2">
      <c r="A42" s="351"/>
      <c r="B42" s="351"/>
      <c r="C42" s="115"/>
      <c r="D42" s="371"/>
      <c r="E42" s="354"/>
      <c r="F42" s="19" t="s">
        <v>13</v>
      </c>
      <c r="G42" s="7"/>
      <c r="H42" s="5"/>
      <c r="I42" s="92"/>
      <c r="J42" s="5"/>
    </row>
    <row r="43" spans="1:11" s="10" customFormat="1" ht="16.95" customHeight="1">
      <c r="A43" s="351"/>
      <c r="B43" s="351"/>
      <c r="C43" s="115"/>
      <c r="D43" s="371"/>
      <c r="E43" s="354"/>
      <c r="F43" s="30" t="s">
        <v>7</v>
      </c>
      <c r="G43" s="6">
        <f>+G44</f>
        <v>9170</v>
      </c>
      <c r="H43" s="6">
        <f t="shared" ref="H43:J43" si="5">+H44</f>
        <v>9170</v>
      </c>
      <c r="I43" s="6">
        <f t="shared" si="5"/>
        <v>9170</v>
      </c>
      <c r="J43" s="6">
        <f t="shared" si="5"/>
        <v>9170</v>
      </c>
    </row>
    <row r="44" spans="1:11" s="10" customFormat="1" ht="16.95" customHeight="1">
      <c r="A44" s="351"/>
      <c r="B44" s="351"/>
      <c r="C44" s="115"/>
      <c r="D44" s="371"/>
      <c r="E44" s="354"/>
      <c r="F44" s="19" t="s">
        <v>88</v>
      </c>
      <c r="G44" s="7">
        <f>+G45</f>
        <v>9170</v>
      </c>
      <c r="H44" s="7">
        <f t="shared" ref="G44:J46" si="6">+H45</f>
        <v>9170</v>
      </c>
      <c r="I44" s="92">
        <f t="shared" si="6"/>
        <v>9170</v>
      </c>
      <c r="J44" s="7">
        <f t="shared" si="6"/>
        <v>9170</v>
      </c>
    </row>
    <row r="45" spans="1:11" s="10" customFormat="1">
      <c r="A45" s="351"/>
      <c r="B45" s="351"/>
      <c r="C45" s="115"/>
      <c r="D45" s="371"/>
      <c r="E45" s="354"/>
      <c r="F45" s="19" t="s">
        <v>89</v>
      </c>
      <c r="G45" s="7">
        <f>+G46</f>
        <v>9170</v>
      </c>
      <c r="H45" s="7">
        <f>+H46</f>
        <v>9170</v>
      </c>
      <c r="I45" s="92">
        <f>+I46</f>
        <v>9170</v>
      </c>
      <c r="J45" s="7">
        <f>+J46</f>
        <v>9170</v>
      </c>
    </row>
    <row r="46" spans="1:11" s="10" customFormat="1" ht="35.5">
      <c r="A46" s="351"/>
      <c r="B46" s="351"/>
      <c r="C46" s="115"/>
      <c r="D46" s="371"/>
      <c r="E46" s="354"/>
      <c r="F46" s="19" t="s">
        <v>90</v>
      </c>
      <c r="G46" s="7">
        <f t="shared" si="6"/>
        <v>9170</v>
      </c>
      <c r="H46" s="7">
        <f t="shared" si="6"/>
        <v>9170</v>
      </c>
      <c r="I46" s="92">
        <f t="shared" si="6"/>
        <v>9170</v>
      </c>
      <c r="J46" s="7">
        <f t="shared" si="6"/>
        <v>9170</v>
      </c>
      <c r="K46" s="14"/>
    </row>
    <row r="47" spans="1:11" s="10" customFormat="1" ht="35.5">
      <c r="A47" s="351"/>
      <c r="B47" s="351"/>
      <c r="C47" s="115"/>
      <c r="D47" s="371"/>
      <c r="E47" s="355"/>
      <c r="F47" s="62" t="s">
        <v>91</v>
      </c>
      <c r="G47" s="7">
        <f>+J47</f>
        <v>9170</v>
      </c>
      <c r="H47" s="7">
        <f>+J47</f>
        <v>9170</v>
      </c>
      <c r="I47" s="7">
        <f>+J47</f>
        <v>9170</v>
      </c>
      <c r="J47" s="7">
        <f>+'Հավելված N 5'!G20</f>
        <v>9170</v>
      </c>
      <c r="K47" s="15"/>
    </row>
    <row r="48" spans="1:11" s="10" customFormat="1">
      <c r="A48" s="351"/>
      <c r="B48" s="351"/>
      <c r="C48" s="115"/>
      <c r="D48" s="371"/>
      <c r="E48" s="31">
        <v>32012</v>
      </c>
      <c r="F48" s="23" t="s">
        <v>196</v>
      </c>
      <c r="G48" s="12">
        <f>+G50</f>
        <v>32000</v>
      </c>
      <c r="H48" s="12">
        <f>+H50</f>
        <v>102000</v>
      </c>
      <c r="I48" s="12">
        <f>+I50</f>
        <v>102000</v>
      </c>
      <c r="J48" s="12">
        <f>+J50</f>
        <v>186898.5</v>
      </c>
    </row>
    <row r="49" spans="1:11" s="10" customFormat="1">
      <c r="A49" s="351"/>
      <c r="B49" s="351"/>
      <c r="C49" s="115"/>
      <c r="D49" s="371"/>
      <c r="E49" s="353"/>
      <c r="F49" s="19" t="s">
        <v>16</v>
      </c>
      <c r="G49" s="6"/>
      <c r="H49" s="5"/>
      <c r="I49" s="6"/>
      <c r="J49" s="5"/>
    </row>
    <row r="50" spans="1:11" s="13" customFormat="1" ht="36.549999999999997" customHeight="1">
      <c r="A50" s="351"/>
      <c r="B50" s="351"/>
      <c r="C50" s="115"/>
      <c r="D50" s="371"/>
      <c r="E50" s="354"/>
      <c r="F50" s="22" t="s">
        <v>12</v>
      </c>
      <c r="G50" s="91">
        <f>+G52</f>
        <v>32000</v>
      </c>
      <c r="H50" s="91">
        <f>+H52</f>
        <v>102000</v>
      </c>
      <c r="I50" s="91">
        <f>+I52</f>
        <v>102000</v>
      </c>
      <c r="J50" s="91">
        <f>+J52</f>
        <v>186898.5</v>
      </c>
    </row>
    <row r="51" spans="1:11" s="10" customFormat="1" ht="53.2">
      <c r="A51" s="351"/>
      <c r="B51" s="351"/>
      <c r="C51" s="115"/>
      <c r="D51" s="371"/>
      <c r="E51" s="354"/>
      <c r="F51" s="19" t="s">
        <v>13</v>
      </c>
      <c r="G51" s="7"/>
      <c r="H51" s="5"/>
      <c r="I51" s="92"/>
      <c r="J51" s="5"/>
    </row>
    <row r="52" spans="1:11" s="10" customFormat="1" ht="16.95" customHeight="1">
      <c r="A52" s="351"/>
      <c r="B52" s="351"/>
      <c r="C52" s="115"/>
      <c r="D52" s="371"/>
      <c r="E52" s="354"/>
      <c r="F52" s="30" t="s">
        <v>7</v>
      </c>
      <c r="G52" s="6">
        <f>+G53+G56</f>
        <v>32000</v>
      </c>
      <c r="H52" s="6">
        <f>+H53+H56</f>
        <v>102000</v>
      </c>
      <c r="I52" s="6">
        <f>+I53+I56</f>
        <v>102000</v>
      </c>
      <c r="J52" s="6">
        <f>+J53+J56</f>
        <v>186898.5</v>
      </c>
    </row>
    <row r="53" spans="1:11" s="10" customFormat="1" ht="16.95" customHeight="1">
      <c r="A53" s="351"/>
      <c r="B53" s="351"/>
      <c r="C53" s="115"/>
      <c r="D53" s="371"/>
      <c r="E53" s="354"/>
      <c r="F53" s="19" t="s">
        <v>88</v>
      </c>
      <c r="G53" s="7">
        <f>+G54</f>
        <v>32000</v>
      </c>
      <c r="H53" s="7">
        <f t="shared" ref="H53:J53" si="7">+H54</f>
        <v>102000</v>
      </c>
      <c r="I53" s="7">
        <f t="shared" si="7"/>
        <v>102000</v>
      </c>
      <c r="J53" s="7">
        <f t="shared" si="7"/>
        <v>102000</v>
      </c>
    </row>
    <row r="54" spans="1:11" s="10" customFormat="1">
      <c r="A54" s="351"/>
      <c r="B54" s="351"/>
      <c r="C54" s="115"/>
      <c r="D54" s="371"/>
      <c r="E54" s="354"/>
      <c r="F54" s="139" t="s">
        <v>214</v>
      </c>
      <c r="G54" s="7">
        <f t="shared" ref="G54:J54" si="8">+G55</f>
        <v>32000</v>
      </c>
      <c r="H54" s="7">
        <f t="shared" si="8"/>
        <v>102000</v>
      </c>
      <c r="I54" s="92">
        <f t="shared" si="8"/>
        <v>102000</v>
      </c>
      <c r="J54" s="7">
        <f t="shared" si="8"/>
        <v>102000</v>
      </c>
      <c r="K54" s="14"/>
    </row>
    <row r="55" spans="1:11" s="10" customFormat="1" ht="53.2">
      <c r="A55" s="351"/>
      <c r="B55" s="351"/>
      <c r="C55" s="115"/>
      <c r="D55" s="371"/>
      <c r="E55" s="354"/>
      <c r="F55" s="139" t="s">
        <v>215</v>
      </c>
      <c r="G55" s="7">
        <v>32000</v>
      </c>
      <c r="H55" s="7">
        <f t="shared" ref="H55:J55" si="9">32000+70000</f>
        <v>102000</v>
      </c>
      <c r="I55" s="7">
        <f t="shared" si="9"/>
        <v>102000</v>
      </c>
      <c r="J55" s="7">
        <f t="shared" si="9"/>
        <v>102000</v>
      </c>
      <c r="K55" s="15"/>
    </row>
    <row r="56" spans="1:11" s="10" customFormat="1" ht="16.95" customHeight="1">
      <c r="A56" s="351"/>
      <c r="B56" s="351"/>
      <c r="C56" s="115"/>
      <c r="D56" s="371"/>
      <c r="E56" s="354"/>
      <c r="F56" s="19" t="s">
        <v>61</v>
      </c>
      <c r="G56" s="7">
        <f>+G57</f>
        <v>0</v>
      </c>
      <c r="H56" s="7">
        <f t="shared" ref="H56:J57" si="10">+H57</f>
        <v>0</v>
      </c>
      <c r="I56" s="92">
        <f t="shared" si="10"/>
        <v>0</v>
      </c>
      <c r="J56" s="7">
        <f t="shared" si="10"/>
        <v>84898.5</v>
      </c>
    </row>
    <row r="57" spans="1:11" s="10" customFormat="1">
      <c r="A57" s="351"/>
      <c r="B57" s="351"/>
      <c r="C57" s="115"/>
      <c r="D57" s="371"/>
      <c r="E57" s="354"/>
      <c r="F57" s="19" t="s">
        <v>62</v>
      </c>
      <c r="G57" s="7">
        <f>+G58</f>
        <v>0</v>
      </c>
      <c r="H57" s="7">
        <f t="shared" si="10"/>
        <v>0</v>
      </c>
      <c r="I57" s="7">
        <f t="shared" si="10"/>
        <v>0</v>
      </c>
      <c r="J57" s="7">
        <f t="shared" si="10"/>
        <v>84898.5</v>
      </c>
    </row>
    <row r="58" spans="1:11" s="10" customFormat="1">
      <c r="A58" s="351"/>
      <c r="B58" s="351"/>
      <c r="C58" s="115"/>
      <c r="D58" s="371"/>
      <c r="E58" s="354"/>
      <c r="F58" s="140" t="s">
        <v>63</v>
      </c>
      <c r="G58" s="65">
        <f>+G59</f>
        <v>0</v>
      </c>
      <c r="H58" s="65">
        <f>+H59</f>
        <v>0</v>
      </c>
      <c r="I58" s="24">
        <f>+I59</f>
        <v>0</v>
      </c>
      <c r="J58" s="65">
        <f>+J59</f>
        <v>84898.5</v>
      </c>
      <c r="K58" s="15"/>
    </row>
    <row r="59" spans="1:11" s="10" customFormat="1">
      <c r="A59" s="351"/>
      <c r="B59" s="351"/>
      <c r="C59" s="115"/>
      <c r="D59" s="375"/>
      <c r="E59" s="355"/>
      <c r="F59" s="86" t="s">
        <v>52</v>
      </c>
      <c r="G59" s="65">
        <f>+'Հավելված N 4'!E74</f>
        <v>0</v>
      </c>
      <c r="H59" s="65">
        <f>+'Հավելված N 4'!F74</f>
        <v>0</v>
      </c>
      <c r="I59" s="65">
        <f>+'Հավելված N 4'!G74</f>
        <v>0</v>
      </c>
      <c r="J59" s="65">
        <f>+'Հավելված N 4'!H74</f>
        <v>84898.5</v>
      </c>
      <c r="K59" s="15"/>
    </row>
    <row r="60" spans="1:11" s="10" customFormat="1" ht="33.35">
      <c r="A60" s="374"/>
      <c r="B60" s="374"/>
      <c r="C60" s="372" t="s">
        <v>84</v>
      </c>
      <c r="D60" s="88"/>
      <c r="E60" s="64"/>
      <c r="F60" s="18" t="s">
        <v>70</v>
      </c>
      <c r="G60" s="6">
        <f>+G62</f>
        <v>-13862.600000000006</v>
      </c>
      <c r="H60" s="6">
        <f>+H62</f>
        <v>12790.599999999999</v>
      </c>
      <c r="I60" s="6">
        <f>+I62</f>
        <v>1120.5999999999985</v>
      </c>
      <c r="J60" s="6">
        <f>+J62</f>
        <v>-9170</v>
      </c>
    </row>
    <row r="61" spans="1:11" s="10" customFormat="1" ht="16.95" customHeight="1">
      <c r="A61" s="374"/>
      <c r="B61" s="374"/>
      <c r="C61" s="373"/>
      <c r="D61" s="88"/>
      <c r="E61" s="64"/>
      <c r="F61" s="19" t="s">
        <v>6</v>
      </c>
      <c r="G61" s="6"/>
      <c r="H61" s="11"/>
      <c r="I61" s="6"/>
      <c r="J61" s="11"/>
    </row>
    <row r="62" spans="1:11" s="10" customFormat="1" ht="35.5">
      <c r="A62" s="374"/>
      <c r="B62" s="374"/>
      <c r="C62" s="373"/>
      <c r="D62" s="88"/>
      <c r="E62" s="64"/>
      <c r="F62" s="20" t="s">
        <v>12</v>
      </c>
      <c r="G62" s="6">
        <f>+G64</f>
        <v>-13862.600000000006</v>
      </c>
      <c r="H62" s="11">
        <f>+H64</f>
        <v>12790.599999999999</v>
      </c>
      <c r="I62" s="6">
        <f>+I64</f>
        <v>1120.5999999999985</v>
      </c>
      <c r="J62" s="11">
        <f>+J64</f>
        <v>-9170</v>
      </c>
    </row>
    <row r="63" spans="1:11" s="10" customFormat="1" ht="16.95" customHeight="1">
      <c r="A63" s="374"/>
      <c r="B63" s="374"/>
      <c r="C63" s="373"/>
      <c r="D63" s="89"/>
      <c r="E63" s="90"/>
      <c r="F63" s="19" t="s">
        <v>6</v>
      </c>
      <c r="G63" s="6"/>
      <c r="H63" s="11"/>
      <c r="I63" s="6"/>
      <c r="J63" s="11"/>
    </row>
    <row r="64" spans="1:11" s="10" customFormat="1" ht="18" customHeight="1">
      <c r="A64" s="374"/>
      <c r="B64" s="374"/>
      <c r="C64" s="373"/>
      <c r="D64" s="370">
        <v>1075</v>
      </c>
      <c r="E64" s="361" t="s">
        <v>79</v>
      </c>
      <c r="F64" s="361"/>
      <c r="G64" s="2">
        <f>+G66</f>
        <v>-13862.600000000006</v>
      </c>
      <c r="H64" s="2">
        <f>+H66</f>
        <v>12790.599999999999</v>
      </c>
      <c r="I64" s="2">
        <f>+I66</f>
        <v>1120.5999999999985</v>
      </c>
      <c r="J64" s="2">
        <f>+J66</f>
        <v>-9170</v>
      </c>
    </row>
    <row r="65" spans="1:11" s="10" customFormat="1" ht="16.95" customHeight="1">
      <c r="A65" s="374"/>
      <c r="B65" s="374"/>
      <c r="C65" s="373"/>
      <c r="D65" s="371"/>
      <c r="E65" s="21"/>
      <c r="F65" s="19" t="s">
        <v>6</v>
      </c>
      <c r="G65" s="2"/>
      <c r="H65" s="2"/>
      <c r="I65" s="2"/>
      <c r="J65" s="2"/>
    </row>
    <row r="66" spans="1:11" s="10" customFormat="1" ht="33.35">
      <c r="A66" s="374"/>
      <c r="B66" s="374"/>
      <c r="C66" s="373"/>
      <c r="D66" s="371"/>
      <c r="E66" s="31">
        <v>21001</v>
      </c>
      <c r="F66" s="23" t="s">
        <v>64</v>
      </c>
      <c r="G66" s="12">
        <f>+G68</f>
        <v>-13862.600000000006</v>
      </c>
      <c r="H66" s="12">
        <f>+H68</f>
        <v>12790.599999999999</v>
      </c>
      <c r="I66" s="12">
        <f>+I68</f>
        <v>1120.5999999999985</v>
      </c>
      <c r="J66" s="12">
        <f>+J68</f>
        <v>-9170</v>
      </c>
    </row>
    <row r="67" spans="1:11" s="10" customFormat="1">
      <c r="A67" s="374"/>
      <c r="B67" s="374"/>
      <c r="C67" s="373"/>
      <c r="D67" s="371"/>
      <c r="E67" s="353"/>
      <c r="F67" s="19" t="s">
        <v>16</v>
      </c>
      <c r="G67" s="6"/>
      <c r="H67" s="5"/>
      <c r="I67" s="6"/>
      <c r="J67" s="5"/>
    </row>
    <row r="68" spans="1:11" s="13" customFormat="1" ht="36.549999999999997" customHeight="1">
      <c r="A68" s="374"/>
      <c r="B68" s="374"/>
      <c r="C68" s="373"/>
      <c r="D68" s="371"/>
      <c r="E68" s="354"/>
      <c r="F68" s="22" t="s">
        <v>12</v>
      </c>
      <c r="G68" s="91">
        <f>+G70</f>
        <v>-13862.600000000006</v>
      </c>
      <c r="H68" s="91">
        <f>+H70</f>
        <v>12790.599999999999</v>
      </c>
      <c r="I68" s="91">
        <f>+I70</f>
        <v>1120.5999999999985</v>
      </c>
      <c r="J68" s="91">
        <f>+J70</f>
        <v>-9170</v>
      </c>
    </row>
    <row r="69" spans="1:11" s="10" customFormat="1" ht="53.2">
      <c r="A69" s="374"/>
      <c r="B69" s="374"/>
      <c r="C69" s="373"/>
      <c r="D69" s="371"/>
      <c r="E69" s="354"/>
      <c r="F69" s="19" t="s">
        <v>13</v>
      </c>
      <c r="G69" s="7"/>
      <c r="H69" s="5"/>
      <c r="I69" s="92"/>
      <c r="J69" s="5"/>
    </row>
    <row r="70" spans="1:11" s="10" customFormat="1" ht="16.95" customHeight="1">
      <c r="A70" s="374"/>
      <c r="B70" s="374"/>
      <c r="C70" s="373"/>
      <c r="D70" s="371"/>
      <c r="E70" s="354"/>
      <c r="F70" s="30" t="s">
        <v>7</v>
      </c>
      <c r="G70" s="6">
        <f>+G71+G75</f>
        <v>-13862.600000000006</v>
      </c>
      <c r="H70" s="6">
        <f>+H71+H75</f>
        <v>12790.599999999999</v>
      </c>
      <c r="I70" s="6">
        <f>+I71+I75</f>
        <v>1120.5999999999985</v>
      </c>
      <c r="J70" s="6">
        <f>+J71+J75</f>
        <v>-9170</v>
      </c>
    </row>
    <row r="71" spans="1:11" s="10" customFormat="1" ht="16.95" customHeight="1">
      <c r="A71" s="374"/>
      <c r="B71" s="374"/>
      <c r="C71" s="373"/>
      <c r="D71" s="371"/>
      <c r="E71" s="354"/>
      <c r="F71" s="19" t="s">
        <v>88</v>
      </c>
      <c r="G71" s="7">
        <f>+G72</f>
        <v>49720</v>
      </c>
      <c r="H71" s="7">
        <f t="shared" ref="G71:J73" si="11">+H72</f>
        <v>49720</v>
      </c>
      <c r="I71" s="92">
        <f t="shared" si="11"/>
        <v>49720</v>
      </c>
      <c r="J71" s="7">
        <f t="shared" si="11"/>
        <v>49720</v>
      </c>
    </row>
    <row r="72" spans="1:11" s="10" customFormat="1">
      <c r="A72" s="374"/>
      <c r="B72" s="374"/>
      <c r="C72" s="373"/>
      <c r="D72" s="371"/>
      <c r="E72" s="354"/>
      <c r="F72" s="19" t="s">
        <v>89</v>
      </c>
      <c r="G72" s="7">
        <f>+G73</f>
        <v>49720</v>
      </c>
      <c r="H72" s="7">
        <f>+H73</f>
        <v>49720</v>
      </c>
      <c r="I72" s="92">
        <f>+I73</f>
        <v>49720</v>
      </c>
      <c r="J72" s="7">
        <f>+J73</f>
        <v>49720</v>
      </c>
    </row>
    <row r="73" spans="1:11" s="10" customFormat="1" ht="35.5">
      <c r="A73" s="374"/>
      <c r="B73" s="374"/>
      <c r="C73" s="373"/>
      <c r="D73" s="371"/>
      <c r="E73" s="354"/>
      <c r="F73" s="19" t="s">
        <v>90</v>
      </c>
      <c r="G73" s="7">
        <f t="shared" si="11"/>
        <v>49720</v>
      </c>
      <c r="H73" s="7">
        <f t="shared" si="11"/>
        <v>49720</v>
      </c>
      <c r="I73" s="92">
        <f t="shared" si="11"/>
        <v>49720</v>
      </c>
      <c r="J73" s="7">
        <f t="shared" si="11"/>
        <v>49720</v>
      </c>
      <c r="K73" s="14"/>
    </row>
    <row r="74" spans="1:11" s="10" customFormat="1" ht="35.5">
      <c r="A74" s="374"/>
      <c r="B74" s="374"/>
      <c r="C74" s="373"/>
      <c r="D74" s="371"/>
      <c r="E74" s="354"/>
      <c r="F74" s="62" t="s">
        <v>91</v>
      </c>
      <c r="G74" s="7">
        <f>+J74</f>
        <v>49720</v>
      </c>
      <c r="H74" s="7">
        <f>+J74</f>
        <v>49720</v>
      </c>
      <c r="I74" s="7">
        <f>+J74</f>
        <v>49720</v>
      </c>
      <c r="J74" s="7">
        <f>+'Հավելված N 5'!G12</f>
        <v>49720</v>
      </c>
      <c r="K74" s="15"/>
    </row>
    <row r="75" spans="1:11" s="10" customFormat="1" ht="16.95" customHeight="1">
      <c r="A75" s="374"/>
      <c r="B75" s="374"/>
      <c r="C75" s="373"/>
      <c r="D75" s="371"/>
      <c r="E75" s="354"/>
      <c r="F75" s="19" t="s">
        <v>61</v>
      </c>
      <c r="G75" s="7">
        <f>+G76</f>
        <v>-63582.600000000006</v>
      </c>
      <c r="H75" s="7">
        <f t="shared" ref="H75:J75" si="12">+H76</f>
        <v>-36929.4</v>
      </c>
      <c r="I75" s="92">
        <f t="shared" si="12"/>
        <v>-48599.4</v>
      </c>
      <c r="J75" s="7">
        <f t="shared" si="12"/>
        <v>-58890</v>
      </c>
    </row>
    <row r="76" spans="1:11" s="10" customFormat="1">
      <c r="A76" s="374"/>
      <c r="B76" s="374"/>
      <c r="C76" s="373"/>
      <c r="D76" s="371"/>
      <c r="E76" s="354"/>
      <c r="F76" s="19" t="s">
        <v>62</v>
      </c>
      <c r="G76" s="7">
        <f>+G77+G79</f>
        <v>-63582.600000000006</v>
      </c>
      <c r="H76" s="7">
        <f t="shared" ref="H76:J76" si="13">+H77+H79</f>
        <v>-36929.4</v>
      </c>
      <c r="I76" s="7">
        <f t="shared" si="13"/>
        <v>-48599.4</v>
      </c>
      <c r="J76" s="7">
        <f t="shared" si="13"/>
        <v>-58890</v>
      </c>
    </row>
    <row r="77" spans="1:11" s="10" customFormat="1">
      <c r="A77" s="351"/>
      <c r="B77" s="351"/>
      <c r="C77" s="373"/>
      <c r="D77" s="371"/>
      <c r="E77" s="354"/>
      <c r="F77" s="140" t="s">
        <v>63</v>
      </c>
      <c r="G77" s="65">
        <f>+G78</f>
        <v>-66122.600000000006</v>
      </c>
      <c r="H77" s="65">
        <f>+H78</f>
        <v>-39469.4</v>
      </c>
      <c r="I77" s="24">
        <f>+I78</f>
        <v>-51139.4</v>
      </c>
      <c r="J77" s="65">
        <f>+J78</f>
        <v>-61430</v>
      </c>
      <c r="K77" s="15"/>
    </row>
    <row r="78" spans="1:11" s="10" customFormat="1">
      <c r="A78" s="351"/>
      <c r="B78" s="351"/>
      <c r="C78" s="373"/>
      <c r="D78" s="371"/>
      <c r="E78" s="354"/>
      <c r="F78" s="86" t="s">
        <v>124</v>
      </c>
      <c r="G78" s="65">
        <f>+'Հավելված N 4'!E39</f>
        <v>-66122.600000000006</v>
      </c>
      <c r="H78" s="65">
        <f>+'Հավելված N 4'!F39</f>
        <v>-39469.4</v>
      </c>
      <c r="I78" s="65">
        <f>+'Հավելված N 4'!G39</f>
        <v>-51139.4</v>
      </c>
      <c r="J78" s="65">
        <f>+'Հավելված N 4'!H39</f>
        <v>-61430</v>
      </c>
      <c r="K78" s="15"/>
    </row>
    <row r="79" spans="1:11" s="10" customFormat="1">
      <c r="A79" s="374"/>
      <c r="B79" s="374"/>
      <c r="C79" s="373"/>
      <c r="D79" s="371"/>
      <c r="E79" s="354"/>
      <c r="F79" s="86" t="s">
        <v>86</v>
      </c>
      <c r="G79" s="65">
        <f>+G80</f>
        <v>2540</v>
      </c>
      <c r="H79" s="65">
        <f>+H80</f>
        <v>2540</v>
      </c>
      <c r="I79" s="24">
        <f>+I80</f>
        <v>2540</v>
      </c>
      <c r="J79" s="65">
        <f>+J80</f>
        <v>2540</v>
      </c>
      <c r="K79" s="15"/>
    </row>
    <row r="80" spans="1:11" s="10" customFormat="1">
      <c r="A80" s="374"/>
      <c r="B80" s="374"/>
      <c r="C80" s="373"/>
      <c r="D80" s="371"/>
      <c r="E80" s="355"/>
      <c r="F80" s="86" t="s">
        <v>87</v>
      </c>
      <c r="G80" s="65">
        <f>+'Հավելված N 4'!E54</f>
        <v>2540</v>
      </c>
      <c r="H80" s="65">
        <f>+'Հավելված N 4'!F54</f>
        <v>2540</v>
      </c>
      <c r="I80" s="65">
        <f>+'Հավելված N 4'!G54</f>
        <v>2540</v>
      </c>
      <c r="J80" s="65">
        <f>+'Հավելված N 4'!H54</f>
        <v>2540</v>
      </c>
      <c r="K80" s="15"/>
    </row>
    <row r="81" spans="1:10" s="10" customFormat="1" ht="17.600000000000001" customHeight="1">
      <c r="A81" s="372" t="s">
        <v>105</v>
      </c>
      <c r="B81" s="364"/>
      <c r="C81" s="377"/>
      <c r="D81" s="87"/>
      <c r="E81" s="63"/>
      <c r="F81" s="18" t="s">
        <v>109</v>
      </c>
      <c r="G81" s="2">
        <f>+G83+G128</f>
        <v>-31319.5</v>
      </c>
      <c r="H81" s="2">
        <f t="shared" ref="H81:J81" si="14">+H83+H128</f>
        <v>-60736.399999999994</v>
      </c>
      <c r="I81" s="2">
        <f t="shared" si="14"/>
        <v>64131.499999999985</v>
      </c>
      <c r="J81" s="2">
        <f t="shared" si="14"/>
        <v>74422</v>
      </c>
    </row>
    <row r="82" spans="1:10" s="10" customFormat="1" ht="16.95" customHeight="1">
      <c r="A82" s="373"/>
      <c r="B82" s="364"/>
      <c r="C82" s="379"/>
      <c r="D82" s="88"/>
      <c r="E82" s="64"/>
      <c r="F82" s="19" t="s">
        <v>6</v>
      </c>
      <c r="G82" s="5"/>
      <c r="H82" s="5"/>
      <c r="I82" s="6"/>
      <c r="J82" s="5"/>
    </row>
    <row r="83" spans="1:10" s="10" customFormat="1">
      <c r="A83" s="373"/>
      <c r="B83" s="115" t="s">
        <v>83</v>
      </c>
      <c r="C83" s="142"/>
      <c r="D83" s="141"/>
      <c r="E83" s="64"/>
      <c r="F83" s="120" t="s">
        <v>125</v>
      </c>
      <c r="G83" s="131">
        <f>+G85</f>
        <v>-37667.1</v>
      </c>
      <c r="H83" s="131">
        <f>+H85</f>
        <v>-5939.9</v>
      </c>
      <c r="I83" s="131">
        <f>+I85</f>
        <v>78511.899999999994</v>
      </c>
      <c r="J83" s="131">
        <f>+J85</f>
        <v>67707.599999999991</v>
      </c>
    </row>
    <row r="84" spans="1:10" s="10" customFormat="1" ht="16.95" customHeight="1">
      <c r="A84" s="373"/>
      <c r="B84" s="142"/>
      <c r="C84" s="142"/>
      <c r="D84" s="141"/>
      <c r="E84" s="64"/>
      <c r="F84" s="117" t="s">
        <v>6</v>
      </c>
      <c r="G84" s="131"/>
      <c r="H84" s="131"/>
      <c r="I84" s="131"/>
      <c r="J84" s="131"/>
    </row>
    <row r="85" spans="1:10" s="10" customFormat="1">
      <c r="A85" s="373"/>
      <c r="B85" s="142"/>
      <c r="C85" s="372" t="s">
        <v>107</v>
      </c>
      <c r="D85" s="141"/>
      <c r="E85" s="64"/>
      <c r="F85" s="120" t="s">
        <v>123</v>
      </c>
      <c r="G85" s="131">
        <f>+G87</f>
        <v>-37667.1</v>
      </c>
      <c r="H85" s="131">
        <f>+H87</f>
        <v>-5939.9</v>
      </c>
      <c r="I85" s="131">
        <f>+I87</f>
        <v>78511.899999999994</v>
      </c>
      <c r="J85" s="131">
        <f>+J87</f>
        <v>67707.599999999991</v>
      </c>
    </row>
    <row r="86" spans="1:10" s="10" customFormat="1" ht="16.95" customHeight="1">
      <c r="A86" s="373"/>
      <c r="B86" s="142"/>
      <c r="C86" s="373"/>
      <c r="D86" s="141"/>
      <c r="E86" s="64"/>
      <c r="F86" s="117" t="s">
        <v>6</v>
      </c>
      <c r="G86" s="131"/>
      <c r="H86" s="131"/>
      <c r="I86" s="131"/>
      <c r="J86" s="131"/>
    </row>
    <row r="87" spans="1:10" s="10" customFormat="1" ht="35.5">
      <c r="A87" s="373"/>
      <c r="B87" s="142"/>
      <c r="C87" s="373"/>
      <c r="D87" s="141"/>
      <c r="E87" s="64"/>
      <c r="F87" s="129" t="s">
        <v>12</v>
      </c>
      <c r="G87" s="131">
        <f>+G89+G108</f>
        <v>-37667.1</v>
      </c>
      <c r="H87" s="131">
        <f t="shared" ref="H87:J87" si="15">+H89+H108</f>
        <v>-5939.9</v>
      </c>
      <c r="I87" s="131">
        <f t="shared" si="15"/>
        <v>78511.899999999994</v>
      </c>
      <c r="J87" s="131">
        <f t="shared" si="15"/>
        <v>67707.599999999991</v>
      </c>
    </row>
    <row r="88" spans="1:10" s="10" customFormat="1" ht="16.95" customHeight="1">
      <c r="A88" s="373"/>
      <c r="B88" s="142"/>
      <c r="C88" s="373"/>
      <c r="D88" s="141"/>
      <c r="E88" s="90"/>
      <c r="F88" s="117" t="s">
        <v>6</v>
      </c>
      <c r="G88" s="131"/>
      <c r="H88" s="131"/>
      <c r="I88" s="131"/>
      <c r="J88" s="131"/>
    </row>
    <row r="89" spans="1:10" s="10" customFormat="1" ht="39.4" customHeight="1">
      <c r="A89" s="373"/>
      <c r="B89" s="142"/>
      <c r="C89" s="373"/>
      <c r="D89" s="147">
        <v>1192</v>
      </c>
      <c r="E89" s="356" t="s">
        <v>217</v>
      </c>
      <c r="F89" s="356"/>
      <c r="G89" s="2">
        <f>+G91+G99</f>
        <v>0</v>
      </c>
      <c r="H89" s="2">
        <f t="shared" ref="H89:J89" si="16">+H91+H99</f>
        <v>0</v>
      </c>
      <c r="I89" s="2">
        <f t="shared" si="16"/>
        <v>0</v>
      </c>
      <c r="J89" s="2">
        <f t="shared" si="16"/>
        <v>0</v>
      </c>
    </row>
    <row r="90" spans="1:10" s="10" customFormat="1" ht="16.95" customHeight="1">
      <c r="A90" s="373"/>
      <c r="B90" s="142"/>
      <c r="C90" s="373"/>
      <c r="D90" s="141"/>
      <c r="E90" s="149"/>
      <c r="F90" s="117" t="s">
        <v>6</v>
      </c>
      <c r="G90" s="2"/>
      <c r="H90" s="2"/>
      <c r="I90" s="2"/>
      <c r="J90" s="2"/>
    </row>
    <row r="91" spans="1:10" s="10" customFormat="1" ht="66.650000000000006">
      <c r="A91" s="373"/>
      <c r="B91" s="142"/>
      <c r="C91" s="373"/>
      <c r="D91" s="141"/>
      <c r="E91" s="138">
        <v>11024</v>
      </c>
      <c r="F91" s="122" t="s">
        <v>218</v>
      </c>
      <c r="G91" s="12">
        <f>+G93</f>
        <v>0</v>
      </c>
      <c r="H91" s="12">
        <f t="shared" ref="H91:J91" si="17">+H93</f>
        <v>112092.2</v>
      </c>
      <c r="I91" s="12">
        <f t="shared" si="17"/>
        <v>112092.2</v>
      </c>
      <c r="J91" s="12">
        <f t="shared" si="17"/>
        <v>112092.2</v>
      </c>
    </row>
    <row r="92" spans="1:10" s="10" customFormat="1">
      <c r="A92" s="373"/>
      <c r="B92" s="142"/>
      <c r="C92" s="373"/>
      <c r="D92" s="141"/>
      <c r="E92" s="353"/>
      <c r="F92" s="117" t="s">
        <v>16</v>
      </c>
      <c r="G92" s="6"/>
      <c r="H92" s="5"/>
      <c r="I92" s="6"/>
      <c r="J92" s="5"/>
    </row>
    <row r="93" spans="1:10" s="13" customFormat="1" ht="36.549999999999997" customHeight="1">
      <c r="A93" s="373"/>
      <c r="B93" s="142"/>
      <c r="C93" s="373"/>
      <c r="D93" s="141"/>
      <c r="E93" s="354"/>
      <c r="F93" s="135" t="s">
        <v>12</v>
      </c>
      <c r="G93" s="91">
        <f>+G95</f>
        <v>0</v>
      </c>
      <c r="H93" s="91">
        <f>+H95</f>
        <v>112092.2</v>
      </c>
      <c r="I93" s="91">
        <f>+I95</f>
        <v>112092.2</v>
      </c>
      <c r="J93" s="91">
        <f>+J95</f>
        <v>112092.2</v>
      </c>
    </row>
    <row r="94" spans="1:10" s="10" customFormat="1" ht="53.2">
      <c r="A94" s="373"/>
      <c r="B94" s="142"/>
      <c r="C94" s="373"/>
      <c r="D94" s="141"/>
      <c r="E94" s="354"/>
      <c r="F94" s="117" t="s">
        <v>13</v>
      </c>
      <c r="G94" s="7"/>
      <c r="H94" s="5"/>
      <c r="I94" s="92"/>
      <c r="J94" s="5"/>
    </row>
    <row r="95" spans="1:10" s="10" customFormat="1" ht="16.95" customHeight="1">
      <c r="A95" s="373"/>
      <c r="B95" s="142"/>
      <c r="C95" s="373"/>
      <c r="D95" s="141"/>
      <c r="E95" s="354"/>
      <c r="F95" s="146" t="s">
        <v>7</v>
      </c>
      <c r="G95" s="6">
        <f>G96</f>
        <v>0</v>
      </c>
      <c r="H95" s="6">
        <f>H96</f>
        <v>112092.2</v>
      </c>
      <c r="I95" s="6">
        <f>I96</f>
        <v>112092.2</v>
      </c>
      <c r="J95" s="6">
        <f>J96</f>
        <v>112092.2</v>
      </c>
    </row>
    <row r="96" spans="1:10" s="10" customFormat="1" ht="16.95" customHeight="1">
      <c r="A96" s="373"/>
      <c r="B96" s="142"/>
      <c r="C96" s="373"/>
      <c r="D96" s="141"/>
      <c r="E96" s="354"/>
      <c r="F96" s="117" t="s">
        <v>88</v>
      </c>
      <c r="G96" s="7">
        <f>+G97</f>
        <v>0</v>
      </c>
      <c r="H96" s="7">
        <f t="shared" ref="H96:J97" si="18">+H97</f>
        <v>112092.2</v>
      </c>
      <c r="I96" s="92">
        <f t="shared" si="18"/>
        <v>112092.2</v>
      </c>
      <c r="J96" s="7">
        <f t="shared" si="18"/>
        <v>112092.2</v>
      </c>
    </row>
    <row r="97" spans="1:11" s="10" customFormat="1">
      <c r="A97" s="373"/>
      <c r="B97" s="142"/>
      <c r="C97" s="373"/>
      <c r="D97" s="141"/>
      <c r="E97" s="354"/>
      <c r="F97" s="117" t="s">
        <v>219</v>
      </c>
      <c r="G97" s="7">
        <f>+G98</f>
        <v>0</v>
      </c>
      <c r="H97" s="7">
        <f t="shared" si="18"/>
        <v>112092.2</v>
      </c>
      <c r="I97" s="7">
        <f t="shared" si="18"/>
        <v>112092.2</v>
      </c>
      <c r="J97" s="7">
        <f t="shared" si="18"/>
        <v>112092.2</v>
      </c>
    </row>
    <row r="98" spans="1:11" s="10" customFormat="1">
      <c r="A98" s="373"/>
      <c r="B98" s="142"/>
      <c r="C98" s="373"/>
      <c r="D98" s="141"/>
      <c r="E98" s="354"/>
      <c r="F98" s="275" t="s">
        <v>220</v>
      </c>
      <c r="G98" s="65">
        <v>0</v>
      </c>
      <c r="H98" s="65">
        <v>112092.2</v>
      </c>
      <c r="I98" s="65">
        <v>112092.2</v>
      </c>
      <c r="J98" s="65">
        <v>112092.2</v>
      </c>
      <c r="K98" s="15"/>
    </row>
    <row r="99" spans="1:11" s="10" customFormat="1" ht="33.35">
      <c r="A99" s="373"/>
      <c r="B99" s="142"/>
      <c r="C99" s="373"/>
      <c r="D99" s="141"/>
      <c r="E99" s="138">
        <v>32007</v>
      </c>
      <c r="F99" s="277" t="s">
        <v>212</v>
      </c>
      <c r="G99" s="12">
        <f>+G101</f>
        <v>0</v>
      </c>
      <c r="H99" s="12">
        <f t="shared" ref="H99:J99" si="19">+H101</f>
        <v>-112092.2</v>
      </c>
      <c r="I99" s="12">
        <f t="shared" si="19"/>
        <v>-112092.2</v>
      </c>
      <c r="J99" s="12">
        <f t="shared" si="19"/>
        <v>-112092.2</v>
      </c>
    </row>
    <row r="100" spans="1:11" s="10" customFormat="1">
      <c r="A100" s="373"/>
      <c r="B100" s="142"/>
      <c r="C100" s="373"/>
      <c r="D100" s="141"/>
      <c r="E100" s="353"/>
      <c r="F100" s="117" t="s">
        <v>16</v>
      </c>
      <c r="G100" s="6"/>
      <c r="H100" s="5"/>
      <c r="I100" s="6"/>
      <c r="J100" s="5"/>
    </row>
    <row r="101" spans="1:11" s="13" customFormat="1" ht="36.549999999999997" customHeight="1">
      <c r="A101" s="373"/>
      <c r="B101" s="142"/>
      <c r="C101" s="373"/>
      <c r="D101" s="141"/>
      <c r="E101" s="354"/>
      <c r="F101" s="135" t="s">
        <v>12</v>
      </c>
      <c r="G101" s="91">
        <f>+G103</f>
        <v>0</v>
      </c>
      <c r="H101" s="91">
        <f>+H103</f>
        <v>-112092.2</v>
      </c>
      <c r="I101" s="91">
        <f>+I103</f>
        <v>-112092.2</v>
      </c>
      <c r="J101" s="91">
        <f>+J103</f>
        <v>-112092.2</v>
      </c>
    </row>
    <row r="102" spans="1:11" s="10" customFormat="1" ht="53.2">
      <c r="A102" s="373"/>
      <c r="B102" s="142"/>
      <c r="C102" s="373"/>
      <c r="D102" s="141"/>
      <c r="E102" s="354"/>
      <c r="F102" s="117" t="s">
        <v>13</v>
      </c>
      <c r="G102" s="7"/>
      <c r="H102" s="5"/>
      <c r="I102" s="92"/>
      <c r="J102" s="5"/>
    </row>
    <row r="103" spans="1:11" s="10" customFormat="1" ht="16.95" customHeight="1">
      <c r="A103" s="373"/>
      <c r="B103" s="142"/>
      <c r="C103" s="373"/>
      <c r="D103" s="141"/>
      <c r="E103" s="354"/>
      <c r="F103" s="146" t="s">
        <v>7</v>
      </c>
      <c r="G103" s="6">
        <f>G104</f>
        <v>0</v>
      </c>
      <c r="H103" s="6">
        <f>H104</f>
        <v>-112092.2</v>
      </c>
      <c r="I103" s="6">
        <f>I104</f>
        <v>-112092.2</v>
      </c>
      <c r="J103" s="6">
        <f>J104</f>
        <v>-112092.2</v>
      </c>
    </row>
    <row r="104" spans="1:11" s="10" customFormat="1" ht="16.95" customHeight="1">
      <c r="A104" s="373"/>
      <c r="B104" s="142"/>
      <c r="C104" s="373"/>
      <c r="D104" s="141"/>
      <c r="E104" s="354"/>
      <c r="F104" s="117" t="s">
        <v>221</v>
      </c>
      <c r="G104" s="7">
        <f>+G105</f>
        <v>0</v>
      </c>
      <c r="H104" s="7">
        <f t="shared" ref="H104:J106" si="20">+H105</f>
        <v>-112092.2</v>
      </c>
      <c r="I104" s="92">
        <f t="shared" si="20"/>
        <v>-112092.2</v>
      </c>
      <c r="J104" s="7">
        <f t="shared" si="20"/>
        <v>-112092.2</v>
      </c>
    </row>
    <row r="105" spans="1:11" s="10" customFormat="1">
      <c r="A105" s="373"/>
      <c r="B105" s="142"/>
      <c r="C105" s="373"/>
      <c r="D105" s="141"/>
      <c r="E105" s="354"/>
      <c r="F105" s="117" t="s">
        <v>222</v>
      </c>
      <c r="G105" s="7">
        <f>+G106</f>
        <v>0</v>
      </c>
      <c r="H105" s="7">
        <f t="shared" si="20"/>
        <v>-112092.2</v>
      </c>
      <c r="I105" s="7">
        <f t="shared" si="20"/>
        <v>-112092.2</v>
      </c>
      <c r="J105" s="7">
        <f t="shared" si="20"/>
        <v>-112092.2</v>
      </c>
    </row>
    <row r="106" spans="1:11" s="10" customFormat="1">
      <c r="A106" s="373"/>
      <c r="B106" s="142"/>
      <c r="C106" s="373"/>
      <c r="D106" s="141"/>
      <c r="E106" s="354"/>
      <c r="F106" s="275" t="s">
        <v>223</v>
      </c>
      <c r="G106" s="65">
        <f>+G107</f>
        <v>0</v>
      </c>
      <c r="H106" s="65">
        <f t="shared" si="20"/>
        <v>-112092.2</v>
      </c>
      <c r="I106" s="65">
        <f t="shared" si="20"/>
        <v>-112092.2</v>
      </c>
      <c r="J106" s="65">
        <f t="shared" si="20"/>
        <v>-112092.2</v>
      </c>
      <c r="K106" s="15"/>
    </row>
    <row r="107" spans="1:11" s="10" customFormat="1">
      <c r="A107" s="373"/>
      <c r="B107" s="142"/>
      <c r="C107" s="373"/>
      <c r="D107" s="276"/>
      <c r="E107" s="355"/>
      <c r="F107" s="275" t="s">
        <v>224</v>
      </c>
      <c r="G107" s="65">
        <f>+'Հավելված N 4'!E92</f>
        <v>0</v>
      </c>
      <c r="H107" s="65">
        <f>+'Հավելված N 4'!F92</f>
        <v>-112092.2</v>
      </c>
      <c r="I107" s="65">
        <f>+'Հավելված N 4'!G92</f>
        <v>-112092.2</v>
      </c>
      <c r="J107" s="65">
        <f>+'Հավելված N 4'!H92</f>
        <v>-112092.2</v>
      </c>
      <c r="K107" s="15"/>
    </row>
    <row r="108" spans="1:11" s="10" customFormat="1" ht="39.4" customHeight="1">
      <c r="A108" s="373"/>
      <c r="B108" s="142"/>
      <c r="C108" s="373"/>
      <c r="D108" s="147">
        <v>1236</v>
      </c>
      <c r="E108" s="356" t="s">
        <v>110</v>
      </c>
      <c r="F108" s="356"/>
      <c r="G108" s="2">
        <f>+G110+G119</f>
        <v>-37667.1</v>
      </c>
      <c r="H108" s="2">
        <f t="shared" ref="H108:J108" si="21">+H110+H119</f>
        <v>-5939.9</v>
      </c>
      <c r="I108" s="2">
        <f t="shared" si="21"/>
        <v>78511.899999999994</v>
      </c>
      <c r="J108" s="2">
        <f t="shared" si="21"/>
        <v>67707.599999999991</v>
      </c>
    </row>
    <row r="109" spans="1:11" s="10" customFormat="1" ht="16.95" customHeight="1">
      <c r="A109" s="373"/>
      <c r="B109" s="142"/>
      <c r="C109" s="373"/>
      <c r="D109" s="274"/>
      <c r="E109" s="149"/>
      <c r="F109" s="117" t="s">
        <v>6</v>
      </c>
      <c r="G109" s="2"/>
      <c r="H109" s="2"/>
      <c r="I109" s="2"/>
      <c r="J109" s="2"/>
    </row>
    <row r="110" spans="1:11" s="10" customFormat="1" ht="33.35">
      <c r="A110" s="373"/>
      <c r="B110" s="142"/>
      <c r="C110" s="373"/>
      <c r="D110" s="141"/>
      <c r="E110" s="138">
        <v>32004</v>
      </c>
      <c r="F110" s="122" t="s">
        <v>205</v>
      </c>
      <c r="G110" s="12">
        <f>+G112</f>
        <v>0</v>
      </c>
      <c r="H110" s="12">
        <f t="shared" ref="H110:J110" si="22">+H112</f>
        <v>5703.9</v>
      </c>
      <c r="I110" s="12">
        <f t="shared" si="22"/>
        <v>5703.9</v>
      </c>
      <c r="J110" s="12">
        <f t="shared" si="22"/>
        <v>5703.9</v>
      </c>
    </row>
    <row r="111" spans="1:11" s="10" customFormat="1">
      <c r="A111" s="373"/>
      <c r="B111" s="142"/>
      <c r="C111" s="373"/>
      <c r="D111" s="141"/>
      <c r="E111" s="353"/>
      <c r="F111" s="117" t="s">
        <v>16</v>
      </c>
      <c r="G111" s="6"/>
      <c r="H111" s="5"/>
      <c r="I111" s="6"/>
      <c r="J111" s="5"/>
    </row>
    <row r="112" spans="1:11" s="13" customFormat="1" ht="36.549999999999997" customHeight="1">
      <c r="A112" s="373"/>
      <c r="B112" s="142"/>
      <c r="C112" s="373"/>
      <c r="D112" s="141"/>
      <c r="E112" s="354"/>
      <c r="F112" s="135" t="s">
        <v>12</v>
      </c>
      <c r="G112" s="91">
        <f>+G114</f>
        <v>0</v>
      </c>
      <c r="H112" s="91">
        <f>+H114</f>
        <v>5703.9</v>
      </c>
      <c r="I112" s="91">
        <f>+I114</f>
        <v>5703.9</v>
      </c>
      <c r="J112" s="91">
        <f>+J114</f>
        <v>5703.9</v>
      </c>
    </row>
    <row r="113" spans="1:11" s="10" customFormat="1" ht="53.2">
      <c r="A113" s="373"/>
      <c r="B113" s="142"/>
      <c r="C113" s="373"/>
      <c r="D113" s="141"/>
      <c r="E113" s="354"/>
      <c r="F113" s="117" t="s">
        <v>13</v>
      </c>
      <c r="G113" s="7"/>
      <c r="H113" s="5"/>
      <c r="I113" s="92"/>
      <c r="J113" s="5"/>
    </row>
    <row r="114" spans="1:11" s="10" customFormat="1" ht="16.95" customHeight="1">
      <c r="A114" s="373"/>
      <c r="B114" s="142"/>
      <c r="C114" s="373"/>
      <c r="D114" s="141"/>
      <c r="E114" s="354"/>
      <c r="F114" s="146" t="s">
        <v>7</v>
      </c>
      <c r="G114" s="6">
        <f>G115</f>
        <v>0</v>
      </c>
      <c r="H114" s="6">
        <f>H115</f>
        <v>5703.9</v>
      </c>
      <c r="I114" s="6">
        <f>I115</f>
        <v>5703.9</v>
      </c>
      <c r="J114" s="6">
        <f>J115</f>
        <v>5703.9</v>
      </c>
    </row>
    <row r="115" spans="1:11" s="10" customFormat="1" ht="16.95" customHeight="1">
      <c r="A115" s="373"/>
      <c r="B115" s="142"/>
      <c r="C115" s="373"/>
      <c r="D115" s="141"/>
      <c r="E115" s="354"/>
      <c r="F115" s="117" t="s">
        <v>61</v>
      </c>
      <c r="G115" s="7">
        <f>+G116</f>
        <v>0</v>
      </c>
      <c r="H115" s="7">
        <f t="shared" ref="H115:J117" si="23">+H116</f>
        <v>5703.9</v>
      </c>
      <c r="I115" s="92">
        <f t="shared" si="23"/>
        <v>5703.9</v>
      </c>
      <c r="J115" s="7">
        <f t="shared" si="23"/>
        <v>5703.9</v>
      </c>
    </row>
    <row r="116" spans="1:11" s="10" customFormat="1">
      <c r="A116" s="373"/>
      <c r="B116" s="142"/>
      <c r="C116" s="373"/>
      <c r="D116" s="141"/>
      <c r="E116" s="354"/>
      <c r="F116" s="117" t="s">
        <v>62</v>
      </c>
      <c r="G116" s="7">
        <f>+G117</f>
        <v>0</v>
      </c>
      <c r="H116" s="7">
        <f t="shared" si="23"/>
        <v>5703.9</v>
      </c>
      <c r="I116" s="7">
        <f t="shared" si="23"/>
        <v>5703.9</v>
      </c>
      <c r="J116" s="7">
        <f t="shared" si="23"/>
        <v>5703.9</v>
      </c>
    </row>
    <row r="117" spans="1:11" s="10" customFormat="1">
      <c r="A117" s="373"/>
      <c r="B117" s="142"/>
      <c r="C117" s="373"/>
      <c r="D117" s="141"/>
      <c r="E117" s="354"/>
      <c r="F117" s="275" t="s">
        <v>63</v>
      </c>
      <c r="G117" s="65">
        <f>+G118</f>
        <v>0</v>
      </c>
      <c r="H117" s="65">
        <f t="shared" si="23"/>
        <v>5703.9</v>
      </c>
      <c r="I117" s="65">
        <f t="shared" si="23"/>
        <v>5703.9</v>
      </c>
      <c r="J117" s="65">
        <f t="shared" si="23"/>
        <v>5703.9</v>
      </c>
      <c r="K117" s="15"/>
    </row>
    <row r="118" spans="1:11" s="10" customFormat="1">
      <c r="A118" s="373"/>
      <c r="B118" s="142"/>
      <c r="C118" s="373"/>
      <c r="D118" s="141"/>
      <c r="E118" s="355"/>
      <c r="F118" s="275" t="s">
        <v>124</v>
      </c>
      <c r="G118" s="65">
        <f>+'Հավելված N 4'!E95</f>
        <v>0</v>
      </c>
      <c r="H118" s="65">
        <f>+'Հավելված N 4'!F95</f>
        <v>5703.9</v>
      </c>
      <c r="I118" s="65">
        <f>+'Հավելված N 4'!G95</f>
        <v>5703.9</v>
      </c>
      <c r="J118" s="65">
        <f>+'Հավելված N 4'!H95</f>
        <v>5703.9</v>
      </c>
      <c r="K118" s="15"/>
    </row>
    <row r="119" spans="1:11" s="10" customFormat="1" ht="50">
      <c r="A119" s="373"/>
      <c r="B119" s="142"/>
      <c r="C119" s="373"/>
      <c r="D119" s="141"/>
      <c r="E119" s="138">
        <v>32006</v>
      </c>
      <c r="F119" s="122" t="s">
        <v>216</v>
      </c>
      <c r="G119" s="12">
        <f>+G121</f>
        <v>-37667.1</v>
      </c>
      <c r="H119" s="12">
        <f t="shared" ref="H119:J119" si="24">+H121</f>
        <v>-11643.8</v>
      </c>
      <c r="I119" s="12">
        <f t="shared" si="24"/>
        <v>72808</v>
      </c>
      <c r="J119" s="12">
        <f t="shared" si="24"/>
        <v>62003.7</v>
      </c>
    </row>
    <row r="120" spans="1:11" s="10" customFormat="1">
      <c r="A120" s="373"/>
      <c r="B120" s="142"/>
      <c r="C120" s="373"/>
      <c r="D120" s="141"/>
      <c r="E120" s="353"/>
      <c r="F120" s="117" t="s">
        <v>16</v>
      </c>
      <c r="G120" s="6"/>
      <c r="H120" s="5"/>
      <c r="I120" s="6"/>
      <c r="J120" s="5"/>
    </row>
    <row r="121" spans="1:11" s="13" customFormat="1" ht="36.549999999999997" customHeight="1">
      <c r="A121" s="373"/>
      <c r="B121" s="142"/>
      <c r="C121" s="373"/>
      <c r="D121" s="141"/>
      <c r="E121" s="354"/>
      <c r="F121" s="135" t="s">
        <v>12</v>
      </c>
      <c r="G121" s="91">
        <f>+G123</f>
        <v>-37667.1</v>
      </c>
      <c r="H121" s="91">
        <f>+H123</f>
        <v>-11643.8</v>
      </c>
      <c r="I121" s="91">
        <f>+I123</f>
        <v>72808</v>
      </c>
      <c r="J121" s="91">
        <f>+J123</f>
        <v>62003.7</v>
      </c>
    </row>
    <row r="122" spans="1:11" s="10" customFormat="1" ht="53.2">
      <c r="A122" s="373"/>
      <c r="B122" s="142"/>
      <c r="C122" s="373"/>
      <c r="D122" s="141"/>
      <c r="E122" s="354"/>
      <c r="F122" s="117" t="s">
        <v>13</v>
      </c>
      <c r="G122" s="7"/>
      <c r="H122" s="5"/>
      <c r="I122" s="92"/>
      <c r="J122" s="5"/>
    </row>
    <row r="123" spans="1:11" s="10" customFormat="1" ht="16.95" customHeight="1">
      <c r="A123" s="373"/>
      <c r="B123" s="142"/>
      <c r="C123" s="373"/>
      <c r="D123" s="141"/>
      <c r="E123" s="354"/>
      <c r="F123" s="146" t="s">
        <v>7</v>
      </c>
      <c r="G123" s="6">
        <f>G124</f>
        <v>-37667.1</v>
      </c>
      <c r="H123" s="6">
        <f>H124</f>
        <v>-11643.8</v>
      </c>
      <c r="I123" s="6">
        <f>I124</f>
        <v>72808</v>
      </c>
      <c r="J123" s="6">
        <f>J124</f>
        <v>62003.7</v>
      </c>
    </row>
    <row r="124" spans="1:11" s="10" customFormat="1" ht="16.95" customHeight="1">
      <c r="A124" s="373"/>
      <c r="B124" s="142"/>
      <c r="C124" s="373"/>
      <c r="D124" s="141"/>
      <c r="E124" s="354"/>
      <c r="F124" s="117" t="s">
        <v>221</v>
      </c>
      <c r="G124" s="7">
        <f>+G125</f>
        <v>-37667.1</v>
      </c>
      <c r="H124" s="7">
        <f t="shared" ref="H124:J126" si="25">+H125</f>
        <v>-11643.8</v>
      </c>
      <c r="I124" s="92">
        <f t="shared" si="25"/>
        <v>72808</v>
      </c>
      <c r="J124" s="7">
        <f t="shared" si="25"/>
        <v>62003.7</v>
      </c>
    </row>
    <row r="125" spans="1:11" s="10" customFormat="1">
      <c r="A125" s="373"/>
      <c r="B125" s="142"/>
      <c r="C125" s="373"/>
      <c r="D125" s="141"/>
      <c r="E125" s="354"/>
      <c r="F125" s="117" t="s">
        <v>222</v>
      </c>
      <c r="G125" s="7">
        <f>+G126</f>
        <v>-37667.1</v>
      </c>
      <c r="H125" s="7">
        <f t="shared" si="25"/>
        <v>-11643.8</v>
      </c>
      <c r="I125" s="7">
        <f t="shared" si="25"/>
        <v>72808</v>
      </c>
      <c r="J125" s="7">
        <f t="shared" si="25"/>
        <v>62003.7</v>
      </c>
    </row>
    <row r="126" spans="1:11" s="10" customFormat="1">
      <c r="A126" s="373"/>
      <c r="B126" s="142"/>
      <c r="C126" s="373"/>
      <c r="D126" s="141"/>
      <c r="E126" s="354"/>
      <c r="F126" s="275" t="s">
        <v>223</v>
      </c>
      <c r="G126" s="65">
        <f>+G127</f>
        <v>-37667.1</v>
      </c>
      <c r="H126" s="65">
        <f t="shared" si="25"/>
        <v>-11643.8</v>
      </c>
      <c r="I126" s="65">
        <f t="shared" si="25"/>
        <v>72808</v>
      </c>
      <c r="J126" s="65">
        <f t="shared" si="25"/>
        <v>62003.7</v>
      </c>
      <c r="K126" s="15"/>
    </row>
    <row r="127" spans="1:11" s="10" customFormat="1">
      <c r="A127" s="373"/>
      <c r="B127" s="142"/>
      <c r="C127" s="376"/>
      <c r="D127" s="276"/>
      <c r="E127" s="355"/>
      <c r="F127" s="275" t="s">
        <v>224</v>
      </c>
      <c r="G127" s="65">
        <f>+'Հավելված N 4'!E101</f>
        <v>-37667.1</v>
      </c>
      <c r="H127" s="65">
        <f>+'Հավելված N 4'!F101</f>
        <v>-11643.8</v>
      </c>
      <c r="I127" s="65">
        <f>+'Հավելված N 4'!G101</f>
        <v>72808</v>
      </c>
      <c r="J127" s="65">
        <f>+'Հավելված N 4'!H101</f>
        <v>62003.7</v>
      </c>
      <c r="K127" s="15"/>
    </row>
    <row r="128" spans="1:11" s="10" customFormat="1">
      <c r="A128" s="373"/>
      <c r="B128" s="372" t="s">
        <v>106</v>
      </c>
      <c r="C128" s="377"/>
      <c r="D128" s="88"/>
      <c r="E128" s="64"/>
      <c r="F128" s="126" t="s">
        <v>108</v>
      </c>
      <c r="G128" s="6">
        <f>+G130</f>
        <v>6347.6</v>
      </c>
      <c r="H128" s="6">
        <f>+H130</f>
        <v>-54796.499999999993</v>
      </c>
      <c r="I128" s="6">
        <f>+I130</f>
        <v>-14380.400000000009</v>
      </c>
      <c r="J128" s="6">
        <f>+J130</f>
        <v>6714.4000000000087</v>
      </c>
    </row>
    <row r="129" spans="1:11" s="10" customFormat="1" ht="16.95" customHeight="1">
      <c r="A129" s="373"/>
      <c r="B129" s="373"/>
      <c r="C129" s="378"/>
      <c r="D129" s="88"/>
      <c r="E129" s="64"/>
      <c r="F129" s="19" t="s">
        <v>6</v>
      </c>
      <c r="G129" s="6"/>
      <c r="H129" s="5"/>
      <c r="I129" s="6"/>
      <c r="J129" s="5"/>
    </row>
    <row r="130" spans="1:11" s="10" customFormat="1">
      <c r="A130" s="373"/>
      <c r="B130" s="373"/>
      <c r="C130" s="372" t="s">
        <v>107</v>
      </c>
      <c r="D130" s="88"/>
      <c r="E130" s="64"/>
      <c r="F130" s="18" t="s">
        <v>108</v>
      </c>
      <c r="G130" s="6">
        <f>+G132</f>
        <v>6347.6</v>
      </c>
      <c r="H130" s="6">
        <f>+H132</f>
        <v>-54796.499999999993</v>
      </c>
      <c r="I130" s="6">
        <f>+I132</f>
        <v>-14380.400000000009</v>
      </c>
      <c r="J130" s="6">
        <f>+J132</f>
        <v>6714.4000000000087</v>
      </c>
    </row>
    <row r="131" spans="1:11" s="10" customFormat="1" ht="16.95" customHeight="1">
      <c r="A131" s="373"/>
      <c r="B131" s="373"/>
      <c r="C131" s="373"/>
      <c r="D131" s="88"/>
      <c r="E131" s="64"/>
      <c r="F131" s="19" t="s">
        <v>6</v>
      </c>
      <c r="G131" s="6"/>
      <c r="H131" s="11"/>
      <c r="I131" s="6"/>
      <c r="J131" s="11"/>
    </row>
    <row r="132" spans="1:11" s="10" customFormat="1" ht="35.5">
      <c r="A132" s="373"/>
      <c r="B132" s="373"/>
      <c r="C132" s="373"/>
      <c r="D132" s="88"/>
      <c r="E132" s="64"/>
      <c r="F132" s="20" t="s">
        <v>12</v>
      </c>
      <c r="G132" s="6">
        <f>+G134+G156</f>
        <v>6347.6</v>
      </c>
      <c r="H132" s="6">
        <f t="shared" ref="H132:J132" si="26">+H134+H156</f>
        <v>-54796.499999999993</v>
      </c>
      <c r="I132" s="6">
        <f t="shared" si="26"/>
        <v>-14380.400000000009</v>
      </c>
      <c r="J132" s="6">
        <f t="shared" si="26"/>
        <v>6714.4000000000087</v>
      </c>
    </row>
    <row r="133" spans="1:11" s="10" customFormat="1" ht="16.95" customHeight="1">
      <c r="A133" s="373"/>
      <c r="B133" s="373"/>
      <c r="C133" s="373"/>
      <c r="D133" s="89"/>
      <c r="E133" s="90"/>
      <c r="F133" s="19" t="s">
        <v>6</v>
      </c>
      <c r="G133" s="6"/>
      <c r="H133" s="6"/>
      <c r="I133" s="6"/>
      <c r="J133" s="6"/>
    </row>
    <row r="134" spans="1:11" s="10" customFormat="1">
      <c r="A134" s="373"/>
      <c r="B134" s="373"/>
      <c r="C134" s="373"/>
      <c r="D134" s="147">
        <v>1045</v>
      </c>
      <c r="E134" s="361" t="s">
        <v>226</v>
      </c>
      <c r="F134" s="361"/>
      <c r="G134" s="2">
        <f>+G136+G147</f>
        <v>4937</v>
      </c>
      <c r="H134" s="2">
        <f t="shared" ref="H134:J134" si="27">+H136+H147</f>
        <v>-56207.099999999991</v>
      </c>
      <c r="I134" s="2">
        <f t="shared" si="27"/>
        <v>-31203.000000000007</v>
      </c>
      <c r="J134" s="2">
        <f t="shared" si="27"/>
        <v>-10108.19999999999</v>
      </c>
    </row>
    <row r="135" spans="1:11" s="10" customFormat="1" ht="16.95" customHeight="1">
      <c r="A135" s="373"/>
      <c r="B135" s="373"/>
      <c r="C135" s="373"/>
      <c r="D135" s="274"/>
      <c r="E135" s="21"/>
      <c r="F135" s="19" t="s">
        <v>6</v>
      </c>
      <c r="G135" s="2"/>
      <c r="H135" s="2"/>
      <c r="I135" s="2"/>
      <c r="J135" s="2"/>
    </row>
    <row r="136" spans="1:11" s="10" customFormat="1" ht="33.35">
      <c r="A136" s="373"/>
      <c r="B136" s="373"/>
      <c r="C136" s="373"/>
      <c r="D136" s="141"/>
      <c r="E136" s="31">
        <v>32001</v>
      </c>
      <c r="F136" s="23" t="s">
        <v>171</v>
      </c>
      <c r="G136" s="12">
        <f>+G138</f>
        <v>4937</v>
      </c>
      <c r="H136" s="12">
        <f>+H138</f>
        <v>-56207.099999999991</v>
      </c>
      <c r="I136" s="12">
        <f>+I138</f>
        <v>-31203.000000000007</v>
      </c>
      <c r="J136" s="12">
        <f>+J138</f>
        <v>-50850.299999999988</v>
      </c>
    </row>
    <row r="137" spans="1:11" s="10" customFormat="1">
      <c r="A137" s="373"/>
      <c r="B137" s="373"/>
      <c r="C137" s="373"/>
      <c r="D137" s="141"/>
      <c r="E137" s="358"/>
      <c r="F137" s="19" t="s">
        <v>16</v>
      </c>
      <c r="G137" s="6"/>
      <c r="H137" s="5"/>
      <c r="I137" s="6"/>
      <c r="J137" s="5"/>
    </row>
    <row r="138" spans="1:11" s="13" customFormat="1" ht="36.549999999999997" customHeight="1">
      <c r="A138" s="373"/>
      <c r="B138" s="373"/>
      <c r="C138" s="373"/>
      <c r="D138" s="141"/>
      <c r="E138" s="359"/>
      <c r="F138" s="22" t="s">
        <v>12</v>
      </c>
      <c r="G138" s="91">
        <f>+G140</f>
        <v>4937</v>
      </c>
      <c r="H138" s="91">
        <f>+H140</f>
        <v>-56207.099999999991</v>
      </c>
      <c r="I138" s="91">
        <f>+I140</f>
        <v>-31203.000000000007</v>
      </c>
      <c r="J138" s="91">
        <f>+J140</f>
        <v>-50850.299999999988</v>
      </c>
    </row>
    <row r="139" spans="1:11" s="10" customFormat="1" ht="53.2">
      <c r="A139" s="373"/>
      <c r="B139" s="373"/>
      <c r="C139" s="373"/>
      <c r="D139" s="141"/>
      <c r="E139" s="359"/>
      <c r="F139" s="19" t="s">
        <v>13</v>
      </c>
      <c r="G139" s="7"/>
      <c r="H139" s="5"/>
      <c r="I139" s="92"/>
      <c r="J139" s="5"/>
    </row>
    <row r="140" spans="1:11" s="10" customFormat="1" ht="16.95" customHeight="1">
      <c r="A140" s="373"/>
      <c r="B140" s="373"/>
      <c r="C140" s="373"/>
      <c r="D140" s="141"/>
      <c r="E140" s="359"/>
      <c r="F140" s="30" t="s">
        <v>7</v>
      </c>
      <c r="G140" s="6">
        <f>G141</f>
        <v>4937</v>
      </c>
      <c r="H140" s="6">
        <f>H141</f>
        <v>-56207.099999999991</v>
      </c>
      <c r="I140" s="6">
        <f>I141</f>
        <v>-31203.000000000007</v>
      </c>
      <c r="J140" s="6">
        <f>J141</f>
        <v>-50850.299999999988</v>
      </c>
    </row>
    <row r="141" spans="1:11" s="10" customFormat="1" ht="16.95" customHeight="1">
      <c r="A141" s="373"/>
      <c r="B141" s="373"/>
      <c r="C141" s="373"/>
      <c r="D141" s="141"/>
      <c r="E141" s="359"/>
      <c r="F141" s="117" t="s">
        <v>61</v>
      </c>
      <c r="G141" s="7">
        <f>+G142</f>
        <v>4937</v>
      </c>
      <c r="H141" s="7">
        <f t="shared" ref="H141:J145" si="28">+H142</f>
        <v>-56207.099999999991</v>
      </c>
      <c r="I141" s="92">
        <f t="shared" si="28"/>
        <v>-31203.000000000007</v>
      </c>
      <c r="J141" s="7">
        <f t="shared" si="28"/>
        <v>-50850.299999999988</v>
      </c>
    </row>
    <row r="142" spans="1:11" s="10" customFormat="1">
      <c r="A142" s="373"/>
      <c r="B142" s="373"/>
      <c r="C142" s="373"/>
      <c r="D142" s="141"/>
      <c r="E142" s="359"/>
      <c r="F142" s="117" t="s">
        <v>62</v>
      </c>
      <c r="G142" s="7">
        <f>+G143+G145</f>
        <v>4937</v>
      </c>
      <c r="H142" s="7">
        <f t="shared" ref="H142:J142" si="29">+H143+H145</f>
        <v>-56207.099999999991</v>
      </c>
      <c r="I142" s="7">
        <f t="shared" si="29"/>
        <v>-31203.000000000007</v>
      </c>
      <c r="J142" s="7">
        <f t="shared" si="29"/>
        <v>-50850.299999999988</v>
      </c>
    </row>
    <row r="143" spans="1:11" s="10" customFormat="1">
      <c r="A143" s="373"/>
      <c r="B143" s="373"/>
      <c r="C143" s="373"/>
      <c r="D143" s="141"/>
      <c r="E143" s="359"/>
      <c r="F143" s="275" t="s">
        <v>63</v>
      </c>
      <c r="G143" s="65">
        <f>+G144</f>
        <v>0</v>
      </c>
      <c r="H143" s="65">
        <f t="shared" si="28"/>
        <v>-77976.799999999988</v>
      </c>
      <c r="I143" s="24">
        <f t="shared" si="28"/>
        <v>-37478.100000000006</v>
      </c>
      <c r="J143" s="65">
        <f t="shared" si="28"/>
        <v>-68568.799999999988</v>
      </c>
      <c r="K143" s="15"/>
    </row>
    <row r="144" spans="1:11" s="10" customFormat="1">
      <c r="A144" s="373"/>
      <c r="B144" s="373"/>
      <c r="C144" s="373"/>
      <c r="D144" s="141"/>
      <c r="E144" s="359"/>
      <c r="F144" s="275" t="s">
        <v>124</v>
      </c>
      <c r="G144" s="65">
        <f>+'Հավելված N 4'!E18-187+'Հավելված N 4'!E20-4750+'Հավելված N 4'!E26</f>
        <v>0</v>
      </c>
      <c r="H144" s="65">
        <f>+'Հավելված N 4'!F18-187+'Հավելված N 4'!F20-4750+'Հավելված N 4'!F26-15290.4</f>
        <v>-77976.799999999988</v>
      </c>
      <c r="I144" s="65">
        <f>+'Հավելված N 4'!G18-187+'Հավելված N 4'!G20-4750+'Հավելված N 4'!G26-15290.4</f>
        <v>-37478.100000000006</v>
      </c>
      <c r="J144" s="65">
        <f>+'Հավելված N 4'!H18-187+'Հավելված N 4'!H20-4750+'Հավելված N 4'!H26-15290.4</f>
        <v>-68568.799999999988</v>
      </c>
      <c r="K144" s="15"/>
    </row>
    <row r="145" spans="1:11" s="10" customFormat="1">
      <c r="A145" s="373"/>
      <c r="B145" s="373"/>
      <c r="C145" s="373"/>
      <c r="D145" s="141"/>
      <c r="E145" s="359"/>
      <c r="F145" s="275" t="s">
        <v>111</v>
      </c>
      <c r="G145" s="65">
        <f>+G146</f>
        <v>4937</v>
      </c>
      <c r="H145" s="65">
        <f t="shared" si="28"/>
        <v>21769.7</v>
      </c>
      <c r="I145" s="24">
        <f t="shared" si="28"/>
        <v>6275.1</v>
      </c>
      <c r="J145" s="65">
        <f t="shared" si="28"/>
        <v>17718.5</v>
      </c>
      <c r="K145" s="15"/>
    </row>
    <row r="146" spans="1:11" s="10" customFormat="1">
      <c r="A146" s="373"/>
      <c r="B146" s="373"/>
      <c r="C146" s="373"/>
      <c r="D146" s="141"/>
      <c r="E146" s="360"/>
      <c r="F146" s="275" t="s">
        <v>87</v>
      </c>
      <c r="G146" s="65">
        <f>187+'Հավելված N 4'!E19+4750+'Հավելված N 4'!E21+'Հավելված N 4'!E23+'Հավելված N 4'!E25+'Հավելված N 4'!E26+'Հավելված N 4'!E28</f>
        <v>4937</v>
      </c>
      <c r="H146" s="65">
        <f>187+'Հավելված N 4'!F19+4750+'Հավելված N 4'!F21+'Հավելված N 4'!F23+'Հավելված N 4'!F25+'Հավելված N 4'!F26+31340.6+'Հավելված N 4'!F28</f>
        <v>21769.7</v>
      </c>
      <c r="I146" s="65">
        <f>187+'Հավելված N 4'!G19+4750+'Հավելված N 4'!G21+'Հավելված N 4'!G23+'Հավելված N 4'!G25+'Հավելված N 4'!G26+'Հավելված N 4'!G28</f>
        <v>6275.1</v>
      </c>
      <c r="J146" s="65">
        <f>187+'Հավելված N 4'!H19+4750+'Հավելված N 4'!H21+'Հավելված N 4'!H23+'Հավելված N 4'!H25+'Հավելված N 4'!H26+'Հավելված N 4'!H28</f>
        <v>17718.5</v>
      </c>
      <c r="K146" s="15"/>
    </row>
    <row r="147" spans="1:11" s="10" customFormat="1" ht="33.35">
      <c r="A147" s="373"/>
      <c r="B147" s="373"/>
      <c r="C147" s="373"/>
      <c r="D147" s="141"/>
      <c r="E147" s="31">
        <v>32005</v>
      </c>
      <c r="F147" s="179" t="s">
        <v>172</v>
      </c>
      <c r="G147" s="12">
        <f>+G149</f>
        <v>0</v>
      </c>
      <c r="H147" s="12">
        <f>+H149</f>
        <v>0</v>
      </c>
      <c r="I147" s="12">
        <f>+I149</f>
        <v>0</v>
      </c>
      <c r="J147" s="12">
        <f>+J149</f>
        <v>40742.1</v>
      </c>
    </row>
    <row r="148" spans="1:11" s="10" customFormat="1">
      <c r="A148" s="373"/>
      <c r="B148" s="373"/>
      <c r="C148" s="373"/>
      <c r="D148" s="141"/>
      <c r="E148" s="358"/>
      <c r="F148" s="19" t="s">
        <v>16</v>
      </c>
      <c r="G148" s="6"/>
      <c r="H148" s="5"/>
      <c r="I148" s="6"/>
      <c r="J148" s="5"/>
    </row>
    <row r="149" spans="1:11" s="13" customFormat="1" ht="36.549999999999997" customHeight="1">
      <c r="A149" s="373"/>
      <c r="B149" s="373"/>
      <c r="C149" s="373"/>
      <c r="D149" s="141"/>
      <c r="E149" s="359"/>
      <c r="F149" s="22" t="s">
        <v>12</v>
      </c>
      <c r="G149" s="91">
        <f>+G151</f>
        <v>0</v>
      </c>
      <c r="H149" s="91">
        <f>+H151</f>
        <v>0</v>
      </c>
      <c r="I149" s="91">
        <f>+I151</f>
        <v>0</v>
      </c>
      <c r="J149" s="91">
        <f>+J151</f>
        <v>40742.1</v>
      </c>
    </row>
    <row r="150" spans="1:11" s="10" customFormat="1" ht="53.2">
      <c r="A150" s="373"/>
      <c r="B150" s="373"/>
      <c r="C150" s="373"/>
      <c r="D150" s="141"/>
      <c r="E150" s="359"/>
      <c r="F150" s="19" t="s">
        <v>13</v>
      </c>
      <c r="G150" s="7"/>
      <c r="H150" s="5"/>
      <c r="I150" s="92"/>
      <c r="J150" s="5"/>
    </row>
    <row r="151" spans="1:11" s="10" customFormat="1" ht="16.95" customHeight="1">
      <c r="A151" s="373"/>
      <c r="B151" s="373"/>
      <c r="C151" s="373"/>
      <c r="D151" s="141"/>
      <c r="E151" s="359"/>
      <c r="F151" s="30" t="s">
        <v>7</v>
      </c>
      <c r="G151" s="6">
        <f>G152</f>
        <v>0</v>
      </c>
      <c r="H151" s="6">
        <f>H152</f>
        <v>0</v>
      </c>
      <c r="I151" s="6">
        <f>I152</f>
        <v>0</v>
      </c>
      <c r="J151" s="6">
        <f>J152</f>
        <v>40742.1</v>
      </c>
    </row>
    <row r="152" spans="1:11" s="10" customFormat="1" ht="16.95" customHeight="1">
      <c r="A152" s="373"/>
      <c r="B152" s="373"/>
      <c r="C152" s="373"/>
      <c r="D152" s="141"/>
      <c r="E152" s="359"/>
      <c r="F152" s="117" t="s">
        <v>61</v>
      </c>
      <c r="G152" s="7">
        <f>+G153</f>
        <v>0</v>
      </c>
      <c r="H152" s="7">
        <f t="shared" ref="H152:J154" si="30">+H153</f>
        <v>0</v>
      </c>
      <c r="I152" s="92">
        <f t="shared" si="30"/>
        <v>0</v>
      </c>
      <c r="J152" s="7">
        <f t="shared" si="30"/>
        <v>40742.1</v>
      </c>
    </row>
    <row r="153" spans="1:11" s="10" customFormat="1">
      <c r="A153" s="373"/>
      <c r="B153" s="373"/>
      <c r="C153" s="373"/>
      <c r="D153" s="141"/>
      <c r="E153" s="359"/>
      <c r="F153" s="117" t="s">
        <v>62</v>
      </c>
      <c r="G153" s="7">
        <f>+G154</f>
        <v>0</v>
      </c>
      <c r="H153" s="7">
        <f t="shared" si="30"/>
        <v>0</v>
      </c>
      <c r="I153" s="7">
        <f t="shared" si="30"/>
        <v>0</v>
      </c>
      <c r="J153" s="7">
        <f t="shared" si="30"/>
        <v>40742.1</v>
      </c>
    </row>
    <row r="154" spans="1:11" s="10" customFormat="1">
      <c r="A154" s="373"/>
      <c r="B154" s="373"/>
      <c r="C154" s="373"/>
      <c r="D154" s="141"/>
      <c r="E154" s="359"/>
      <c r="F154" s="275" t="s">
        <v>111</v>
      </c>
      <c r="G154" s="65">
        <f>+G155</f>
        <v>0</v>
      </c>
      <c r="H154" s="65">
        <f t="shared" si="30"/>
        <v>0</v>
      </c>
      <c r="I154" s="24">
        <f t="shared" si="30"/>
        <v>0</v>
      </c>
      <c r="J154" s="65">
        <f t="shared" si="30"/>
        <v>40742.1</v>
      </c>
      <c r="K154" s="15"/>
    </row>
    <row r="155" spans="1:11" s="10" customFormat="1">
      <c r="A155" s="373"/>
      <c r="B155" s="373"/>
      <c r="C155" s="373"/>
      <c r="D155" s="276"/>
      <c r="E155" s="360"/>
      <c r="F155" s="275" t="s">
        <v>87</v>
      </c>
      <c r="G155" s="65">
        <f>+'Հավելված N 4'!E29</f>
        <v>0</v>
      </c>
      <c r="H155" s="65">
        <f>+'Հավելված N 4'!F29</f>
        <v>0</v>
      </c>
      <c r="I155" s="65">
        <f>+'Հավելված N 4'!G29</f>
        <v>0</v>
      </c>
      <c r="J155" s="65">
        <f>+'Հավելված N 4'!H29</f>
        <v>40742.1</v>
      </c>
      <c r="K155" s="15"/>
    </row>
    <row r="156" spans="1:11" s="10" customFormat="1">
      <c r="A156" s="373"/>
      <c r="B156" s="373"/>
      <c r="C156" s="373"/>
      <c r="D156" s="370">
        <v>1183</v>
      </c>
      <c r="E156" s="361" t="s">
        <v>118</v>
      </c>
      <c r="F156" s="361"/>
      <c r="G156" s="2">
        <f>+G158+G167</f>
        <v>1410.6</v>
      </c>
      <c r="H156" s="2">
        <f t="shared" ref="H156:J156" si="31">+H158+H167</f>
        <v>1410.6</v>
      </c>
      <c r="I156" s="2">
        <f t="shared" si="31"/>
        <v>16822.599999999999</v>
      </c>
      <c r="J156" s="2">
        <f t="shared" si="31"/>
        <v>16822.599999999999</v>
      </c>
    </row>
    <row r="157" spans="1:11" s="10" customFormat="1" ht="16.95" customHeight="1">
      <c r="A157" s="373"/>
      <c r="B157" s="373"/>
      <c r="C157" s="373"/>
      <c r="D157" s="371"/>
      <c r="E157" s="21"/>
      <c r="F157" s="19" t="s">
        <v>6</v>
      </c>
      <c r="G157" s="2"/>
      <c r="H157" s="2"/>
      <c r="I157" s="2"/>
      <c r="J157" s="2"/>
    </row>
    <row r="158" spans="1:11" s="10" customFormat="1" ht="33.35">
      <c r="A158" s="373"/>
      <c r="B158" s="373"/>
      <c r="C158" s="373"/>
      <c r="D158" s="371"/>
      <c r="E158" s="31">
        <v>32002</v>
      </c>
      <c r="F158" s="179" t="s">
        <v>190</v>
      </c>
      <c r="G158" s="12">
        <f>+G160</f>
        <v>0</v>
      </c>
      <c r="H158" s="12">
        <f>+H160</f>
        <v>0</v>
      </c>
      <c r="I158" s="12">
        <f>+I160</f>
        <v>15412</v>
      </c>
      <c r="J158" s="12">
        <f>+J160</f>
        <v>15412</v>
      </c>
    </row>
    <row r="159" spans="1:11" s="10" customFormat="1">
      <c r="A159" s="373"/>
      <c r="B159" s="373"/>
      <c r="C159" s="373"/>
      <c r="D159" s="371"/>
      <c r="E159" s="358"/>
      <c r="F159" s="19" t="s">
        <v>16</v>
      </c>
      <c r="G159" s="6"/>
      <c r="H159" s="5"/>
      <c r="I159" s="6"/>
      <c r="J159" s="5"/>
    </row>
    <row r="160" spans="1:11" s="13" customFormat="1" ht="36.549999999999997" customHeight="1">
      <c r="A160" s="373"/>
      <c r="B160" s="373"/>
      <c r="C160" s="373"/>
      <c r="D160" s="371"/>
      <c r="E160" s="359"/>
      <c r="F160" s="22" t="s">
        <v>12</v>
      </c>
      <c r="G160" s="91">
        <f>+G162</f>
        <v>0</v>
      </c>
      <c r="H160" s="91">
        <f>+H162</f>
        <v>0</v>
      </c>
      <c r="I160" s="91">
        <f>+I162</f>
        <v>15412</v>
      </c>
      <c r="J160" s="91">
        <f>+J162</f>
        <v>15412</v>
      </c>
    </row>
    <row r="161" spans="1:11" s="10" customFormat="1" ht="53.2">
      <c r="A161" s="373"/>
      <c r="B161" s="373"/>
      <c r="C161" s="373"/>
      <c r="D161" s="371"/>
      <c r="E161" s="359"/>
      <c r="F161" s="19" t="s">
        <v>13</v>
      </c>
      <c r="G161" s="7"/>
      <c r="H161" s="5"/>
      <c r="I161" s="92"/>
      <c r="J161" s="5"/>
    </row>
    <row r="162" spans="1:11" s="10" customFormat="1" ht="16.95" customHeight="1">
      <c r="A162" s="373"/>
      <c r="B162" s="373"/>
      <c r="C162" s="373"/>
      <c r="D162" s="371"/>
      <c r="E162" s="359"/>
      <c r="F162" s="30" t="s">
        <v>7</v>
      </c>
      <c r="G162" s="6">
        <f>G163</f>
        <v>0</v>
      </c>
      <c r="H162" s="6">
        <f>H163</f>
        <v>0</v>
      </c>
      <c r="I162" s="6">
        <f>I163</f>
        <v>15412</v>
      </c>
      <c r="J162" s="6">
        <f>J163</f>
        <v>15412</v>
      </c>
    </row>
    <row r="163" spans="1:11" s="10" customFormat="1" ht="16.95" customHeight="1">
      <c r="A163" s="373"/>
      <c r="B163" s="373"/>
      <c r="C163" s="373"/>
      <c r="D163" s="371"/>
      <c r="E163" s="359"/>
      <c r="F163" s="117" t="s">
        <v>61</v>
      </c>
      <c r="G163" s="7">
        <f>+G164</f>
        <v>0</v>
      </c>
      <c r="H163" s="7">
        <f t="shared" ref="H163:J165" si="32">+H164</f>
        <v>0</v>
      </c>
      <c r="I163" s="92">
        <f t="shared" si="32"/>
        <v>15412</v>
      </c>
      <c r="J163" s="7">
        <f t="shared" si="32"/>
        <v>15412</v>
      </c>
    </row>
    <row r="164" spans="1:11" s="10" customFormat="1">
      <c r="A164" s="373"/>
      <c r="B164" s="373"/>
      <c r="C164" s="373"/>
      <c r="D164" s="371"/>
      <c r="E164" s="359"/>
      <c r="F164" s="117" t="s">
        <v>62</v>
      </c>
      <c r="G164" s="7">
        <f>+G165</f>
        <v>0</v>
      </c>
      <c r="H164" s="7">
        <f t="shared" si="32"/>
        <v>0</v>
      </c>
      <c r="I164" s="7">
        <f t="shared" si="32"/>
        <v>15412</v>
      </c>
      <c r="J164" s="7">
        <f t="shared" si="32"/>
        <v>15412</v>
      </c>
    </row>
    <row r="165" spans="1:11" s="10" customFormat="1">
      <c r="A165" s="373"/>
      <c r="B165" s="373"/>
      <c r="C165" s="373"/>
      <c r="D165" s="371"/>
      <c r="E165" s="359"/>
      <c r="F165" s="275" t="s">
        <v>63</v>
      </c>
      <c r="G165" s="65">
        <f>+G166</f>
        <v>0</v>
      </c>
      <c r="H165" s="65">
        <f t="shared" si="32"/>
        <v>0</v>
      </c>
      <c r="I165" s="24">
        <f t="shared" si="32"/>
        <v>15412</v>
      </c>
      <c r="J165" s="65">
        <f t="shared" si="32"/>
        <v>15412</v>
      </c>
      <c r="K165" s="15"/>
    </row>
    <row r="166" spans="1:11" s="10" customFormat="1">
      <c r="A166" s="373"/>
      <c r="B166" s="373"/>
      <c r="C166" s="373"/>
      <c r="D166" s="371"/>
      <c r="E166" s="360"/>
      <c r="F166" s="275" t="s">
        <v>52</v>
      </c>
      <c r="G166" s="65">
        <f>+'Հավելված N 4'!E80</f>
        <v>0</v>
      </c>
      <c r="H166" s="65">
        <f>+'Հավելված N 4'!F80</f>
        <v>0</v>
      </c>
      <c r="I166" s="65">
        <f>+'Հավելված N 4'!G80</f>
        <v>15412</v>
      </c>
      <c r="J166" s="65">
        <f>+'Հավելված N 4'!H80</f>
        <v>15412</v>
      </c>
      <c r="K166" s="15"/>
    </row>
    <row r="167" spans="1:11" s="10" customFormat="1" ht="50">
      <c r="A167" s="373"/>
      <c r="B167" s="373"/>
      <c r="C167" s="373"/>
      <c r="D167" s="371"/>
      <c r="E167" s="31">
        <v>32004</v>
      </c>
      <c r="F167" s="179" t="s">
        <v>199</v>
      </c>
      <c r="G167" s="12">
        <f>+G169</f>
        <v>1410.6</v>
      </c>
      <c r="H167" s="12">
        <f>+H169</f>
        <v>1410.6</v>
      </c>
      <c r="I167" s="12">
        <f>+I169</f>
        <v>1410.6</v>
      </c>
      <c r="J167" s="12">
        <f>+J169</f>
        <v>1410.6</v>
      </c>
    </row>
    <row r="168" spans="1:11" s="10" customFormat="1">
      <c r="A168" s="373"/>
      <c r="B168" s="373"/>
      <c r="C168" s="373"/>
      <c r="D168" s="371"/>
      <c r="E168" s="358"/>
      <c r="F168" s="19" t="s">
        <v>16</v>
      </c>
      <c r="G168" s="6"/>
      <c r="H168" s="5"/>
      <c r="I168" s="6"/>
      <c r="J168" s="5"/>
    </row>
    <row r="169" spans="1:11" s="13" customFormat="1" ht="36.549999999999997" customHeight="1">
      <c r="A169" s="373"/>
      <c r="B169" s="373"/>
      <c r="C169" s="373"/>
      <c r="D169" s="371"/>
      <c r="E169" s="359"/>
      <c r="F169" s="22" t="s">
        <v>12</v>
      </c>
      <c r="G169" s="91">
        <f>+G171</f>
        <v>1410.6</v>
      </c>
      <c r="H169" s="91">
        <f>+H171</f>
        <v>1410.6</v>
      </c>
      <c r="I169" s="91">
        <f>+I171</f>
        <v>1410.6</v>
      </c>
      <c r="J169" s="91">
        <f>+J171</f>
        <v>1410.6</v>
      </c>
    </row>
    <row r="170" spans="1:11" s="10" customFormat="1" ht="53.2">
      <c r="A170" s="373"/>
      <c r="B170" s="373"/>
      <c r="C170" s="373"/>
      <c r="D170" s="371"/>
      <c r="E170" s="359"/>
      <c r="F170" s="19" t="s">
        <v>13</v>
      </c>
      <c r="G170" s="7"/>
      <c r="H170" s="5"/>
      <c r="I170" s="92"/>
      <c r="J170" s="5"/>
    </row>
    <row r="171" spans="1:11" s="10" customFormat="1" ht="16.95" customHeight="1">
      <c r="A171" s="373"/>
      <c r="B171" s="373"/>
      <c r="C171" s="373"/>
      <c r="D171" s="371"/>
      <c r="E171" s="359"/>
      <c r="F171" s="30" t="s">
        <v>7</v>
      </c>
      <c r="G171" s="6">
        <f>G172</f>
        <v>1410.6</v>
      </c>
      <c r="H171" s="6">
        <f>H172</f>
        <v>1410.6</v>
      </c>
      <c r="I171" s="6">
        <f>I172</f>
        <v>1410.6</v>
      </c>
      <c r="J171" s="6">
        <f>J172</f>
        <v>1410.6</v>
      </c>
    </row>
    <row r="172" spans="1:11" s="10" customFormat="1" ht="16.95" customHeight="1">
      <c r="A172" s="373"/>
      <c r="B172" s="373"/>
      <c r="C172" s="373"/>
      <c r="D172" s="371"/>
      <c r="E172" s="359"/>
      <c r="F172" s="117" t="s">
        <v>61</v>
      </c>
      <c r="G172" s="7">
        <f>+G173</f>
        <v>1410.6</v>
      </c>
      <c r="H172" s="7">
        <f t="shared" ref="H172:J174" si="33">+H173</f>
        <v>1410.6</v>
      </c>
      <c r="I172" s="92">
        <f t="shared" si="33"/>
        <v>1410.6</v>
      </c>
      <c r="J172" s="7">
        <f t="shared" si="33"/>
        <v>1410.6</v>
      </c>
    </row>
    <row r="173" spans="1:11" s="10" customFormat="1">
      <c r="A173" s="373"/>
      <c r="B173" s="373"/>
      <c r="C173" s="373"/>
      <c r="D173" s="371"/>
      <c r="E173" s="359"/>
      <c r="F173" s="117" t="s">
        <v>62</v>
      </c>
      <c r="G173" s="7">
        <f>+G174</f>
        <v>1410.6</v>
      </c>
      <c r="H173" s="7">
        <f t="shared" si="33"/>
        <v>1410.6</v>
      </c>
      <c r="I173" s="7">
        <f t="shared" si="33"/>
        <v>1410.6</v>
      </c>
      <c r="J173" s="7">
        <f t="shared" si="33"/>
        <v>1410.6</v>
      </c>
    </row>
    <row r="174" spans="1:11" s="10" customFormat="1">
      <c r="A174" s="373"/>
      <c r="B174" s="373"/>
      <c r="C174" s="373"/>
      <c r="D174" s="371"/>
      <c r="E174" s="359"/>
      <c r="F174" s="275" t="s">
        <v>63</v>
      </c>
      <c r="G174" s="65">
        <f>+G175</f>
        <v>1410.6</v>
      </c>
      <c r="H174" s="65">
        <f t="shared" si="33"/>
        <v>1410.6</v>
      </c>
      <c r="I174" s="24">
        <f t="shared" si="33"/>
        <v>1410.6</v>
      </c>
      <c r="J174" s="65">
        <f t="shared" si="33"/>
        <v>1410.6</v>
      </c>
      <c r="K174" s="15"/>
    </row>
    <row r="175" spans="1:11" s="10" customFormat="1">
      <c r="A175" s="376"/>
      <c r="B175" s="376"/>
      <c r="C175" s="376"/>
      <c r="D175" s="375"/>
      <c r="E175" s="360"/>
      <c r="F175" s="275" t="s">
        <v>124</v>
      </c>
      <c r="G175" s="65">
        <f>+'Հավելված N 4'!E86</f>
        <v>1410.6</v>
      </c>
      <c r="H175" s="65">
        <f>+'Հավելված N 4'!F86</f>
        <v>1410.6</v>
      </c>
      <c r="I175" s="65">
        <f>+'Հավելված N 4'!G86</f>
        <v>1410.6</v>
      </c>
      <c r="J175" s="65">
        <f>+'Հավելված N 4'!H86</f>
        <v>1410.6</v>
      </c>
      <c r="K175" s="15"/>
    </row>
    <row r="177" spans="1:10" s="10" customFormat="1" ht="32.4" customHeight="1">
      <c r="A177" s="117"/>
      <c r="B177" s="117"/>
      <c r="C177" s="117"/>
      <c r="D177" s="116"/>
      <c r="E177" s="116"/>
      <c r="F177" s="120" t="s">
        <v>228</v>
      </c>
      <c r="G177" s="119">
        <f>+G178+G216</f>
        <v>0</v>
      </c>
      <c r="H177" s="119">
        <f>+H178+H216</f>
        <v>0</v>
      </c>
      <c r="I177" s="119">
        <f>+ROUND(I178+I216,1)</f>
        <v>0</v>
      </c>
      <c r="J177" s="119">
        <f>+J178+J216</f>
        <v>0</v>
      </c>
    </row>
    <row r="178" spans="1:10" s="10" customFormat="1" ht="17.600000000000001" customHeight="1">
      <c r="A178" s="346" t="s">
        <v>229</v>
      </c>
      <c r="B178" s="347"/>
      <c r="C178" s="347"/>
      <c r="D178" s="348"/>
      <c r="E178" s="63"/>
      <c r="F178" s="120" t="s">
        <v>230</v>
      </c>
      <c r="G178" s="119">
        <f>+G180</f>
        <v>0</v>
      </c>
      <c r="H178" s="119">
        <f t="shared" ref="H178:J178" si="34">+H180</f>
        <v>0</v>
      </c>
      <c r="I178" s="119">
        <f t="shared" si="34"/>
        <v>0</v>
      </c>
      <c r="J178" s="119">
        <f t="shared" si="34"/>
        <v>0</v>
      </c>
    </row>
    <row r="179" spans="1:10" s="10" customFormat="1" ht="16.95" customHeight="1">
      <c r="A179" s="346"/>
      <c r="B179" s="347"/>
      <c r="C179" s="347"/>
      <c r="D179" s="349"/>
      <c r="E179" s="64"/>
      <c r="F179" s="117" t="s">
        <v>6</v>
      </c>
      <c r="G179" s="130"/>
      <c r="H179" s="130"/>
      <c r="I179" s="131"/>
      <c r="J179" s="130"/>
    </row>
    <row r="180" spans="1:10" s="10" customFormat="1" ht="33.35">
      <c r="A180" s="346"/>
      <c r="B180" s="351" t="s">
        <v>107</v>
      </c>
      <c r="C180" s="347"/>
      <c r="D180" s="349"/>
      <c r="E180" s="64"/>
      <c r="F180" s="120" t="s">
        <v>231</v>
      </c>
      <c r="G180" s="131">
        <f>+G182</f>
        <v>0</v>
      </c>
      <c r="H180" s="131">
        <f t="shared" ref="H180:J180" si="35">+H182</f>
        <v>0</v>
      </c>
      <c r="I180" s="131">
        <f t="shared" si="35"/>
        <v>0</v>
      </c>
      <c r="J180" s="131">
        <f t="shared" si="35"/>
        <v>0</v>
      </c>
    </row>
    <row r="181" spans="1:10" s="10" customFormat="1" ht="16.95" customHeight="1">
      <c r="A181" s="346"/>
      <c r="B181" s="351"/>
      <c r="C181" s="347"/>
      <c r="D181" s="349"/>
      <c r="E181" s="64"/>
      <c r="F181" s="117" t="s">
        <v>6</v>
      </c>
      <c r="G181" s="131"/>
      <c r="H181" s="130"/>
      <c r="I181" s="131"/>
      <c r="J181" s="130"/>
    </row>
    <row r="182" spans="1:10" s="10" customFormat="1">
      <c r="A182" s="346"/>
      <c r="B182" s="351"/>
      <c r="C182" s="351" t="s">
        <v>107</v>
      </c>
      <c r="D182" s="349"/>
      <c r="E182" s="64"/>
      <c r="F182" s="120" t="s">
        <v>232</v>
      </c>
      <c r="G182" s="131">
        <f t="shared" ref="G182:J182" si="36">+G184</f>
        <v>0</v>
      </c>
      <c r="H182" s="131">
        <f t="shared" si="36"/>
        <v>0</v>
      </c>
      <c r="I182" s="131">
        <f t="shared" si="36"/>
        <v>0</v>
      </c>
      <c r="J182" s="131">
        <f t="shared" si="36"/>
        <v>0</v>
      </c>
    </row>
    <row r="183" spans="1:10" s="10" customFormat="1" ht="16.95" customHeight="1">
      <c r="A183" s="346"/>
      <c r="B183" s="351"/>
      <c r="C183" s="351"/>
      <c r="D183" s="349"/>
      <c r="E183" s="64"/>
      <c r="F183" s="117" t="s">
        <v>6</v>
      </c>
      <c r="G183" s="131"/>
      <c r="H183" s="132"/>
      <c r="I183" s="131"/>
      <c r="J183" s="132"/>
    </row>
    <row r="184" spans="1:10" s="10" customFormat="1" ht="35.5">
      <c r="A184" s="346"/>
      <c r="B184" s="351"/>
      <c r="C184" s="351"/>
      <c r="D184" s="349"/>
      <c r="E184" s="64"/>
      <c r="F184" s="129" t="s">
        <v>12</v>
      </c>
      <c r="G184" s="131">
        <f>+G186</f>
        <v>0</v>
      </c>
      <c r="H184" s="131">
        <f t="shared" ref="H184:J184" si="37">+H186</f>
        <v>0</v>
      </c>
      <c r="I184" s="131">
        <f t="shared" si="37"/>
        <v>0</v>
      </c>
      <c r="J184" s="131">
        <f t="shared" si="37"/>
        <v>0</v>
      </c>
    </row>
    <row r="185" spans="1:10" s="10" customFormat="1" ht="16.95" customHeight="1">
      <c r="A185" s="346"/>
      <c r="B185" s="351"/>
      <c r="C185" s="351"/>
      <c r="D185" s="350"/>
      <c r="E185" s="90"/>
      <c r="F185" s="117" t="s">
        <v>6</v>
      </c>
      <c r="G185" s="131"/>
      <c r="H185" s="132"/>
      <c r="I185" s="131"/>
      <c r="J185" s="132"/>
    </row>
    <row r="186" spans="1:10" s="10" customFormat="1" ht="18" customHeight="1">
      <c r="A186" s="346"/>
      <c r="B186" s="351"/>
      <c r="C186" s="351"/>
      <c r="D186" s="352">
        <v>1139</v>
      </c>
      <c r="E186" s="356" t="s">
        <v>232</v>
      </c>
      <c r="F186" s="356"/>
      <c r="G186" s="119">
        <f>+G188+G196</f>
        <v>0</v>
      </c>
      <c r="H186" s="119">
        <f>+H188+H196</f>
        <v>0</v>
      </c>
      <c r="I186" s="119">
        <f>+I188+I196</f>
        <v>0</v>
      </c>
      <c r="J186" s="119">
        <f>+J188+J196</f>
        <v>0</v>
      </c>
    </row>
    <row r="187" spans="1:10" s="10" customFormat="1" ht="16.95" customHeight="1">
      <c r="A187" s="346"/>
      <c r="B187" s="351"/>
      <c r="C187" s="351"/>
      <c r="D187" s="352"/>
      <c r="E187" s="149"/>
      <c r="F187" s="117" t="s">
        <v>6</v>
      </c>
      <c r="G187" s="119"/>
      <c r="H187" s="119"/>
      <c r="I187" s="119"/>
      <c r="J187" s="119"/>
    </row>
    <row r="188" spans="1:10" s="10" customFormat="1">
      <c r="A188" s="346"/>
      <c r="B188" s="351"/>
      <c r="C188" s="351"/>
      <c r="D188" s="352"/>
      <c r="E188" s="138">
        <v>11001</v>
      </c>
      <c r="F188" s="122" t="s">
        <v>232</v>
      </c>
      <c r="G188" s="123">
        <f>+G190</f>
        <v>32000</v>
      </c>
      <c r="H188" s="123">
        <f t="shared" ref="H188:J188" si="38">+H190</f>
        <v>102000</v>
      </c>
      <c r="I188" s="123">
        <f t="shared" si="38"/>
        <v>102000</v>
      </c>
      <c r="J188" s="123">
        <f t="shared" si="38"/>
        <v>186898.5</v>
      </c>
    </row>
    <row r="189" spans="1:10" s="10" customFormat="1" ht="15.6" customHeight="1">
      <c r="A189" s="346"/>
      <c r="B189" s="351"/>
      <c r="C189" s="351"/>
      <c r="D189" s="352"/>
      <c r="E189" s="353"/>
      <c r="F189" s="117" t="s">
        <v>16</v>
      </c>
      <c r="G189" s="131"/>
      <c r="H189" s="130"/>
      <c r="I189" s="131"/>
      <c r="J189" s="130"/>
    </row>
    <row r="190" spans="1:10" s="13" customFormat="1" ht="36.549999999999997" customHeight="1">
      <c r="A190" s="346"/>
      <c r="B190" s="351"/>
      <c r="C190" s="351"/>
      <c r="D190" s="352"/>
      <c r="E190" s="354"/>
      <c r="F190" s="135" t="s">
        <v>28</v>
      </c>
      <c r="G190" s="136">
        <f t="shared" ref="G190:J190" si="39">+G192</f>
        <v>32000</v>
      </c>
      <c r="H190" s="136">
        <f t="shared" si="39"/>
        <v>102000</v>
      </c>
      <c r="I190" s="136">
        <f t="shared" si="39"/>
        <v>102000</v>
      </c>
      <c r="J190" s="136">
        <f t="shared" si="39"/>
        <v>186898.5</v>
      </c>
    </row>
    <row r="191" spans="1:10" s="10" customFormat="1" ht="53.2">
      <c r="A191" s="346"/>
      <c r="B191" s="351"/>
      <c r="C191" s="351"/>
      <c r="D191" s="352"/>
      <c r="E191" s="354"/>
      <c r="F191" s="117" t="s">
        <v>13</v>
      </c>
      <c r="G191" s="134"/>
      <c r="H191" s="130"/>
      <c r="I191" s="137"/>
      <c r="J191" s="130"/>
    </row>
    <row r="192" spans="1:10" s="10" customFormat="1" ht="16.95" customHeight="1">
      <c r="A192" s="346"/>
      <c r="B192" s="351"/>
      <c r="C192" s="351"/>
      <c r="D192" s="352"/>
      <c r="E192" s="354"/>
      <c r="F192" s="146" t="s">
        <v>7</v>
      </c>
      <c r="G192" s="131">
        <f>+G193</f>
        <v>32000</v>
      </c>
      <c r="H192" s="131">
        <f t="shared" ref="H192:J194" si="40">+H193</f>
        <v>102000</v>
      </c>
      <c r="I192" s="131">
        <f t="shared" si="40"/>
        <v>102000</v>
      </c>
      <c r="J192" s="131">
        <f t="shared" si="40"/>
        <v>186898.5</v>
      </c>
    </row>
    <row r="193" spans="1:11" s="10" customFormat="1" ht="16.95" customHeight="1">
      <c r="A193" s="346"/>
      <c r="B193" s="351"/>
      <c r="C193" s="351"/>
      <c r="D193" s="352"/>
      <c r="E193" s="354"/>
      <c r="F193" s="117" t="s">
        <v>88</v>
      </c>
      <c r="G193" s="134">
        <f>+G194</f>
        <v>32000</v>
      </c>
      <c r="H193" s="134">
        <f t="shared" si="40"/>
        <v>102000</v>
      </c>
      <c r="I193" s="137">
        <f t="shared" si="40"/>
        <v>102000</v>
      </c>
      <c r="J193" s="134">
        <f t="shared" si="40"/>
        <v>186898.5</v>
      </c>
    </row>
    <row r="194" spans="1:11" s="10" customFormat="1" ht="15.6" customHeight="1">
      <c r="A194" s="346"/>
      <c r="B194" s="351"/>
      <c r="C194" s="351"/>
      <c r="D194" s="352"/>
      <c r="E194" s="354"/>
      <c r="F194" s="117" t="s">
        <v>219</v>
      </c>
      <c r="G194" s="134">
        <f>+G195</f>
        <v>32000</v>
      </c>
      <c r="H194" s="134">
        <f t="shared" si="40"/>
        <v>102000</v>
      </c>
      <c r="I194" s="134">
        <f t="shared" si="40"/>
        <v>102000</v>
      </c>
      <c r="J194" s="134">
        <f t="shared" si="40"/>
        <v>186898.5</v>
      </c>
    </row>
    <row r="195" spans="1:11" s="10" customFormat="1" ht="15.6" customHeight="1">
      <c r="A195" s="346"/>
      <c r="B195" s="351"/>
      <c r="C195" s="351"/>
      <c r="D195" s="352"/>
      <c r="E195" s="354"/>
      <c r="F195" s="273" t="s">
        <v>233</v>
      </c>
      <c r="G195" s="134">
        <f>+G48</f>
        <v>32000</v>
      </c>
      <c r="H195" s="134">
        <f t="shared" ref="H195:J195" si="41">+H48</f>
        <v>102000</v>
      </c>
      <c r="I195" s="134">
        <f t="shared" si="41"/>
        <v>102000</v>
      </c>
      <c r="J195" s="134">
        <f t="shared" si="41"/>
        <v>186898.5</v>
      </c>
      <c r="K195" s="15"/>
    </row>
    <row r="196" spans="1:11" s="10" customFormat="1">
      <c r="A196" s="346"/>
      <c r="B196" s="351"/>
      <c r="C196" s="351"/>
      <c r="D196" s="352"/>
      <c r="E196" s="138">
        <v>11001</v>
      </c>
      <c r="F196" s="122" t="s">
        <v>232</v>
      </c>
      <c r="G196" s="123">
        <f t="shared" ref="G196:J196" si="42">+G198</f>
        <v>-32000</v>
      </c>
      <c r="H196" s="123">
        <f t="shared" si="42"/>
        <v>-102000</v>
      </c>
      <c r="I196" s="123">
        <f t="shared" si="42"/>
        <v>-102000</v>
      </c>
      <c r="J196" s="123">
        <f t="shared" si="42"/>
        <v>-186898.5</v>
      </c>
    </row>
    <row r="197" spans="1:11" s="10" customFormat="1">
      <c r="A197" s="346"/>
      <c r="B197" s="351"/>
      <c r="C197" s="351"/>
      <c r="D197" s="352"/>
      <c r="E197" s="357"/>
      <c r="F197" s="117" t="s">
        <v>16</v>
      </c>
      <c r="G197" s="131"/>
      <c r="H197" s="130"/>
      <c r="I197" s="131"/>
      <c r="J197" s="130"/>
    </row>
    <row r="198" spans="1:11" s="13" customFormat="1" ht="36.549999999999997" customHeight="1">
      <c r="A198" s="346"/>
      <c r="B198" s="351"/>
      <c r="C198" s="351"/>
      <c r="D198" s="352"/>
      <c r="E198" s="357"/>
      <c r="F198" s="135" t="s">
        <v>28</v>
      </c>
      <c r="G198" s="136">
        <f t="shared" ref="G198:J198" si="43">+G200</f>
        <v>-32000</v>
      </c>
      <c r="H198" s="136">
        <f t="shared" si="43"/>
        <v>-102000</v>
      </c>
      <c r="I198" s="136">
        <f t="shared" si="43"/>
        <v>-102000</v>
      </c>
      <c r="J198" s="136">
        <f t="shared" si="43"/>
        <v>-186898.5</v>
      </c>
    </row>
    <row r="199" spans="1:11" s="10" customFormat="1" ht="53.2">
      <c r="A199" s="346"/>
      <c r="B199" s="351"/>
      <c r="C199" s="351"/>
      <c r="D199" s="352"/>
      <c r="E199" s="357"/>
      <c r="F199" s="117" t="s">
        <v>13</v>
      </c>
      <c r="G199" s="134"/>
      <c r="H199" s="130"/>
      <c r="I199" s="137"/>
      <c r="J199" s="130"/>
    </row>
    <row r="200" spans="1:11" s="10" customFormat="1" ht="16.95" customHeight="1">
      <c r="A200" s="346"/>
      <c r="B200" s="351"/>
      <c r="C200" s="351"/>
      <c r="D200" s="352"/>
      <c r="E200" s="357"/>
      <c r="F200" s="146" t="s">
        <v>7</v>
      </c>
      <c r="G200" s="131">
        <f>+G201</f>
        <v>-32000</v>
      </c>
      <c r="H200" s="131">
        <f t="shared" ref="H200:J202" si="44">+H201</f>
        <v>-102000</v>
      </c>
      <c r="I200" s="131">
        <f t="shared" si="44"/>
        <v>-102000</v>
      </c>
      <c r="J200" s="131">
        <f t="shared" si="44"/>
        <v>-186898.5</v>
      </c>
    </row>
    <row r="201" spans="1:11" s="10" customFormat="1" ht="16.95" customHeight="1">
      <c r="A201" s="346"/>
      <c r="B201" s="351"/>
      <c r="C201" s="351"/>
      <c r="D201" s="352"/>
      <c r="E201" s="357"/>
      <c r="F201" s="117" t="s">
        <v>88</v>
      </c>
      <c r="G201" s="134">
        <f>+G202</f>
        <v>-32000</v>
      </c>
      <c r="H201" s="134">
        <f t="shared" si="44"/>
        <v>-102000</v>
      </c>
      <c r="I201" s="137">
        <f t="shared" si="44"/>
        <v>-102000</v>
      </c>
      <c r="J201" s="134">
        <f t="shared" si="44"/>
        <v>-186898.5</v>
      </c>
    </row>
    <row r="202" spans="1:11" s="10" customFormat="1">
      <c r="A202" s="346"/>
      <c r="B202" s="351"/>
      <c r="C202" s="351"/>
      <c r="D202" s="352"/>
      <c r="E202" s="357"/>
      <c r="F202" s="117" t="s">
        <v>219</v>
      </c>
      <c r="G202" s="134">
        <f>+G203</f>
        <v>-32000</v>
      </c>
      <c r="H202" s="134">
        <f t="shared" si="44"/>
        <v>-102000</v>
      </c>
      <c r="I202" s="134">
        <f t="shared" si="44"/>
        <v>-102000</v>
      </c>
      <c r="J202" s="134">
        <f t="shared" si="44"/>
        <v>-186898.5</v>
      </c>
    </row>
    <row r="203" spans="1:11" s="10" customFormat="1">
      <c r="A203" s="346"/>
      <c r="B203" s="351"/>
      <c r="C203" s="351"/>
      <c r="D203" s="352"/>
      <c r="E203" s="357"/>
      <c r="F203" s="273" t="s">
        <v>233</v>
      </c>
      <c r="G203" s="134">
        <f>-G195</f>
        <v>-32000</v>
      </c>
      <c r="H203" s="134">
        <f t="shared" ref="H203:J203" si="45">-H195</f>
        <v>-102000</v>
      </c>
      <c r="I203" s="134">
        <f t="shared" si="45"/>
        <v>-102000</v>
      </c>
      <c r="J203" s="134">
        <f t="shared" si="45"/>
        <v>-186898.5</v>
      </c>
      <c r="K203" s="15"/>
    </row>
  </sheetData>
  <mergeCells count="52">
    <mergeCell ref="A81:A175"/>
    <mergeCell ref="C128:C129"/>
    <mergeCell ref="C81:C82"/>
    <mergeCell ref="B81:B82"/>
    <mergeCell ref="D156:D175"/>
    <mergeCell ref="B128:B175"/>
    <mergeCell ref="C130:C175"/>
    <mergeCell ref="C85:C127"/>
    <mergeCell ref="C16:C19"/>
    <mergeCell ref="E64:F64"/>
    <mergeCell ref="F3:J3"/>
    <mergeCell ref="A7:J7"/>
    <mergeCell ref="A11:C11"/>
    <mergeCell ref="B16:B17"/>
    <mergeCell ref="D11:E11"/>
    <mergeCell ref="G11:J11"/>
    <mergeCell ref="F11:F12"/>
    <mergeCell ref="D64:D80"/>
    <mergeCell ref="C60:C80"/>
    <mergeCell ref="B18:B80"/>
    <mergeCell ref="A16:A80"/>
    <mergeCell ref="E67:E80"/>
    <mergeCell ref="C20:C38"/>
    <mergeCell ref="D24:D59"/>
    <mergeCell ref="F1:J1"/>
    <mergeCell ref="F2:J2"/>
    <mergeCell ref="E120:E127"/>
    <mergeCell ref="E137:E146"/>
    <mergeCell ref="E148:E155"/>
    <mergeCell ref="E24:F24"/>
    <mergeCell ref="E27:E38"/>
    <mergeCell ref="E49:E59"/>
    <mergeCell ref="E40:E47"/>
    <mergeCell ref="E89:F89"/>
    <mergeCell ref="E92:E98"/>
    <mergeCell ref="E108:F108"/>
    <mergeCell ref="E111:E118"/>
    <mergeCell ref="E100:E107"/>
    <mergeCell ref="E186:F186"/>
    <mergeCell ref="E189:E195"/>
    <mergeCell ref="E197:E203"/>
    <mergeCell ref="E168:E175"/>
    <mergeCell ref="E134:F134"/>
    <mergeCell ref="E156:F156"/>
    <mergeCell ref="E159:E166"/>
    <mergeCell ref="A178:A203"/>
    <mergeCell ref="B178:B179"/>
    <mergeCell ref="C178:C181"/>
    <mergeCell ref="D178:D185"/>
    <mergeCell ref="B180:B203"/>
    <mergeCell ref="C182:C203"/>
    <mergeCell ref="D186:D203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81"/>
  <sheetViews>
    <sheetView topLeftCell="A36" zoomScale="85" zoomScaleNormal="85" workbookViewId="0">
      <selection activeCell="F40" activeCellId="4" sqref="D64 D63 G48 F46 F40"/>
    </sheetView>
  </sheetViews>
  <sheetFormatPr defaultColWidth="9.09765625" defaultRowHeight="17.75"/>
  <cols>
    <col min="1" max="1" width="9.09765625" style="157"/>
    <col min="2" max="2" width="9.09765625" style="157" customWidth="1"/>
    <col min="3" max="3" width="54.19921875" style="157" customWidth="1"/>
    <col min="4" max="4" width="16.3984375" style="157" customWidth="1"/>
    <col min="5" max="8" width="20.3984375" style="157" customWidth="1"/>
    <col min="9" max="9" width="15.3984375" style="157" bestFit="1" customWidth="1"/>
    <col min="10" max="10" width="13.69921875" style="157" bestFit="1" customWidth="1"/>
    <col min="11" max="16384" width="9.09765625" style="157"/>
  </cols>
  <sheetData>
    <row r="1" spans="1:10" s="256" customFormat="1" ht="26.6" customHeight="1">
      <c r="A1" s="254"/>
      <c r="B1" s="255"/>
      <c r="C1" s="255"/>
      <c r="D1" s="255"/>
      <c r="E1" s="254"/>
      <c r="F1" s="391" t="s">
        <v>21</v>
      </c>
      <c r="G1" s="391"/>
      <c r="H1" s="391"/>
    </row>
    <row r="2" spans="1:10" s="35" customFormat="1">
      <c r="A2" s="257"/>
      <c r="B2" s="257"/>
      <c r="C2" s="257"/>
      <c r="D2" s="257"/>
      <c r="E2" s="258"/>
      <c r="F2" s="392" t="s">
        <v>208</v>
      </c>
      <c r="G2" s="392"/>
      <c r="H2" s="392"/>
    </row>
    <row r="3" spans="1:10" s="35" customFormat="1">
      <c r="A3" s="257"/>
      <c r="B3" s="257"/>
      <c r="C3" s="257"/>
      <c r="D3" s="257"/>
      <c r="E3" s="258"/>
      <c r="F3" s="392" t="s">
        <v>20</v>
      </c>
      <c r="G3" s="392"/>
      <c r="H3" s="392"/>
    </row>
    <row r="4" spans="1:10" s="35" customFormat="1">
      <c r="A4" s="259"/>
      <c r="B4" s="259"/>
      <c r="C4" s="260"/>
      <c r="D4" s="258"/>
      <c r="E4" s="258"/>
      <c r="F4" s="258"/>
      <c r="G4" s="258"/>
      <c r="H4" s="258"/>
    </row>
    <row r="5" spans="1:10" s="35" customFormat="1" ht="37.5" customHeight="1">
      <c r="A5" s="393" t="s">
        <v>209</v>
      </c>
      <c r="B5" s="394"/>
      <c r="C5" s="394"/>
      <c r="D5" s="394"/>
      <c r="E5" s="394"/>
      <c r="F5" s="394"/>
      <c r="G5" s="394"/>
      <c r="H5" s="394"/>
    </row>
    <row r="6" spans="1:10" s="35" customFormat="1" ht="37.5" customHeight="1">
      <c r="A6" s="394"/>
      <c r="B6" s="394"/>
      <c r="C6" s="394"/>
      <c r="D6" s="394"/>
      <c r="E6" s="394"/>
      <c r="F6" s="394"/>
      <c r="G6" s="394"/>
      <c r="H6" s="394"/>
    </row>
    <row r="7" spans="1:10" s="35" customFormat="1">
      <c r="E7" s="258"/>
      <c r="F7" s="258"/>
      <c r="G7" s="258"/>
    </row>
    <row r="8" spans="1:10" s="35" customFormat="1">
      <c r="A8" s="261"/>
      <c r="B8" s="261"/>
      <c r="C8" s="261"/>
      <c r="D8" s="39"/>
      <c r="E8" s="258"/>
      <c r="F8" s="258"/>
      <c r="G8" s="395" t="s">
        <v>9</v>
      </c>
      <c r="H8" s="395"/>
    </row>
    <row r="9" spans="1:10" s="35" customFormat="1" ht="45" customHeight="1">
      <c r="A9" s="380" t="s">
        <v>38</v>
      </c>
      <c r="B9" s="381"/>
      <c r="C9" s="382" t="s">
        <v>39</v>
      </c>
      <c r="D9" s="384" t="s">
        <v>40</v>
      </c>
      <c r="E9" s="386" t="s">
        <v>60</v>
      </c>
      <c r="F9" s="387"/>
      <c r="G9" s="387"/>
      <c r="H9" s="388"/>
    </row>
    <row r="10" spans="1:10" s="35" customFormat="1" ht="99.95">
      <c r="A10" s="262" t="s">
        <v>14</v>
      </c>
      <c r="B10" s="262" t="s">
        <v>15</v>
      </c>
      <c r="C10" s="383"/>
      <c r="D10" s="385"/>
      <c r="E10" s="263" t="s">
        <v>41</v>
      </c>
      <c r="F10" s="263" t="s">
        <v>42</v>
      </c>
      <c r="G10" s="263" t="s">
        <v>43</v>
      </c>
      <c r="H10" s="263" t="s">
        <v>44</v>
      </c>
    </row>
    <row r="11" spans="1:10" s="35" customFormat="1">
      <c r="A11" s="262"/>
      <c r="B11" s="262"/>
      <c r="C11" s="44" t="s">
        <v>45</v>
      </c>
      <c r="D11" s="40">
        <f>SUM(E11:H11)</f>
        <v>-276870.5</v>
      </c>
      <c r="E11" s="41">
        <f>+E13</f>
        <v>100310.5</v>
      </c>
      <c r="F11" s="41">
        <f>+F13</f>
        <v>-388093.1</v>
      </c>
      <c r="G11" s="41">
        <f>+G13</f>
        <v>61000.6</v>
      </c>
      <c r="H11" s="41">
        <f>+H13</f>
        <v>-50088.5</v>
      </c>
      <c r="I11" s="251"/>
      <c r="J11" s="251"/>
    </row>
    <row r="12" spans="1:10" s="35" customFormat="1">
      <c r="A12" s="262"/>
      <c r="B12" s="262"/>
      <c r="C12" s="44" t="s">
        <v>46</v>
      </c>
      <c r="D12" s="335"/>
      <c r="E12" s="334"/>
      <c r="F12" s="334"/>
      <c r="G12" s="334"/>
      <c r="H12" s="334"/>
      <c r="I12" s="336"/>
      <c r="J12" s="176"/>
    </row>
    <row r="13" spans="1:10" s="35" customFormat="1" ht="33.35">
      <c r="A13" s="42"/>
      <c r="B13" s="264"/>
      <c r="C13" s="264" t="s">
        <v>17</v>
      </c>
      <c r="D13" s="40">
        <f>SUM(E13:H13)</f>
        <v>-276870.5</v>
      </c>
      <c r="E13" s="41">
        <f>+E15+E29+E33+E59+E64+E68+E72+E76+E77+E81</f>
        <v>100310.5</v>
      </c>
      <c r="F13" s="41">
        <f t="shared" ref="F13:H13" si="0">+F15+F29+F33+F59+F64+F68+F72+F76+F77+F81</f>
        <v>-388093.1</v>
      </c>
      <c r="G13" s="41">
        <f t="shared" si="0"/>
        <v>61000.6</v>
      </c>
      <c r="H13" s="41">
        <f t="shared" si="0"/>
        <v>-50088.5</v>
      </c>
      <c r="I13" s="251"/>
    </row>
    <row r="14" spans="1:10" s="35" customFormat="1">
      <c r="A14" s="42"/>
      <c r="B14" s="42"/>
      <c r="C14" s="42" t="s">
        <v>47</v>
      </c>
      <c r="D14" s="43"/>
      <c r="E14" s="43"/>
      <c r="F14" s="43"/>
      <c r="G14" s="43"/>
      <c r="H14" s="43"/>
    </row>
    <row r="15" spans="1:10" s="35" customFormat="1" ht="50">
      <c r="A15" s="178">
        <v>1045</v>
      </c>
      <c r="B15" s="178">
        <v>32001</v>
      </c>
      <c r="C15" s="179" t="s">
        <v>171</v>
      </c>
      <c r="D15" s="41">
        <f>SUM(E15:H15)</f>
        <v>-50850.299999999988</v>
      </c>
      <c r="E15" s="40">
        <f>+E17+E22+E24+E27</f>
        <v>0</v>
      </c>
      <c r="F15" s="40">
        <f t="shared" ref="F15:H15" si="1">+F17+F22+F24+F27</f>
        <v>-68568.799999999988</v>
      </c>
      <c r="G15" s="40">
        <f t="shared" si="1"/>
        <v>17718.5</v>
      </c>
      <c r="H15" s="40">
        <f t="shared" si="1"/>
        <v>0</v>
      </c>
    </row>
    <row r="16" spans="1:10" s="104" customFormat="1">
      <c r="A16" s="99"/>
      <c r="B16" s="99"/>
      <c r="C16" s="100" t="s">
        <v>6</v>
      </c>
      <c r="D16" s="101"/>
      <c r="E16" s="102"/>
      <c r="F16" s="103"/>
      <c r="G16" s="278"/>
      <c r="H16" s="103"/>
    </row>
    <row r="17" spans="1:10" s="53" customFormat="1" ht="16.95" customHeight="1">
      <c r="A17" s="124"/>
      <c r="B17" s="124"/>
      <c r="C17" s="180" t="s">
        <v>54</v>
      </c>
      <c r="D17" s="181">
        <f>SUM(E17:H17)</f>
        <v>-80118.099999999991</v>
      </c>
      <c r="E17" s="181">
        <f>+E18+E19+E20+E21</f>
        <v>0</v>
      </c>
      <c r="F17" s="181">
        <f t="shared" ref="F17:H17" si="2">+F18+F19+F20+F21</f>
        <v>-68568.799999999988</v>
      </c>
      <c r="G17" s="181">
        <f t="shared" si="2"/>
        <v>-11549.3</v>
      </c>
      <c r="H17" s="181">
        <f t="shared" si="2"/>
        <v>0</v>
      </c>
      <c r="I17" s="182"/>
      <c r="J17" s="182"/>
    </row>
    <row r="18" spans="1:10" s="54" customFormat="1" ht="35.5">
      <c r="A18" s="396"/>
      <c r="B18" s="396"/>
      <c r="C18" s="183" t="s">
        <v>155</v>
      </c>
      <c r="D18" s="164">
        <f>+E18+F18+G18+H18</f>
        <v>87072</v>
      </c>
      <c r="E18" s="164"/>
      <c r="F18" s="164">
        <f>+'Հավելված N 8'!I54+'Հավելված N 8'!I57+'Հավելված N 8'!I59</f>
        <v>86885</v>
      </c>
      <c r="G18" s="164">
        <v>187</v>
      </c>
      <c r="H18" s="164"/>
      <c r="I18" s="184"/>
      <c r="J18" s="184"/>
    </row>
    <row r="19" spans="1:10" s="54" customFormat="1" ht="32.4" customHeight="1">
      <c r="A19" s="397"/>
      <c r="B19" s="397"/>
      <c r="C19" s="183" t="s">
        <v>156</v>
      </c>
      <c r="D19" s="164">
        <f>+E19+F19+G19+H19</f>
        <v>-17317</v>
      </c>
      <c r="E19" s="164"/>
      <c r="F19" s="164"/>
      <c r="G19" s="164">
        <f>+'Հավելված N 8'!I62+'Հավելված N 8'!I67</f>
        <v>-17317</v>
      </c>
      <c r="H19" s="164"/>
      <c r="I19" s="184"/>
      <c r="J19" s="184"/>
    </row>
    <row r="20" spans="1:10" s="54" customFormat="1" ht="35.5">
      <c r="A20" s="397"/>
      <c r="B20" s="397"/>
      <c r="C20" s="183" t="s">
        <v>157</v>
      </c>
      <c r="D20" s="164">
        <f>+E20+F20+G20+H20</f>
        <v>-150703.79999999999</v>
      </c>
      <c r="E20" s="164"/>
      <c r="F20" s="164">
        <f>+'Հավելված N 8'!I55+'Հավելված N 8'!I58+'Հավելված N 8'!I60</f>
        <v>-155453.79999999999</v>
      </c>
      <c r="G20" s="164">
        <f>+'Հավելված N 8'!I61</f>
        <v>4750</v>
      </c>
      <c r="H20" s="164"/>
      <c r="I20" s="184"/>
      <c r="J20" s="184"/>
    </row>
    <row r="21" spans="1:10" s="54" customFormat="1">
      <c r="A21" s="398"/>
      <c r="B21" s="398"/>
      <c r="C21" s="183" t="s">
        <v>176</v>
      </c>
      <c r="D21" s="164">
        <f>+E21+F21+G21+H21</f>
        <v>830.7</v>
      </c>
      <c r="E21" s="164"/>
      <c r="F21" s="164"/>
      <c r="G21" s="164">
        <f>+'Հավելված N 8'!I66+49</f>
        <v>830.7</v>
      </c>
      <c r="H21" s="164"/>
      <c r="I21" s="184"/>
      <c r="J21" s="184"/>
    </row>
    <row r="22" spans="1:10" s="53" customFormat="1" ht="16.95" customHeight="1">
      <c r="A22" s="124"/>
      <c r="B22" s="124"/>
      <c r="C22" s="180" t="s">
        <v>74</v>
      </c>
      <c r="D22" s="181">
        <f>SUM(E22:H22)</f>
        <v>711.6</v>
      </c>
      <c r="E22" s="181">
        <f>+E23</f>
        <v>0</v>
      </c>
      <c r="F22" s="181">
        <f t="shared" ref="F22:H22" si="3">+F23</f>
        <v>0</v>
      </c>
      <c r="G22" s="181">
        <f t="shared" si="3"/>
        <v>711.6</v>
      </c>
      <c r="H22" s="181">
        <f t="shared" si="3"/>
        <v>0</v>
      </c>
      <c r="I22" s="182"/>
      <c r="J22" s="182"/>
    </row>
    <row r="23" spans="1:10" s="54" customFormat="1" ht="35.5">
      <c r="A23" s="201"/>
      <c r="B23" s="201"/>
      <c r="C23" s="183" t="s">
        <v>177</v>
      </c>
      <c r="D23" s="164">
        <f>+E23+F23+G23+H23</f>
        <v>711.6</v>
      </c>
      <c r="E23" s="164"/>
      <c r="F23" s="164"/>
      <c r="G23" s="164">
        <v>711.6</v>
      </c>
      <c r="H23" s="164"/>
      <c r="I23" s="184"/>
      <c r="J23" s="184"/>
    </row>
    <row r="24" spans="1:10" s="53" customFormat="1" ht="16.95" customHeight="1">
      <c r="A24" s="124"/>
      <c r="B24" s="124"/>
      <c r="C24" s="180" t="s">
        <v>150</v>
      </c>
      <c r="D24" s="181">
        <f>SUM(E24:H24)</f>
        <v>17112.8</v>
      </c>
      <c r="E24" s="181">
        <f>+E25+E26</f>
        <v>0</v>
      </c>
      <c r="F24" s="181">
        <f>+F25+F26</f>
        <v>0</v>
      </c>
      <c r="G24" s="181">
        <f>+G25+G26</f>
        <v>17112.8</v>
      </c>
      <c r="H24" s="181">
        <f>+H25+H26</f>
        <v>0</v>
      </c>
      <c r="I24" s="182"/>
      <c r="J24" s="182"/>
    </row>
    <row r="25" spans="1:10" s="54" customFormat="1">
      <c r="A25" s="389"/>
      <c r="B25" s="389"/>
      <c r="C25" s="183" t="s">
        <v>158</v>
      </c>
      <c r="D25" s="164">
        <f>+E25+F25+G25+H25</f>
        <v>1822.4</v>
      </c>
      <c r="E25" s="164"/>
      <c r="F25" s="164"/>
      <c r="G25" s="164">
        <v>1822.4</v>
      </c>
      <c r="H25" s="164"/>
      <c r="I25" s="184"/>
      <c r="J25" s="184"/>
    </row>
    <row r="26" spans="1:10" s="54" customFormat="1">
      <c r="A26" s="390"/>
      <c r="B26" s="390"/>
      <c r="C26" s="183" t="s">
        <v>159</v>
      </c>
      <c r="D26" s="164">
        <f>+E26+F26+G26+H26</f>
        <v>15290.4</v>
      </c>
      <c r="E26" s="164"/>
      <c r="F26" s="164"/>
      <c r="G26" s="164">
        <f>+'Հավելված N 8'!I64+'Հավելված N 8'!I70</f>
        <v>15290.4</v>
      </c>
      <c r="H26" s="164"/>
      <c r="I26" s="184"/>
      <c r="J26" s="184"/>
    </row>
    <row r="27" spans="1:10" s="53" customFormat="1" ht="16.95" customHeight="1">
      <c r="A27" s="124"/>
      <c r="B27" s="124"/>
      <c r="C27" s="180" t="s">
        <v>67</v>
      </c>
      <c r="D27" s="181">
        <f>SUM(E27:H27)</f>
        <v>11443.4</v>
      </c>
      <c r="E27" s="181">
        <f>+E28</f>
        <v>0</v>
      </c>
      <c r="F27" s="181">
        <f t="shared" ref="F27:H27" si="4">+F28</f>
        <v>0</v>
      </c>
      <c r="G27" s="181">
        <f t="shared" si="4"/>
        <v>11443.4</v>
      </c>
      <c r="H27" s="181">
        <f t="shared" si="4"/>
        <v>0</v>
      </c>
      <c r="I27" s="182"/>
      <c r="J27" s="182"/>
    </row>
    <row r="28" spans="1:10" s="54" customFormat="1" ht="35.5">
      <c r="A28" s="201"/>
      <c r="B28" s="201"/>
      <c r="C28" s="183" t="s">
        <v>178</v>
      </c>
      <c r="D28" s="164">
        <f>+E28+F28+G28+H28</f>
        <v>11443.4</v>
      </c>
      <c r="E28" s="164"/>
      <c r="F28" s="164"/>
      <c r="G28" s="164">
        <f>+'Հավելված N 8'!I65</f>
        <v>11443.4</v>
      </c>
      <c r="H28" s="164"/>
      <c r="I28" s="184"/>
      <c r="J28" s="184"/>
    </row>
    <row r="29" spans="1:10" s="35" customFormat="1" ht="33.35">
      <c r="A29" s="178">
        <v>1045</v>
      </c>
      <c r="B29" s="178">
        <v>32005</v>
      </c>
      <c r="C29" s="179" t="s">
        <v>172</v>
      </c>
      <c r="D29" s="41">
        <f>SUM(E29:H29)</f>
        <v>40742.1</v>
      </c>
      <c r="E29" s="40">
        <f>+E31</f>
        <v>0</v>
      </c>
      <c r="F29" s="40">
        <f>+F31</f>
        <v>0</v>
      </c>
      <c r="G29" s="40">
        <f>+G31</f>
        <v>40742.1</v>
      </c>
      <c r="H29" s="40">
        <f>+H31</f>
        <v>0</v>
      </c>
    </row>
    <row r="30" spans="1:10" s="104" customFormat="1">
      <c r="A30" s="99"/>
      <c r="B30" s="99"/>
      <c r="C30" s="100" t="s">
        <v>6</v>
      </c>
      <c r="D30" s="101"/>
      <c r="E30" s="102"/>
      <c r="F30" s="103"/>
      <c r="G30" s="103"/>
      <c r="H30" s="103"/>
    </row>
    <row r="31" spans="1:10" s="53" customFormat="1" ht="16.95" customHeight="1">
      <c r="A31" s="124"/>
      <c r="B31" s="124"/>
      <c r="C31" s="180" t="s">
        <v>54</v>
      </c>
      <c r="D31" s="181">
        <f>SUM(E31:H31)</f>
        <v>40742.1</v>
      </c>
      <c r="E31" s="181">
        <f>+E32</f>
        <v>0</v>
      </c>
      <c r="F31" s="181">
        <f>+F32</f>
        <v>0</v>
      </c>
      <c r="G31" s="181">
        <f>+G32</f>
        <v>40742.1</v>
      </c>
      <c r="H31" s="181">
        <f>+H32</f>
        <v>0</v>
      </c>
      <c r="I31" s="182"/>
      <c r="J31" s="182"/>
    </row>
    <row r="32" spans="1:10" s="54" customFormat="1" ht="35.5">
      <c r="A32" s="201"/>
      <c r="B32" s="201"/>
      <c r="C32" s="183" t="s">
        <v>157</v>
      </c>
      <c r="D32" s="164">
        <f>+E32+F32+G32+H32</f>
        <v>40742.1</v>
      </c>
      <c r="E32" s="164"/>
      <c r="F32" s="164"/>
      <c r="G32" s="164">
        <f>+'Հավելված N 8'!I73+'Հավելված N 8'!I74</f>
        <v>40742.1</v>
      </c>
      <c r="H32" s="164"/>
      <c r="I32" s="184"/>
      <c r="J32" s="184"/>
    </row>
    <row r="33" spans="1:9" s="35" customFormat="1" ht="33.35">
      <c r="A33" s="44">
        <v>1075</v>
      </c>
      <c r="B33" s="31">
        <v>21001</v>
      </c>
      <c r="C33" s="59" t="s">
        <v>64</v>
      </c>
      <c r="D33" s="40">
        <f>SUM(E33:H33)</f>
        <v>-58890</v>
      </c>
      <c r="E33" s="40">
        <f>+E35+E48</f>
        <v>0</v>
      </c>
      <c r="F33" s="40">
        <f>+F35+F48</f>
        <v>-61430</v>
      </c>
      <c r="G33" s="40">
        <f>+G35+G48</f>
        <v>2540</v>
      </c>
      <c r="H33" s="40">
        <f>+H35+H48</f>
        <v>0</v>
      </c>
      <c r="I33" s="176"/>
    </row>
    <row r="34" spans="1:9" s="3" customFormat="1">
      <c r="A34" s="45"/>
      <c r="B34" s="45"/>
      <c r="C34" s="60" t="s">
        <v>6</v>
      </c>
      <c r="D34" s="166"/>
      <c r="E34" s="162"/>
      <c r="F34" s="163"/>
      <c r="G34" s="25"/>
      <c r="H34" s="25"/>
    </row>
    <row r="35" spans="1:9" s="53" customFormat="1">
      <c r="A35" s="56"/>
      <c r="B35" s="56"/>
      <c r="C35" s="69" t="s">
        <v>134</v>
      </c>
      <c r="D35" s="75">
        <f>SUM(E35:H35)</f>
        <v>-61430</v>
      </c>
      <c r="E35" s="75">
        <f>+E37+E39+E41+E43+E45</f>
        <v>0</v>
      </c>
      <c r="F35" s="75">
        <f>+F37+F39+F41+F43+F45</f>
        <v>-61430</v>
      </c>
      <c r="G35" s="75">
        <f>+G37+G39+G41+G43+G45</f>
        <v>0</v>
      </c>
      <c r="H35" s="75">
        <f>+H37+H39+H41+H43+H45</f>
        <v>0</v>
      </c>
      <c r="I35" s="52"/>
    </row>
    <row r="36" spans="1:9" s="3" customFormat="1">
      <c r="A36" s="45"/>
      <c r="B36" s="45"/>
      <c r="C36" s="42" t="s">
        <v>65</v>
      </c>
      <c r="D36" s="25"/>
      <c r="E36" s="162"/>
      <c r="F36" s="163"/>
      <c r="G36" s="25"/>
      <c r="H36" s="25"/>
    </row>
    <row r="37" spans="1:9" s="53" customFormat="1" ht="16.95" customHeight="1">
      <c r="A37" s="56"/>
      <c r="B37" s="56"/>
      <c r="C37" s="55" t="s">
        <v>96</v>
      </c>
      <c r="D37" s="46">
        <f>SUM(E37:H37)</f>
        <v>-25000</v>
      </c>
      <c r="E37" s="46">
        <f>+E38</f>
        <v>0</v>
      </c>
      <c r="F37" s="46">
        <f>+F38</f>
        <v>-25000</v>
      </c>
      <c r="G37" s="46">
        <f>+G38</f>
        <v>0</v>
      </c>
      <c r="H37" s="46">
        <f>+H38</f>
        <v>0</v>
      </c>
      <c r="I37" s="52"/>
    </row>
    <row r="38" spans="1:9" s="54" customFormat="1" ht="51.05" customHeight="1">
      <c r="A38" s="97"/>
      <c r="B38" s="97"/>
      <c r="C38" s="71" t="s">
        <v>146</v>
      </c>
      <c r="D38" s="47">
        <f>+E38+F38+G38+H38</f>
        <v>-25000</v>
      </c>
      <c r="E38" s="47"/>
      <c r="F38" s="47">
        <f>+'Հավելված N 8'!I31</f>
        <v>-25000</v>
      </c>
      <c r="G38" s="47"/>
      <c r="H38" s="47"/>
    </row>
    <row r="39" spans="1:9" s="53" customFormat="1" ht="16.95" customHeight="1">
      <c r="A39" s="56"/>
      <c r="B39" s="56"/>
      <c r="C39" s="55" t="s">
        <v>75</v>
      </c>
      <c r="D39" s="46">
        <f>SUM(E39:H39)</f>
        <v>4633.2000000000007</v>
      </c>
      <c r="E39" s="46">
        <f>+E40</f>
        <v>0</v>
      </c>
      <c r="F39" s="46">
        <f>+F40</f>
        <v>4633.2000000000007</v>
      </c>
      <c r="G39" s="46">
        <f>+G40</f>
        <v>0</v>
      </c>
      <c r="H39" s="46">
        <f>+H40</f>
        <v>0</v>
      </c>
      <c r="I39" s="52"/>
    </row>
    <row r="40" spans="1:9" s="54" customFormat="1" ht="53.2">
      <c r="A40" s="97"/>
      <c r="B40" s="97"/>
      <c r="C40" s="71" t="s">
        <v>135</v>
      </c>
      <c r="D40" s="47">
        <f>+E40+F40+G40+H40</f>
        <v>4633.2000000000007</v>
      </c>
      <c r="E40" s="47"/>
      <c r="F40" s="47">
        <f>+'Հավելված N 8'!I30+'Հավելված N 8'!I37+'Հավելված N 8'!I38</f>
        <v>4633.2000000000007</v>
      </c>
      <c r="G40" s="47"/>
      <c r="H40" s="47"/>
    </row>
    <row r="41" spans="1:9" s="53" customFormat="1" ht="16.95" customHeight="1">
      <c r="A41" s="56"/>
      <c r="B41" s="56"/>
      <c r="C41" s="55" t="s">
        <v>74</v>
      </c>
      <c r="D41" s="46">
        <f>SUM(E41:H41)</f>
        <v>-20000</v>
      </c>
      <c r="E41" s="46">
        <f>+E42</f>
        <v>0</v>
      </c>
      <c r="F41" s="46">
        <f>+F42</f>
        <v>-20000</v>
      </c>
      <c r="G41" s="46">
        <f>+G42</f>
        <v>0</v>
      </c>
      <c r="H41" s="46">
        <f>+H42</f>
        <v>0</v>
      </c>
      <c r="I41" s="52"/>
    </row>
    <row r="42" spans="1:9" s="54" customFormat="1" ht="35.5">
      <c r="A42" s="97"/>
      <c r="B42" s="97"/>
      <c r="C42" s="71" t="s">
        <v>152</v>
      </c>
      <c r="D42" s="47">
        <f>+E42+F42+G42+H42</f>
        <v>-20000</v>
      </c>
      <c r="E42" s="47"/>
      <c r="F42" s="47">
        <f>+'Հավելված N 8'!I35</f>
        <v>-20000</v>
      </c>
      <c r="G42" s="47"/>
      <c r="H42" s="47"/>
    </row>
    <row r="43" spans="1:9" s="53" customFormat="1" ht="16.95" customHeight="1">
      <c r="A43" s="56"/>
      <c r="B43" s="56"/>
      <c r="C43" s="55" t="s">
        <v>150</v>
      </c>
      <c r="D43" s="46">
        <f>SUM(E43:H43)</f>
        <v>-10000</v>
      </c>
      <c r="E43" s="46">
        <f>+E44</f>
        <v>0</v>
      </c>
      <c r="F43" s="46">
        <f>+F44</f>
        <v>-10000</v>
      </c>
      <c r="G43" s="46">
        <f>+G44</f>
        <v>0</v>
      </c>
      <c r="H43" s="46">
        <f>+H44</f>
        <v>0</v>
      </c>
      <c r="I43" s="52"/>
    </row>
    <row r="44" spans="1:9" s="54" customFormat="1" ht="53.2">
      <c r="A44" s="97"/>
      <c r="B44" s="97"/>
      <c r="C44" s="71" t="s">
        <v>151</v>
      </c>
      <c r="D44" s="47">
        <f>+E44+F44+G44+H44</f>
        <v>-10000</v>
      </c>
      <c r="E44" s="47"/>
      <c r="F44" s="47">
        <f>+'Հավելված N 8'!I32</f>
        <v>-10000</v>
      </c>
      <c r="G44" s="47"/>
      <c r="H44" s="47"/>
    </row>
    <row r="45" spans="1:9" s="53" customFormat="1" ht="16.95" customHeight="1">
      <c r="A45" s="56"/>
      <c r="B45" s="56"/>
      <c r="C45" s="55" t="s">
        <v>67</v>
      </c>
      <c r="D45" s="46">
        <f>SUM(E45:H45)</f>
        <v>-11063.2</v>
      </c>
      <c r="E45" s="46">
        <f>+E46+E47</f>
        <v>0</v>
      </c>
      <c r="F45" s="46">
        <f>+F46+F47</f>
        <v>-11063.2</v>
      </c>
      <c r="G45" s="46">
        <f>+G46+G47</f>
        <v>0</v>
      </c>
      <c r="H45" s="46">
        <f>+H46+H47</f>
        <v>0</v>
      </c>
      <c r="I45" s="52"/>
    </row>
    <row r="46" spans="1:9" s="54" customFormat="1" ht="35.5">
      <c r="A46" s="389"/>
      <c r="B46" s="389"/>
      <c r="C46" s="71" t="s">
        <v>138</v>
      </c>
      <c r="D46" s="47">
        <f>+E46+F46+G46+H46</f>
        <v>5487.2000000000007</v>
      </c>
      <c r="E46" s="47"/>
      <c r="F46" s="47">
        <f>+'Հավելված N 8'!I34</f>
        <v>5487.2000000000007</v>
      </c>
      <c r="G46" s="47"/>
      <c r="H46" s="47"/>
    </row>
    <row r="47" spans="1:9" s="54" customFormat="1" ht="53.2">
      <c r="A47" s="390"/>
      <c r="B47" s="390"/>
      <c r="C47" s="71" t="s">
        <v>153</v>
      </c>
      <c r="D47" s="47">
        <f>+E47+F47+G47+H47</f>
        <v>-16550.400000000001</v>
      </c>
      <c r="E47" s="47"/>
      <c r="F47" s="47">
        <f>+'Հավելված N 8'!I33</f>
        <v>-16550.400000000001</v>
      </c>
      <c r="G47" s="47"/>
      <c r="H47" s="47"/>
    </row>
    <row r="48" spans="1:9" s="53" customFormat="1" ht="66.650000000000006">
      <c r="A48" s="56"/>
      <c r="B48" s="56"/>
      <c r="C48" s="69" t="s">
        <v>66</v>
      </c>
      <c r="D48" s="75">
        <f>SUM(E48:H48)</f>
        <v>2540</v>
      </c>
      <c r="E48" s="75">
        <f>+E50+E52+E54+E56</f>
        <v>0</v>
      </c>
      <c r="F48" s="75">
        <f>+F50+F52+F54+F56</f>
        <v>0</v>
      </c>
      <c r="G48" s="75">
        <f>+G50+G52+G54+G56</f>
        <v>2540</v>
      </c>
      <c r="H48" s="75">
        <f>+H50+H52+H54+H56</f>
        <v>0</v>
      </c>
      <c r="I48" s="52"/>
    </row>
    <row r="49" spans="1:10" s="3" customFormat="1">
      <c r="A49" s="45"/>
      <c r="B49" s="45"/>
      <c r="C49" s="42" t="s">
        <v>65</v>
      </c>
      <c r="D49" s="25"/>
      <c r="E49" s="162"/>
      <c r="F49" s="163"/>
      <c r="G49" s="25"/>
      <c r="H49" s="25"/>
    </row>
    <row r="50" spans="1:10" s="53" customFormat="1" ht="16.95" customHeight="1">
      <c r="A50" s="56"/>
      <c r="B50" s="56"/>
      <c r="C50" s="55" t="s">
        <v>53</v>
      </c>
      <c r="D50" s="46">
        <f>SUM(E50:H50)</f>
        <v>460</v>
      </c>
      <c r="E50" s="46">
        <f>+E51</f>
        <v>0</v>
      </c>
      <c r="F50" s="46">
        <f>+F51</f>
        <v>0</v>
      </c>
      <c r="G50" s="46">
        <f>+G51</f>
        <v>460</v>
      </c>
      <c r="H50" s="46">
        <f>+H51</f>
        <v>0</v>
      </c>
      <c r="I50" s="52"/>
    </row>
    <row r="51" spans="1:10" s="54" customFormat="1" ht="53.2">
      <c r="A51" s="97"/>
      <c r="B51" s="97"/>
      <c r="C51" s="71" t="s">
        <v>141</v>
      </c>
      <c r="D51" s="47">
        <f>+E51+F51+G51+H51</f>
        <v>460</v>
      </c>
      <c r="E51" s="47"/>
      <c r="F51" s="47"/>
      <c r="G51" s="47">
        <f>+'Հավելված N 8'!I39</f>
        <v>460</v>
      </c>
      <c r="H51" s="47"/>
    </row>
    <row r="52" spans="1:10" s="53" customFormat="1" ht="16.95" customHeight="1">
      <c r="A52" s="56"/>
      <c r="B52" s="56"/>
      <c r="C52" s="55" t="s">
        <v>94</v>
      </c>
      <c r="D52" s="46">
        <f>SUM(E52:H52)</f>
        <v>680</v>
      </c>
      <c r="E52" s="46">
        <f>+E53</f>
        <v>0</v>
      </c>
      <c r="F52" s="46">
        <f>+F53</f>
        <v>0</v>
      </c>
      <c r="G52" s="46">
        <f>+G53</f>
        <v>680</v>
      </c>
      <c r="H52" s="46">
        <f>+H53</f>
        <v>0</v>
      </c>
      <c r="I52" s="52"/>
    </row>
    <row r="53" spans="1:10" s="54" customFormat="1" ht="53.2">
      <c r="A53" s="97"/>
      <c r="B53" s="97"/>
      <c r="C53" s="71" t="s">
        <v>142</v>
      </c>
      <c r="D53" s="47">
        <f>+E53+F53+G53+H53</f>
        <v>680</v>
      </c>
      <c r="E53" s="47"/>
      <c r="F53" s="47"/>
      <c r="G53" s="47">
        <f>+'Հավելված N 8'!I40</f>
        <v>680</v>
      </c>
      <c r="H53" s="47"/>
    </row>
    <row r="54" spans="1:10" s="53" customFormat="1" ht="16.95" customHeight="1">
      <c r="A54" s="56"/>
      <c r="B54" s="56"/>
      <c r="C54" s="55" t="s">
        <v>75</v>
      </c>
      <c r="D54" s="46">
        <f>SUM(E54:H54)</f>
        <v>400</v>
      </c>
      <c r="E54" s="46">
        <f>+E55</f>
        <v>0</v>
      </c>
      <c r="F54" s="46">
        <f>+F55</f>
        <v>0</v>
      </c>
      <c r="G54" s="46">
        <f>+G55</f>
        <v>400</v>
      </c>
      <c r="H54" s="46">
        <f>+H55</f>
        <v>0</v>
      </c>
      <c r="I54" s="52"/>
    </row>
    <row r="55" spans="1:10" s="54" customFormat="1" ht="88.7">
      <c r="A55" s="97"/>
      <c r="B55" s="97"/>
      <c r="C55" s="71" t="s">
        <v>143</v>
      </c>
      <c r="D55" s="47">
        <f>+E55+F55+G55+H55</f>
        <v>400</v>
      </c>
      <c r="E55" s="47"/>
      <c r="F55" s="47"/>
      <c r="G55" s="47">
        <f>+'Հավելված N 8'!I41</f>
        <v>400</v>
      </c>
      <c r="H55" s="47"/>
    </row>
    <row r="56" spans="1:10" s="53" customFormat="1" ht="16.95" customHeight="1">
      <c r="A56" s="56"/>
      <c r="B56" s="56"/>
      <c r="C56" s="55" t="s">
        <v>95</v>
      </c>
      <c r="D56" s="46">
        <f>SUM(E56:H56)</f>
        <v>1000</v>
      </c>
      <c r="E56" s="46">
        <f>+E57+E58</f>
        <v>0</v>
      </c>
      <c r="F56" s="46">
        <f>+F57+F58</f>
        <v>0</v>
      </c>
      <c r="G56" s="46">
        <f>+G57+G58</f>
        <v>1000</v>
      </c>
      <c r="H56" s="46">
        <f>+H57+H58</f>
        <v>0</v>
      </c>
      <c r="I56" s="52"/>
    </row>
    <row r="57" spans="1:10" s="54" customFormat="1" ht="53.2">
      <c r="A57" s="389"/>
      <c r="B57" s="389"/>
      <c r="C57" s="71" t="s">
        <v>144</v>
      </c>
      <c r="D57" s="47">
        <f>+E57+F57+G57+H57</f>
        <v>500</v>
      </c>
      <c r="E57" s="47"/>
      <c r="F57" s="47"/>
      <c r="G57" s="47">
        <f>+'Հավելված N 8'!I42</f>
        <v>500</v>
      </c>
      <c r="H57" s="47"/>
    </row>
    <row r="58" spans="1:10" s="54" customFormat="1" ht="70.95">
      <c r="A58" s="390"/>
      <c r="B58" s="390"/>
      <c r="C58" s="71" t="s">
        <v>145</v>
      </c>
      <c r="D58" s="47">
        <f>+E58+F58+G58+H58</f>
        <v>500</v>
      </c>
      <c r="E58" s="47"/>
      <c r="F58" s="47"/>
      <c r="G58" s="47">
        <f>+'Հավելված N 8'!I43</f>
        <v>500</v>
      </c>
      <c r="H58" s="47"/>
    </row>
    <row r="59" spans="1:10" s="35" customFormat="1" ht="33.35">
      <c r="A59" s="178">
        <v>1075</v>
      </c>
      <c r="B59" s="178">
        <v>32001</v>
      </c>
      <c r="C59" s="179" t="s">
        <v>183</v>
      </c>
      <c r="D59" s="215">
        <f>SUM(E59:H59)</f>
        <v>-265208.8</v>
      </c>
      <c r="E59" s="215">
        <f>+E61</f>
        <v>0</v>
      </c>
      <c r="F59" s="215">
        <f>+F61</f>
        <v>-265208.8</v>
      </c>
      <c r="G59" s="215">
        <f t="shared" ref="G59:H59" si="5">+G61</f>
        <v>0</v>
      </c>
      <c r="H59" s="215">
        <f t="shared" si="5"/>
        <v>0</v>
      </c>
      <c r="I59" s="216"/>
      <c r="J59" s="216"/>
    </row>
    <row r="60" spans="1:10" s="3" customFormat="1">
      <c r="A60" s="217"/>
      <c r="B60" s="217"/>
      <c r="C60" s="218" t="s">
        <v>6</v>
      </c>
      <c r="D60" s="124"/>
      <c r="E60" s="219"/>
      <c r="F60" s="219"/>
      <c r="G60" s="219"/>
      <c r="H60" s="219"/>
      <c r="I60" s="216"/>
      <c r="J60" s="216"/>
    </row>
    <row r="61" spans="1:10" s="53" customFormat="1" ht="16.95" customHeight="1">
      <c r="A61" s="56"/>
      <c r="B61" s="56"/>
      <c r="C61" s="180" t="s">
        <v>54</v>
      </c>
      <c r="D61" s="181">
        <f>SUM(E61:H61)</f>
        <v>-265208.8</v>
      </c>
      <c r="E61" s="181">
        <f>+E62+E63</f>
        <v>0</v>
      </c>
      <c r="F61" s="181">
        <f t="shared" ref="F61:H61" si="6">+F62+F63</f>
        <v>-265208.8</v>
      </c>
      <c r="G61" s="181">
        <f t="shared" si="6"/>
        <v>0</v>
      </c>
      <c r="H61" s="181">
        <f t="shared" si="6"/>
        <v>0</v>
      </c>
      <c r="I61" s="182"/>
      <c r="J61" s="182"/>
    </row>
    <row r="62" spans="1:10" s="54" customFormat="1">
      <c r="A62" s="389"/>
      <c r="B62" s="389"/>
      <c r="C62" s="183" t="s">
        <v>184</v>
      </c>
      <c r="D62" s="164">
        <f t="shared" ref="D62" si="7">+E62+F62+G62+H62</f>
        <v>-265332.59999999998</v>
      </c>
      <c r="E62" s="164"/>
      <c r="F62" s="164">
        <f>+'Հավելված N 8'!I17+'Հավելված N 8'!I19+'Հավելված N 8'!I20</f>
        <v>-265332.59999999998</v>
      </c>
      <c r="G62" s="164"/>
      <c r="H62" s="164"/>
      <c r="I62" s="184"/>
      <c r="J62" s="184"/>
    </row>
    <row r="63" spans="1:10" s="54" customFormat="1">
      <c r="A63" s="390"/>
      <c r="B63" s="390"/>
      <c r="C63" s="183" t="s">
        <v>198</v>
      </c>
      <c r="D63" s="164">
        <f t="shared" ref="D63" si="8">+E63+F63+G63+H63</f>
        <v>123.8</v>
      </c>
      <c r="E63" s="164"/>
      <c r="F63" s="164">
        <v>123.8</v>
      </c>
      <c r="G63" s="164"/>
      <c r="H63" s="164"/>
      <c r="I63" s="184"/>
      <c r="J63" s="184"/>
    </row>
    <row r="64" spans="1:10" s="35" customFormat="1" ht="33.35">
      <c r="A64" s="178">
        <v>1075</v>
      </c>
      <c r="B64" s="178">
        <v>32012</v>
      </c>
      <c r="C64" s="179" t="s">
        <v>194</v>
      </c>
      <c r="D64" s="215">
        <f>SUM(E64:H64)</f>
        <v>84898.5</v>
      </c>
      <c r="E64" s="215">
        <f>+E66</f>
        <v>84898.5</v>
      </c>
      <c r="F64" s="215">
        <f>+F66</f>
        <v>0</v>
      </c>
      <c r="G64" s="215">
        <f t="shared" ref="G64:H64" si="9">+G66</f>
        <v>0</v>
      </c>
      <c r="H64" s="215">
        <f t="shared" si="9"/>
        <v>0</v>
      </c>
      <c r="I64" s="216"/>
      <c r="J64" s="216"/>
    </row>
    <row r="65" spans="1:10" s="3" customFormat="1">
      <c r="A65" s="217"/>
      <c r="B65" s="217"/>
      <c r="C65" s="218" t="s">
        <v>6</v>
      </c>
      <c r="D65" s="124"/>
      <c r="E65" s="219"/>
      <c r="F65" s="219"/>
      <c r="G65" s="219"/>
      <c r="H65" s="219"/>
      <c r="I65" s="216"/>
      <c r="J65" s="216"/>
    </row>
    <row r="66" spans="1:10" s="53" customFormat="1" ht="16.95" customHeight="1">
      <c r="A66" s="56"/>
      <c r="B66" s="56"/>
      <c r="C66" s="180" t="s">
        <v>54</v>
      </c>
      <c r="D66" s="181">
        <f>SUM(E66:H66)</f>
        <v>84898.5</v>
      </c>
      <c r="E66" s="181">
        <f>+E67</f>
        <v>84898.5</v>
      </c>
      <c r="F66" s="181">
        <f t="shared" ref="F66:H66" si="10">+F67</f>
        <v>0</v>
      </c>
      <c r="G66" s="181">
        <f t="shared" si="10"/>
        <v>0</v>
      </c>
      <c r="H66" s="181">
        <f t="shared" si="10"/>
        <v>0</v>
      </c>
      <c r="I66" s="182"/>
      <c r="J66" s="182"/>
    </row>
    <row r="67" spans="1:10" s="54" customFormat="1">
      <c r="A67" s="232"/>
      <c r="B67" s="232"/>
      <c r="C67" s="183" t="s">
        <v>184</v>
      </c>
      <c r="D67" s="164">
        <f t="shared" ref="D67" si="11">+E67+F67+G67+H67</f>
        <v>84898.5</v>
      </c>
      <c r="E67" s="164">
        <f>+'Հավելված N 8'!I23+'Հավելված N 8'!I25+'Հավելված N 8'!I26</f>
        <v>84898.5</v>
      </c>
      <c r="F67" s="164"/>
      <c r="G67" s="164"/>
      <c r="H67" s="164"/>
      <c r="I67" s="184"/>
      <c r="J67" s="184"/>
    </row>
    <row r="68" spans="1:10" s="35" customFormat="1" ht="33.35">
      <c r="A68" s="178">
        <v>1183</v>
      </c>
      <c r="B68" s="178">
        <v>32002</v>
      </c>
      <c r="C68" s="179" t="s">
        <v>190</v>
      </c>
      <c r="D68" s="215">
        <f>SUM(E68:H68)</f>
        <v>15412</v>
      </c>
      <c r="E68" s="215">
        <f>+E70</f>
        <v>15412</v>
      </c>
      <c r="F68" s="215">
        <f>+F70</f>
        <v>0</v>
      </c>
      <c r="G68" s="215">
        <f t="shared" ref="G68:H68" si="12">+G70</f>
        <v>0</v>
      </c>
      <c r="H68" s="215">
        <f t="shared" si="12"/>
        <v>0</v>
      </c>
      <c r="I68" s="216"/>
      <c r="J68" s="216"/>
    </row>
    <row r="69" spans="1:10" s="3" customFormat="1">
      <c r="A69" s="217"/>
      <c r="B69" s="217"/>
      <c r="C69" s="218" t="s">
        <v>6</v>
      </c>
      <c r="D69" s="124"/>
      <c r="E69" s="219"/>
      <c r="F69" s="219"/>
      <c r="G69" s="219"/>
      <c r="H69" s="219"/>
      <c r="I69" s="216"/>
      <c r="J69" s="216"/>
    </row>
    <row r="70" spans="1:10" s="53" customFormat="1" ht="16.95" customHeight="1">
      <c r="A70" s="56"/>
      <c r="B70" s="56"/>
      <c r="C70" s="180" t="s">
        <v>54</v>
      </c>
      <c r="D70" s="181">
        <f>SUM(E70:H70)</f>
        <v>15412</v>
      </c>
      <c r="E70" s="181">
        <f>+E71</f>
        <v>15412</v>
      </c>
      <c r="F70" s="181">
        <f t="shared" ref="F70:H70" si="13">+F71</f>
        <v>0</v>
      </c>
      <c r="G70" s="181">
        <f t="shared" si="13"/>
        <v>0</v>
      </c>
      <c r="H70" s="181">
        <f t="shared" si="13"/>
        <v>0</v>
      </c>
      <c r="I70" s="182"/>
      <c r="J70" s="182"/>
    </row>
    <row r="71" spans="1:10" s="54" customFormat="1">
      <c r="A71" s="232"/>
      <c r="B71" s="232"/>
      <c r="C71" s="183" t="s">
        <v>191</v>
      </c>
      <c r="D71" s="164">
        <f t="shared" ref="D71" si="14">+E71+F71+G71+H71</f>
        <v>15412</v>
      </c>
      <c r="E71" s="164">
        <f>+'Հավելված N 8'!I77</f>
        <v>15412</v>
      </c>
      <c r="F71" s="164"/>
      <c r="G71" s="164"/>
      <c r="H71" s="164"/>
      <c r="I71" s="184"/>
      <c r="J71" s="184"/>
    </row>
    <row r="72" spans="1:10" s="35" customFormat="1" ht="50">
      <c r="A72" s="178">
        <v>1183</v>
      </c>
      <c r="B72" s="178">
        <v>32004</v>
      </c>
      <c r="C72" s="179" t="s">
        <v>199</v>
      </c>
      <c r="D72" s="215">
        <f>SUM(E72:H72)</f>
        <v>1410.6</v>
      </c>
      <c r="E72" s="215">
        <f>+E74</f>
        <v>0</v>
      </c>
      <c r="F72" s="215">
        <f>+F74</f>
        <v>1410.6</v>
      </c>
      <c r="G72" s="215">
        <f t="shared" ref="G72:H72" si="15">+G74</f>
        <v>0</v>
      </c>
      <c r="H72" s="215">
        <f t="shared" si="15"/>
        <v>0</v>
      </c>
      <c r="I72" s="216"/>
      <c r="J72" s="216"/>
    </row>
    <row r="73" spans="1:10" s="3" customFormat="1">
      <c r="A73" s="217"/>
      <c r="B73" s="217"/>
      <c r="C73" s="218" t="s">
        <v>6</v>
      </c>
      <c r="D73" s="124"/>
      <c r="E73" s="219"/>
      <c r="F73" s="219"/>
      <c r="G73" s="219"/>
      <c r="H73" s="219"/>
      <c r="I73" s="216"/>
      <c r="J73" s="216"/>
    </row>
    <row r="74" spans="1:10" s="53" customFormat="1" ht="16.95" customHeight="1">
      <c r="A74" s="56"/>
      <c r="B74" s="56"/>
      <c r="C74" s="180" t="s">
        <v>150</v>
      </c>
      <c r="D74" s="181">
        <f>SUM(E74:H74)</f>
        <v>1410.6</v>
      </c>
      <c r="E74" s="181">
        <f>+E75</f>
        <v>0</v>
      </c>
      <c r="F74" s="181">
        <f t="shared" ref="F74:H74" si="16">+F75</f>
        <v>1410.6</v>
      </c>
      <c r="G74" s="181">
        <f t="shared" si="16"/>
        <v>0</v>
      </c>
      <c r="H74" s="181">
        <f t="shared" si="16"/>
        <v>0</v>
      </c>
      <c r="I74" s="182"/>
      <c r="J74" s="182"/>
    </row>
    <row r="75" spans="1:10" s="54" customFormat="1">
      <c r="A75" s="232"/>
      <c r="B75" s="232"/>
      <c r="C75" s="183" t="s">
        <v>200</v>
      </c>
      <c r="D75" s="164">
        <f t="shared" ref="D75" si="17">+E75+F75+G75+H75</f>
        <v>1410.6</v>
      </c>
      <c r="E75" s="164">
        <f>+'Հավելված N 8'!I81</f>
        <v>0</v>
      </c>
      <c r="F75" s="164">
        <v>1410.6</v>
      </c>
      <c r="G75" s="164"/>
      <c r="H75" s="164"/>
      <c r="I75" s="184"/>
      <c r="J75" s="184"/>
    </row>
    <row r="76" spans="1:10" s="35" customFormat="1" ht="33.35">
      <c r="A76" s="178">
        <v>1192</v>
      </c>
      <c r="B76" s="178">
        <v>32007</v>
      </c>
      <c r="C76" s="179" t="s">
        <v>212</v>
      </c>
      <c r="D76" s="215">
        <f>SUM(E76:H76)</f>
        <v>-112092.2</v>
      </c>
      <c r="E76" s="215">
        <v>0</v>
      </c>
      <c r="F76" s="215">
        <v>0</v>
      </c>
      <c r="G76" s="215">
        <v>0</v>
      </c>
      <c r="H76" s="215">
        <v>-112092.2</v>
      </c>
      <c r="I76" s="216"/>
      <c r="J76" s="216"/>
    </row>
    <row r="77" spans="1:10" s="35" customFormat="1" ht="33.35">
      <c r="A77" s="178">
        <v>1236</v>
      </c>
      <c r="B77" s="178">
        <v>32004</v>
      </c>
      <c r="C77" s="210" t="s">
        <v>201</v>
      </c>
      <c r="D77" s="215">
        <f>SUM(E77:H77)</f>
        <v>5703.9</v>
      </c>
      <c r="E77" s="215">
        <f>+E79</f>
        <v>0</v>
      </c>
      <c r="F77" s="215">
        <f>+F79</f>
        <v>5703.9</v>
      </c>
      <c r="G77" s="215">
        <f t="shared" ref="G77:H77" si="18">+G79</f>
        <v>0</v>
      </c>
      <c r="H77" s="215">
        <f t="shared" si="18"/>
        <v>0</v>
      </c>
      <c r="I77" s="216"/>
      <c r="J77" s="216"/>
    </row>
    <row r="78" spans="1:10" s="3" customFormat="1">
      <c r="A78" s="217"/>
      <c r="B78" s="217"/>
      <c r="C78" s="218" t="s">
        <v>6</v>
      </c>
      <c r="D78" s="124"/>
      <c r="E78" s="219"/>
      <c r="F78" s="219"/>
      <c r="G78" s="219"/>
      <c r="H78" s="219"/>
      <c r="I78" s="216"/>
      <c r="J78" s="216"/>
    </row>
    <row r="79" spans="1:10" s="53" customFormat="1" ht="16.95" customHeight="1">
      <c r="A79" s="56"/>
      <c r="B79" s="56"/>
      <c r="C79" s="180" t="s">
        <v>202</v>
      </c>
      <c r="D79" s="181">
        <f>SUM(E79:H79)</f>
        <v>5703.9</v>
      </c>
      <c r="E79" s="181">
        <f>+E80</f>
        <v>0</v>
      </c>
      <c r="F79" s="181">
        <f t="shared" ref="F79:H79" si="19">+F80</f>
        <v>5703.9</v>
      </c>
      <c r="G79" s="181">
        <f t="shared" si="19"/>
        <v>0</v>
      </c>
      <c r="H79" s="181">
        <f t="shared" si="19"/>
        <v>0</v>
      </c>
      <c r="I79" s="182"/>
      <c r="J79" s="182"/>
    </row>
    <row r="80" spans="1:10" s="54" customFormat="1">
      <c r="A80" s="232"/>
      <c r="B80" s="232"/>
      <c r="C80" s="183" t="s">
        <v>203</v>
      </c>
      <c r="D80" s="164">
        <f t="shared" ref="D80" si="20">+E80+F80+G80+H80</f>
        <v>5703.9</v>
      </c>
      <c r="E80" s="164">
        <f>+'Հավելված N 8'!I85</f>
        <v>0</v>
      </c>
      <c r="F80" s="164">
        <f>+'Հավելված N 8'!I47+'Հավելված N 8'!I49+'Հավելված N 8'!I50</f>
        <v>5703.9</v>
      </c>
      <c r="G80" s="164"/>
      <c r="H80" s="164"/>
      <c r="I80" s="184"/>
      <c r="J80" s="184"/>
    </row>
    <row r="81" spans="1:10" s="35" customFormat="1" ht="50">
      <c r="A81" s="178">
        <v>1236</v>
      </c>
      <c r="B81" s="178">
        <v>32006</v>
      </c>
      <c r="C81" s="210" t="s">
        <v>216</v>
      </c>
      <c r="D81" s="215">
        <f>SUM(E81:H81)</f>
        <v>62003.7</v>
      </c>
      <c r="E81" s="215">
        <v>0</v>
      </c>
      <c r="F81" s="215">
        <v>0</v>
      </c>
      <c r="G81" s="215">
        <v>0</v>
      </c>
      <c r="H81" s="215">
        <v>62003.7</v>
      </c>
      <c r="I81" s="216"/>
      <c r="J81" s="216"/>
    </row>
  </sheetData>
  <mergeCells count="19">
    <mergeCell ref="B62:B63"/>
    <mergeCell ref="A62:A63"/>
    <mergeCell ref="F1:H1"/>
    <mergeCell ref="F2:H2"/>
    <mergeCell ref="F3:H3"/>
    <mergeCell ref="A5:H6"/>
    <mergeCell ref="G8:H8"/>
    <mergeCell ref="A9:B9"/>
    <mergeCell ref="C9:C10"/>
    <mergeCell ref="D9:D10"/>
    <mergeCell ref="E9:H9"/>
    <mergeCell ref="B57:B58"/>
    <mergeCell ref="A57:A58"/>
    <mergeCell ref="B46:B47"/>
    <mergeCell ref="A46:A47"/>
    <mergeCell ref="A25:A26"/>
    <mergeCell ref="B25:B26"/>
    <mergeCell ref="B18:B21"/>
    <mergeCell ref="A18:A2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L101"/>
  <sheetViews>
    <sheetView tabSelected="1" topLeftCell="A7" zoomScale="85" zoomScaleNormal="85" workbookViewId="0">
      <selection activeCell="E12" sqref="E12:H12"/>
    </sheetView>
  </sheetViews>
  <sheetFormatPr defaultColWidth="9.09765625" defaultRowHeight="17.75"/>
  <cols>
    <col min="1" max="3" width="9.09765625" style="159"/>
    <col min="4" max="4" width="54.19921875" style="159" customWidth="1"/>
    <col min="5" max="8" width="17.09765625" style="159" customWidth="1"/>
    <col min="9" max="9" width="33.69921875" style="159" customWidth="1"/>
    <col min="10" max="10" width="10.3984375" style="159" bestFit="1" customWidth="1"/>
    <col min="11" max="11" width="11.3984375" style="159" bestFit="1" customWidth="1"/>
    <col min="12" max="12" width="12.19921875" style="159" customWidth="1"/>
    <col min="13" max="16384" width="9.09765625" style="159"/>
  </cols>
  <sheetData>
    <row r="1" spans="2:12" s="265" customFormat="1" ht="25.55" customHeight="1">
      <c r="E1" s="399"/>
      <c r="F1" s="399"/>
      <c r="G1" s="399" t="s">
        <v>117</v>
      </c>
      <c r="H1" s="399"/>
    </row>
    <row r="2" spans="2:12" s="170" customFormat="1" ht="17.899999999999999" customHeight="1">
      <c r="D2" s="266"/>
      <c r="E2" s="400" t="s">
        <v>208</v>
      </c>
      <c r="F2" s="400"/>
      <c r="G2" s="400"/>
      <c r="H2" s="400"/>
    </row>
    <row r="3" spans="2:12" s="170" customFormat="1">
      <c r="D3" s="266"/>
      <c r="E3" s="400"/>
      <c r="F3" s="400"/>
      <c r="G3" s="400" t="s">
        <v>20</v>
      </c>
      <c r="H3" s="400"/>
    </row>
    <row r="4" spans="2:12" s="170" customFormat="1" ht="13.7" customHeight="1">
      <c r="D4" s="266"/>
      <c r="E4" s="266"/>
      <c r="F4" s="266"/>
      <c r="G4" s="266"/>
      <c r="H4" s="266"/>
    </row>
    <row r="5" spans="2:12" s="170" customFormat="1" ht="13.7" customHeight="1">
      <c r="D5" s="266"/>
      <c r="E5" s="266"/>
      <c r="F5" s="266"/>
      <c r="G5" s="266"/>
      <c r="H5" s="266"/>
    </row>
    <row r="6" spans="2:12" s="170" customFormat="1" ht="85.7" customHeight="1">
      <c r="B6" s="401" t="s">
        <v>210</v>
      </c>
      <c r="C6" s="401"/>
      <c r="D6" s="401"/>
      <c r="E6" s="401"/>
      <c r="F6" s="401"/>
      <c r="G6" s="401"/>
      <c r="H6" s="401"/>
      <c r="I6" s="267"/>
    </row>
    <row r="7" spans="2:12" s="170" customFormat="1"/>
    <row r="8" spans="2:12" s="170" customFormat="1">
      <c r="E8" s="268"/>
      <c r="F8" s="268"/>
      <c r="G8" s="268"/>
      <c r="H8" s="268" t="s">
        <v>9</v>
      </c>
    </row>
    <row r="9" spans="2:12" s="170" customFormat="1" ht="41.65" customHeight="1">
      <c r="B9" s="380" t="s">
        <v>38</v>
      </c>
      <c r="C9" s="381"/>
      <c r="D9" s="382" t="s">
        <v>39</v>
      </c>
      <c r="E9" s="386" t="s">
        <v>60</v>
      </c>
      <c r="F9" s="387"/>
      <c r="G9" s="387"/>
      <c r="H9" s="388"/>
    </row>
    <row r="10" spans="2:12" s="170" customFormat="1" ht="88.55" customHeight="1">
      <c r="B10" s="262" t="s">
        <v>14</v>
      </c>
      <c r="C10" s="262" t="s">
        <v>15</v>
      </c>
      <c r="D10" s="383"/>
      <c r="E10" s="269" t="s">
        <v>51</v>
      </c>
      <c r="F10" s="269" t="s">
        <v>50</v>
      </c>
      <c r="G10" s="269" t="s">
        <v>2</v>
      </c>
      <c r="H10" s="269" t="s">
        <v>3</v>
      </c>
    </row>
    <row r="11" spans="2:12" s="170" customFormat="1" ht="33.35">
      <c r="B11" s="262"/>
      <c r="C11" s="262"/>
      <c r="D11" s="270" t="s">
        <v>17</v>
      </c>
      <c r="E11" s="40">
        <f>+E13+E29+E35+E65+E72+E78+E84+E90+E93+E99</f>
        <v>-94778.3</v>
      </c>
      <c r="F11" s="40">
        <f t="shared" ref="F11:H11" si="0">+F13+F29+F35+F65+F72+F78+F84+F90+F93+F99</f>
        <v>-276870.49999999994</v>
      </c>
      <c r="G11" s="40">
        <f t="shared" si="0"/>
        <v>-276870.49999999994</v>
      </c>
      <c r="H11" s="40">
        <f t="shared" si="0"/>
        <v>-276870.49999999994</v>
      </c>
      <c r="I11" s="203"/>
    </row>
    <row r="12" spans="2:12" s="170" customFormat="1">
      <c r="B12" s="262"/>
      <c r="C12" s="262"/>
      <c r="D12" s="271" t="s">
        <v>48</v>
      </c>
      <c r="E12" s="158"/>
      <c r="F12" s="158"/>
      <c r="G12" s="158"/>
      <c r="H12" s="158"/>
      <c r="I12" s="203"/>
      <c r="J12" s="203"/>
      <c r="K12" s="203"/>
      <c r="L12" s="203"/>
    </row>
    <row r="13" spans="2:12" s="170" customFormat="1" ht="50">
      <c r="B13" s="178">
        <v>1045</v>
      </c>
      <c r="C13" s="178">
        <v>32001</v>
      </c>
      <c r="D13" s="210" t="s">
        <v>171</v>
      </c>
      <c r="E13" s="202">
        <f>+E15</f>
        <v>4937</v>
      </c>
      <c r="F13" s="202">
        <f t="shared" ref="F13:H13" si="1">+F15</f>
        <v>-56207.1</v>
      </c>
      <c r="G13" s="202">
        <f t="shared" si="1"/>
        <v>-31203.000000000011</v>
      </c>
      <c r="H13" s="202">
        <f t="shared" si="1"/>
        <v>-50850.299999999981</v>
      </c>
      <c r="I13" s="203"/>
    </row>
    <row r="14" spans="2:12" s="170" customFormat="1">
      <c r="B14" s="197"/>
      <c r="C14" s="197"/>
      <c r="D14" s="204" t="s">
        <v>16</v>
      </c>
      <c r="E14" s="204"/>
      <c r="F14" s="204"/>
      <c r="G14" s="204"/>
      <c r="H14" s="211"/>
      <c r="I14" s="203"/>
    </row>
    <row r="15" spans="2:12" s="170" customFormat="1" ht="33.35">
      <c r="B15" s="127"/>
      <c r="C15" s="127"/>
      <c r="D15" s="128" t="s">
        <v>12</v>
      </c>
      <c r="E15" s="205">
        <f>+E17+E22+E24+E27</f>
        <v>4937</v>
      </c>
      <c r="F15" s="205">
        <f t="shared" ref="F15:H15" si="2">+F17+F22+F24+F27</f>
        <v>-56207.1</v>
      </c>
      <c r="G15" s="205">
        <f t="shared" si="2"/>
        <v>-31203.000000000011</v>
      </c>
      <c r="H15" s="205">
        <f t="shared" si="2"/>
        <v>-50850.299999999981</v>
      </c>
    </row>
    <row r="16" spans="2:12" s="170" customFormat="1">
      <c r="B16" s="177"/>
      <c r="C16" s="177"/>
      <c r="D16" s="165" t="s">
        <v>169</v>
      </c>
      <c r="E16" s="165"/>
      <c r="F16" s="165"/>
      <c r="G16" s="165"/>
      <c r="H16" s="212"/>
    </row>
    <row r="17" spans="2:9" s="209" customFormat="1">
      <c r="B17" s="207"/>
      <c r="C17" s="207"/>
      <c r="D17" s="198" t="s">
        <v>54</v>
      </c>
      <c r="E17" s="208">
        <f t="shared" ref="E17:G17" si="3">+E18+E19+E20+E21</f>
        <v>4937</v>
      </c>
      <c r="F17" s="208">
        <f t="shared" si="3"/>
        <v>-40868.5</v>
      </c>
      <c r="G17" s="208">
        <f t="shared" si="3"/>
        <v>-49027.400000000009</v>
      </c>
      <c r="H17" s="208">
        <f>+H18+H19+H20+H21</f>
        <v>-80118.099999999991</v>
      </c>
    </row>
    <row r="18" spans="2:9" s="170" customFormat="1" ht="35.5">
      <c r="B18" s="404"/>
      <c r="C18" s="404"/>
      <c r="D18" s="199" t="str">
        <f>+'Հավելված N 3'!C18</f>
        <v>«Երևանի հ․8 արհեստագործական պետական ուսումնարան» ՊՈԱԿ</v>
      </c>
      <c r="E18" s="173">
        <f>+F18</f>
        <v>187</v>
      </c>
      <c r="F18" s="173">
        <f>+'Հավելված N 3'!G18</f>
        <v>187</v>
      </c>
      <c r="G18" s="173">
        <f>+H18</f>
        <v>87072</v>
      </c>
      <c r="H18" s="173">
        <f>+'Հավելված N 3'!D18</f>
        <v>87072</v>
      </c>
    </row>
    <row r="19" spans="2:9" ht="35.5">
      <c r="B19" s="405"/>
      <c r="C19" s="405"/>
      <c r="D19" s="199" t="str">
        <f>+'Հավելված N 3'!C19</f>
        <v>«Երևանի Շառլ Ազնավուրի անվան մշակույթի և արվեստի պետական քոլեջ» ՊՈԱԿ</v>
      </c>
      <c r="E19" s="173">
        <v>0</v>
      </c>
      <c r="F19" s="173">
        <v>0</v>
      </c>
      <c r="G19" s="173">
        <f>+H19</f>
        <v>-17317</v>
      </c>
      <c r="H19" s="173">
        <f>+'Հավելված N 3'!D19</f>
        <v>-17317</v>
      </c>
    </row>
    <row r="20" spans="2:9" s="170" customFormat="1" ht="35.5">
      <c r="B20" s="405"/>
      <c r="C20" s="405"/>
      <c r="D20" s="199" t="str">
        <f>+'Հավելված N 3'!C20</f>
        <v>«Երևանի զարդարվեստի պետական արհեստագործական ուսումնարան» ՊՈԱԿ</v>
      </c>
      <c r="E20" s="173">
        <v>4750</v>
      </c>
      <c r="F20" s="173">
        <f>-46636.2+4750</f>
        <v>-41886.199999999997</v>
      </c>
      <c r="G20" s="173">
        <f>-124363.1+4750</f>
        <v>-119613.1</v>
      </c>
      <c r="H20" s="173">
        <f>+'Հավելված N 3'!D20</f>
        <v>-150703.79999999999</v>
      </c>
    </row>
    <row r="21" spans="2:9" s="170" customFormat="1">
      <c r="B21" s="406"/>
      <c r="C21" s="406"/>
      <c r="D21" s="199" t="str">
        <f>+'Հավելված N 3'!C21</f>
        <v>«Երևանի պարարվեստի պետական քոլեջ» ՊՈԱԿ</v>
      </c>
      <c r="E21" s="199">
        <v>0</v>
      </c>
      <c r="F21" s="173">
        <f>+H21</f>
        <v>830.7</v>
      </c>
      <c r="G21" s="173">
        <f>+H21</f>
        <v>830.7</v>
      </c>
      <c r="H21" s="173">
        <f>+'Հավելված N 3'!D21</f>
        <v>830.7</v>
      </c>
    </row>
    <row r="22" spans="2:9" s="209" customFormat="1">
      <c r="B22" s="207"/>
      <c r="C22" s="207"/>
      <c r="D22" s="198" t="s">
        <v>74</v>
      </c>
      <c r="E22" s="208">
        <f t="shared" ref="E22:G22" si="4">+E23</f>
        <v>0</v>
      </c>
      <c r="F22" s="208">
        <f t="shared" si="4"/>
        <v>711.6</v>
      </c>
      <c r="G22" s="208">
        <f t="shared" si="4"/>
        <v>711.6</v>
      </c>
      <c r="H22" s="208">
        <f>+H23</f>
        <v>711.6</v>
      </c>
    </row>
    <row r="23" spans="2:9" s="170" customFormat="1" ht="35.5">
      <c r="B23" s="145"/>
      <c r="C23" s="145"/>
      <c r="D23" s="199" t="str">
        <f>+'Հավելված N 3'!C23</f>
        <v>«Աբովյանի բազմագործառութային պետական քոլեջ» ՊՈԱԿ</v>
      </c>
      <c r="E23" s="173"/>
      <c r="F23" s="173">
        <f>+H23</f>
        <v>711.6</v>
      </c>
      <c r="G23" s="173">
        <f>+H23</f>
        <v>711.6</v>
      </c>
      <c r="H23" s="173">
        <f>+'Հավելված N 3'!D23</f>
        <v>711.6</v>
      </c>
    </row>
    <row r="24" spans="2:9" s="170" customFormat="1">
      <c r="B24" s="127"/>
      <c r="C24" s="127"/>
      <c r="D24" s="198" t="s">
        <v>150</v>
      </c>
      <c r="E24" s="206">
        <f>+E25+E26</f>
        <v>0</v>
      </c>
      <c r="F24" s="206">
        <f t="shared" ref="F24:G24" si="5">+F25+F26</f>
        <v>-16050.199999999999</v>
      </c>
      <c r="G24" s="206">
        <f t="shared" si="5"/>
        <v>17112.8</v>
      </c>
      <c r="H24" s="206">
        <f>+H25+H26</f>
        <v>17112.8</v>
      </c>
    </row>
    <row r="25" spans="2:9" s="170" customFormat="1">
      <c r="B25" s="402"/>
      <c r="C25" s="402"/>
      <c r="D25" s="199" t="str">
        <f>+'Հավելված N 3'!C25</f>
        <v xml:space="preserve">«Արթիկի պետական քոլեջ» ՊՈԱԿ </v>
      </c>
      <c r="E25" s="173">
        <v>0</v>
      </c>
      <c r="F25" s="173">
        <v>0</v>
      </c>
      <c r="G25" s="173">
        <f>+H25</f>
        <v>1822.4</v>
      </c>
      <c r="H25" s="173">
        <f>+'Հավելված N 3'!D25</f>
        <v>1822.4</v>
      </c>
    </row>
    <row r="26" spans="2:9" s="170" customFormat="1">
      <c r="B26" s="403"/>
      <c r="C26" s="403"/>
      <c r="D26" s="199" t="str">
        <f>+'Հավելված N 3'!C26</f>
        <v>«Գյումրու պետական բժշկական քոլեջ» ՊՈԱԿ</v>
      </c>
      <c r="E26" s="173">
        <v>0</v>
      </c>
      <c r="F26" s="173">
        <f>+H26-31340.6</f>
        <v>-16050.199999999999</v>
      </c>
      <c r="G26" s="173">
        <f>+H26</f>
        <v>15290.4</v>
      </c>
      <c r="H26" s="173">
        <f>+'Հավելված N 3'!D26</f>
        <v>15290.4</v>
      </c>
    </row>
    <row r="27" spans="2:9" s="209" customFormat="1">
      <c r="B27" s="207"/>
      <c r="C27" s="207"/>
      <c r="D27" s="198" t="s">
        <v>67</v>
      </c>
      <c r="E27" s="208">
        <f t="shared" ref="E27" si="6">+E28</f>
        <v>0</v>
      </c>
      <c r="F27" s="208">
        <f t="shared" ref="F27" si="7">+F28</f>
        <v>0</v>
      </c>
      <c r="G27" s="208">
        <f t="shared" ref="G27" si="8">+G28</f>
        <v>0</v>
      </c>
      <c r="H27" s="208">
        <f>+H28</f>
        <v>11443.4</v>
      </c>
    </row>
    <row r="28" spans="2:9" s="170" customFormat="1" ht="35.5">
      <c r="B28" s="145"/>
      <c r="C28" s="145"/>
      <c r="D28" s="199" t="str">
        <f>+'Հավելված N 3'!C28</f>
        <v>«Դիլիջանի բազմագործառութային պետական քոլեջ» ՊՈԱԿ</v>
      </c>
      <c r="E28" s="173">
        <v>0</v>
      </c>
      <c r="F28" s="173">
        <v>0</v>
      </c>
      <c r="G28" s="173">
        <v>0</v>
      </c>
      <c r="H28" s="173">
        <f>+'Հավելված N 3'!D28</f>
        <v>11443.4</v>
      </c>
    </row>
    <row r="29" spans="2:9" s="170" customFormat="1" ht="33.35">
      <c r="B29" s="178">
        <v>1045</v>
      </c>
      <c r="C29" s="178">
        <v>32005</v>
      </c>
      <c r="D29" s="179" t="s">
        <v>172</v>
      </c>
      <c r="E29" s="202">
        <f>+E31</f>
        <v>0</v>
      </c>
      <c r="F29" s="202">
        <f>+F31</f>
        <v>0</v>
      </c>
      <c r="G29" s="202">
        <f>+G31</f>
        <v>0</v>
      </c>
      <c r="H29" s="202">
        <f>+H31</f>
        <v>40742.1</v>
      </c>
      <c r="I29" s="203"/>
    </row>
    <row r="30" spans="2:9" s="170" customFormat="1">
      <c r="B30" s="197"/>
      <c r="C30" s="197"/>
      <c r="D30" s="204" t="s">
        <v>16</v>
      </c>
      <c r="E30" s="204"/>
      <c r="F30" s="204"/>
      <c r="G30" s="204"/>
      <c r="H30" s="204"/>
      <c r="I30" s="203"/>
    </row>
    <row r="31" spans="2:9" s="170" customFormat="1" ht="33.35">
      <c r="B31" s="127"/>
      <c r="C31" s="127"/>
      <c r="D31" s="128" t="s">
        <v>12</v>
      </c>
      <c r="E31" s="205">
        <f>+E33</f>
        <v>0</v>
      </c>
      <c r="F31" s="205">
        <f>+F33</f>
        <v>0</v>
      </c>
      <c r="G31" s="205">
        <f>+G33</f>
        <v>0</v>
      </c>
      <c r="H31" s="205">
        <f>+H33</f>
        <v>40742.1</v>
      </c>
    </row>
    <row r="32" spans="2:9" s="170" customFormat="1">
      <c r="B32" s="177"/>
      <c r="C32" s="177"/>
      <c r="D32" s="165" t="s">
        <v>169</v>
      </c>
      <c r="E32" s="165"/>
      <c r="F32" s="165"/>
      <c r="G32" s="165"/>
      <c r="H32" s="165"/>
    </row>
    <row r="33" spans="2:8" s="170" customFormat="1">
      <c r="B33" s="127"/>
      <c r="C33" s="127"/>
      <c r="D33" s="198" t="s">
        <v>54</v>
      </c>
      <c r="E33" s="206">
        <f>+E34</f>
        <v>0</v>
      </c>
      <c r="F33" s="206">
        <f>+F34</f>
        <v>0</v>
      </c>
      <c r="G33" s="206">
        <f>+G34</f>
        <v>0</v>
      </c>
      <c r="H33" s="206">
        <f>+H34</f>
        <v>40742.1</v>
      </c>
    </row>
    <row r="34" spans="2:8" s="170" customFormat="1" ht="35.5">
      <c r="B34" s="145"/>
      <c r="C34" s="145"/>
      <c r="D34" s="199" t="str">
        <f>+'Հավելված N 3'!C32</f>
        <v>«Երևանի զարդարվեստի պետական արհեստագործական ուսումնարան» ՊՈԱԿ</v>
      </c>
      <c r="E34" s="200">
        <v>0</v>
      </c>
      <c r="F34" s="200">
        <v>0</v>
      </c>
      <c r="G34" s="200">
        <v>0</v>
      </c>
      <c r="H34" s="173">
        <f>+'Հավելված N 3'!D32</f>
        <v>40742.1</v>
      </c>
    </row>
    <row r="35" spans="2:8" s="170" customFormat="1" ht="33.35">
      <c r="B35" s="44">
        <v>1075</v>
      </c>
      <c r="C35" s="31">
        <v>21001</v>
      </c>
      <c r="D35" s="59" t="s">
        <v>64</v>
      </c>
      <c r="E35" s="40">
        <f>+E37</f>
        <v>-63582.600000000006</v>
      </c>
      <c r="F35" s="40">
        <f>+F37</f>
        <v>-36929.4</v>
      </c>
      <c r="G35" s="40">
        <f>+G37</f>
        <v>-48599.4</v>
      </c>
      <c r="H35" s="40">
        <f>+H37</f>
        <v>-58890</v>
      </c>
    </row>
    <row r="36" spans="2:8" s="170" customFormat="1">
      <c r="B36" s="48"/>
      <c r="C36" s="48"/>
      <c r="D36" s="174" t="s">
        <v>16</v>
      </c>
      <c r="E36" s="49"/>
      <c r="F36" s="43"/>
      <c r="G36" s="49"/>
      <c r="H36" s="43"/>
    </row>
    <row r="37" spans="2:8" s="170" customFormat="1" ht="33.35">
      <c r="B37" s="57"/>
      <c r="C37" s="57"/>
      <c r="D37" s="50" t="s">
        <v>12</v>
      </c>
      <c r="E37" s="51">
        <f>+E39+E54</f>
        <v>-63582.600000000006</v>
      </c>
      <c r="F37" s="51">
        <f>+F39+F54</f>
        <v>-36929.4</v>
      </c>
      <c r="G37" s="51">
        <f>+G39+G54</f>
        <v>-48599.4</v>
      </c>
      <c r="H37" s="51">
        <f>+H39+H54</f>
        <v>-58890</v>
      </c>
    </row>
    <row r="38" spans="2:8" s="170" customFormat="1">
      <c r="B38" s="57"/>
      <c r="C38" s="57"/>
      <c r="D38" s="60" t="s">
        <v>49</v>
      </c>
      <c r="E38" s="168"/>
      <c r="F38" s="168"/>
      <c r="G38" s="168"/>
      <c r="H38" s="168"/>
    </row>
    <row r="39" spans="2:8" s="170" customFormat="1">
      <c r="B39" s="57"/>
      <c r="C39" s="57"/>
      <c r="D39" s="69" t="s">
        <v>134</v>
      </c>
      <c r="E39" s="175">
        <f>+E41+E43+E45+E47+E49+E51</f>
        <v>-66122.600000000006</v>
      </c>
      <c r="F39" s="175">
        <f>+F41+F43+F45+F47+F49+F51</f>
        <v>-39469.4</v>
      </c>
      <c r="G39" s="175">
        <f>+G41+G43+G45+G47+G49+G51</f>
        <v>-51139.4</v>
      </c>
      <c r="H39" s="175">
        <f>+H41+H43+H45+H47+H49+H51</f>
        <v>-61430</v>
      </c>
    </row>
    <row r="40" spans="2:8" s="170" customFormat="1">
      <c r="B40" s="57"/>
      <c r="C40" s="57"/>
      <c r="D40" s="60" t="s">
        <v>65</v>
      </c>
      <c r="E40" s="168"/>
      <c r="F40" s="168"/>
      <c r="G40" s="168"/>
      <c r="H40" s="168"/>
    </row>
    <row r="41" spans="2:8" s="170" customFormat="1">
      <c r="B41" s="168"/>
      <c r="C41" s="168"/>
      <c r="D41" s="55" t="s">
        <v>54</v>
      </c>
      <c r="E41" s="169">
        <f>+E42</f>
        <v>-76243</v>
      </c>
      <c r="F41" s="169">
        <f>+F42</f>
        <v>0</v>
      </c>
      <c r="G41" s="169">
        <f>+G42</f>
        <v>0</v>
      </c>
      <c r="H41" s="169">
        <f>+H42</f>
        <v>0</v>
      </c>
    </row>
    <row r="42" spans="2:8" s="170" customFormat="1" ht="35.5">
      <c r="B42" s="171"/>
      <c r="C42" s="171"/>
      <c r="D42" s="71" t="s">
        <v>154</v>
      </c>
      <c r="E42" s="172">
        <v>-76243</v>
      </c>
      <c r="F42" s="172">
        <v>0</v>
      </c>
      <c r="G42" s="172">
        <v>0</v>
      </c>
      <c r="H42" s="172">
        <v>0</v>
      </c>
    </row>
    <row r="43" spans="2:8" s="170" customFormat="1">
      <c r="B43" s="168"/>
      <c r="C43" s="168"/>
      <c r="D43" s="55" t="s">
        <v>96</v>
      </c>
      <c r="E43" s="169">
        <f>SUM(E44:E44)</f>
        <v>0</v>
      </c>
      <c r="F43" s="169">
        <f>SUM(F44:F44)</f>
        <v>-25000</v>
      </c>
      <c r="G43" s="169">
        <f>SUM(G44:G44)</f>
        <v>-25000</v>
      </c>
      <c r="H43" s="169">
        <f>SUM(H44:H44)</f>
        <v>-25000</v>
      </c>
    </row>
    <row r="44" spans="2:8" s="170" customFormat="1" ht="35.5">
      <c r="B44" s="171"/>
      <c r="C44" s="171"/>
      <c r="D44" s="71" t="str">
        <f>+'Հավելված N 3'!C38</f>
        <v>Ամբերդ ամրոցի հրատապ ամրակայման ենթակա հատվածների նորոգում և վերականգնում</v>
      </c>
      <c r="E44" s="172">
        <v>0</v>
      </c>
      <c r="F44" s="172">
        <f>+H44</f>
        <v>-25000</v>
      </c>
      <c r="G44" s="172">
        <f>+H44</f>
        <v>-25000</v>
      </c>
      <c r="H44" s="172">
        <f>+'Հավելված N 3'!D38</f>
        <v>-25000</v>
      </c>
    </row>
    <row r="45" spans="2:8" s="170" customFormat="1">
      <c r="B45" s="168"/>
      <c r="C45" s="168"/>
      <c r="D45" s="55" t="s">
        <v>75</v>
      </c>
      <c r="E45" s="169">
        <f>SUM(E46:E46)</f>
        <v>4633.2000000000007</v>
      </c>
      <c r="F45" s="169">
        <f>SUM(F46:F46)</f>
        <v>4633.2000000000007</v>
      </c>
      <c r="G45" s="169">
        <f>SUM(G46:G46)</f>
        <v>4633.2000000000007</v>
      </c>
      <c r="H45" s="169">
        <f>SUM(H46:H46)</f>
        <v>4633.2000000000007</v>
      </c>
    </row>
    <row r="46" spans="2:8" s="170" customFormat="1" ht="53.2">
      <c r="B46" s="171"/>
      <c r="C46" s="171"/>
      <c r="D46" s="71" t="str">
        <f>+'Հավելված N 3'!C40</f>
        <v>Քոբայրավանք համալիրի գլխավոր եկեղեցու, նրան կից եկեղեցու և Մարիամաշեն եկեղեցու տանիքների վերականգնում</v>
      </c>
      <c r="E46" s="172">
        <f>+H46</f>
        <v>4633.2000000000007</v>
      </c>
      <c r="F46" s="172">
        <f>+H46</f>
        <v>4633.2000000000007</v>
      </c>
      <c r="G46" s="172">
        <f>+H46</f>
        <v>4633.2000000000007</v>
      </c>
      <c r="H46" s="172">
        <f>+'Հավելված N 3'!D40</f>
        <v>4633.2000000000007</v>
      </c>
    </row>
    <row r="47" spans="2:8" s="170" customFormat="1">
      <c r="B47" s="168"/>
      <c r="C47" s="168"/>
      <c r="D47" s="55" t="s">
        <v>74</v>
      </c>
      <c r="E47" s="169">
        <f>SUM(E48:E48)</f>
        <v>0</v>
      </c>
      <c r="F47" s="169">
        <f>SUM(F48:F48)</f>
        <v>-8330</v>
      </c>
      <c r="G47" s="169">
        <f>SUM(G48:G48)</f>
        <v>-20000</v>
      </c>
      <c r="H47" s="169">
        <f>SUM(H48:H48)</f>
        <v>-20000</v>
      </c>
    </row>
    <row r="48" spans="2:8" s="170" customFormat="1" ht="35.5">
      <c r="B48" s="171"/>
      <c r="C48" s="171"/>
      <c r="D48" s="71" t="str">
        <f>+'Հավելված N 3'!C42</f>
        <v>Պտղնու տաճարի նորոգում, ամրակայում և մասնակի վերականգնում</v>
      </c>
      <c r="E48" s="172">
        <v>0</v>
      </c>
      <c r="F48" s="172">
        <v>-8330</v>
      </c>
      <c r="G48" s="172">
        <f>+H48</f>
        <v>-20000</v>
      </c>
      <c r="H48" s="172">
        <f>+'Հավելված N 3'!D42</f>
        <v>-20000</v>
      </c>
    </row>
    <row r="49" spans="2:8" s="170" customFormat="1">
      <c r="B49" s="168"/>
      <c r="C49" s="168"/>
      <c r="D49" s="55" t="s">
        <v>150</v>
      </c>
      <c r="E49" s="169">
        <f>SUM(E50:E50)</f>
        <v>0</v>
      </c>
      <c r="F49" s="169">
        <f>SUM(F50:F50)</f>
        <v>-10000</v>
      </c>
      <c r="G49" s="169">
        <f>SUM(G50:G50)</f>
        <v>-10000</v>
      </c>
      <c r="H49" s="169">
        <f>SUM(H50:H50)</f>
        <v>-10000</v>
      </c>
    </row>
    <row r="50" spans="2:8" s="170" customFormat="1" ht="53.2">
      <c r="B50" s="171"/>
      <c r="C50" s="171"/>
      <c r="D50" s="71" t="str">
        <f>+'Հավելված N 3'!C44</f>
        <v>Երերույքի տաճարի և փոքր դամբարանի թաղերի ամրակայում, Անիպեմզայի մշակույթի տան վերականգնում և փոքրիկ թանգարանի ստեղծում</v>
      </c>
      <c r="E50" s="172">
        <v>0</v>
      </c>
      <c r="F50" s="172">
        <f>+H50</f>
        <v>-10000</v>
      </c>
      <c r="G50" s="172">
        <f>+H50</f>
        <v>-10000</v>
      </c>
      <c r="H50" s="172">
        <f>+'Հավելված N 3'!D44</f>
        <v>-10000</v>
      </c>
    </row>
    <row r="51" spans="2:8" s="170" customFormat="1">
      <c r="B51" s="168"/>
      <c r="C51" s="168"/>
      <c r="D51" s="55" t="s">
        <v>67</v>
      </c>
      <c r="E51" s="169">
        <f>+E52+E53</f>
        <v>5487.2000000000007</v>
      </c>
      <c r="F51" s="169">
        <f>+F52+F53</f>
        <v>-772.59999999999945</v>
      </c>
      <c r="G51" s="169">
        <f>+G52+G53</f>
        <v>-772.59999999999945</v>
      </c>
      <c r="H51" s="169">
        <f>+H52+H53</f>
        <v>-11063.2</v>
      </c>
    </row>
    <row r="52" spans="2:8" s="170" customFormat="1" ht="35.5">
      <c r="B52" s="407"/>
      <c r="C52" s="407"/>
      <c r="D52" s="71" t="str">
        <f>+'Հավելված N 3'!C46</f>
        <v>Կիրանց գյուղի Սուրբ Երրորդություն եկեղեցու վերականգնում</v>
      </c>
      <c r="E52" s="172">
        <f>+H52</f>
        <v>5487.2000000000007</v>
      </c>
      <c r="F52" s="172">
        <f>+H52</f>
        <v>5487.2000000000007</v>
      </c>
      <c r="G52" s="172">
        <f>+H52</f>
        <v>5487.2000000000007</v>
      </c>
      <c r="H52" s="172">
        <f>+'Հավելված N 3'!D46</f>
        <v>5487.2000000000007</v>
      </c>
    </row>
    <row r="53" spans="2:8" s="170" customFormat="1" ht="53.2">
      <c r="B53" s="408"/>
      <c r="C53" s="408"/>
      <c r="D53" s="71" t="str">
        <f>+'Հավելված N 3'!C47</f>
        <v>Տավուշի մարզի «Տավուշ» ամրոցի պարիսպների, կից կառույցների, եկեղեցու ամրակայում, վերականգնում և տարածքի բարեկարգում</v>
      </c>
      <c r="E53" s="172">
        <v>0</v>
      </c>
      <c r="F53" s="172">
        <v>-6259.8</v>
      </c>
      <c r="G53" s="172">
        <v>-6259.8</v>
      </c>
      <c r="H53" s="172">
        <f>+'Հավելված N 3'!D47</f>
        <v>-16550.400000000001</v>
      </c>
    </row>
    <row r="54" spans="2:8" s="170" customFormat="1" ht="66.650000000000006">
      <c r="B54" s="57"/>
      <c r="C54" s="57"/>
      <c r="D54" s="69" t="s">
        <v>66</v>
      </c>
      <c r="E54" s="175">
        <f>+E56+E58+E60+E62</f>
        <v>2540</v>
      </c>
      <c r="F54" s="175">
        <f>+F56+F58+F60+F62</f>
        <v>2540</v>
      </c>
      <c r="G54" s="175">
        <f>+G56+G58+G60+G62</f>
        <v>2540</v>
      </c>
      <c r="H54" s="175">
        <f>+H56+H58+H60+H62</f>
        <v>2540</v>
      </c>
    </row>
    <row r="55" spans="2:8" s="170" customFormat="1">
      <c r="B55" s="57"/>
      <c r="C55" s="57"/>
      <c r="D55" s="60" t="s">
        <v>65</v>
      </c>
      <c r="E55" s="168"/>
      <c r="F55" s="168"/>
      <c r="G55" s="168"/>
      <c r="H55" s="168"/>
    </row>
    <row r="56" spans="2:8" s="170" customFormat="1">
      <c r="B56" s="168"/>
      <c r="C56" s="168"/>
      <c r="D56" s="55" t="s">
        <v>53</v>
      </c>
      <c r="E56" s="169">
        <f>+E57</f>
        <v>460</v>
      </c>
      <c r="F56" s="169">
        <f>+F57</f>
        <v>460</v>
      </c>
      <c r="G56" s="169">
        <f>+G57</f>
        <v>460</v>
      </c>
      <c r="H56" s="169">
        <f>+H57</f>
        <v>460</v>
      </c>
    </row>
    <row r="57" spans="2:8" s="170" customFormat="1" ht="53.2">
      <c r="B57" s="171"/>
      <c r="C57" s="171"/>
      <c r="D57" s="71" t="str">
        <f>+'Հավելված N 3'!C51</f>
        <v>Բագարանի Սբ․ Շուշանիկ եկեղեցու վերականգնման գիտանախագծային փաստաթղթեր</v>
      </c>
      <c r="E57" s="172">
        <f>+H57</f>
        <v>460</v>
      </c>
      <c r="F57" s="172">
        <f>+H57</f>
        <v>460</v>
      </c>
      <c r="G57" s="172">
        <f>+H57</f>
        <v>460</v>
      </c>
      <c r="H57" s="172">
        <f>+'Հավելված N 3'!D51</f>
        <v>460</v>
      </c>
    </row>
    <row r="58" spans="2:8" s="170" customFormat="1">
      <c r="B58" s="168"/>
      <c r="C58" s="168"/>
      <c r="D58" s="55" t="s">
        <v>94</v>
      </c>
      <c r="E58" s="169">
        <f>+E59</f>
        <v>680</v>
      </c>
      <c r="F58" s="169">
        <f>+F59</f>
        <v>680</v>
      </c>
      <c r="G58" s="169">
        <f>+G59</f>
        <v>680</v>
      </c>
      <c r="H58" s="169">
        <f>+H59</f>
        <v>680</v>
      </c>
    </row>
    <row r="59" spans="2:8" s="170" customFormat="1" ht="53.2">
      <c r="B59" s="171"/>
      <c r="C59" s="171"/>
      <c r="D59" s="71" t="str">
        <f>+'Հավելված N 3'!C53</f>
        <v>Բերդկունքի Սպիտակ բերդի նորոգման, ամրակայման և վերականգնման գիտանախագծային փաստաթղթեր</v>
      </c>
      <c r="E59" s="172">
        <f>+H59</f>
        <v>680</v>
      </c>
      <c r="F59" s="172">
        <f>+H59</f>
        <v>680</v>
      </c>
      <c r="G59" s="172">
        <f>+H59</f>
        <v>680</v>
      </c>
      <c r="H59" s="172">
        <f>+'Հավելված N 3'!D53</f>
        <v>680</v>
      </c>
    </row>
    <row r="60" spans="2:8" s="170" customFormat="1">
      <c r="B60" s="168"/>
      <c r="C60" s="168"/>
      <c r="D60" s="55" t="s">
        <v>75</v>
      </c>
      <c r="E60" s="169">
        <f>+E61</f>
        <v>400</v>
      </c>
      <c r="F60" s="169">
        <f>+F61</f>
        <v>400</v>
      </c>
      <c r="G60" s="169">
        <f>+G61</f>
        <v>400</v>
      </c>
      <c r="H60" s="169">
        <f>+H61</f>
        <v>400</v>
      </c>
    </row>
    <row r="61" spans="2:8" s="170" customFormat="1" ht="88.7">
      <c r="B61" s="171"/>
      <c r="C61" s="171"/>
      <c r="D61" s="71" t="str">
        <f>+'Հավելված N 3'!C55</f>
        <v>Ալավերդի համայնքի Կաճաճկուտ բնակավայրի Սեդվի վանական համալիրի փլուզված եռահարկ աշտարակի նորոգման, ամրակայման, վերականգնման և տարածքի բարեկարգման գիտանախագծային փաստաթղթեր</v>
      </c>
      <c r="E61" s="172">
        <f>+H61</f>
        <v>400</v>
      </c>
      <c r="F61" s="172">
        <f>+H61</f>
        <v>400</v>
      </c>
      <c r="G61" s="172">
        <f>+H61</f>
        <v>400</v>
      </c>
      <c r="H61" s="172">
        <f>+'Հավելված N 3'!D55</f>
        <v>400</v>
      </c>
    </row>
    <row r="62" spans="2:8" s="170" customFormat="1">
      <c r="B62" s="168"/>
      <c r="C62" s="168"/>
      <c r="D62" s="55" t="s">
        <v>95</v>
      </c>
      <c r="E62" s="169">
        <f>+E63+E64</f>
        <v>1000</v>
      </c>
      <c r="F62" s="169">
        <f>+F63+F64</f>
        <v>1000</v>
      </c>
      <c r="G62" s="169">
        <f>+G63+G64</f>
        <v>1000</v>
      </c>
      <c r="H62" s="169">
        <f>+H63+H64</f>
        <v>1000</v>
      </c>
    </row>
    <row r="63" spans="2:8" s="170" customFormat="1" ht="53.2">
      <c r="B63" s="407"/>
      <c r="C63" s="407"/>
      <c r="D63" s="71" t="str">
        <f>+'Հավելված N 3'!C57</f>
        <v>Հորսի  իշխան Չեսար Օրբելյանի ապարանքի  ամրակայման, նորոգման, վերականգնման գիտանախագծային փաստաթղթեր</v>
      </c>
      <c r="E63" s="172">
        <f>+H63</f>
        <v>500</v>
      </c>
      <c r="F63" s="172">
        <f>+H63</f>
        <v>500</v>
      </c>
      <c r="G63" s="172">
        <f>+H63</f>
        <v>500</v>
      </c>
      <c r="H63" s="172">
        <f>+'Հավելված N 3'!D57</f>
        <v>500</v>
      </c>
    </row>
    <row r="64" spans="2:8" s="170" customFormat="1" ht="70.95">
      <c r="B64" s="408"/>
      <c r="C64" s="408"/>
      <c r="D64" s="71" t="str">
        <f>+'Հավելված N 3'!C58</f>
        <v>Աղնջաձորի Օրբելյանների քարավանատան (Սելիմի) ամրակայման, նորոգման, վերականգնման և տարածքի բարեկարգման գիտանախագծային փաստաթղթերի կազմում</v>
      </c>
      <c r="E64" s="172">
        <f>+H64</f>
        <v>500</v>
      </c>
      <c r="F64" s="172">
        <f>+H64</f>
        <v>500</v>
      </c>
      <c r="G64" s="172">
        <f>+H64</f>
        <v>500</v>
      </c>
      <c r="H64" s="172">
        <f>+'Հավելված N 3'!D58</f>
        <v>500</v>
      </c>
    </row>
    <row r="65" spans="2:9" s="170" customFormat="1" ht="33.35">
      <c r="B65" s="178">
        <v>1075</v>
      </c>
      <c r="C65" s="178">
        <v>32001</v>
      </c>
      <c r="D65" s="179" t="s">
        <v>181</v>
      </c>
      <c r="E65" s="202">
        <f>+E67</f>
        <v>123.8</v>
      </c>
      <c r="F65" s="202">
        <f>+F67</f>
        <v>-67112.499999999985</v>
      </c>
      <c r="G65" s="202">
        <f>+G67</f>
        <v>-180310.39999999999</v>
      </c>
      <c r="H65" s="202">
        <f>+H67</f>
        <v>-265208.8</v>
      </c>
      <c r="I65" s="203"/>
    </row>
    <row r="66" spans="2:9" s="170" customFormat="1">
      <c r="B66" s="197"/>
      <c r="C66" s="197"/>
      <c r="D66" s="204" t="s">
        <v>16</v>
      </c>
      <c r="E66" s="204"/>
      <c r="F66" s="204"/>
      <c r="G66" s="204"/>
      <c r="H66" s="204"/>
      <c r="I66" s="203"/>
    </row>
    <row r="67" spans="2:9" s="170" customFormat="1" ht="33.35">
      <c r="B67" s="127"/>
      <c r="C67" s="127"/>
      <c r="D67" s="128" t="s">
        <v>12</v>
      </c>
      <c r="E67" s="205">
        <f>+E69</f>
        <v>123.8</v>
      </c>
      <c r="F67" s="205">
        <f>+F69</f>
        <v>-67112.499999999985</v>
      </c>
      <c r="G67" s="205">
        <f>+G69</f>
        <v>-180310.39999999999</v>
      </c>
      <c r="H67" s="205">
        <f>+H69</f>
        <v>-265208.8</v>
      </c>
    </row>
    <row r="68" spans="2:9" s="170" customFormat="1">
      <c r="B68" s="177"/>
      <c r="C68" s="177"/>
      <c r="D68" s="165" t="s">
        <v>169</v>
      </c>
      <c r="E68" s="165"/>
      <c r="F68" s="165"/>
      <c r="G68" s="165"/>
      <c r="H68" s="165"/>
    </row>
    <row r="69" spans="2:9" s="170" customFormat="1">
      <c r="B69" s="127"/>
      <c r="C69" s="127"/>
      <c r="D69" s="198" t="s">
        <v>54</v>
      </c>
      <c r="E69" s="206">
        <f>+E70+E71</f>
        <v>123.8</v>
      </c>
      <c r="F69" s="206">
        <f t="shared" ref="F69:H69" si="9">+F70+F71</f>
        <v>-67112.499999999985</v>
      </c>
      <c r="G69" s="206">
        <f t="shared" si="9"/>
        <v>-180310.39999999999</v>
      </c>
      <c r="H69" s="206">
        <f t="shared" si="9"/>
        <v>-265208.8</v>
      </c>
    </row>
    <row r="70" spans="2:9" s="170" customFormat="1">
      <c r="B70" s="402"/>
      <c r="C70" s="402"/>
      <c r="D70" s="199" t="str">
        <f>+'Հավելված N 3'!C62</f>
        <v>«Հ. Թումանյանի թանգարան» ՊՈԱԿ</v>
      </c>
      <c r="E70" s="172">
        <v>0</v>
      </c>
      <c r="F70" s="172">
        <f>-84898.4+17662.1</f>
        <v>-67236.299999999988</v>
      </c>
      <c r="G70" s="172">
        <f>-198096.3+17662.1</f>
        <v>-180434.19999999998</v>
      </c>
      <c r="H70" s="173">
        <f>+'Հավելված N 3'!D62</f>
        <v>-265332.59999999998</v>
      </c>
    </row>
    <row r="71" spans="2:9" s="170" customFormat="1">
      <c r="B71" s="403"/>
      <c r="C71" s="403"/>
      <c r="D71" s="199" t="str">
        <f>+'Հավելված N 3'!C63</f>
        <v>«Հայաստանի ազգային պատկերասրահ» ՊՈԱԿ</v>
      </c>
      <c r="E71" s="172">
        <f>+H71</f>
        <v>123.8</v>
      </c>
      <c r="F71" s="172">
        <f>+H71</f>
        <v>123.8</v>
      </c>
      <c r="G71" s="172">
        <f>+H71</f>
        <v>123.8</v>
      </c>
      <c r="H71" s="173">
        <f>+'Հավելված N 3'!D63</f>
        <v>123.8</v>
      </c>
    </row>
    <row r="72" spans="2:9" s="170" customFormat="1" ht="33.35">
      <c r="B72" s="178">
        <v>1075</v>
      </c>
      <c r="C72" s="178">
        <v>32012</v>
      </c>
      <c r="D72" s="179" t="s">
        <v>194</v>
      </c>
      <c r="E72" s="202">
        <f>+E74</f>
        <v>0</v>
      </c>
      <c r="F72" s="202">
        <f>+F74</f>
        <v>0</v>
      </c>
      <c r="G72" s="202">
        <f>+G74</f>
        <v>0</v>
      </c>
      <c r="H72" s="202">
        <f>+H74</f>
        <v>84898.5</v>
      </c>
      <c r="I72" s="203"/>
    </row>
    <row r="73" spans="2:9" s="170" customFormat="1">
      <c r="B73" s="197"/>
      <c r="C73" s="197"/>
      <c r="D73" s="204" t="s">
        <v>16</v>
      </c>
      <c r="E73" s="204"/>
      <c r="F73" s="204"/>
      <c r="G73" s="204"/>
      <c r="H73" s="204"/>
      <c r="I73" s="203"/>
    </row>
    <row r="74" spans="2:9" s="170" customFormat="1" ht="33.35">
      <c r="B74" s="127"/>
      <c r="C74" s="127"/>
      <c r="D74" s="128" t="s">
        <v>12</v>
      </c>
      <c r="E74" s="205">
        <f>+E76</f>
        <v>0</v>
      </c>
      <c r="F74" s="205">
        <f>+F76</f>
        <v>0</v>
      </c>
      <c r="G74" s="205">
        <f>+G76</f>
        <v>0</v>
      </c>
      <c r="H74" s="205">
        <f>+H76</f>
        <v>84898.5</v>
      </c>
    </row>
    <row r="75" spans="2:9" s="170" customFormat="1">
      <c r="B75" s="177"/>
      <c r="C75" s="177"/>
      <c r="D75" s="165" t="s">
        <v>169</v>
      </c>
      <c r="E75" s="165"/>
      <c r="F75" s="165"/>
      <c r="G75" s="165"/>
      <c r="H75" s="165"/>
    </row>
    <row r="76" spans="2:9" s="170" customFormat="1">
      <c r="B76" s="127"/>
      <c r="C76" s="127"/>
      <c r="D76" s="198" t="s">
        <v>54</v>
      </c>
      <c r="E76" s="206">
        <f>+E77</f>
        <v>0</v>
      </c>
      <c r="F76" s="206">
        <f>+F77</f>
        <v>0</v>
      </c>
      <c r="G76" s="206">
        <f>+G77</f>
        <v>0</v>
      </c>
      <c r="H76" s="206">
        <f>+H77</f>
        <v>84898.5</v>
      </c>
    </row>
    <row r="77" spans="2:9" s="170" customFormat="1">
      <c r="B77" s="145"/>
      <c r="C77" s="145"/>
      <c r="D77" s="199" t="str">
        <f>+'Հավելված N 3'!C67</f>
        <v>«Հ. Թումանյանի թանգարան» ՊՈԱԿ</v>
      </c>
      <c r="E77" s="172">
        <v>0</v>
      </c>
      <c r="F77" s="172">
        <v>0</v>
      </c>
      <c r="G77" s="172">
        <v>0</v>
      </c>
      <c r="H77" s="173">
        <f>+'Հավելված N 3'!D67</f>
        <v>84898.5</v>
      </c>
    </row>
    <row r="78" spans="2:9" s="170" customFormat="1" ht="33.35">
      <c r="B78" s="178">
        <v>1183</v>
      </c>
      <c r="C78" s="178">
        <v>32002</v>
      </c>
      <c r="D78" s="179" t="s">
        <v>190</v>
      </c>
      <c r="E78" s="202">
        <f>+E80</f>
        <v>0</v>
      </c>
      <c r="F78" s="202">
        <f>+F80</f>
        <v>0</v>
      </c>
      <c r="G78" s="202">
        <f>+G80</f>
        <v>15412</v>
      </c>
      <c r="H78" s="202">
        <f>+H80</f>
        <v>15412</v>
      </c>
      <c r="I78" s="203"/>
    </row>
    <row r="79" spans="2:9" s="170" customFormat="1">
      <c r="B79" s="197"/>
      <c r="C79" s="197"/>
      <c r="D79" s="204" t="s">
        <v>16</v>
      </c>
      <c r="E79" s="204"/>
      <c r="F79" s="204"/>
      <c r="G79" s="204"/>
      <c r="H79" s="204"/>
      <c r="I79" s="203"/>
    </row>
    <row r="80" spans="2:9" s="170" customFormat="1" ht="33.35">
      <c r="B80" s="127"/>
      <c r="C80" s="127"/>
      <c r="D80" s="128" t="s">
        <v>12</v>
      </c>
      <c r="E80" s="205">
        <f>+E82</f>
        <v>0</v>
      </c>
      <c r="F80" s="205">
        <f>+F82</f>
        <v>0</v>
      </c>
      <c r="G80" s="205">
        <f>+G82</f>
        <v>15412</v>
      </c>
      <c r="H80" s="205">
        <f>+H82</f>
        <v>15412</v>
      </c>
    </row>
    <row r="81" spans="2:9" s="170" customFormat="1">
      <c r="B81" s="177"/>
      <c r="C81" s="177"/>
      <c r="D81" s="165" t="s">
        <v>169</v>
      </c>
      <c r="E81" s="165"/>
      <c r="F81" s="165"/>
      <c r="G81" s="165"/>
      <c r="H81" s="165"/>
    </row>
    <row r="82" spans="2:9" s="170" customFormat="1">
      <c r="B82" s="127"/>
      <c r="C82" s="127"/>
      <c r="D82" s="198" t="s">
        <v>54</v>
      </c>
      <c r="E82" s="206">
        <f>+E83</f>
        <v>0</v>
      </c>
      <c r="F82" s="206">
        <f>+F83</f>
        <v>0</v>
      </c>
      <c r="G82" s="206">
        <f>+G83</f>
        <v>15412</v>
      </c>
      <c r="H82" s="206">
        <f>+H83</f>
        <v>15412</v>
      </c>
    </row>
    <row r="83" spans="2:9" s="170" customFormat="1">
      <c r="B83" s="145"/>
      <c r="C83" s="145"/>
      <c r="D83" s="199" t="str">
        <f>+'Հավելված N 3'!C71</f>
        <v>«Երևանի թիվ 54 ավագ դպրոց» ՊՈԱԿ</v>
      </c>
      <c r="E83" s="172">
        <v>0</v>
      </c>
      <c r="F83" s="172">
        <v>0</v>
      </c>
      <c r="G83" s="172">
        <f>+H83</f>
        <v>15412</v>
      </c>
      <c r="H83" s="173">
        <f>+'Հավելված N 3'!D71</f>
        <v>15412</v>
      </c>
    </row>
    <row r="84" spans="2:9" s="170" customFormat="1" ht="50">
      <c r="B84" s="178">
        <v>1183</v>
      </c>
      <c r="C84" s="178">
        <v>32004</v>
      </c>
      <c r="D84" s="179" t="s">
        <v>199</v>
      </c>
      <c r="E84" s="202">
        <f>+E86</f>
        <v>1410.6</v>
      </c>
      <c r="F84" s="202">
        <f>+F86</f>
        <v>1410.6</v>
      </c>
      <c r="G84" s="202">
        <f>+G86</f>
        <v>1410.6</v>
      </c>
      <c r="H84" s="202">
        <f>+H86</f>
        <v>1410.6</v>
      </c>
      <c r="I84" s="203"/>
    </row>
    <row r="85" spans="2:9" s="170" customFormat="1">
      <c r="B85" s="197"/>
      <c r="C85" s="197"/>
      <c r="D85" s="204" t="s">
        <v>16</v>
      </c>
      <c r="E85" s="204"/>
      <c r="F85" s="204"/>
      <c r="G85" s="204"/>
      <c r="H85" s="204"/>
      <c r="I85" s="203"/>
    </row>
    <row r="86" spans="2:9" s="170" customFormat="1" ht="33.35">
      <c r="B86" s="127"/>
      <c r="C86" s="127"/>
      <c r="D86" s="128" t="s">
        <v>12</v>
      </c>
      <c r="E86" s="205">
        <f>+E88</f>
        <v>1410.6</v>
      </c>
      <c r="F86" s="205">
        <f>+F88</f>
        <v>1410.6</v>
      </c>
      <c r="G86" s="205">
        <f>+G88</f>
        <v>1410.6</v>
      </c>
      <c r="H86" s="205">
        <f>+H88</f>
        <v>1410.6</v>
      </c>
    </row>
    <row r="87" spans="2:9" s="170" customFormat="1">
      <c r="B87" s="177"/>
      <c r="C87" s="177"/>
      <c r="D87" s="165" t="s">
        <v>169</v>
      </c>
      <c r="E87" s="165"/>
      <c r="F87" s="165"/>
      <c r="G87" s="165"/>
      <c r="H87" s="165"/>
    </row>
    <row r="88" spans="2:9" s="170" customFormat="1">
      <c r="B88" s="127"/>
      <c r="C88" s="127"/>
      <c r="D88" s="198" t="s">
        <v>150</v>
      </c>
      <c r="E88" s="206">
        <f>+E89</f>
        <v>1410.6</v>
      </c>
      <c r="F88" s="206">
        <f>+F89</f>
        <v>1410.6</v>
      </c>
      <c r="G88" s="206">
        <f>+G89</f>
        <v>1410.6</v>
      </c>
      <c r="H88" s="206">
        <f>+H89</f>
        <v>1410.6</v>
      </c>
    </row>
    <row r="89" spans="2:9" s="170" customFormat="1">
      <c r="B89" s="145"/>
      <c r="C89" s="145"/>
      <c r="D89" s="199" t="str">
        <f>+'Հավելված N 3'!C75</f>
        <v>«Գյումրու «Ֆոտոն» վարժարան» ՊՈԱԿ</v>
      </c>
      <c r="E89" s="172">
        <f>+H89</f>
        <v>1410.6</v>
      </c>
      <c r="F89" s="172">
        <f>+H89</f>
        <v>1410.6</v>
      </c>
      <c r="G89" s="172">
        <f>+H89</f>
        <v>1410.6</v>
      </c>
      <c r="H89" s="173">
        <f>+'Հավելված N 3'!D75</f>
        <v>1410.6</v>
      </c>
    </row>
    <row r="90" spans="2:9" s="170" customFormat="1" ht="33.35">
      <c r="B90" s="178">
        <v>1192</v>
      </c>
      <c r="C90" s="178">
        <v>32007</v>
      </c>
      <c r="D90" s="179" t="s">
        <v>212</v>
      </c>
      <c r="E90" s="202">
        <f>+E92</f>
        <v>0</v>
      </c>
      <c r="F90" s="202">
        <f>+F92</f>
        <v>-112092.2</v>
      </c>
      <c r="G90" s="202">
        <f>+G92</f>
        <v>-112092.2</v>
      </c>
      <c r="H90" s="202">
        <f>+H92</f>
        <v>-112092.2</v>
      </c>
      <c r="I90" s="203"/>
    </row>
    <row r="91" spans="2:9" s="170" customFormat="1">
      <c r="B91" s="197"/>
      <c r="C91" s="197"/>
      <c r="D91" s="204" t="s">
        <v>16</v>
      </c>
      <c r="E91" s="204"/>
      <c r="F91" s="204"/>
      <c r="G91" s="204"/>
      <c r="H91" s="204"/>
      <c r="I91" s="203"/>
    </row>
    <row r="92" spans="2:9" s="170" customFormat="1" ht="33.35">
      <c r="B92" s="127"/>
      <c r="C92" s="127"/>
      <c r="D92" s="128" t="s">
        <v>12</v>
      </c>
      <c r="E92" s="205">
        <v>0</v>
      </c>
      <c r="F92" s="205">
        <f>+H92</f>
        <v>-112092.2</v>
      </c>
      <c r="G92" s="205">
        <f>+H92</f>
        <v>-112092.2</v>
      </c>
      <c r="H92" s="205">
        <f>+'Հավելված N 3'!D76</f>
        <v>-112092.2</v>
      </c>
    </row>
    <row r="93" spans="2:9" s="170" customFormat="1" ht="33.35">
      <c r="B93" s="178">
        <v>1236</v>
      </c>
      <c r="C93" s="178">
        <v>32004</v>
      </c>
      <c r="D93" s="210" t="s">
        <v>201</v>
      </c>
      <c r="E93" s="202">
        <f>+E95</f>
        <v>0</v>
      </c>
      <c r="F93" s="202">
        <f>+F95</f>
        <v>5703.9</v>
      </c>
      <c r="G93" s="202">
        <f>+G95</f>
        <v>5703.9</v>
      </c>
      <c r="H93" s="202">
        <f>+H95</f>
        <v>5703.9</v>
      </c>
      <c r="I93" s="203"/>
    </row>
    <row r="94" spans="2:9" s="170" customFormat="1">
      <c r="B94" s="197"/>
      <c r="C94" s="197"/>
      <c r="D94" s="204" t="s">
        <v>16</v>
      </c>
      <c r="E94" s="204"/>
      <c r="F94" s="204"/>
      <c r="G94" s="204"/>
      <c r="H94" s="204"/>
      <c r="I94" s="203"/>
    </row>
    <row r="95" spans="2:9" s="170" customFormat="1" ht="33.35">
      <c r="B95" s="127"/>
      <c r="C95" s="127"/>
      <c r="D95" s="128" t="s">
        <v>12</v>
      </c>
      <c r="E95" s="205">
        <f>+E97</f>
        <v>0</v>
      </c>
      <c r="F95" s="205">
        <f>+F97</f>
        <v>5703.9</v>
      </c>
      <c r="G95" s="205">
        <f>+G97</f>
        <v>5703.9</v>
      </c>
      <c r="H95" s="205">
        <f>+H97</f>
        <v>5703.9</v>
      </c>
    </row>
    <row r="96" spans="2:9" s="170" customFormat="1">
      <c r="B96" s="177"/>
      <c r="C96" s="177"/>
      <c r="D96" s="165" t="s">
        <v>169</v>
      </c>
      <c r="E96" s="165"/>
      <c r="F96" s="165"/>
      <c r="G96" s="165"/>
      <c r="H96" s="165"/>
    </row>
    <row r="97" spans="2:9" s="170" customFormat="1">
      <c r="B97" s="127"/>
      <c r="C97" s="127"/>
      <c r="D97" s="198" t="s">
        <v>202</v>
      </c>
      <c r="E97" s="206">
        <f>+E98</f>
        <v>0</v>
      </c>
      <c r="F97" s="206">
        <f>+F98</f>
        <v>5703.9</v>
      </c>
      <c r="G97" s="206">
        <f>+G98</f>
        <v>5703.9</v>
      </c>
      <c r="H97" s="206">
        <f>+H98</f>
        <v>5703.9</v>
      </c>
    </row>
    <row r="98" spans="2:9" s="170" customFormat="1">
      <c r="B98" s="145"/>
      <c r="C98" s="145"/>
      <c r="D98" s="199" t="str">
        <f>+'Հավելված N 3'!C80</f>
        <v>«Արտաշատի ավագ դպրոց» ՊՈԱԿ</v>
      </c>
      <c r="E98" s="172">
        <v>0</v>
      </c>
      <c r="F98" s="172">
        <f>+H98</f>
        <v>5703.9</v>
      </c>
      <c r="G98" s="172">
        <f>+H98</f>
        <v>5703.9</v>
      </c>
      <c r="H98" s="173">
        <f>+'Հավելված N 3'!D80</f>
        <v>5703.9</v>
      </c>
    </row>
    <row r="99" spans="2:9" s="170" customFormat="1" ht="50">
      <c r="B99" s="178">
        <v>1236</v>
      </c>
      <c r="C99" s="178">
        <v>32006</v>
      </c>
      <c r="D99" s="210" t="s">
        <v>216</v>
      </c>
      <c r="E99" s="202">
        <f>+E101</f>
        <v>-37667.1</v>
      </c>
      <c r="F99" s="202">
        <f>+F101</f>
        <v>-11643.8</v>
      </c>
      <c r="G99" s="202">
        <f>+G101</f>
        <v>72808</v>
      </c>
      <c r="H99" s="202">
        <f>+H101</f>
        <v>62003.7</v>
      </c>
      <c r="I99" s="203"/>
    </row>
    <row r="100" spans="2:9" s="170" customFormat="1">
      <c r="B100" s="197"/>
      <c r="C100" s="197"/>
      <c r="D100" s="204" t="s">
        <v>16</v>
      </c>
      <c r="E100" s="204"/>
      <c r="F100" s="204"/>
      <c r="G100" s="204"/>
      <c r="H100" s="204"/>
      <c r="I100" s="203"/>
    </row>
    <row r="101" spans="2:9" s="170" customFormat="1" ht="33.35">
      <c r="B101" s="127"/>
      <c r="C101" s="127"/>
      <c r="D101" s="128" t="s">
        <v>12</v>
      </c>
      <c r="E101" s="205">
        <f>-730.1-32000-4937</f>
        <v>-37667.1</v>
      </c>
      <c r="F101" s="205">
        <f>-21023.8+31340.6-21960.6</f>
        <v>-11643.8</v>
      </c>
      <c r="G101" s="205">
        <f>136071.2-52972.6-10290.6</f>
        <v>72808</v>
      </c>
      <c r="H101" s="205">
        <f>+'Հավելված N 3'!D81</f>
        <v>62003.7</v>
      </c>
    </row>
  </sheetData>
  <mergeCells count="19">
    <mergeCell ref="C25:C26"/>
    <mergeCell ref="B18:B21"/>
    <mergeCell ref="C18:C21"/>
    <mergeCell ref="C70:C71"/>
    <mergeCell ref="B70:B71"/>
    <mergeCell ref="C52:C53"/>
    <mergeCell ref="B52:B53"/>
    <mergeCell ref="C63:C64"/>
    <mergeCell ref="B63:B64"/>
    <mergeCell ref="B25:B26"/>
    <mergeCell ref="G1:H1"/>
    <mergeCell ref="G3:H3"/>
    <mergeCell ref="B6:H6"/>
    <mergeCell ref="B9:C9"/>
    <mergeCell ref="D9:D10"/>
    <mergeCell ref="E1:F1"/>
    <mergeCell ref="E3:F3"/>
    <mergeCell ref="E9:H9"/>
    <mergeCell ref="E2:H2"/>
  </mergeCells>
  <pageMargins left="0.25" right="0.25" top="0.75" bottom="0.75" header="0.3" footer="0.3"/>
  <pageSetup paperSize="9" scale="53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D21"/>
  <sheetViews>
    <sheetView topLeftCell="A9" zoomScale="70" zoomScaleNormal="70" workbookViewId="0">
      <selection activeCell="F21" sqref="F21"/>
    </sheetView>
  </sheetViews>
  <sheetFormatPr defaultColWidth="9.09765625" defaultRowHeight="17.75"/>
  <cols>
    <col min="1" max="1" width="9.8984375" style="76" customWidth="1"/>
    <col min="2" max="2" width="13.09765625" style="76" customWidth="1"/>
    <col min="3" max="3" width="8" style="76" customWidth="1"/>
    <col min="4" max="4" width="7.69921875" style="76" customWidth="1"/>
    <col min="5" max="5" width="39.09765625" style="76" customWidth="1"/>
    <col min="6" max="6" width="50.09765625" style="76" customWidth="1"/>
    <col min="7" max="7" width="35" style="76" customWidth="1"/>
    <col min="8" max="8" width="11.09765625" style="76" bestFit="1" customWidth="1"/>
    <col min="9" max="10" width="9.09765625" style="76"/>
    <col min="11" max="11" width="12.09765625" style="76" customWidth="1"/>
    <col min="12" max="16384" width="9.09765625" style="76"/>
  </cols>
  <sheetData>
    <row r="1" spans="1:30" s="114" customFormat="1" ht="25.4" customHeight="1">
      <c r="F1" s="409" t="s">
        <v>116</v>
      </c>
      <c r="G1" s="409"/>
      <c r="AB1" s="409"/>
      <c r="AC1" s="409"/>
      <c r="AD1" s="409"/>
    </row>
    <row r="2" spans="1:30" s="1" customFormat="1">
      <c r="F2" s="410" t="s">
        <v>132</v>
      </c>
      <c r="G2" s="410"/>
      <c r="AA2" s="410"/>
      <c r="AB2" s="410"/>
      <c r="AC2" s="410"/>
      <c r="AD2" s="410"/>
    </row>
    <row r="3" spans="1:30" s="1" customFormat="1" ht="16" customHeight="1">
      <c r="F3" s="410" t="s">
        <v>0</v>
      </c>
      <c r="G3" s="410"/>
      <c r="Y3" s="410"/>
      <c r="Z3" s="410"/>
      <c r="AA3" s="410"/>
      <c r="AB3" s="410"/>
      <c r="AC3" s="410"/>
      <c r="AD3" s="410"/>
    </row>
    <row r="4" spans="1:30" s="1" customFormat="1">
      <c r="F4" s="66"/>
      <c r="G4" s="66"/>
      <c r="H4" s="66"/>
    </row>
    <row r="5" spans="1:30" s="1" customFormat="1" ht="16" customHeight="1">
      <c r="F5" s="66"/>
      <c r="G5" s="66"/>
      <c r="H5" s="66"/>
    </row>
    <row r="6" spans="1:30" s="1" customFormat="1" ht="67.7" customHeight="1">
      <c r="A6" s="419" t="s">
        <v>133</v>
      </c>
      <c r="B6" s="419"/>
      <c r="C6" s="419"/>
      <c r="D6" s="419"/>
      <c r="E6" s="419"/>
      <c r="F6" s="419"/>
      <c r="G6" s="419"/>
      <c r="H6" s="68"/>
    </row>
    <row r="7" spans="1:30" s="1" customFormat="1" ht="20.95" customHeight="1">
      <c r="A7" s="420" t="s">
        <v>77</v>
      </c>
      <c r="B7" s="420"/>
      <c r="C7" s="420"/>
      <c r="D7" s="420"/>
      <c r="E7" s="420"/>
      <c r="F7" s="420"/>
      <c r="G7" s="420"/>
      <c r="H7" s="68"/>
    </row>
    <row r="8" spans="1:30" ht="53.2">
      <c r="A8" s="421" t="s">
        <v>1</v>
      </c>
      <c r="B8" s="421"/>
      <c r="C8" s="67"/>
      <c r="D8" s="422" t="s">
        <v>5</v>
      </c>
      <c r="E8" s="423"/>
      <c r="F8" s="426" t="s">
        <v>78</v>
      </c>
      <c r="G8" s="67" t="s">
        <v>22</v>
      </c>
    </row>
    <row r="9" spans="1:30" s="80" customFormat="1" ht="35.5">
      <c r="A9" s="67" t="s">
        <v>4</v>
      </c>
      <c r="B9" s="67" t="s">
        <v>15</v>
      </c>
      <c r="C9" s="67"/>
      <c r="D9" s="424"/>
      <c r="E9" s="425"/>
      <c r="F9" s="427"/>
      <c r="G9" s="67" t="s">
        <v>3</v>
      </c>
    </row>
    <row r="10" spans="1:30" s="80" customFormat="1" ht="31.7" customHeight="1">
      <c r="A10" s="428" t="s">
        <v>12</v>
      </c>
      <c r="B10" s="429"/>
      <c r="C10" s="429"/>
      <c r="D10" s="429"/>
      <c r="E10" s="429"/>
      <c r="F10" s="430"/>
      <c r="G10" s="40">
        <f>+G11</f>
        <v>62778.3</v>
      </c>
      <c r="H10" s="81"/>
    </row>
    <row r="11" spans="1:30" ht="24.05" customHeight="1">
      <c r="A11" s="82">
        <v>1075</v>
      </c>
      <c r="B11" s="431" t="s">
        <v>79</v>
      </c>
      <c r="C11" s="432"/>
      <c r="D11" s="432"/>
      <c r="E11" s="432"/>
      <c r="F11" s="433"/>
      <c r="G11" s="112">
        <f>+G12+G18+G20</f>
        <v>62778.3</v>
      </c>
    </row>
    <row r="12" spans="1:30" ht="54.55" customHeight="1">
      <c r="A12" s="77"/>
      <c r="B12" s="82">
        <v>21001</v>
      </c>
      <c r="C12" s="416" t="s">
        <v>64</v>
      </c>
      <c r="D12" s="417"/>
      <c r="E12" s="418"/>
      <c r="F12" s="78" t="s">
        <v>12</v>
      </c>
      <c r="G12" s="113">
        <f>+G14</f>
        <v>49720</v>
      </c>
      <c r="H12" s="84"/>
    </row>
    <row r="13" spans="1:30" ht="36" customHeight="1">
      <c r="A13" s="77"/>
      <c r="B13" s="82"/>
      <c r="C13" s="98"/>
      <c r="D13" s="414" t="s">
        <v>81</v>
      </c>
      <c r="E13" s="415"/>
      <c r="F13" s="78"/>
      <c r="G13" s="113"/>
    </row>
    <row r="14" spans="1:30" ht="106" customHeight="1">
      <c r="A14" s="77"/>
      <c r="B14" s="77"/>
      <c r="C14" s="77"/>
      <c r="D14" s="83"/>
      <c r="E14" s="31" t="s">
        <v>82</v>
      </c>
      <c r="F14" s="79"/>
      <c r="G14" s="85">
        <f>+G15+G16+G17</f>
        <v>49720</v>
      </c>
    </row>
    <row r="15" spans="1:30" ht="53.2">
      <c r="A15" s="77"/>
      <c r="B15" s="77"/>
      <c r="C15" s="77"/>
      <c r="D15" s="83"/>
      <c r="E15" s="129" t="s">
        <v>126</v>
      </c>
      <c r="F15" s="79" t="s">
        <v>127</v>
      </c>
      <c r="G15" s="152">
        <f>14500*1.2</f>
        <v>17400</v>
      </c>
    </row>
    <row r="16" spans="1:30" ht="53.2">
      <c r="A16" s="77"/>
      <c r="B16" s="77"/>
      <c r="C16" s="77"/>
      <c r="D16" s="83"/>
      <c r="E16" s="129" t="s">
        <v>128</v>
      </c>
      <c r="F16" s="79" t="s">
        <v>80</v>
      </c>
      <c r="G16" s="152">
        <f>14600*1.2</f>
        <v>17520</v>
      </c>
    </row>
    <row r="17" spans="1:8" ht="35.5">
      <c r="A17" s="77"/>
      <c r="B17" s="77"/>
      <c r="C17" s="77"/>
      <c r="D17" s="83"/>
      <c r="E17" s="129" t="s">
        <v>129</v>
      </c>
      <c r="F17" s="79" t="s">
        <v>130</v>
      </c>
      <c r="G17" s="152">
        <f>14800</f>
        <v>14800</v>
      </c>
    </row>
    <row r="18" spans="1:8" ht="33.35">
      <c r="A18" s="125"/>
      <c r="B18" s="153">
        <v>32001</v>
      </c>
      <c r="C18" s="411" t="s">
        <v>181</v>
      </c>
      <c r="D18" s="412"/>
      <c r="E18" s="413"/>
      <c r="F18" s="154" t="s">
        <v>12</v>
      </c>
      <c r="G18" s="155">
        <f>+G19</f>
        <v>3888.3</v>
      </c>
      <c r="H18" s="84"/>
    </row>
    <row r="19" spans="1:8" ht="35.5">
      <c r="A19" s="125"/>
      <c r="B19" s="125"/>
      <c r="C19" s="125"/>
      <c r="D19" s="143"/>
      <c r="E19" s="129"/>
      <c r="F19" s="183" t="s">
        <v>182</v>
      </c>
      <c r="G19" s="214">
        <f>1988.3+1900</f>
        <v>3888.3</v>
      </c>
    </row>
    <row r="20" spans="1:8" ht="55.35" customHeight="1">
      <c r="A20" s="125"/>
      <c r="B20" s="153">
        <v>32008</v>
      </c>
      <c r="C20" s="411" t="s">
        <v>131</v>
      </c>
      <c r="D20" s="412"/>
      <c r="E20" s="413"/>
      <c r="F20" s="154" t="s">
        <v>12</v>
      </c>
      <c r="G20" s="155">
        <f>SUM(G21:G34)</f>
        <v>9170</v>
      </c>
      <c r="H20" s="84"/>
    </row>
    <row r="21" spans="1:8" ht="53.2">
      <c r="A21" s="125"/>
      <c r="B21" s="125"/>
      <c r="C21" s="125"/>
      <c r="D21" s="143"/>
      <c r="E21" s="129"/>
      <c r="F21" s="79" t="s">
        <v>80</v>
      </c>
      <c r="G21" s="156">
        <v>9170</v>
      </c>
    </row>
  </sheetData>
  <mergeCells count="17">
    <mergeCell ref="C20:E20"/>
    <mergeCell ref="D13:E13"/>
    <mergeCell ref="C12:E12"/>
    <mergeCell ref="A6:G6"/>
    <mergeCell ref="A7:G7"/>
    <mergeCell ref="A8:B8"/>
    <mergeCell ref="D8:E9"/>
    <mergeCell ref="F8:F9"/>
    <mergeCell ref="A10:F10"/>
    <mergeCell ref="B11:F11"/>
    <mergeCell ref="C18:E18"/>
    <mergeCell ref="F1:G1"/>
    <mergeCell ref="AB1:AD1"/>
    <mergeCell ref="F2:G2"/>
    <mergeCell ref="AA2:AD2"/>
    <mergeCell ref="F3:G3"/>
    <mergeCell ref="Y3:AD3"/>
  </mergeCells>
  <pageMargins left="0.7" right="0.7" top="0.75" bottom="0.75" header="0.3" footer="0.3"/>
  <pageSetup paperSize="9" scale="27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89"/>
  <sheetViews>
    <sheetView zoomScale="70" zoomScaleNormal="70" workbookViewId="0">
      <selection activeCell="J86" sqref="J86:M86"/>
    </sheetView>
  </sheetViews>
  <sheetFormatPr defaultColWidth="8.796875" defaultRowHeight="17.75"/>
  <cols>
    <col min="1" max="1" width="6.3984375" style="307" bestFit="1" customWidth="1"/>
    <col min="2" max="2" width="9.69921875" style="307" customWidth="1"/>
    <col min="3" max="3" width="13.09765625" style="307" customWidth="1"/>
    <col min="4" max="4" width="16.69921875" style="330" customWidth="1"/>
    <col min="5" max="5" width="13.09765625" style="307" customWidth="1"/>
    <col min="6" max="6" width="15.3984375" style="307" customWidth="1"/>
    <col min="7" max="7" width="10.3984375" style="307" customWidth="1"/>
    <col min="8" max="8" width="22.59765625" style="307" customWidth="1"/>
    <col min="9" max="9" width="46.296875" style="307" customWidth="1"/>
    <col min="10" max="13" width="19.3984375" style="307" customWidth="1"/>
    <col min="14" max="16384" width="8.796875" style="307"/>
  </cols>
  <sheetData>
    <row r="1" spans="1:13" ht="28.5" customHeight="1">
      <c r="D1" s="308"/>
      <c r="E1" s="308"/>
      <c r="F1" s="308"/>
      <c r="G1" s="457"/>
      <c r="H1" s="457"/>
      <c r="J1" s="309"/>
      <c r="K1" s="457" t="s">
        <v>37</v>
      </c>
      <c r="L1" s="457"/>
      <c r="M1" s="457"/>
    </row>
    <row r="2" spans="1:13" ht="17.75" customHeight="1">
      <c r="D2" s="310"/>
      <c r="E2" s="310"/>
      <c r="F2" s="311"/>
      <c r="H2" s="312"/>
      <c r="I2" s="312"/>
      <c r="J2" s="312"/>
      <c r="K2" s="458" t="s">
        <v>208</v>
      </c>
      <c r="L2" s="458"/>
      <c r="M2" s="458"/>
    </row>
    <row r="3" spans="1:13">
      <c r="D3" s="310"/>
      <c r="E3" s="310"/>
      <c r="F3" s="311"/>
      <c r="G3" s="458"/>
      <c r="H3" s="458"/>
      <c r="J3" s="312"/>
      <c r="K3" s="458" t="s">
        <v>20</v>
      </c>
      <c r="L3" s="458"/>
      <c r="M3" s="458"/>
    </row>
    <row r="4" spans="1:13">
      <c r="D4" s="310"/>
      <c r="E4" s="310"/>
      <c r="F4" s="311"/>
      <c r="G4" s="312"/>
      <c r="H4" s="312"/>
      <c r="I4" s="312"/>
      <c r="J4" s="312"/>
    </row>
    <row r="5" spans="1:13">
      <c r="D5" s="310"/>
      <c r="E5" s="310"/>
      <c r="F5" s="311"/>
      <c r="G5" s="312"/>
      <c r="H5" s="312"/>
      <c r="I5" s="312"/>
      <c r="J5" s="312"/>
    </row>
    <row r="6" spans="1:13">
      <c r="A6" s="401" t="s">
        <v>305</v>
      </c>
      <c r="B6" s="401"/>
      <c r="C6" s="401"/>
      <c r="D6" s="401"/>
      <c r="E6" s="401"/>
      <c r="F6" s="401"/>
      <c r="G6" s="401"/>
      <c r="H6" s="401"/>
      <c r="I6" s="401"/>
      <c r="J6" s="401"/>
      <c r="K6" s="401"/>
      <c r="L6" s="401"/>
      <c r="M6" s="401"/>
    </row>
    <row r="9" spans="1:13" ht="51.05" customHeight="1">
      <c r="A9" s="339" t="s">
        <v>306</v>
      </c>
      <c r="B9" s="339" t="s">
        <v>307</v>
      </c>
      <c r="C9" s="339"/>
      <c r="D9" s="339" t="s">
        <v>308</v>
      </c>
      <c r="E9" s="339"/>
      <c r="F9" s="339"/>
      <c r="G9" s="339"/>
      <c r="H9" s="339" t="s">
        <v>309</v>
      </c>
      <c r="I9" s="339" t="s">
        <v>310</v>
      </c>
      <c r="J9" s="456" t="s">
        <v>60</v>
      </c>
      <c r="K9" s="456"/>
      <c r="L9" s="456"/>
      <c r="M9" s="456"/>
    </row>
    <row r="10" spans="1:13" ht="51.05" customHeight="1">
      <c r="A10" s="339"/>
      <c r="B10" s="283" t="s">
        <v>311</v>
      </c>
      <c r="C10" s="283" t="s">
        <v>312</v>
      </c>
      <c r="D10" s="283" t="s">
        <v>313</v>
      </c>
      <c r="E10" s="283" t="s">
        <v>312</v>
      </c>
      <c r="F10" s="283" t="s">
        <v>314</v>
      </c>
      <c r="G10" s="283" t="s">
        <v>315</v>
      </c>
      <c r="H10" s="339"/>
      <c r="I10" s="339"/>
      <c r="J10" s="283" t="s">
        <v>316</v>
      </c>
      <c r="K10" s="283" t="s">
        <v>317</v>
      </c>
      <c r="L10" s="283" t="s">
        <v>318</v>
      </c>
      <c r="M10" s="283" t="s">
        <v>319</v>
      </c>
    </row>
    <row r="11" spans="1:13" s="314" customFormat="1" ht="48.5" customHeight="1">
      <c r="A11" s="451" t="s">
        <v>320</v>
      </c>
      <c r="B11" s="451"/>
      <c r="C11" s="451"/>
      <c r="D11" s="451"/>
      <c r="E11" s="451"/>
      <c r="F11" s="451"/>
      <c r="G11" s="451"/>
      <c r="H11" s="451"/>
      <c r="I11" s="451"/>
      <c r="J11" s="313">
        <f>+J13+J80</f>
        <v>0</v>
      </c>
      <c r="K11" s="313">
        <f>+K13+K80</f>
        <v>2.5465851649641991E-11</v>
      </c>
      <c r="L11" s="313">
        <f>+L13+L80</f>
        <v>0</v>
      </c>
      <c r="M11" s="313">
        <f>+M13+M80</f>
        <v>0</v>
      </c>
    </row>
    <row r="12" spans="1:13" s="316" customFormat="1" ht="16.7">
      <c r="A12" s="452" t="s">
        <v>234</v>
      </c>
      <c r="B12" s="452"/>
      <c r="C12" s="452"/>
      <c r="D12" s="452"/>
      <c r="E12" s="452"/>
      <c r="F12" s="452"/>
      <c r="G12" s="452"/>
      <c r="H12" s="452"/>
      <c r="I12" s="452"/>
      <c r="J12" s="315"/>
      <c r="K12" s="315"/>
      <c r="L12" s="315"/>
      <c r="M12" s="315"/>
    </row>
    <row r="13" spans="1:13" s="318" customFormat="1" ht="29.95" customHeight="1">
      <c r="A13" s="442" t="s">
        <v>321</v>
      </c>
      <c r="B13" s="442"/>
      <c r="C13" s="442"/>
      <c r="D13" s="442"/>
      <c r="E13" s="442"/>
      <c r="F13" s="442"/>
      <c r="G13" s="442"/>
      <c r="H13" s="442"/>
      <c r="I13" s="442"/>
      <c r="J13" s="317">
        <f>+J14+J26+J50+J60+J70</f>
        <v>0</v>
      </c>
      <c r="K13" s="317">
        <f t="shared" ref="K13:M13" si="0">+K14+K26+K50+K60+K70</f>
        <v>2.5465851649641991E-11</v>
      </c>
      <c r="L13" s="317">
        <f t="shared" si="0"/>
        <v>0</v>
      </c>
      <c r="M13" s="317">
        <f t="shared" si="0"/>
        <v>0</v>
      </c>
    </row>
    <row r="14" spans="1:13">
      <c r="A14" s="436"/>
      <c r="B14" s="331">
        <v>1045</v>
      </c>
      <c r="C14" s="445" t="s">
        <v>226</v>
      </c>
      <c r="D14" s="445"/>
      <c r="E14" s="445"/>
      <c r="F14" s="445"/>
      <c r="G14" s="445"/>
      <c r="H14" s="445"/>
      <c r="I14" s="445"/>
      <c r="J14" s="315">
        <f>+J15+J20</f>
        <v>4937</v>
      </c>
      <c r="K14" s="315">
        <f>+K15+K20</f>
        <v>-56207.099999999991</v>
      </c>
      <c r="L14" s="315">
        <f>+L15+L20</f>
        <v>-31203.000000000007</v>
      </c>
      <c r="M14" s="315">
        <f>+M15+M20</f>
        <v>-10108.19999999999</v>
      </c>
    </row>
    <row r="15" spans="1:13" s="321" customFormat="1" ht="33.049999999999997" customHeight="1">
      <c r="A15" s="436"/>
      <c r="B15" s="449"/>
      <c r="C15" s="453"/>
      <c r="D15" s="319" t="s">
        <v>259</v>
      </c>
      <c r="E15" s="445" t="s">
        <v>260</v>
      </c>
      <c r="F15" s="445"/>
      <c r="G15" s="445"/>
      <c r="H15" s="445"/>
      <c r="I15" s="445"/>
      <c r="J15" s="320">
        <f>+'Հավելված N 1'!G17</f>
        <v>4937</v>
      </c>
      <c r="K15" s="320">
        <f>+'Հավելված N 1'!H17</f>
        <v>-56207.099999999991</v>
      </c>
      <c r="L15" s="320">
        <f>+'Հավելված N 1'!I17</f>
        <v>-31203.000000000007</v>
      </c>
      <c r="M15" s="320">
        <f>+'Հավելված N 1'!J17</f>
        <v>-50850.299999999988</v>
      </c>
    </row>
    <row r="16" spans="1:13" ht="33.35" customHeight="1">
      <c r="A16" s="436"/>
      <c r="B16" s="449"/>
      <c r="C16" s="454"/>
      <c r="D16" s="453"/>
      <c r="E16" s="453"/>
      <c r="F16" s="450" t="s">
        <v>330</v>
      </c>
      <c r="G16" s="446"/>
      <c r="H16" s="446"/>
      <c r="I16" s="446"/>
      <c r="J16" s="446"/>
      <c r="K16" s="446"/>
      <c r="L16" s="446"/>
      <c r="M16" s="447"/>
    </row>
    <row r="17" spans="1:13" ht="33.35" customHeight="1">
      <c r="A17" s="436"/>
      <c r="B17" s="449"/>
      <c r="C17" s="454"/>
      <c r="D17" s="454"/>
      <c r="E17" s="454"/>
      <c r="F17" s="453"/>
      <c r="G17" s="450" t="s">
        <v>113</v>
      </c>
      <c r="H17" s="446"/>
      <c r="I17" s="446"/>
      <c r="J17" s="446"/>
      <c r="K17" s="446"/>
      <c r="L17" s="446"/>
      <c r="M17" s="447"/>
    </row>
    <row r="18" spans="1:13" ht="33.35" customHeight="1">
      <c r="A18" s="436"/>
      <c r="B18" s="449"/>
      <c r="C18" s="454"/>
      <c r="D18" s="454"/>
      <c r="E18" s="454"/>
      <c r="F18" s="454"/>
      <c r="G18" s="453"/>
      <c r="H18" s="450" t="s">
        <v>331</v>
      </c>
      <c r="I18" s="446"/>
      <c r="J18" s="446"/>
      <c r="K18" s="446"/>
      <c r="L18" s="446"/>
      <c r="M18" s="447"/>
    </row>
    <row r="19" spans="1:13" ht="53.2">
      <c r="A19" s="436"/>
      <c r="B19" s="449"/>
      <c r="C19" s="454"/>
      <c r="D19" s="454"/>
      <c r="E19" s="454"/>
      <c r="F19" s="454"/>
      <c r="G19" s="454"/>
      <c r="H19" s="322"/>
      <c r="I19" s="323" t="s">
        <v>332</v>
      </c>
      <c r="J19" s="323" t="s">
        <v>322</v>
      </c>
      <c r="K19" s="332">
        <v>-1</v>
      </c>
      <c r="L19" s="323" t="s">
        <v>322</v>
      </c>
      <c r="M19" s="332">
        <v>-1</v>
      </c>
    </row>
    <row r="20" spans="1:13" s="321" customFormat="1" ht="33.049999999999997" customHeight="1">
      <c r="A20" s="436"/>
      <c r="B20" s="419"/>
      <c r="C20" s="454"/>
      <c r="D20" s="324" t="s">
        <v>333</v>
      </c>
      <c r="E20" s="443" t="s">
        <v>263</v>
      </c>
      <c r="F20" s="445"/>
      <c r="G20" s="445"/>
      <c r="H20" s="445"/>
      <c r="I20" s="445"/>
      <c r="J20" s="320">
        <f>+'Հավելված N 1'!G18</f>
        <v>0</v>
      </c>
      <c r="K20" s="320">
        <f>+'Հավելված N 1'!H18</f>
        <v>0</v>
      </c>
      <c r="L20" s="320">
        <f>+'Հավելված N 1'!I18</f>
        <v>0</v>
      </c>
      <c r="M20" s="320">
        <f>+'Հավելված N 1'!J18</f>
        <v>40742.1</v>
      </c>
    </row>
    <row r="21" spans="1:13" ht="33.35" customHeight="1">
      <c r="A21" s="436"/>
      <c r="B21" s="419"/>
      <c r="C21" s="454"/>
      <c r="D21" s="444"/>
      <c r="E21" s="444"/>
      <c r="F21" s="455" t="s">
        <v>334</v>
      </c>
      <c r="G21" s="446"/>
      <c r="H21" s="446"/>
      <c r="I21" s="446"/>
      <c r="J21" s="446"/>
      <c r="K21" s="446"/>
      <c r="L21" s="446"/>
      <c r="M21" s="447"/>
    </row>
    <row r="22" spans="1:13" ht="33.35" customHeight="1">
      <c r="A22" s="436"/>
      <c r="B22" s="419"/>
      <c r="C22" s="454"/>
      <c r="D22" s="444"/>
      <c r="E22" s="444"/>
      <c r="F22" s="444"/>
      <c r="G22" s="446" t="s">
        <v>113</v>
      </c>
      <c r="H22" s="446"/>
      <c r="I22" s="446"/>
      <c r="J22" s="446"/>
      <c r="K22" s="446"/>
      <c r="L22" s="446"/>
      <c r="M22" s="447"/>
    </row>
    <row r="23" spans="1:13" ht="33.35" customHeight="1">
      <c r="A23" s="436"/>
      <c r="B23" s="419"/>
      <c r="C23" s="454"/>
      <c r="D23" s="444"/>
      <c r="E23" s="444"/>
      <c r="F23" s="444"/>
      <c r="G23" s="448"/>
      <c r="H23" s="450" t="s">
        <v>331</v>
      </c>
      <c r="I23" s="446"/>
      <c r="J23" s="446"/>
      <c r="K23" s="446"/>
      <c r="L23" s="446"/>
      <c r="M23" s="447"/>
    </row>
    <row r="24" spans="1:13" ht="35.5">
      <c r="A24" s="436"/>
      <c r="B24" s="150"/>
      <c r="C24" s="454"/>
      <c r="D24" s="444"/>
      <c r="E24" s="444"/>
      <c r="F24" s="444"/>
      <c r="G24" s="449"/>
      <c r="H24" s="322"/>
      <c r="I24" s="323" t="s">
        <v>335</v>
      </c>
      <c r="J24" s="323"/>
      <c r="K24" s="323"/>
      <c r="L24" s="323" t="s">
        <v>322</v>
      </c>
      <c r="M24" s="323">
        <v>1</v>
      </c>
    </row>
    <row r="25" spans="1:13" ht="8.6" customHeight="1">
      <c r="A25" s="436"/>
      <c r="B25" s="213"/>
      <c r="C25" s="213"/>
      <c r="D25" s="213"/>
      <c r="E25" s="213"/>
      <c r="F25" s="213"/>
      <c r="G25" s="213"/>
      <c r="H25" s="213"/>
      <c r="I25" s="213"/>
      <c r="J25" s="213"/>
      <c r="K25" s="213"/>
      <c r="L25" s="213"/>
      <c r="M25" s="325"/>
    </row>
    <row r="26" spans="1:13" s="327" customFormat="1">
      <c r="A26" s="436"/>
      <c r="B26" s="326">
        <v>1075</v>
      </c>
      <c r="C26" s="434" t="s">
        <v>336</v>
      </c>
      <c r="D26" s="434"/>
      <c r="E26" s="434"/>
      <c r="F26" s="434"/>
      <c r="G26" s="434"/>
      <c r="H26" s="434"/>
      <c r="I26" s="434"/>
      <c r="J26" s="315">
        <f>+J27+J34+J39+J44</f>
        <v>31319.499999999993</v>
      </c>
      <c r="K26" s="315">
        <f t="shared" ref="K26:M26" si="1">+K27+K34+K39+K44</f>
        <v>60736.400000000016</v>
      </c>
      <c r="L26" s="315">
        <f t="shared" si="1"/>
        <v>-64131.5</v>
      </c>
      <c r="M26" s="315">
        <f t="shared" si="1"/>
        <v>-74422</v>
      </c>
    </row>
    <row r="27" spans="1:13" s="328" customFormat="1" ht="33.049999999999997" customHeight="1">
      <c r="A27" s="436"/>
      <c r="B27" s="439"/>
      <c r="C27" s="348"/>
      <c r="D27" s="138" t="s">
        <v>269</v>
      </c>
      <c r="E27" s="434" t="s">
        <v>270</v>
      </c>
      <c r="F27" s="434"/>
      <c r="G27" s="434"/>
      <c r="H27" s="434"/>
      <c r="I27" s="434"/>
      <c r="J27" s="286">
        <f>+'Հավելված N 1'!G20</f>
        <v>-13862.600000000006</v>
      </c>
      <c r="K27" s="286">
        <f>+'Հավելված N 1'!H20</f>
        <v>12790.599999999999</v>
      </c>
      <c r="L27" s="286">
        <f>+'Հավելված N 1'!I20</f>
        <v>1120.5999999999985</v>
      </c>
      <c r="M27" s="286">
        <f>+'Հավելված N 1'!J20</f>
        <v>-9170</v>
      </c>
    </row>
    <row r="28" spans="1:13" s="327" customFormat="1">
      <c r="A28" s="436"/>
      <c r="B28" s="440"/>
      <c r="C28" s="349"/>
      <c r="D28" s="438"/>
      <c r="E28" s="438"/>
      <c r="F28" s="412" t="s">
        <v>337</v>
      </c>
      <c r="G28" s="412"/>
      <c r="H28" s="412"/>
      <c r="I28" s="412"/>
      <c r="J28" s="412"/>
      <c r="K28" s="412"/>
      <c r="L28" s="412"/>
      <c r="M28" s="413"/>
    </row>
    <row r="29" spans="1:13" s="327" customFormat="1" ht="17.75" customHeight="1">
      <c r="A29" s="436"/>
      <c r="B29" s="440"/>
      <c r="C29" s="349"/>
      <c r="D29" s="438"/>
      <c r="E29" s="438"/>
      <c r="F29" s="438"/>
      <c r="G29" s="412" t="s">
        <v>338</v>
      </c>
      <c r="H29" s="412"/>
      <c r="I29" s="412"/>
      <c r="J29" s="412"/>
      <c r="K29" s="412"/>
      <c r="L29" s="412"/>
      <c r="M29" s="413"/>
    </row>
    <row r="30" spans="1:13" s="327" customFormat="1">
      <c r="A30" s="436"/>
      <c r="B30" s="440"/>
      <c r="C30" s="349"/>
      <c r="D30" s="438"/>
      <c r="E30" s="438"/>
      <c r="F30" s="438"/>
      <c r="G30" s="438"/>
      <c r="H30" s="412" t="s">
        <v>339</v>
      </c>
      <c r="I30" s="412"/>
      <c r="J30" s="412"/>
      <c r="K30" s="412"/>
      <c r="L30" s="412"/>
      <c r="M30" s="413"/>
    </row>
    <row r="31" spans="1:13" ht="35.5">
      <c r="A31" s="436"/>
      <c r="B31" s="440"/>
      <c r="C31" s="349"/>
      <c r="D31" s="438"/>
      <c r="E31" s="438"/>
      <c r="F31" s="438"/>
      <c r="G31" s="438"/>
      <c r="H31" s="333"/>
      <c r="I31" s="323" t="s">
        <v>340</v>
      </c>
      <c r="J31" s="323"/>
      <c r="K31" s="323">
        <v>1</v>
      </c>
      <c r="L31" s="323" t="s">
        <v>322</v>
      </c>
      <c r="M31" s="323">
        <v>1</v>
      </c>
    </row>
    <row r="32" spans="1:13" ht="35.5">
      <c r="A32" s="436"/>
      <c r="B32" s="440"/>
      <c r="C32" s="349"/>
      <c r="D32" s="438"/>
      <c r="E32" s="438"/>
      <c r="F32" s="438"/>
      <c r="G32" s="438"/>
      <c r="H32" s="333"/>
      <c r="I32" s="323" t="s">
        <v>341</v>
      </c>
      <c r="J32" s="323"/>
      <c r="K32" s="323">
        <v>5</v>
      </c>
      <c r="L32" s="323" t="s">
        <v>322</v>
      </c>
      <c r="M32" s="323">
        <v>5</v>
      </c>
    </row>
    <row r="33" spans="1:13" ht="53.2">
      <c r="A33" s="436"/>
      <c r="B33" s="440"/>
      <c r="C33" s="349"/>
      <c r="D33" s="438"/>
      <c r="E33" s="438"/>
      <c r="F33" s="438"/>
      <c r="G33" s="438"/>
      <c r="H33" s="333"/>
      <c r="I33" s="323" t="s">
        <v>342</v>
      </c>
      <c r="J33" s="323"/>
      <c r="K33" s="323">
        <v>3</v>
      </c>
      <c r="L33" s="323" t="s">
        <v>322</v>
      </c>
      <c r="M33" s="323">
        <v>3</v>
      </c>
    </row>
    <row r="34" spans="1:13" s="328" customFormat="1" ht="33.049999999999997" customHeight="1">
      <c r="A34" s="436"/>
      <c r="B34" s="440"/>
      <c r="C34" s="349"/>
      <c r="D34" s="138" t="s">
        <v>267</v>
      </c>
      <c r="E34" s="434" t="s">
        <v>183</v>
      </c>
      <c r="F34" s="434"/>
      <c r="G34" s="434"/>
      <c r="H34" s="434"/>
      <c r="I34" s="434"/>
      <c r="J34" s="286">
        <f>+'Հավելված N 1'!G21</f>
        <v>4012.1000000000004</v>
      </c>
      <c r="K34" s="286">
        <f>+'Հավելված N 1'!H21</f>
        <v>-63224.199999999983</v>
      </c>
      <c r="L34" s="286">
        <f>+'Հավելված N 1'!I21</f>
        <v>-176422.1</v>
      </c>
      <c r="M34" s="286">
        <f>+'Հավելված N 1'!J21</f>
        <v>-261320.5</v>
      </c>
    </row>
    <row r="35" spans="1:13" s="327" customFormat="1">
      <c r="A35" s="436"/>
      <c r="B35" s="440"/>
      <c r="C35" s="349"/>
      <c r="D35" s="438"/>
      <c r="E35" s="438"/>
      <c r="F35" s="412" t="s">
        <v>343</v>
      </c>
      <c r="G35" s="412"/>
      <c r="H35" s="412"/>
      <c r="I35" s="412"/>
      <c r="J35" s="412"/>
      <c r="K35" s="412"/>
      <c r="L35" s="412"/>
      <c r="M35" s="413"/>
    </row>
    <row r="36" spans="1:13" s="327" customFormat="1" ht="17.75" customHeight="1">
      <c r="A36" s="436"/>
      <c r="B36" s="440"/>
      <c r="C36" s="349"/>
      <c r="D36" s="438"/>
      <c r="E36" s="438"/>
      <c r="F36" s="438"/>
      <c r="G36" s="412" t="s">
        <v>113</v>
      </c>
      <c r="H36" s="412"/>
      <c r="I36" s="412"/>
      <c r="J36" s="412"/>
      <c r="K36" s="412"/>
      <c r="L36" s="412"/>
      <c r="M36" s="413"/>
    </row>
    <row r="37" spans="1:13" s="327" customFormat="1" ht="17.75" customHeight="1">
      <c r="A37" s="436"/>
      <c r="B37" s="440"/>
      <c r="C37" s="349"/>
      <c r="D37" s="438"/>
      <c r="E37" s="438"/>
      <c r="F37" s="438"/>
      <c r="G37" s="438"/>
      <c r="H37" s="411" t="s">
        <v>344</v>
      </c>
      <c r="I37" s="412"/>
      <c r="J37" s="412"/>
      <c r="K37" s="412"/>
      <c r="L37" s="412"/>
      <c r="M37" s="413"/>
    </row>
    <row r="38" spans="1:13" ht="35.5">
      <c r="A38" s="436"/>
      <c r="B38" s="440"/>
      <c r="C38" s="349"/>
      <c r="D38" s="438"/>
      <c r="E38" s="438"/>
      <c r="F38" s="438"/>
      <c r="G38" s="438"/>
      <c r="H38" s="333"/>
      <c r="I38" s="323" t="s">
        <v>345</v>
      </c>
      <c r="J38" s="323"/>
      <c r="K38" s="332">
        <v>-1</v>
      </c>
      <c r="L38" s="323" t="s">
        <v>322</v>
      </c>
      <c r="M38" s="332">
        <v>-1</v>
      </c>
    </row>
    <row r="39" spans="1:13" s="328" customFormat="1" ht="33.049999999999997" customHeight="1">
      <c r="A39" s="436"/>
      <c r="B39" s="440"/>
      <c r="C39" s="349"/>
      <c r="D39" s="138" t="s">
        <v>273</v>
      </c>
      <c r="E39" s="434" t="s">
        <v>274</v>
      </c>
      <c r="F39" s="434"/>
      <c r="G39" s="434"/>
      <c r="H39" s="434"/>
      <c r="I39" s="434"/>
      <c r="J39" s="286">
        <f>+'Հավելված N 1'!G22</f>
        <v>9170</v>
      </c>
      <c r="K39" s="286">
        <f>+'Հավելված N 1'!H22</f>
        <v>9170</v>
      </c>
      <c r="L39" s="286">
        <f>+'Հավելված N 1'!I22</f>
        <v>9170</v>
      </c>
      <c r="M39" s="286">
        <f>+'Հավելված N 1'!J22</f>
        <v>9170</v>
      </c>
    </row>
    <row r="40" spans="1:13" s="327" customFormat="1">
      <c r="A40" s="436"/>
      <c r="B40" s="440"/>
      <c r="C40" s="349"/>
      <c r="D40" s="438"/>
      <c r="E40" s="438"/>
      <c r="F40" s="412" t="s">
        <v>346</v>
      </c>
      <c r="G40" s="412"/>
      <c r="H40" s="412"/>
      <c r="I40" s="412"/>
      <c r="J40" s="412"/>
      <c r="K40" s="412"/>
      <c r="L40" s="412"/>
      <c r="M40" s="413"/>
    </row>
    <row r="41" spans="1:13" s="327" customFormat="1" ht="17.75" customHeight="1">
      <c r="A41" s="436"/>
      <c r="B41" s="440"/>
      <c r="C41" s="349"/>
      <c r="D41" s="438"/>
      <c r="E41" s="438"/>
      <c r="F41" s="438"/>
      <c r="G41" s="412" t="s">
        <v>113</v>
      </c>
      <c r="H41" s="412"/>
      <c r="I41" s="412"/>
      <c r="J41" s="412"/>
      <c r="K41" s="412"/>
      <c r="L41" s="412"/>
      <c r="M41" s="413"/>
    </row>
    <row r="42" spans="1:13" s="327" customFormat="1" ht="17.75" customHeight="1">
      <c r="A42" s="436"/>
      <c r="B42" s="440"/>
      <c r="C42" s="349"/>
      <c r="D42" s="438"/>
      <c r="E42" s="438"/>
      <c r="F42" s="438"/>
      <c r="G42" s="438"/>
      <c r="H42" s="411" t="s">
        <v>344</v>
      </c>
      <c r="I42" s="412"/>
      <c r="J42" s="412"/>
      <c r="K42" s="412"/>
      <c r="L42" s="412"/>
      <c r="M42" s="413"/>
    </row>
    <row r="43" spans="1:13" ht="35.5">
      <c r="A43" s="436"/>
      <c r="B43" s="440"/>
      <c r="C43" s="349"/>
      <c r="D43" s="438"/>
      <c r="E43" s="438"/>
      <c r="F43" s="438"/>
      <c r="G43" s="438"/>
      <c r="H43" s="333"/>
      <c r="I43" s="323" t="s">
        <v>347</v>
      </c>
      <c r="J43" s="323"/>
      <c r="K43" s="332">
        <v>1</v>
      </c>
      <c r="L43" s="323" t="s">
        <v>322</v>
      </c>
      <c r="M43" s="332">
        <v>1</v>
      </c>
    </row>
    <row r="44" spans="1:13" s="328" customFormat="1" ht="33.049999999999997" customHeight="1">
      <c r="A44" s="436"/>
      <c r="B44" s="440"/>
      <c r="C44" s="349"/>
      <c r="D44" s="138" t="s">
        <v>276</v>
      </c>
      <c r="E44" s="434" t="s">
        <v>194</v>
      </c>
      <c r="F44" s="434"/>
      <c r="G44" s="434"/>
      <c r="H44" s="434"/>
      <c r="I44" s="434"/>
      <c r="J44" s="286">
        <f>+'Հավելված N 1'!G23</f>
        <v>32000</v>
      </c>
      <c r="K44" s="286">
        <f>+'Հավելված N 1'!H23</f>
        <v>102000</v>
      </c>
      <c r="L44" s="286">
        <f>+'Հավելված N 1'!I23</f>
        <v>102000</v>
      </c>
      <c r="M44" s="286">
        <f>+'Հավելված N 1'!J23</f>
        <v>186898.5</v>
      </c>
    </row>
    <row r="45" spans="1:13" s="327" customFormat="1">
      <c r="A45" s="436"/>
      <c r="B45" s="440"/>
      <c r="C45" s="349"/>
      <c r="D45" s="438"/>
      <c r="E45" s="438"/>
      <c r="F45" s="412" t="s">
        <v>348</v>
      </c>
      <c r="G45" s="412"/>
      <c r="H45" s="412"/>
      <c r="I45" s="412"/>
      <c r="J45" s="412"/>
      <c r="K45" s="412"/>
      <c r="L45" s="412"/>
      <c r="M45" s="413"/>
    </row>
    <row r="46" spans="1:13" s="327" customFormat="1" ht="17.75" customHeight="1">
      <c r="A46" s="436"/>
      <c r="B46" s="440"/>
      <c r="C46" s="349"/>
      <c r="D46" s="438"/>
      <c r="E46" s="438"/>
      <c r="F46" s="438"/>
      <c r="G46" s="412" t="s">
        <v>113</v>
      </c>
      <c r="H46" s="412"/>
      <c r="I46" s="412"/>
      <c r="J46" s="412"/>
      <c r="K46" s="412"/>
      <c r="L46" s="412"/>
      <c r="M46" s="413"/>
    </row>
    <row r="47" spans="1:13" s="327" customFormat="1" ht="17.75" customHeight="1">
      <c r="A47" s="436"/>
      <c r="B47" s="440"/>
      <c r="C47" s="349"/>
      <c r="D47" s="438"/>
      <c r="E47" s="438"/>
      <c r="F47" s="438"/>
      <c r="G47" s="438"/>
      <c r="H47" s="411" t="s">
        <v>349</v>
      </c>
      <c r="I47" s="412"/>
      <c r="J47" s="412"/>
      <c r="K47" s="412"/>
      <c r="L47" s="412"/>
      <c r="M47" s="413"/>
    </row>
    <row r="48" spans="1:13">
      <c r="A48" s="436"/>
      <c r="B48" s="441"/>
      <c r="C48" s="350"/>
      <c r="D48" s="438"/>
      <c r="E48" s="438"/>
      <c r="F48" s="438"/>
      <c r="G48" s="438"/>
      <c r="H48" s="333"/>
      <c r="I48" s="323" t="s">
        <v>350</v>
      </c>
      <c r="J48" s="323"/>
      <c r="K48" s="332"/>
      <c r="L48" s="323" t="s">
        <v>322</v>
      </c>
      <c r="M48" s="332">
        <v>1</v>
      </c>
    </row>
    <row r="49" spans="1:13" ht="8.6" customHeight="1">
      <c r="A49" s="436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325"/>
    </row>
    <row r="50" spans="1:13" s="327" customFormat="1">
      <c r="A50" s="436"/>
      <c r="B50" s="326">
        <v>1183</v>
      </c>
      <c r="C50" s="434" t="s">
        <v>118</v>
      </c>
      <c r="D50" s="434"/>
      <c r="E50" s="434"/>
      <c r="F50" s="434"/>
      <c r="G50" s="434"/>
      <c r="H50" s="434"/>
      <c r="I50" s="434"/>
      <c r="J50" s="315">
        <f>+J51+J55</f>
        <v>1410.6</v>
      </c>
      <c r="K50" s="315">
        <f t="shared" ref="K50:M50" si="2">+K51+K55</f>
        <v>1410.6</v>
      </c>
      <c r="L50" s="315">
        <f t="shared" si="2"/>
        <v>16822.599999999999</v>
      </c>
      <c r="M50" s="315">
        <f t="shared" si="2"/>
        <v>16822.599999999999</v>
      </c>
    </row>
    <row r="51" spans="1:13" s="328" customFormat="1" ht="34.950000000000003" customHeight="1">
      <c r="A51" s="436"/>
      <c r="B51" s="435"/>
      <c r="C51" s="436"/>
      <c r="D51" s="326" t="s">
        <v>280</v>
      </c>
      <c r="E51" s="434" t="s">
        <v>190</v>
      </c>
      <c r="F51" s="434"/>
      <c r="G51" s="434"/>
      <c r="H51" s="434"/>
      <c r="I51" s="434"/>
      <c r="J51" s="286">
        <f>+'Հավելված N 1'!G25</f>
        <v>0</v>
      </c>
      <c r="K51" s="286">
        <f>+'Հավելված N 1'!H25</f>
        <v>0</v>
      </c>
      <c r="L51" s="286">
        <f>+'Հավելված N 1'!I25</f>
        <v>15412</v>
      </c>
      <c r="M51" s="286">
        <f>+'Հավելված N 1'!J25</f>
        <v>15412</v>
      </c>
    </row>
    <row r="52" spans="1:13" s="327" customFormat="1" ht="33.85" customHeight="1">
      <c r="A52" s="436"/>
      <c r="B52" s="435"/>
      <c r="C52" s="436"/>
      <c r="D52" s="437"/>
      <c r="E52" s="438"/>
      <c r="F52" s="434" t="s">
        <v>351</v>
      </c>
      <c r="G52" s="434"/>
      <c r="H52" s="434"/>
      <c r="I52" s="434"/>
      <c r="J52" s="434"/>
      <c r="K52" s="434"/>
      <c r="L52" s="434"/>
      <c r="M52" s="434"/>
    </row>
    <row r="53" spans="1:13" s="327" customFormat="1" ht="17.75" customHeight="1">
      <c r="A53" s="436"/>
      <c r="B53" s="435"/>
      <c r="C53" s="436"/>
      <c r="D53" s="437"/>
      <c r="E53" s="438"/>
      <c r="F53" s="438"/>
      <c r="G53" s="434" t="s">
        <v>113</v>
      </c>
      <c r="H53" s="434"/>
      <c r="I53" s="434"/>
      <c r="J53" s="434"/>
      <c r="K53" s="434"/>
      <c r="L53" s="434"/>
      <c r="M53" s="434"/>
    </row>
    <row r="54" spans="1:13" s="327" customFormat="1">
      <c r="A54" s="436"/>
      <c r="B54" s="435"/>
      <c r="C54" s="436"/>
      <c r="D54" s="437"/>
      <c r="E54" s="438"/>
      <c r="F54" s="438"/>
      <c r="G54" s="138"/>
      <c r="H54" s="411" t="s">
        <v>352</v>
      </c>
      <c r="I54" s="412"/>
      <c r="J54" s="412"/>
      <c r="K54" s="412"/>
      <c r="L54" s="412"/>
      <c r="M54" s="413"/>
    </row>
    <row r="55" spans="1:13" s="328" customFormat="1" ht="17.75" customHeight="1">
      <c r="A55" s="436"/>
      <c r="B55" s="435"/>
      <c r="C55" s="436"/>
      <c r="D55" s="326" t="s">
        <v>282</v>
      </c>
      <c r="E55" s="434" t="s">
        <v>199</v>
      </c>
      <c r="F55" s="434"/>
      <c r="G55" s="434"/>
      <c r="H55" s="434"/>
      <c r="I55" s="434"/>
      <c r="J55" s="286">
        <f>+'Հավելված N 1'!G26</f>
        <v>1410.6</v>
      </c>
      <c r="K55" s="286">
        <f>+'Հավելված N 1'!H26</f>
        <v>1410.6</v>
      </c>
      <c r="L55" s="286">
        <f>+'Հավելված N 1'!I26</f>
        <v>1410.6</v>
      </c>
      <c r="M55" s="286">
        <f>+'Հավելված N 1'!J26</f>
        <v>1410.6</v>
      </c>
    </row>
    <row r="56" spans="1:13" s="327" customFormat="1" ht="33.85" customHeight="1">
      <c r="A56" s="436"/>
      <c r="B56" s="435"/>
      <c r="C56" s="436"/>
      <c r="D56" s="439"/>
      <c r="E56" s="348"/>
      <c r="F56" s="434" t="s">
        <v>283</v>
      </c>
      <c r="G56" s="434"/>
      <c r="H56" s="434"/>
      <c r="I56" s="434"/>
      <c r="J56" s="434"/>
      <c r="K56" s="434"/>
      <c r="L56" s="434"/>
      <c r="M56" s="434"/>
    </row>
    <row r="57" spans="1:13" s="327" customFormat="1" ht="17.75" customHeight="1">
      <c r="A57" s="436"/>
      <c r="B57" s="435"/>
      <c r="C57" s="436"/>
      <c r="D57" s="440"/>
      <c r="E57" s="349"/>
      <c r="F57" s="348"/>
      <c r="G57" s="434" t="s">
        <v>243</v>
      </c>
      <c r="H57" s="434"/>
      <c r="I57" s="434"/>
      <c r="J57" s="434"/>
      <c r="K57" s="434"/>
      <c r="L57" s="434"/>
      <c r="M57" s="434"/>
    </row>
    <row r="58" spans="1:13" s="327" customFormat="1">
      <c r="A58" s="436"/>
      <c r="B58" s="435"/>
      <c r="C58" s="436"/>
      <c r="D58" s="440"/>
      <c r="E58" s="349"/>
      <c r="F58" s="349"/>
      <c r="G58" s="148"/>
      <c r="H58" s="411" t="s">
        <v>353</v>
      </c>
      <c r="I58" s="412"/>
      <c r="J58" s="412"/>
      <c r="K58" s="412"/>
      <c r="L58" s="412"/>
      <c r="M58" s="413"/>
    </row>
    <row r="59" spans="1:13" ht="8.6" customHeight="1">
      <c r="A59" s="436"/>
      <c r="B59" s="213"/>
      <c r="C59" s="213"/>
      <c r="D59" s="213"/>
      <c r="E59" s="213"/>
      <c r="F59" s="213"/>
      <c r="G59" s="213"/>
      <c r="H59" s="213"/>
      <c r="I59" s="213"/>
      <c r="J59" s="213"/>
      <c r="K59" s="213"/>
      <c r="L59" s="213"/>
      <c r="M59" s="325"/>
    </row>
    <row r="60" spans="1:13" s="327" customFormat="1">
      <c r="A60" s="436"/>
      <c r="B60" s="326">
        <v>1192</v>
      </c>
      <c r="C60" s="434" t="s">
        <v>217</v>
      </c>
      <c r="D60" s="434"/>
      <c r="E60" s="434"/>
      <c r="F60" s="434"/>
      <c r="G60" s="434"/>
      <c r="H60" s="434"/>
      <c r="I60" s="434"/>
      <c r="J60" s="315">
        <f>+J61+J65</f>
        <v>0</v>
      </c>
      <c r="K60" s="315">
        <f t="shared" ref="K60:M60" si="3">+K61+K65</f>
        <v>0</v>
      </c>
      <c r="L60" s="315">
        <f t="shared" si="3"/>
        <v>0</v>
      </c>
      <c r="M60" s="315">
        <f t="shared" si="3"/>
        <v>0</v>
      </c>
    </row>
    <row r="61" spans="1:13" s="328" customFormat="1" ht="34.950000000000003" customHeight="1">
      <c r="A61" s="436"/>
      <c r="B61" s="435"/>
      <c r="C61" s="436"/>
      <c r="D61" s="326" t="s">
        <v>287</v>
      </c>
      <c r="E61" s="434" t="s">
        <v>288</v>
      </c>
      <c r="F61" s="434"/>
      <c r="G61" s="434"/>
      <c r="H61" s="434"/>
      <c r="I61" s="434"/>
      <c r="J61" s="286">
        <f>+'Հավելված N 1'!G28</f>
        <v>0</v>
      </c>
      <c r="K61" s="286">
        <f>+'Հավելված N 1'!H28</f>
        <v>112092.2</v>
      </c>
      <c r="L61" s="286">
        <f>+'Հավելված N 1'!I28</f>
        <v>112092.2</v>
      </c>
      <c r="M61" s="286">
        <f>+'Հավելված N 1'!J28</f>
        <v>112092.2</v>
      </c>
    </row>
    <row r="62" spans="1:13" s="327" customFormat="1" ht="33.85" customHeight="1">
      <c r="A62" s="436"/>
      <c r="B62" s="435"/>
      <c r="C62" s="436"/>
      <c r="D62" s="437"/>
      <c r="E62" s="438"/>
      <c r="F62" s="434" t="s">
        <v>354</v>
      </c>
      <c r="G62" s="434"/>
      <c r="H62" s="434"/>
      <c r="I62" s="434"/>
      <c r="J62" s="434"/>
      <c r="K62" s="434"/>
      <c r="L62" s="434"/>
      <c r="M62" s="434"/>
    </row>
    <row r="63" spans="1:13" s="327" customFormat="1" ht="17.75" customHeight="1">
      <c r="A63" s="436"/>
      <c r="B63" s="435"/>
      <c r="C63" s="436"/>
      <c r="D63" s="437"/>
      <c r="E63" s="438"/>
      <c r="F63" s="438"/>
      <c r="G63" s="434" t="s">
        <v>323</v>
      </c>
      <c r="H63" s="434"/>
      <c r="I63" s="434"/>
      <c r="J63" s="434"/>
      <c r="K63" s="434"/>
      <c r="L63" s="434"/>
      <c r="M63" s="434"/>
    </row>
    <row r="64" spans="1:13" s="327" customFormat="1">
      <c r="A64" s="436"/>
      <c r="B64" s="435"/>
      <c r="C64" s="436"/>
      <c r="D64" s="437"/>
      <c r="E64" s="438"/>
      <c r="F64" s="438"/>
      <c r="G64" s="138"/>
      <c r="H64" s="411" t="s">
        <v>355</v>
      </c>
      <c r="I64" s="412"/>
      <c r="J64" s="412"/>
      <c r="K64" s="412"/>
      <c r="L64" s="412"/>
      <c r="M64" s="413"/>
    </row>
    <row r="65" spans="1:13" s="328" customFormat="1" ht="17.75" customHeight="1">
      <c r="A65" s="436"/>
      <c r="B65" s="435"/>
      <c r="C65" s="436"/>
      <c r="D65" s="326" t="s">
        <v>290</v>
      </c>
      <c r="E65" s="434" t="s">
        <v>291</v>
      </c>
      <c r="F65" s="434"/>
      <c r="G65" s="434"/>
      <c r="H65" s="434"/>
      <c r="I65" s="434"/>
      <c r="J65" s="286">
        <f>+'Հավելված N 1'!G29</f>
        <v>0</v>
      </c>
      <c r="K65" s="286">
        <f>+'Հավելված N 1'!H29</f>
        <v>-112092.2</v>
      </c>
      <c r="L65" s="286">
        <f>+'Հավելված N 1'!I29</f>
        <v>-112092.2</v>
      </c>
      <c r="M65" s="286">
        <f>+'Հավելված N 1'!J29</f>
        <v>-112092.2</v>
      </c>
    </row>
    <row r="66" spans="1:13" s="327" customFormat="1" ht="33.85" customHeight="1">
      <c r="A66" s="436"/>
      <c r="B66" s="435"/>
      <c r="C66" s="436"/>
      <c r="D66" s="439"/>
      <c r="E66" s="348"/>
      <c r="F66" s="434" t="s">
        <v>356</v>
      </c>
      <c r="G66" s="434"/>
      <c r="H66" s="434"/>
      <c r="I66" s="434"/>
      <c r="J66" s="434"/>
      <c r="K66" s="434"/>
      <c r="L66" s="434"/>
      <c r="M66" s="434"/>
    </row>
    <row r="67" spans="1:13" s="327" customFormat="1" ht="17.75" customHeight="1">
      <c r="A67" s="436"/>
      <c r="B67" s="435"/>
      <c r="C67" s="436"/>
      <c r="D67" s="440"/>
      <c r="E67" s="349"/>
      <c r="F67" s="348"/>
      <c r="G67" s="434" t="s">
        <v>113</v>
      </c>
      <c r="H67" s="434"/>
      <c r="I67" s="434"/>
      <c r="J67" s="434"/>
      <c r="K67" s="434"/>
      <c r="L67" s="434"/>
      <c r="M67" s="434"/>
    </row>
    <row r="68" spans="1:13" s="327" customFormat="1">
      <c r="A68" s="436"/>
      <c r="B68" s="435"/>
      <c r="C68" s="436"/>
      <c r="D68" s="440"/>
      <c r="E68" s="349"/>
      <c r="F68" s="349"/>
      <c r="G68" s="148"/>
      <c r="H68" s="411" t="s">
        <v>357</v>
      </c>
      <c r="I68" s="412"/>
      <c r="J68" s="412"/>
      <c r="K68" s="412"/>
      <c r="L68" s="412"/>
      <c r="M68" s="413"/>
    </row>
    <row r="69" spans="1:13" ht="8.6" customHeight="1">
      <c r="A69" s="436"/>
      <c r="B69" s="213"/>
      <c r="C69" s="213"/>
      <c r="D69" s="213"/>
      <c r="E69" s="213"/>
      <c r="F69" s="213"/>
      <c r="G69" s="213"/>
      <c r="H69" s="213"/>
      <c r="I69" s="213"/>
      <c r="J69" s="213"/>
      <c r="K69" s="213"/>
      <c r="L69" s="213"/>
      <c r="M69" s="325"/>
    </row>
    <row r="70" spans="1:13" s="327" customFormat="1">
      <c r="A70" s="436"/>
      <c r="B70" s="326">
        <v>1236</v>
      </c>
      <c r="C70" s="434" t="s">
        <v>112</v>
      </c>
      <c r="D70" s="434"/>
      <c r="E70" s="434"/>
      <c r="F70" s="434"/>
      <c r="G70" s="434"/>
      <c r="H70" s="434"/>
      <c r="I70" s="434"/>
      <c r="J70" s="315">
        <f>+J71+J75</f>
        <v>-37667.1</v>
      </c>
      <c r="K70" s="315">
        <f t="shared" ref="K70:M70" si="4">+K71+K75</f>
        <v>-5939.9</v>
      </c>
      <c r="L70" s="315">
        <f t="shared" si="4"/>
        <v>78511.899999999994</v>
      </c>
      <c r="M70" s="315">
        <f t="shared" si="4"/>
        <v>67707.599999999991</v>
      </c>
    </row>
    <row r="71" spans="1:13" s="328" customFormat="1" ht="17.75" customHeight="1">
      <c r="A71" s="436"/>
      <c r="B71" s="437"/>
      <c r="C71" s="438"/>
      <c r="D71" s="138" t="s">
        <v>249</v>
      </c>
      <c r="E71" s="434" t="s">
        <v>201</v>
      </c>
      <c r="F71" s="434"/>
      <c r="G71" s="434"/>
      <c r="H71" s="434"/>
      <c r="I71" s="434"/>
      <c r="J71" s="286">
        <f>+'Հավելված N 1'!G31</f>
        <v>0</v>
      </c>
      <c r="K71" s="286">
        <f>+'Հավելված N 1'!H31</f>
        <v>5703.9</v>
      </c>
      <c r="L71" s="286">
        <f>+'Հավելված N 1'!I31</f>
        <v>5703.9</v>
      </c>
      <c r="M71" s="286">
        <f>+'Հավելված N 1'!J31</f>
        <v>5703.9</v>
      </c>
    </row>
    <row r="72" spans="1:13" s="327" customFormat="1" ht="33.85" customHeight="1">
      <c r="A72" s="436"/>
      <c r="B72" s="437"/>
      <c r="C72" s="438"/>
      <c r="D72" s="348"/>
      <c r="E72" s="348"/>
      <c r="F72" s="434" t="s">
        <v>325</v>
      </c>
      <c r="G72" s="434"/>
      <c r="H72" s="434"/>
      <c r="I72" s="434"/>
      <c r="J72" s="434"/>
      <c r="K72" s="434"/>
      <c r="L72" s="434"/>
      <c r="M72" s="434"/>
    </row>
    <row r="73" spans="1:13" s="327" customFormat="1" ht="17.75" customHeight="1">
      <c r="A73" s="436"/>
      <c r="B73" s="437"/>
      <c r="C73" s="438"/>
      <c r="D73" s="349"/>
      <c r="E73" s="349"/>
      <c r="F73" s="348"/>
      <c r="G73" s="434" t="s">
        <v>113</v>
      </c>
      <c r="H73" s="434"/>
      <c r="I73" s="434"/>
      <c r="J73" s="434"/>
      <c r="K73" s="434"/>
      <c r="L73" s="434"/>
      <c r="M73" s="434"/>
    </row>
    <row r="74" spans="1:13" s="327" customFormat="1">
      <c r="A74" s="436"/>
      <c r="B74" s="437"/>
      <c r="C74" s="438"/>
      <c r="D74" s="349"/>
      <c r="E74" s="349"/>
      <c r="F74" s="349"/>
      <c r="G74" s="148"/>
      <c r="H74" s="434" t="s">
        <v>324</v>
      </c>
      <c r="I74" s="434"/>
      <c r="J74" s="434"/>
      <c r="K74" s="434"/>
      <c r="L74" s="434"/>
      <c r="M74" s="434"/>
    </row>
    <row r="75" spans="1:13" s="328" customFormat="1" ht="17.75" customHeight="1">
      <c r="A75" s="436"/>
      <c r="B75" s="437"/>
      <c r="C75" s="438"/>
      <c r="D75" s="138" t="s">
        <v>293</v>
      </c>
      <c r="E75" s="434" t="s">
        <v>216</v>
      </c>
      <c r="F75" s="434"/>
      <c r="G75" s="434"/>
      <c r="H75" s="434"/>
      <c r="I75" s="434"/>
      <c r="J75" s="286">
        <f>+'Հավելված N 1'!G32</f>
        <v>-37667.1</v>
      </c>
      <c r="K75" s="286">
        <f>+'Հավելված N 1'!H32</f>
        <v>-11643.8</v>
      </c>
      <c r="L75" s="286">
        <f>+'Հավելված N 1'!I32</f>
        <v>72808</v>
      </c>
      <c r="M75" s="286">
        <f>+'Հավելված N 1'!J32</f>
        <v>62003.7</v>
      </c>
    </row>
    <row r="76" spans="1:13" s="327" customFormat="1" ht="33.85" customHeight="1">
      <c r="A76" s="436"/>
      <c r="B76" s="437"/>
      <c r="C76" s="438"/>
      <c r="D76" s="438"/>
      <c r="E76" s="438"/>
      <c r="F76" s="413" t="s">
        <v>358</v>
      </c>
      <c r="G76" s="434"/>
      <c r="H76" s="434"/>
      <c r="I76" s="434"/>
      <c r="J76" s="434"/>
      <c r="K76" s="434"/>
      <c r="L76" s="434"/>
      <c r="M76" s="434"/>
    </row>
    <row r="77" spans="1:13" s="327" customFormat="1" ht="17.75" customHeight="1">
      <c r="A77" s="436"/>
      <c r="B77" s="437"/>
      <c r="C77" s="438"/>
      <c r="D77" s="438"/>
      <c r="E77" s="438"/>
      <c r="F77" s="438"/>
      <c r="G77" s="413" t="s">
        <v>113</v>
      </c>
      <c r="H77" s="434"/>
      <c r="I77" s="434"/>
      <c r="J77" s="434"/>
      <c r="K77" s="434"/>
      <c r="L77" s="434"/>
      <c r="M77" s="434"/>
    </row>
    <row r="78" spans="1:13" s="327" customFormat="1">
      <c r="A78" s="436"/>
      <c r="B78" s="437"/>
      <c r="C78" s="438"/>
      <c r="D78" s="438"/>
      <c r="E78" s="438"/>
      <c r="F78" s="438"/>
      <c r="G78" s="138"/>
      <c r="H78" s="413" t="s">
        <v>359</v>
      </c>
      <c r="I78" s="434"/>
      <c r="J78" s="434"/>
      <c r="K78" s="434"/>
      <c r="L78" s="434"/>
      <c r="M78" s="434"/>
    </row>
    <row r="80" spans="1:13" s="318" customFormat="1" ht="29.95" customHeight="1">
      <c r="A80" s="442" t="s">
        <v>251</v>
      </c>
      <c r="B80" s="442"/>
      <c r="C80" s="442"/>
      <c r="D80" s="442"/>
      <c r="E80" s="442"/>
      <c r="F80" s="442"/>
      <c r="G80" s="442"/>
      <c r="H80" s="442"/>
      <c r="I80" s="442"/>
      <c r="J80" s="317">
        <f>+J81+J95+J101</f>
        <v>0</v>
      </c>
      <c r="K80" s="317">
        <f>+K81+K95+K101</f>
        <v>0</v>
      </c>
      <c r="L80" s="317">
        <f>+L81+L95+L101</f>
        <v>0</v>
      </c>
      <c r="M80" s="317">
        <f>+M81+M95+M101</f>
        <v>0</v>
      </c>
    </row>
    <row r="81" spans="1:13">
      <c r="A81" s="436"/>
      <c r="B81" s="319">
        <v>1139</v>
      </c>
      <c r="C81" s="443" t="s">
        <v>326</v>
      </c>
      <c r="D81" s="443"/>
      <c r="E81" s="443"/>
      <c r="F81" s="443"/>
      <c r="G81" s="443"/>
      <c r="H81" s="443"/>
      <c r="I81" s="443"/>
      <c r="J81" s="329">
        <f>+J82+J86</f>
        <v>0</v>
      </c>
      <c r="K81" s="329">
        <f>+K82+K86</f>
        <v>0</v>
      </c>
      <c r="L81" s="329">
        <f>+L82+L86</f>
        <v>0</v>
      </c>
      <c r="M81" s="329">
        <f>+M82+M86</f>
        <v>0</v>
      </c>
    </row>
    <row r="82" spans="1:13" s="321" customFormat="1" ht="33.049999999999997" customHeight="1">
      <c r="A82" s="436"/>
      <c r="B82" s="444"/>
      <c r="C82" s="436"/>
      <c r="D82" s="319" t="s">
        <v>327</v>
      </c>
      <c r="E82" s="445" t="s">
        <v>252</v>
      </c>
      <c r="F82" s="445"/>
      <c r="G82" s="445"/>
      <c r="H82" s="445"/>
      <c r="I82" s="445"/>
      <c r="J82" s="320">
        <f>+'Հավելված N 1'!G36</f>
        <v>32000</v>
      </c>
      <c r="K82" s="320">
        <f>+'Հավելված N 1'!H36</f>
        <v>102000</v>
      </c>
      <c r="L82" s="320">
        <f>+'Հավելված N 1'!I36</f>
        <v>102000</v>
      </c>
      <c r="M82" s="320">
        <f>+'Հավելված N 1'!J36</f>
        <v>186898.5</v>
      </c>
    </row>
    <row r="83" spans="1:13" ht="33.35" customHeight="1">
      <c r="A83" s="436"/>
      <c r="B83" s="444"/>
      <c r="C83" s="436"/>
      <c r="D83" s="444"/>
      <c r="E83" s="444"/>
      <c r="F83" s="445" t="s">
        <v>328</v>
      </c>
      <c r="G83" s="445"/>
      <c r="H83" s="445"/>
      <c r="I83" s="445"/>
      <c r="J83" s="445"/>
      <c r="K83" s="445"/>
      <c r="L83" s="445"/>
      <c r="M83" s="445"/>
    </row>
    <row r="84" spans="1:13" ht="33.35" customHeight="1">
      <c r="A84" s="436"/>
      <c r="B84" s="444"/>
      <c r="C84" s="436"/>
      <c r="D84" s="444"/>
      <c r="E84" s="444"/>
      <c r="F84" s="444"/>
      <c r="G84" s="445" t="s">
        <v>323</v>
      </c>
      <c r="H84" s="445"/>
      <c r="I84" s="445"/>
      <c r="J84" s="445"/>
      <c r="K84" s="445"/>
      <c r="L84" s="445"/>
      <c r="M84" s="445"/>
    </row>
    <row r="85" spans="1:13" ht="33.35" customHeight="1">
      <c r="A85" s="436"/>
      <c r="B85" s="444"/>
      <c r="C85" s="436"/>
      <c r="D85" s="444"/>
      <c r="E85" s="444"/>
      <c r="F85" s="444"/>
      <c r="G85" s="319"/>
      <c r="H85" s="445" t="s">
        <v>329</v>
      </c>
      <c r="I85" s="445"/>
      <c r="J85" s="445"/>
      <c r="K85" s="445"/>
      <c r="L85" s="445"/>
      <c r="M85" s="445"/>
    </row>
    <row r="86" spans="1:13" s="321" customFormat="1" ht="33.049999999999997" customHeight="1">
      <c r="A86" s="436"/>
      <c r="B86" s="444"/>
      <c r="C86" s="436"/>
      <c r="D86" s="319" t="s">
        <v>327</v>
      </c>
      <c r="E86" s="445" t="s">
        <v>252</v>
      </c>
      <c r="F86" s="445"/>
      <c r="G86" s="445"/>
      <c r="H86" s="445"/>
      <c r="I86" s="445"/>
      <c r="J86" s="320">
        <f>+'Հավելված N 1'!G37</f>
        <v>-32000</v>
      </c>
      <c r="K86" s="320">
        <f>+'Հավելված N 1'!H37</f>
        <v>-102000</v>
      </c>
      <c r="L86" s="320">
        <f>+'Հավելված N 1'!I37</f>
        <v>-102000</v>
      </c>
      <c r="M86" s="320">
        <f>+'Հավելված N 1'!J37</f>
        <v>-186898.5</v>
      </c>
    </row>
    <row r="87" spans="1:13" ht="33.35" customHeight="1">
      <c r="A87" s="436"/>
      <c r="B87" s="444"/>
      <c r="C87" s="436"/>
      <c r="D87" s="444"/>
      <c r="E87" s="444"/>
      <c r="F87" s="445" t="s">
        <v>328</v>
      </c>
      <c r="G87" s="445"/>
      <c r="H87" s="445"/>
      <c r="I87" s="445"/>
      <c r="J87" s="445"/>
      <c r="K87" s="445"/>
      <c r="L87" s="445"/>
      <c r="M87" s="445"/>
    </row>
    <row r="88" spans="1:13" ht="33.35" customHeight="1">
      <c r="A88" s="436"/>
      <c r="B88" s="444"/>
      <c r="C88" s="436"/>
      <c r="D88" s="444"/>
      <c r="E88" s="444"/>
      <c r="F88" s="444"/>
      <c r="G88" s="445" t="s">
        <v>323</v>
      </c>
      <c r="H88" s="445"/>
      <c r="I88" s="445"/>
      <c r="J88" s="445"/>
      <c r="K88" s="445"/>
      <c r="L88" s="445"/>
      <c r="M88" s="445"/>
    </row>
    <row r="89" spans="1:13" ht="33.35" customHeight="1">
      <c r="A89" s="436"/>
      <c r="B89" s="444"/>
      <c r="C89" s="436"/>
      <c r="D89" s="444"/>
      <c r="E89" s="444"/>
      <c r="F89" s="444"/>
      <c r="G89" s="319"/>
      <c r="H89" s="445" t="s">
        <v>329</v>
      </c>
      <c r="I89" s="445"/>
      <c r="J89" s="445"/>
      <c r="K89" s="445"/>
      <c r="L89" s="445"/>
      <c r="M89" s="445"/>
    </row>
  </sheetData>
  <mergeCells count="141">
    <mergeCell ref="A9:A10"/>
    <mergeCell ref="B9:C9"/>
    <mergeCell ref="D9:G9"/>
    <mergeCell ref="H9:H10"/>
    <mergeCell ref="I9:I10"/>
    <mergeCell ref="J9:M9"/>
    <mergeCell ref="G1:H1"/>
    <mergeCell ref="K1:M1"/>
    <mergeCell ref="K2:M2"/>
    <mergeCell ref="G3:H3"/>
    <mergeCell ref="K3:M3"/>
    <mergeCell ref="A6:M6"/>
    <mergeCell ref="A11:I11"/>
    <mergeCell ref="A12:I12"/>
    <mergeCell ref="A13:I13"/>
    <mergeCell ref="A14:A78"/>
    <mergeCell ref="C14:I14"/>
    <mergeCell ref="B15:B19"/>
    <mergeCell ref="C15:C24"/>
    <mergeCell ref="E15:I15"/>
    <mergeCell ref="D16:D19"/>
    <mergeCell ref="E16:E19"/>
    <mergeCell ref="F16:M16"/>
    <mergeCell ref="F17:F19"/>
    <mergeCell ref="G17:M17"/>
    <mergeCell ref="G18:G19"/>
    <mergeCell ref="H18:M18"/>
    <mergeCell ref="B20:B23"/>
    <mergeCell ref="E20:I20"/>
    <mergeCell ref="D21:D24"/>
    <mergeCell ref="E21:E24"/>
    <mergeCell ref="F21:M21"/>
    <mergeCell ref="C70:I70"/>
    <mergeCell ref="B71:B78"/>
    <mergeCell ref="C71:C78"/>
    <mergeCell ref="F22:F24"/>
    <mergeCell ref="G22:M22"/>
    <mergeCell ref="G23:G24"/>
    <mergeCell ref="H23:M23"/>
    <mergeCell ref="C26:I26"/>
    <mergeCell ref="E27:I27"/>
    <mergeCell ref="E75:I75"/>
    <mergeCell ref="D76:D78"/>
    <mergeCell ref="E76:E78"/>
    <mergeCell ref="F76:M76"/>
    <mergeCell ref="F77:F78"/>
    <mergeCell ref="G77:M77"/>
    <mergeCell ref="H78:M78"/>
    <mergeCell ref="E71:I71"/>
    <mergeCell ref="D72:D74"/>
    <mergeCell ref="E72:E74"/>
    <mergeCell ref="F72:M72"/>
    <mergeCell ref="F73:F74"/>
    <mergeCell ref="G73:M73"/>
    <mergeCell ref="H74:M74"/>
    <mergeCell ref="G42:G43"/>
    <mergeCell ref="H42:M42"/>
    <mergeCell ref="F36:F38"/>
    <mergeCell ref="G36:M36"/>
    <mergeCell ref="G37:G38"/>
    <mergeCell ref="A80:I80"/>
    <mergeCell ref="A81:A89"/>
    <mergeCell ref="C81:I81"/>
    <mergeCell ref="B82:B89"/>
    <mergeCell ref="C82:C89"/>
    <mergeCell ref="E82:I82"/>
    <mergeCell ref="D83:D85"/>
    <mergeCell ref="E83:E85"/>
    <mergeCell ref="F83:M83"/>
    <mergeCell ref="F84:F85"/>
    <mergeCell ref="G84:M84"/>
    <mergeCell ref="H85:M85"/>
    <mergeCell ref="E86:I86"/>
    <mergeCell ref="D87:D89"/>
    <mergeCell ref="E87:E89"/>
    <mergeCell ref="F87:M87"/>
    <mergeCell ref="F88:F89"/>
    <mergeCell ref="G88:M88"/>
    <mergeCell ref="H89:M89"/>
    <mergeCell ref="F41:F43"/>
    <mergeCell ref="G41:M41"/>
    <mergeCell ref="H37:M37"/>
    <mergeCell ref="D28:D33"/>
    <mergeCell ref="E28:E33"/>
    <mergeCell ref="F29:F33"/>
    <mergeCell ref="G30:G33"/>
    <mergeCell ref="E34:I34"/>
    <mergeCell ref="D35:D38"/>
    <mergeCell ref="E35:E38"/>
    <mergeCell ref="F35:M35"/>
    <mergeCell ref="F28:M28"/>
    <mergeCell ref="G29:M29"/>
    <mergeCell ref="H30:M30"/>
    <mergeCell ref="F66:M66"/>
    <mergeCell ref="F67:F68"/>
    <mergeCell ref="B27:B48"/>
    <mergeCell ref="C27:C48"/>
    <mergeCell ref="C50:I50"/>
    <mergeCell ref="E51:I51"/>
    <mergeCell ref="D52:D54"/>
    <mergeCell ref="E52:E54"/>
    <mergeCell ref="F52:M52"/>
    <mergeCell ref="F53:F54"/>
    <mergeCell ref="G53:M53"/>
    <mergeCell ref="H54:M54"/>
    <mergeCell ref="E44:I44"/>
    <mergeCell ref="D45:D48"/>
    <mergeCell ref="E45:E48"/>
    <mergeCell ref="F45:M45"/>
    <mergeCell ref="F46:F48"/>
    <mergeCell ref="G46:M46"/>
    <mergeCell ref="G47:G48"/>
    <mergeCell ref="H47:M47"/>
    <mergeCell ref="E39:I39"/>
    <mergeCell ref="D40:D43"/>
    <mergeCell ref="E40:E43"/>
    <mergeCell ref="F40:M40"/>
    <mergeCell ref="G67:M67"/>
    <mergeCell ref="H68:M68"/>
    <mergeCell ref="B51:B58"/>
    <mergeCell ref="C51:C58"/>
    <mergeCell ref="C60:I60"/>
    <mergeCell ref="B61:B68"/>
    <mergeCell ref="C61:C68"/>
    <mergeCell ref="E61:I61"/>
    <mergeCell ref="D62:D64"/>
    <mergeCell ref="E62:E64"/>
    <mergeCell ref="F62:M62"/>
    <mergeCell ref="F63:F64"/>
    <mergeCell ref="E55:I55"/>
    <mergeCell ref="D56:D58"/>
    <mergeCell ref="E56:E58"/>
    <mergeCell ref="F56:M56"/>
    <mergeCell ref="F57:F58"/>
    <mergeCell ref="G57:M57"/>
    <mergeCell ref="H58:M58"/>
    <mergeCell ref="G63:M63"/>
    <mergeCell ref="H64:M64"/>
    <mergeCell ref="E65:I65"/>
    <mergeCell ref="D66:D68"/>
    <mergeCell ref="E66:E6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89"/>
  <sheetViews>
    <sheetView topLeftCell="A73" zoomScale="70" zoomScaleNormal="70" workbookViewId="0">
      <selection activeCell="E86" sqref="E86:I86"/>
    </sheetView>
  </sheetViews>
  <sheetFormatPr defaultColWidth="8.796875" defaultRowHeight="17.75"/>
  <cols>
    <col min="1" max="1" width="6.3984375" style="307" bestFit="1" customWidth="1"/>
    <col min="2" max="2" width="9.69921875" style="307" customWidth="1"/>
    <col min="3" max="3" width="13.09765625" style="307" customWidth="1"/>
    <col min="4" max="4" width="16.69921875" style="330" customWidth="1"/>
    <col min="5" max="5" width="13.09765625" style="307" customWidth="1"/>
    <col min="6" max="6" width="15.3984375" style="307" customWidth="1"/>
    <col min="7" max="7" width="10.3984375" style="307" customWidth="1"/>
    <col min="8" max="8" width="22.59765625" style="307" customWidth="1"/>
    <col min="9" max="9" width="46.296875" style="307" customWidth="1"/>
    <col min="10" max="13" width="19.3984375" style="307" customWidth="1"/>
    <col min="14" max="16384" width="8.796875" style="307"/>
  </cols>
  <sheetData>
    <row r="1" spans="1:13" ht="28.5" customHeight="1">
      <c r="D1" s="308"/>
      <c r="E1" s="308"/>
      <c r="F1" s="308"/>
      <c r="G1" s="457"/>
      <c r="H1" s="457"/>
      <c r="J1" s="309"/>
      <c r="K1" s="457" t="s">
        <v>115</v>
      </c>
      <c r="L1" s="457"/>
      <c r="M1" s="457"/>
    </row>
    <row r="2" spans="1:13" ht="17.75" customHeight="1">
      <c r="D2" s="310"/>
      <c r="E2" s="310"/>
      <c r="F2" s="311"/>
      <c r="H2" s="312"/>
      <c r="I2" s="312"/>
      <c r="J2" s="312"/>
      <c r="K2" s="458" t="s">
        <v>208</v>
      </c>
      <c r="L2" s="458"/>
      <c r="M2" s="458"/>
    </row>
    <row r="3" spans="1:13">
      <c r="D3" s="310"/>
      <c r="E3" s="310"/>
      <c r="F3" s="311"/>
      <c r="G3" s="458"/>
      <c r="H3" s="458"/>
      <c r="J3" s="312"/>
      <c r="K3" s="458" t="s">
        <v>20</v>
      </c>
      <c r="L3" s="458"/>
      <c r="M3" s="458"/>
    </row>
    <row r="4" spans="1:13">
      <c r="D4" s="310"/>
      <c r="E4" s="310"/>
      <c r="F4" s="311"/>
      <c r="G4" s="312"/>
      <c r="H4" s="312"/>
      <c r="I4" s="312"/>
      <c r="J4" s="312"/>
    </row>
    <row r="5" spans="1:13">
      <c r="D5" s="310"/>
      <c r="E5" s="310"/>
      <c r="F5" s="311"/>
      <c r="G5" s="312"/>
      <c r="H5" s="312"/>
      <c r="I5" s="312"/>
      <c r="J5" s="312"/>
    </row>
    <row r="6" spans="1:13">
      <c r="A6" s="401" t="s">
        <v>360</v>
      </c>
      <c r="B6" s="401"/>
      <c r="C6" s="401"/>
      <c r="D6" s="401"/>
      <c r="E6" s="401"/>
      <c r="F6" s="401"/>
      <c r="G6" s="401"/>
      <c r="H6" s="401"/>
      <c r="I6" s="401"/>
      <c r="J6" s="401"/>
      <c r="K6" s="401"/>
      <c r="L6" s="401"/>
      <c r="M6" s="401"/>
    </row>
    <row r="9" spans="1:13" ht="51.05" customHeight="1">
      <c r="A9" s="339" t="s">
        <v>361</v>
      </c>
      <c r="B9" s="339" t="s">
        <v>307</v>
      </c>
      <c r="C9" s="339"/>
      <c r="D9" s="339" t="s">
        <v>308</v>
      </c>
      <c r="E9" s="339"/>
      <c r="F9" s="339"/>
      <c r="G9" s="339"/>
      <c r="H9" s="339" t="s">
        <v>309</v>
      </c>
      <c r="I9" s="339" t="s">
        <v>310</v>
      </c>
      <c r="J9" s="456" t="s">
        <v>60</v>
      </c>
      <c r="K9" s="456"/>
      <c r="L9" s="456"/>
      <c r="M9" s="456"/>
    </row>
    <row r="10" spans="1:13" ht="51.05" customHeight="1">
      <c r="A10" s="339"/>
      <c r="B10" s="283" t="s">
        <v>311</v>
      </c>
      <c r="C10" s="283" t="s">
        <v>312</v>
      </c>
      <c r="D10" s="283" t="s">
        <v>313</v>
      </c>
      <c r="E10" s="283" t="s">
        <v>312</v>
      </c>
      <c r="F10" s="283" t="s">
        <v>314</v>
      </c>
      <c r="G10" s="283" t="s">
        <v>315</v>
      </c>
      <c r="H10" s="339"/>
      <c r="I10" s="339"/>
      <c r="J10" s="283" t="s">
        <v>316</v>
      </c>
      <c r="K10" s="283" t="s">
        <v>317</v>
      </c>
      <c r="L10" s="283" t="s">
        <v>318</v>
      </c>
      <c r="M10" s="283" t="s">
        <v>319</v>
      </c>
    </row>
    <row r="11" spans="1:13" s="314" customFormat="1" ht="48.5" customHeight="1">
      <c r="A11" s="451" t="s">
        <v>320</v>
      </c>
      <c r="B11" s="451"/>
      <c r="C11" s="451"/>
      <c r="D11" s="451"/>
      <c r="E11" s="451"/>
      <c r="F11" s="451"/>
      <c r="G11" s="451"/>
      <c r="H11" s="451"/>
      <c r="I11" s="451"/>
      <c r="J11" s="313">
        <f>+J13+J80</f>
        <v>0</v>
      </c>
      <c r="K11" s="313">
        <f>+K13+K80</f>
        <v>2.5465851649641991E-11</v>
      </c>
      <c r="L11" s="313">
        <f>+L13+L80</f>
        <v>0</v>
      </c>
      <c r="M11" s="313">
        <f>+M13+M80</f>
        <v>0</v>
      </c>
    </row>
    <row r="12" spans="1:13" s="316" customFormat="1" ht="16.7">
      <c r="A12" s="452" t="s">
        <v>234</v>
      </c>
      <c r="B12" s="452"/>
      <c r="C12" s="452"/>
      <c r="D12" s="452"/>
      <c r="E12" s="452"/>
      <c r="F12" s="452"/>
      <c r="G12" s="452"/>
      <c r="H12" s="452"/>
      <c r="I12" s="452"/>
      <c r="J12" s="315"/>
      <c r="K12" s="315"/>
      <c r="L12" s="315"/>
      <c r="M12" s="315"/>
    </row>
    <row r="13" spans="1:13" s="318" customFormat="1" ht="29.95" customHeight="1">
      <c r="A13" s="442" t="s">
        <v>321</v>
      </c>
      <c r="B13" s="442"/>
      <c r="C13" s="442"/>
      <c r="D13" s="442"/>
      <c r="E13" s="442"/>
      <c r="F13" s="442"/>
      <c r="G13" s="442"/>
      <c r="H13" s="442"/>
      <c r="I13" s="442"/>
      <c r="J13" s="317">
        <f>+J14+J26+J50+J60+J70</f>
        <v>0</v>
      </c>
      <c r="K13" s="317">
        <f t="shared" ref="K13:M13" si="0">+K14+K26+K50+K60+K70</f>
        <v>2.5465851649641991E-11</v>
      </c>
      <c r="L13" s="317">
        <f t="shared" si="0"/>
        <v>0</v>
      </c>
      <c r="M13" s="317">
        <f t="shared" si="0"/>
        <v>0</v>
      </c>
    </row>
    <row r="14" spans="1:13">
      <c r="A14" s="436"/>
      <c r="B14" s="331">
        <v>1045</v>
      </c>
      <c r="C14" s="445" t="s">
        <v>226</v>
      </c>
      <c r="D14" s="445"/>
      <c r="E14" s="445"/>
      <c r="F14" s="445"/>
      <c r="G14" s="445"/>
      <c r="H14" s="445"/>
      <c r="I14" s="445"/>
      <c r="J14" s="315">
        <f>+J15+J20</f>
        <v>4937</v>
      </c>
      <c r="K14" s="315">
        <f>+K15+K20</f>
        <v>-56207.099999999991</v>
      </c>
      <c r="L14" s="315">
        <f>+L15+L20</f>
        <v>-31203.000000000007</v>
      </c>
      <c r="M14" s="315">
        <f>+M15+M20</f>
        <v>-10108.19999999999</v>
      </c>
    </row>
    <row r="15" spans="1:13" s="321" customFormat="1" ht="33.049999999999997" customHeight="1">
      <c r="A15" s="436"/>
      <c r="B15" s="449"/>
      <c r="C15" s="453"/>
      <c r="D15" s="319" t="s">
        <v>259</v>
      </c>
      <c r="E15" s="445" t="s">
        <v>260</v>
      </c>
      <c r="F15" s="445"/>
      <c r="G15" s="445"/>
      <c r="H15" s="445"/>
      <c r="I15" s="445"/>
      <c r="J15" s="320">
        <f>+'Հավելված N 2'!G138</f>
        <v>4937</v>
      </c>
      <c r="K15" s="320">
        <f>+'Հավելված N 2'!H138</f>
        <v>-56207.099999999991</v>
      </c>
      <c r="L15" s="320">
        <f>+'Հավելված N 2'!I138</f>
        <v>-31203.000000000007</v>
      </c>
      <c r="M15" s="320">
        <f>+'Հավելված N 2'!J138</f>
        <v>-50850.299999999988</v>
      </c>
    </row>
    <row r="16" spans="1:13" ht="33.35" customHeight="1">
      <c r="A16" s="436"/>
      <c r="B16" s="449"/>
      <c r="C16" s="454"/>
      <c r="D16" s="453"/>
      <c r="E16" s="453"/>
      <c r="F16" s="450" t="s">
        <v>330</v>
      </c>
      <c r="G16" s="446"/>
      <c r="H16" s="446"/>
      <c r="I16" s="446"/>
      <c r="J16" s="446"/>
      <c r="K16" s="446"/>
      <c r="L16" s="446"/>
      <c r="M16" s="447"/>
    </row>
    <row r="17" spans="1:13" ht="33.35" customHeight="1">
      <c r="A17" s="436"/>
      <c r="B17" s="449"/>
      <c r="C17" s="454"/>
      <c r="D17" s="454"/>
      <c r="E17" s="454"/>
      <c r="F17" s="453"/>
      <c r="G17" s="450" t="s">
        <v>113</v>
      </c>
      <c r="H17" s="446"/>
      <c r="I17" s="446"/>
      <c r="J17" s="446"/>
      <c r="K17" s="446"/>
      <c r="L17" s="446"/>
      <c r="M17" s="447"/>
    </row>
    <row r="18" spans="1:13" ht="33.35" customHeight="1">
      <c r="A18" s="436"/>
      <c r="B18" s="449"/>
      <c r="C18" s="454"/>
      <c r="D18" s="454"/>
      <c r="E18" s="454"/>
      <c r="F18" s="454"/>
      <c r="G18" s="453"/>
      <c r="H18" s="450" t="s">
        <v>331</v>
      </c>
      <c r="I18" s="446"/>
      <c r="J18" s="446"/>
      <c r="K18" s="446"/>
      <c r="L18" s="446"/>
      <c r="M18" s="447"/>
    </row>
    <row r="19" spans="1:13" ht="53.2">
      <c r="A19" s="436"/>
      <c r="B19" s="449"/>
      <c r="C19" s="454"/>
      <c r="D19" s="454"/>
      <c r="E19" s="454"/>
      <c r="F19" s="454"/>
      <c r="G19" s="454"/>
      <c r="H19" s="322"/>
      <c r="I19" s="323" t="s">
        <v>332</v>
      </c>
      <c r="J19" s="323" t="s">
        <v>322</v>
      </c>
      <c r="K19" s="332">
        <v>-1</v>
      </c>
      <c r="L19" s="323" t="s">
        <v>322</v>
      </c>
      <c r="M19" s="332">
        <v>-1</v>
      </c>
    </row>
    <row r="20" spans="1:13" s="321" customFormat="1" ht="33.049999999999997" customHeight="1">
      <c r="A20" s="436"/>
      <c r="B20" s="419"/>
      <c r="C20" s="454"/>
      <c r="D20" s="324" t="s">
        <v>333</v>
      </c>
      <c r="E20" s="443" t="s">
        <v>263</v>
      </c>
      <c r="F20" s="445"/>
      <c r="G20" s="445"/>
      <c r="H20" s="445"/>
      <c r="I20" s="445"/>
      <c r="J20" s="320">
        <f>+'Հավելված N 2'!G149</f>
        <v>0</v>
      </c>
      <c r="K20" s="320">
        <f>+'Հավելված N 2'!H149</f>
        <v>0</v>
      </c>
      <c r="L20" s="320">
        <f>+'Հավելված N 2'!I149</f>
        <v>0</v>
      </c>
      <c r="M20" s="320">
        <f>+'Հավելված N 2'!J149</f>
        <v>40742.1</v>
      </c>
    </row>
    <row r="21" spans="1:13" ht="33.35" customHeight="1">
      <c r="A21" s="436"/>
      <c r="B21" s="419"/>
      <c r="C21" s="454"/>
      <c r="D21" s="444"/>
      <c r="E21" s="444"/>
      <c r="F21" s="455" t="s">
        <v>334</v>
      </c>
      <c r="G21" s="446"/>
      <c r="H21" s="446"/>
      <c r="I21" s="446"/>
      <c r="J21" s="446"/>
      <c r="K21" s="446"/>
      <c r="L21" s="446"/>
      <c r="M21" s="447"/>
    </row>
    <row r="22" spans="1:13" ht="33.35" customHeight="1">
      <c r="A22" s="436"/>
      <c r="B22" s="419"/>
      <c r="C22" s="454"/>
      <c r="D22" s="444"/>
      <c r="E22" s="444"/>
      <c r="F22" s="444"/>
      <c r="G22" s="446" t="s">
        <v>113</v>
      </c>
      <c r="H22" s="446"/>
      <c r="I22" s="446"/>
      <c r="J22" s="446"/>
      <c r="K22" s="446"/>
      <c r="L22" s="446"/>
      <c r="M22" s="447"/>
    </row>
    <row r="23" spans="1:13" ht="33.35" customHeight="1">
      <c r="A23" s="436"/>
      <c r="B23" s="419"/>
      <c r="C23" s="454"/>
      <c r="D23" s="444"/>
      <c r="E23" s="444"/>
      <c r="F23" s="444"/>
      <c r="G23" s="448"/>
      <c r="H23" s="450" t="s">
        <v>331</v>
      </c>
      <c r="I23" s="446"/>
      <c r="J23" s="446"/>
      <c r="K23" s="446"/>
      <c r="L23" s="446"/>
      <c r="M23" s="447"/>
    </row>
    <row r="24" spans="1:13" ht="35.5">
      <c r="A24" s="436"/>
      <c r="B24" s="150"/>
      <c r="C24" s="454"/>
      <c r="D24" s="444"/>
      <c r="E24" s="444"/>
      <c r="F24" s="444"/>
      <c r="G24" s="449"/>
      <c r="H24" s="322"/>
      <c r="I24" s="323" t="s">
        <v>335</v>
      </c>
      <c r="J24" s="323"/>
      <c r="K24" s="323"/>
      <c r="L24" s="323" t="s">
        <v>322</v>
      </c>
      <c r="M24" s="323">
        <v>1</v>
      </c>
    </row>
    <row r="25" spans="1:13" ht="8.6" customHeight="1">
      <c r="A25" s="436"/>
      <c r="B25" s="213"/>
      <c r="C25" s="213"/>
      <c r="D25" s="213"/>
      <c r="E25" s="213"/>
      <c r="F25" s="213"/>
      <c r="G25" s="213"/>
      <c r="H25" s="213"/>
      <c r="I25" s="213"/>
      <c r="J25" s="213"/>
      <c r="K25" s="213"/>
      <c r="L25" s="213"/>
      <c r="M25" s="325"/>
    </row>
    <row r="26" spans="1:13" s="327" customFormat="1">
      <c r="A26" s="436"/>
      <c r="B26" s="326">
        <v>1075</v>
      </c>
      <c r="C26" s="434" t="s">
        <v>336</v>
      </c>
      <c r="D26" s="434"/>
      <c r="E26" s="434"/>
      <c r="F26" s="434"/>
      <c r="G26" s="434"/>
      <c r="H26" s="434"/>
      <c r="I26" s="434"/>
      <c r="J26" s="315">
        <f>+J27+J34+J39+J44</f>
        <v>31319.499999999993</v>
      </c>
      <c r="K26" s="315">
        <f t="shared" ref="K26:M26" si="1">+K27+K34+K39+K44</f>
        <v>60736.400000000016</v>
      </c>
      <c r="L26" s="315">
        <f t="shared" si="1"/>
        <v>-64131.5</v>
      </c>
      <c r="M26" s="315">
        <f t="shared" si="1"/>
        <v>-74422</v>
      </c>
    </row>
    <row r="27" spans="1:13" s="328" customFormat="1" ht="33.049999999999997" customHeight="1">
      <c r="A27" s="436"/>
      <c r="B27" s="439"/>
      <c r="C27" s="348"/>
      <c r="D27" s="138" t="s">
        <v>269</v>
      </c>
      <c r="E27" s="434" t="s">
        <v>270</v>
      </c>
      <c r="F27" s="434"/>
      <c r="G27" s="434"/>
      <c r="H27" s="434"/>
      <c r="I27" s="434"/>
      <c r="J27" s="286">
        <f>+'Հավելված N 2'!G68</f>
        <v>-13862.600000000006</v>
      </c>
      <c r="K27" s="286">
        <f>+'Հավելված N 2'!H68</f>
        <v>12790.599999999999</v>
      </c>
      <c r="L27" s="286">
        <f>+'Հավելված N 2'!I68</f>
        <v>1120.5999999999985</v>
      </c>
      <c r="M27" s="286">
        <f>+'Հավելված N 2'!J68</f>
        <v>-9170</v>
      </c>
    </row>
    <row r="28" spans="1:13" s="327" customFormat="1">
      <c r="A28" s="436"/>
      <c r="B28" s="440"/>
      <c r="C28" s="349"/>
      <c r="D28" s="438"/>
      <c r="E28" s="438"/>
      <c r="F28" s="412" t="s">
        <v>337</v>
      </c>
      <c r="G28" s="412"/>
      <c r="H28" s="412"/>
      <c r="I28" s="412"/>
      <c r="J28" s="412"/>
      <c r="K28" s="412"/>
      <c r="L28" s="412"/>
      <c r="M28" s="413"/>
    </row>
    <row r="29" spans="1:13" s="327" customFormat="1" ht="17.75" customHeight="1">
      <c r="A29" s="436"/>
      <c r="B29" s="440"/>
      <c r="C29" s="349"/>
      <c r="D29" s="438"/>
      <c r="E29" s="438"/>
      <c r="F29" s="438"/>
      <c r="G29" s="412" t="s">
        <v>338</v>
      </c>
      <c r="H29" s="412"/>
      <c r="I29" s="412"/>
      <c r="J29" s="412"/>
      <c r="K29" s="412"/>
      <c r="L29" s="412"/>
      <c r="M29" s="413"/>
    </row>
    <row r="30" spans="1:13" s="327" customFormat="1">
      <c r="A30" s="436"/>
      <c r="B30" s="440"/>
      <c r="C30" s="349"/>
      <c r="D30" s="438"/>
      <c r="E30" s="438"/>
      <c r="F30" s="438"/>
      <c r="G30" s="438"/>
      <c r="H30" s="412" t="s">
        <v>339</v>
      </c>
      <c r="I30" s="412"/>
      <c r="J30" s="412"/>
      <c r="K30" s="412"/>
      <c r="L30" s="412"/>
      <c r="M30" s="413"/>
    </row>
    <row r="31" spans="1:13" ht="35.5">
      <c r="A31" s="436"/>
      <c r="B31" s="440"/>
      <c r="C31" s="349"/>
      <c r="D31" s="438"/>
      <c r="E31" s="438"/>
      <c r="F31" s="438"/>
      <c r="G31" s="438"/>
      <c r="H31" s="333"/>
      <c r="I31" s="323" t="s">
        <v>340</v>
      </c>
      <c r="J31" s="323"/>
      <c r="K31" s="323">
        <v>1</v>
      </c>
      <c r="L31" s="323" t="s">
        <v>322</v>
      </c>
      <c r="M31" s="323">
        <v>1</v>
      </c>
    </row>
    <row r="32" spans="1:13" ht="35.5">
      <c r="A32" s="436"/>
      <c r="B32" s="440"/>
      <c r="C32" s="349"/>
      <c r="D32" s="438"/>
      <c r="E32" s="438"/>
      <c r="F32" s="438"/>
      <c r="G32" s="438"/>
      <c r="H32" s="333"/>
      <c r="I32" s="323" t="s">
        <v>341</v>
      </c>
      <c r="J32" s="323"/>
      <c r="K32" s="323">
        <v>5</v>
      </c>
      <c r="L32" s="323" t="s">
        <v>322</v>
      </c>
      <c r="M32" s="323">
        <v>5</v>
      </c>
    </row>
    <row r="33" spans="1:13" ht="53.2">
      <c r="A33" s="436"/>
      <c r="B33" s="440"/>
      <c r="C33" s="349"/>
      <c r="D33" s="438"/>
      <c r="E33" s="438"/>
      <c r="F33" s="438"/>
      <c r="G33" s="438"/>
      <c r="H33" s="333"/>
      <c r="I33" s="323" t="s">
        <v>342</v>
      </c>
      <c r="J33" s="323"/>
      <c r="K33" s="323">
        <v>3</v>
      </c>
      <c r="L33" s="323" t="s">
        <v>322</v>
      </c>
      <c r="M33" s="323">
        <v>3</v>
      </c>
    </row>
    <row r="34" spans="1:13" s="328" customFormat="1" ht="33.049999999999997" customHeight="1">
      <c r="A34" s="436"/>
      <c r="B34" s="440"/>
      <c r="C34" s="349"/>
      <c r="D34" s="138" t="s">
        <v>267</v>
      </c>
      <c r="E34" s="434" t="s">
        <v>183</v>
      </c>
      <c r="F34" s="434"/>
      <c r="G34" s="434"/>
      <c r="H34" s="434"/>
      <c r="I34" s="434"/>
      <c r="J34" s="286">
        <f>+'Հավելված N 2'!G28</f>
        <v>4012.1000000000004</v>
      </c>
      <c r="K34" s="286">
        <f>+'Հավելված N 2'!H28</f>
        <v>-63224.199999999983</v>
      </c>
      <c r="L34" s="286">
        <f>+'Հավելված N 2'!I28</f>
        <v>-176422.1</v>
      </c>
      <c r="M34" s="286">
        <f>+'Հավելված N 2'!J28</f>
        <v>-261320.5</v>
      </c>
    </row>
    <row r="35" spans="1:13" s="327" customFormat="1">
      <c r="A35" s="436"/>
      <c r="B35" s="440"/>
      <c r="C35" s="349"/>
      <c r="D35" s="438"/>
      <c r="E35" s="438"/>
      <c r="F35" s="412" t="s">
        <v>343</v>
      </c>
      <c r="G35" s="412"/>
      <c r="H35" s="412"/>
      <c r="I35" s="412"/>
      <c r="J35" s="412"/>
      <c r="K35" s="412"/>
      <c r="L35" s="412"/>
      <c r="M35" s="413"/>
    </row>
    <row r="36" spans="1:13" s="327" customFormat="1" ht="17.75" customHeight="1">
      <c r="A36" s="436"/>
      <c r="B36" s="440"/>
      <c r="C36" s="349"/>
      <c r="D36" s="438"/>
      <c r="E36" s="438"/>
      <c r="F36" s="438"/>
      <c r="G36" s="412" t="s">
        <v>113</v>
      </c>
      <c r="H36" s="412"/>
      <c r="I36" s="412"/>
      <c r="J36" s="412"/>
      <c r="K36" s="412"/>
      <c r="L36" s="412"/>
      <c r="M36" s="413"/>
    </row>
    <row r="37" spans="1:13" s="327" customFormat="1" ht="17.75" customHeight="1">
      <c r="A37" s="436"/>
      <c r="B37" s="440"/>
      <c r="C37" s="349"/>
      <c r="D37" s="438"/>
      <c r="E37" s="438"/>
      <c r="F37" s="438"/>
      <c r="G37" s="438"/>
      <c r="H37" s="411" t="s">
        <v>344</v>
      </c>
      <c r="I37" s="412"/>
      <c r="J37" s="412"/>
      <c r="K37" s="412"/>
      <c r="L37" s="412"/>
      <c r="M37" s="413"/>
    </row>
    <row r="38" spans="1:13" ht="35.5">
      <c r="A38" s="436"/>
      <c r="B38" s="440"/>
      <c r="C38" s="349"/>
      <c r="D38" s="438"/>
      <c r="E38" s="438"/>
      <c r="F38" s="438"/>
      <c r="G38" s="438"/>
      <c r="H38" s="333"/>
      <c r="I38" s="323" t="s">
        <v>345</v>
      </c>
      <c r="J38" s="323"/>
      <c r="K38" s="332">
        <v>-1</v>
      </c>
      <c r="L38" s="323" t="s">
        <v>322</v>
      </c>
      <c r="M38" s="332">
        <v>-1</v>
      </c>
    </row>
    <row r="39" spans="1:13" s="328" customFormat="1" ht="33.049999999999997" customHeight="1">
      <c r="A39" s="436"/>
      <c r="B39" s="440"/>
      <c r="C39" s="349"/>
      <c r="D39" s="138" t="s">
        <v>273</v>
      </c>
      <c r="E39" s="434" t="s">
        <v>274</v>
      </c>
      <c r="F39" s="434"/>
      <c r="G39" s="434"/>
      <c r="H39" s="434"/>
      <c r="I39" s="434"/>
      <c r="J39" s="286">
        <f>+'Հավելված N 2'!G41</f>
        <v>9170</v>
      </c>
      <c r="K39" s="286">
        <f>+'Հավելված N 2'!H41</f>
        <v>9170</v>
      </c>
      <c r="L39" s="286">
        <f>+'Հավելված N 2'!I41</f>
        <v>9170</v>
      </c>
      <c r="M39" s="286">
        <f>+'Հավելված N 2'!J41</f>
        <v>9170</v>
      </c>
    </row>
    <row r="40" spans="1:13" s="327" customFormat="1">
      <c r="A40" s="436"/>
      <c r="B40" s="440"/>
      <c r="C40" s="349"/>
      <c r="D40" s="438"/>
      <c r="E40" s="438"/>
      <c r="F40" s="412" t="s">
        <v>346</v>
      </c>
      <c r="G40" s="412"/>
      <c r="H40" s="412"/>
      <c r="I40" s="412"/>
      <c r="J40" s="412"/>
      <c r="K40" s="412"/>
      <c r="L40" s="412"/>
      <c r="M40" s="413"/>
    </row>
    <row r="41" spans="1:13" s="327" customFormat="1" ht="17.75" customHeight="1">
      <c r="A41" s="436"/>
      <c r="B41" s="440"/>
      <c r="C41" s="349"/>
      <c r="D41" s="438"/>
      <c r="E41" s="438"/>
      <c r="F41" s="438"/>
      <c r="G41" s="412" t="s">
        <v>113</v>
      </c>
      <c r="H41" s="412"/>
      <c r="I41" s="412"/>
      <c r="J41" s="412"/>
      <c r="K41" s="412"/>
      <c r="L41" s="412"/>
      <c r="M41" s="413"/>
    </row>
    <row r="42" spans="1:13" s="327" customFormat="1" ht="17.75" customHeight="1">
      <c r="A42" s="436"/>
      <c r="B42" s="440"/>
      <c r="C42" s="349"/>
      <c r="D42" s="438"/>
      <c r="E42" s="438"/>
      <c r="F42" s="438"/>
      <c r="G42" s="438"/>
      <c r="H42" s="411" t="s">
        <v>344</v>
      </c>
      <c r="I42" s="412"/>
      <c r="J42" s="412"/>
      <c r="K42" s="412"/>
      <c r="L42" s="412"/>
      <c r="M42" s="413"/>
    </row>
    <row r="43" spans="1:13" ht="35.5">
      <c r="A43" s="436"/>
      <c r="B43" s="440"/>
      <c r="C43" s="349"/>
      <c r="D43" s="438"/>
      <c r="E43" s="438"/>
      <c r="F43" s="438"/>
      <c r="G43" s="438"/>
      <c r="H43" s="333"/>
      <c r="I43" s="323" t="s">
        <v>347</v>
      </c>
      <c r="J43" s="323"/>
      <c r="K43" s="332">
        <v>1</v>
      </c>
      <c r="L43" s="323" t="s">
        <v>322</v>
      </c>
      <c r="M43" s="332">
        <v>1</v>
      </c>
    </row>
    <row r="44" spans="1:13" s="328" customFormat="1" ht="33.049999999999997" customHeight="1">
      <c r="A44" s="436"/>
      <c r="B44" s="440"/>
      <c r="C44" s="349"/>
      <c r="D44" s="138" t="s">
        <v>276</v>
      </c>
      <c r="E44" s="434" t="s">
        <v>194</v>
      </c>
      <c r="F44" s="434"/>
      <c r="G44" s="434"/>
      <c r="H44" s="434"/>
      <c r="I44" s="434"/>
      <c r="J44" s="286">
        <f>+'Հավելված N 2'!G50</f>
        <v>32000</v>
      </c>
      <c r="K44" s="286">
        <f>+'Հավելված N 2'!H50</f>
        <v>102000</v>
      </c>
      <c r="L44" s="286">
        <f>+'Հավելված N 2'!I50</f>
        <v>102000</v>
      </c>
      <c r="M44" s="286">
        <f>+'Հավելված N 2'!J50</f>
        <v>186898.5</v>
      </c>
    </row>
    <row r="45" spans="1:13" s="327" customFormat="1">
      <c r="A45" s="436"/>
      <c r="B45" s="440"/>
      <c r="C45" s="349"/>
      <c r="D45" s="438"/>
      <c r="E45" s="438"/>
      <c r="F45" s="412" t="s">
        <v>348</v>
      </c>
      <c r="G45" s="412"/>
      <c r="H45" s="412"/>
      <c r="I45" s="412"/>
      <c r="J45" s="412"/>
      <c r="K45" s="412"/>
      <c r="L45" s="412"/>
      <c r="M45" s="413"/>
    </row>
    <row r="46" spans="1:13" s="327" customFormat="1" ht="17.75" customHeight="1">
      <c r="A46" s="436"/>
      <c r="B46" s="440"/>
      <c r="C46" s="349"/>
      <c r="D46" s="438"/>
      <c r="E46" s="438"/>
      <c r="F46" s="438"/>
      <c r="G46" s="412" t="s">
        <v>113</v>
      </c>
      <c r="H46" s="412"/>
      <c r="I46" s="412"/>
      <c r="J46" s="412"/>
      <c r="K46" s="412"/>
      <c r="L46" s="412"/>
      <c r="M46" s="413"/>
    </row>
    <row r="47" spans="1:13" s="327" customFormat="1" ht="17.75" customHeight="1">
      <c r="A47" s="436"/>
      <c r="B47" s="440"/>
      <c r="C47" s="349"/>
      <c r="D47" s="438"/>
      <c r="E47" s="438"/>
      <c r="F47" s="438"/>
      <c r="G47" s="438"/>
      <c r="H47" s="411" t="s">
        <v>349</v>
      </c>
      <c r="I47" s="412"/>
      <c r="J47" s="412"/>
      <c r="K47" s="412"/>
      <c r="L47" s="412"/>
      <c r="M47" s="413"/>
    </row>
    <row r="48" spans="1:13">
      <c r="A48" s="436"/>
      <c r="B48" s="441"/>
      <c r="C48" s="350"/>
      <c r="D48" s="438"/>
      <c r="E48" s="438"/>
      <c r="F48" s="438"/>
      <c r="G48" s="438"/>
      <c r="H48" s="333"/>
      <c r="I48" s="323" t="s">
        <v>350</v>
      </c>
      <c r="J48" s="323"/>
      <c r="K48" s="332"/>
      <c r="L48" s="323" t="s">
        <v>322</v>
      </c>
      <c r="M48" s="332">
        <v>1</v>
      </c>
    </row>
    <row r="49" spans="1:13" ht="8.6" customHeight="1">
      <c r="A49" s="436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325"/>
    </row>
    <row r="50" spans="1:13" s="327" customFormat="1">
      <c r="A50" s="436"/>
      <c r="B50" s="326">
        <v>1183</v>
      </c>
      <c r="C50" s="434" t="s">
        <v>118</v>
      </c>
      <c r="D50" s="434"/>
      <c r="E50" s="434"/>
      <c r="F50" s="434"/>
      <c r="G50" s="434"/>
      <c r="H50" s="434"/>
      <c r="I50" s="434"/>
      <c r="J50" s="315">
        <f>+J51+J55</f>
        <v>1410.6</v>
      </c>
      <c r="K50" s="315">
        <f t="shared" ref="K50:M50" si="2">+K51+K55</f>
        <v>1410.6</v>
      </c>
      <c r="L50" s="315">
        <f t="shared" si="2"/>
        <v>16822.599999999999</v>
      </c>
      <c r="M50" s="315">
        <f t="shared" si="2"/>
        <v>16822.599999999999</v>
      </c>
    </row>
    <row r="51" spans="1:13" s="328" customFormat="1" ht="34.950000000000003" customHeight="1">
      <c r="A51" s="436"/>
      <c r="B51" s="435"/>
      <c r="C51" s="436"/>
      <c r="D51" s="326" t="s">
        <v>280</v>
      </c>
      <c r="E51" s="434" t="s">
        <v>190</v>
      </c>
      <c r="F51" s="434"/>
      <c r="G51" s="434"/>
      <c r="H51" s="434"/>
      <c r="I51" s="434"/>
      <c r="J51" s="286">
        <f>+'Հավելված N 2'!G160</f>
        <v>0</v>
      </c>
      <c r="K51" s="286">
        <f>+'Հավելված N 2'!H160</f>
        <v>0</v>
      </c>
      <c r="L51" s="286">
        <f>+'Հավելված N 2'!I160</f>
        <v>15412</v>
      </c>
      <c r="M51" s="286">
        <f>+'Հավելված N 2'!J160</f>
        <v>15412</v>
      </c>
    </row>
    <row r="52" spans="1:13" s="327" customFormat="1" ht="33.85" customHeight="1">
      <c r="A52" s="436"/>
      <c r="B52" s="435"/>
      <c r="C52" s="436"/>
      <c r="D52" s="437"/>
      <c r="E52" s="438"/>
      <c r="F52" s="434" t="s">
        <v>351</v>
      </c>
      <c r="G52" s="434"/>
      <c r="H52" s="434"/>
      <c r="I52" s="434"/>
      <c r="J52" s="434"/>
      <c r="K52" s="434"/>
      <c r="L52" s="434"/>
      <c r="M52" s="434"/>
    </row>
    <row r="53" spans="1:13" s="327" customFormat="1" ht="17.75" customHeight="1">
      <c r="A53" s="436"/>
      <c r="B53" s="435"/>
      <c r="C53" s="436"/>
      <c r="D53" s="437"/>
      <c r="E53" s="438"/>
      <c r="F53" s="438"/>
      <c r="G53" s="434" t="s">
        <v>113</v>
      </c>
      <c r="H53" s="434"/>
      <c r="I53" s="434"/>
      <c r="J53" s="434"/>
      <c r="K53" s="434"/>
      <c r="L53" s="434"/>
      <c r="M53" s="434"/>
    </row>
    <row r="54" spans="1:13" s="327" customFormat="1">
      <c r="A54" s="436"/>
      <c r="B54" s="435"/>
      <c r="C54" s="436"/>
      <c r="D54" s="437"/>
      <c r="E54" s="438"/>
      <c r="F54" s="438"/>
      <c r="G54" s="138"/>
      <c r="H54" s="411" t="s">
        <v>352</v>
      </c>
      <c r="I54" s="412"/>
      <c r="J54" s="412"/>
      <c r="K54" s="412"/>
      <c r="L54" s="412"/>
      <c r="M54" s="413"/>
    </row>
    <row r="55" spans="1:13" s="328" customFormat="1" ht="17.75" customHeight="1">
      <c r="A55" s="436"/>
      <c r="B55" s="435"/>
      <c r="C55" s="436"/>
      <c r="D55" s="326" t="s">
        <v>282</v>
      </c>
      <c r="E55" s="434" t="s">
        <v>199</v>
      </c>
      <c r="F55" s="434"/>
      <c r="G55" s="434"/>
      <c r="H55" s="434"/>
      <c r="I55" s="434"/>
      <c r="J55" s="286">
        <f>+'Հավելված N 2'!G169</f>
        <v>1410.6</v>
      </c>
      <c r="K55" s="286">
        <f>+'Հավելված N 2'!H169</f>
        <v>1410.6</v>
      </c>
      <c r="L55" s="286">
        <f>+'Հավելված N 2'!I169</f>
        <v>1410.6</v>
      </c>
      <c r="M55" s="286">
        <f>+'Հավելված N 2'!J169</f>
        <v>1410.6</v>
      </c>
    </row>
    <row r="56" spans="1:13" s="327" customFormat="1" ht="33.85" customHeight="1">
      <c r="A56" s="436"/>
      <c r="B56" s="435"/>
      <c r="C56" s="436"/>
      <c r="D56" s="439"/>
      <c r="E56" s="348"/>
      <c r="F56" s="434" t="s">
        <v>283</v>
      </c>
      <c r="G56" s="434"/>
      <c r="H56" s="434"/>
      <c r="I56" s="434"/>
      <c r="J56" s="434"/>
      <c r="K56" s="434"/>
      <c r="L56" s="434"/>
      <c r="M56" s="434"/>
    </row>
    <row r="57" spans="1:13" s="327" customFormat="1" ht="17.75" customHeight="1">
      <c r="A57" s="436"/>
      <c r="B57" s="435"/>
      <c r="C57" s="436"/>
      <c r="D57" s="440"/>
      <c r="E57" s="349"/>
      <c r="F57" s="348"/>
      <c r="G57" s="434" t="s">
        <v>243</v>
      </c>
      <c r="H57" s="434"/>
      <c r="I57" s="434"/>
      <c r="J57" s="434"/>
      <c r="K57" s="434"/>
      <c r="L57" s="434"/>
      <c r="M57" s="434"/>
    </row>
    <row r="58" spans="1:13" s="327" customFormat="1">
      <c r="A58" s="436"/>
      <c r="B58" s="435"/>
      <c r="C58" s="436"/>
      <c r="D58" s="440"/>
      <c r="E58" s="349"/>
      <c r="F58" s="349"/>
      <c r="G58" s="148"/>
      <c r="H58" s="411" t="s">
        <v>353</v>
      </c>
      <c r="I58" s="412"/>
      <c r="J58" s="412"/>
      <c r="K58" s="412"/>
      <c r="L58" s="412"/>
      <c r="M58" s="413"/>
    </row>
    <row r="59" spans="1:13" ht="8.6" customHeight="1">
      <c r="A59" s="436"/>
      <c r="B59" s="213"/>
      <c r="C59" s="213"/>
      <c r="D59" s="213"/>
      <c r="E59" s="213"/>
      <c r="F59" s="213"/>
      <c r="G59" s="213"/>
      <c r="H59" s="213"/>
      <c r="I59" s="213"/>
      <c r="J59" s="213"/>
      <c r="K59" s="213"/>
      <c r="L59" s="213"/>
      <c r="M59" s="325"/>
    </row>
    <row r="60" spans="1:13" s="327" customFormat="1">
      <c r="A60" s="436"/>
      <c r="B60" s="326">
        <v>1192</v>
      </c>
      <c r="C60" s="434" t="s">
        <v>217</v>
      </c>
      <c r="D60" s="434"/>
      <c r="E60" s="434"/>
      <c r="F60" s="434"/>
      <c r="G60" s="434"/>
      <c r="H60" s="434"/>
      <c r="I60" s="434"/>
      <c r="J60" s="315">
        <f>+J61+J65</f>
        <v>0</v>
      </c>
      <c r="K60" s="315">
        <f t="shared" ref="K60:M60" si="3">+K61+K65</f>
        <v>0</v>
      </c>
      <c r="L60" s="315">
        <f t="shared" si="3"/>
        <v>0</v>
      </c>
      <c r="M60" s="315">
        <f t="shared" si="3"/>
        <v>0</v>
      </c>
    </row>
    <row r="61" spans="1:13" s="328" customFormat="1" ht="34.950000000000003" customHeight="1">
      <c r="A61" s="436"/>
      <c r="B61" s="435"/>
      <c r="C61" s="436"/>
      <c r="D61" s="326" t="s">
        <v>287</v>
      </c>
      <c r="E61" s="434" t="s">
        <v>288</v>
      </c>
      <c r="F61" s="434"/>
      <c r="G61" s="434"/>
      <c r="H61" s="434"/>
      <c r="I61" s="434"/>
      <c r="J61" s="286">
        <f>+'Հավելված N 2'!G93</f>
        <v>0</v>
      </c>
      <c r="K61" s="286">
        <f>+'Հավելված N 2'!H93</f>
        <v>112092.2</v>
      </c>
      <c r="L61" s="286">
        <f>+'Հավելված N 2'!I93</f>
        <v>112092.2</v>
      </c>
      <c r="M61" s="286">
        <f>+'Հավելված N 2'!J93</f>
        <v>112092.2</v>
      </c>
    </row>
    <row r="62" spans="1:13" s="327" customFormat="1" ht="33.85" customHeight="1">
      <c r="A62" s="436"/>
      <c r="B62" s="435"/>
      <c r="C62" s="436"/>
      <c r="D62" s="437"/>
      <c r="E62" s="438"/>
      <c r="F62" s="434" t="s">
        <v>354</v>
      </c>
      <c r="G62" s="434"/>
      <c r="H62" s="434"/>
      <c r="I62" s="434"/>
      <c r="J62" s="434"/>
      <c r="K62" s="434"/>
      <c r="L62" s="434"/>
      <c r="M62" s="434"/>
    </row>
    <row r="63" spans="1:13" s="327" customFormat="1" ht="17.75" customHeight="1">
      <c r="A63" s="436"/>
      <c r="B63" s="435"/>
      <c r="C63" s="436"/>
      <c r="D63" s="437"/>
      <c r="E63" s="438"/>
      <c r="F63" s="438"/>
      <c r="G63" s="434" t="s">
        <v>323</v>
      </c>
      <c r="H63" s="434"/>
      <c r="I63" s="434"/>
      <c r="J63" s="434"/>
      <c r="K63" s="434"/>
      <c r="L63" s="434"/>
      <c r="M63" s="434"/>
    </row>
    <row r="64" spans="1:13" s="327" customFormat="1">
      <c r="A64" s="436"/>
      <c r="B64" s="435"/>
      <c r="C64" s="436"/>
      <c r="D64" s="437"/>
      <c r="E64" s="438"/>
      <c r="F64" s="438"/>
      <c r="G64" s="138"/>
      <c r="H64" s="411" t="s">
        <v>355</v>
      </c>
      <c r="I64" s="412"/>
      <c r="J64" s="412"/>
      <c r="K64" s="412"/>
      <c r="L64" s="412"/>
      <c r="M64" s="413"/>
    </row>
    <row r="65" spans="1:13" s="328" customFormat="1" ht="17.75" customHeight="1">
      <c r="A65" s="436"/>
      <c r="B65" s="435"/>
      <c r="C65" s="436"/>
      <c r="D65" s="326" t="s">
        <v>290</v>
      </c>
      <c r="E65" s="434" t="s">
        <v>291</v>
      </c>
      <c r="F65" s="434"/>
      <c r="G65" s="434"/>
      <c r="H65" s="434"/>
      <c r="I65" s="434"/>
      <c r="J65" s="286">
        <f>+'Հավելված N 2'!G101</f>
        <v>0</v>
      </c>
      <c r="K65" s="286">
        <f>+'Հավելված N 2'!H101</f>
        <v>-112092.2</v>
      </c>
      <c r="L65" s="286">
        <f>+'Հավելված N 2'!I101</f>
        <v>-112092.2</v>
      </c>
      <c r="M65" s="286">
        <f>+'Հավելված N 2'!J101</f>
        <v>-112092.2</v>
      </c>
    </row>
    <row r="66" spans="1:13" s="327" customFormat="1" ht="33.85" customHeight="1">
      <c r="A66" s="436"/>
      <c r="B66" s="435"/>
      <c r="C66" s="436"/>
      <c r="D66" s="439"/>
      <c r="E66" s="348"/>
      <c r="F66" s="434" t="s">
        <v>356</v>
      </c>
      <c r="G66" s="434"/>
      <c r="H66" s="434"/>
      <c r="I66" s="434"/>
      <c r="J66" s="434"/>
      <c r="K66" s="434"/>
      <c r="L66" s="434"/>
      <c r="M66" s="434"/>
    </row>
    <row r="67" spans="1:13" s="327" customFormat="1" ht="17.75" customHeight="1">
      <c r="A67" s="436"/>
      <c r="B67" s="435"/>
      <c r="C67" s="436"/>
      <c r="D67" s="440"/>
      <c r="E67" s="349"/>
      <c r="F67" s="348"/>
      <c r="G67" s="434" t="s">
        <v>113</v>
      </c>
      <c r="H67" s="434"/>
      <c r="I67" s="434"/>
      <c r="J67" s="434"/>
      <c r="K67" s="434"/>
      <c r="L67" s="434"/>
      <c r="M67" s="434"/>
    </row>
    <row r="68" spans="1:13" s="327" customFormat="1">
      <c r="A68" s="436"/>
      <c r="B68" s="435"/>
      <c r="C68" s="436"/>
      <c r="D68" s="440"/>
      <c r="E68" s="349"/>
      <c r="F68" s="349"/>
      <c r="G68" s="148"/>
      <c r="H68" s="411" t="s">
        <v>357</v>
      </c>
      <c r="I68" s="412"/>
      <c r="J68" s="412"/>
      <c r="K68" s="412"/>
      <c r="L68" s="412"/>
      <c r="M68" s="413"/>
    </row>
    <row r="69" spans="1:13" ht="8.6" customHeight="1">
      <c r="A69" s="436"/>
      <c r="B69" s="213"/>
      <c r="C69" s="213"/>
      <c r="D69" s="213"/>
      <c r="E69" s="213"/>
      <c r="F69" s="213"/>
      <c r="G69" s="213"/>
      <c r="H69" s="213"/>
      <c r="I69" s="213"/>
      <c r="J69" s="213"/>
      <c r="K69" s="213"/>
      <c r="L69" s="213"/>
      <c r="M69" s="325"/>
    </row>
    <row r="70" spans="1:13" s="327" customFormat="1">
      <c r="A70" s="436"/>
      <c r="B70" s="326">
        <v>1236</v>
      </c>
      <c r="C70" s="434" t="s">
        <v>112</v>
      </c>
      <c r="D70" s="434"/>
      <c r="E70" s="434"/>
      <c r="F70" s="434"/>
      <c r="G70" s="434"/>
      <c r="H70" s="434"/>
      <c r="I70" s="434"/>
      <c r="J70" s="315">
        <f>+J71+J75</f>
        <v>-37667.1</v>
      </c>
      <c r="K70" s="315">
        <f t="shared" ref="K70:M70" si="4">+K71+K75</f>
        <v>-5939.9</v>
      </c>
      <c r="L70" s="315">
        <f t="shared" si="4"/>
        <v>78511.899999999994</v>
      </c>
      <c r="M70" s="315">
        <f t="shared" si="4"/>
        <v>67707.599999999991</v>
      </c>
    </row>
    <row r="71" spans="1:13" s="328" customFormat="1" ht="17.75" customHeight="1">
      <c r="A71" s="436"/>
      <c r="B71" s="437"/>
      <c r="C71" s="438"/>
      <c r="D71" s="138" t="s">
        <v>249</v>
      </c>
      <c r="E71" s="434" t="s">
        <v>201</v>
      </c>
      <c r="F71" s="434"/>
      <c r="G71" s="434"/>
      <c r="H71" s="434"/>
      <c r="I71" s="434"/>
      <c r="J71" s="286">
        <f>+'Հավելված N 2'!G112</f>
        <v>0</v>
      </c>
      <c r="K71" s="286">
        <f>+'Հավելված N 2'!H112</f>
        <v>5703.9</v>
      </c>
      <c r="L71" s="286">
        <f>+'Հավելված N 2'!I112</f>
        <v>5703.9</v>
      </c>
      <c r="M71" s="286">
        <f>+'Հավելված N 2'!J112</f>
        <v>5703.9</v>
      </c>
    </row>
    <row r="72" spans="1:13" s="327" customFormat="1" ht="33.85" customHeight="1">
      <c r="A72" s="436"/>
      <c r="B72" s="437"/>
      <c r="C72" s="438"/>
      <c r="D72" s="348"/>
      <c r="E72" s="348"/>
      <c r="F72" s="434" t="s">
        <v>325</v>
      </c>
      <c r="G72" s="434"/>
      <c r="H72" s="434"/>
      <c r="I72" s="434"/>
      <c r="J72" s="434"/>
      <c r="K72" s="434"/>
      <c r="L72" s="434"/>
      <c r="M72" s="434"/>
    </row>
    <row r="73" spans="1:13" s="327" customFormat="1" ht="17.75" customHeight="1">
      <c r="A73" s="436"/>
      <c r="B73" s="437"/>
      <c r="C73" s="438"/>
      <c r="D73" s="349"/>
      <c r="E73" s="349"/>
      <c r="F73" s="348"/>
      <c r="G73" s="434" t="s">
        <v>113</v>
      </c>
      <c r="H73" s="434"/>
      <c r="I73" s="434"/>
      <c r="J73" s="434"/>
      <c r="K73" s="434"/>
      <c r="L73" s="434"/>
      <c r="M73" s="434"/>
    </row>
    <row r="74" spans="1:13" s="327" customFormat="1">
      <c r="A74" s="436"/>
      <c r="B74" s="437"/>
      <c r="C74" s="438"/>
      <c r="D74" s="349"/>
      <c r="E74" s="349"/>
      <c r="F74" s="349"/>
      <c r="G74" s="148"/>
      <c r="H74" s="434" t="s">
        <v>324</v>
      </c>
      <c r="I74" s="434"/>
      <c r="J74" s="434"/>
      <c r="K74" s="434"/>
      <c r="L74" s="434"/>
      <c r="M74" s="434"/>
    </row>
    <row r="75" spans="1:13" s="328" customFormat="1" ht="17.75" customHeight="1">
      <c r="A75" s="436"/>
      <c r="B75" s="437"/>
      <c r="C75" s="438"/>
      <c r="D75" s="138" t="s">
        <v>293</v>
      </c>
      <c r="E75" s="434" t="s">
        <v>216</v>
      </c>
      <c r="F75" s="434"/>
      <c r="G75" s="434"/>
      <c r="H75" s="434"/>
      <c r="I75" s="434"/>
      <c r="J75" s="286">
        <f>+'Հավելված N 2'!G121</f>
        <v>-37667.1</v>
      </c>
      <c r="K75" s="286">
        <f>+'Հավելված N 2'!H121</f>
        <v>-11643.8</v>
      </c>
      <c r="L75" s="286">
        <f>+'Հավելված N 2'!I121</f>
        <v>72808</v>
      </c>
      <c r="M75" s="286">
        <f>+'Հավելված N 2'!J121</f>
        <v>62003.7</v>
      </c>
    </row>
    <row r="76" spans="1:13" s="327" customFormat="1" ht="33.85" customHeight="1">
      <c r="A76" s="436"/>
      <c r="B76" s="437"/>
      <c r="C76" s="438"/>
      <c r="D76" s="438"/>
      <c r="E76" s="438"/>
      <c r="F76" s="413" t="s">
        <v>358</v>
      </c>
      <c r="G76" s="434"/>
      <c r="H76" s="434"/>
      <c r="I76" s="434"/>
      <c r="J76" s="434"/>
      <c r="K76" s="434"/>
      <c r="L76" s="434"/>
      <c r="M76" s="434"/>
    </row>
    <row r="77" spans="1:13" s="327" customFormat="1" ht="17.75" customHeight="1">
      <c r="A77" s="436"/>
      <c r="B77" s="437"/>
      <c r="C77" s="438"/>
      <c r="D77" s="438"/>
      <c r="E77" s="438"/>
      <c r="F77" s="438"/>
      <c r="G77" s="413" t="s">
        <v>113</v>
      </c>
      <c r="H77" s="434"/>
      <c r="I77" s="434"/>
      <c r="J77" s="434"/>
      <c r="K77" s="434"/>
      <c r="L77" s="434"/>
      <c r="M77" s="434"/>
    </row>
    <row r="78" spans="1:13" s="327" customFormat="1">
      <c r="A78" s="436"/>
      <c r="B78" s="437"/>
      <c r="C78" s="438"/>
      <c r="D78" s="438"/>
      <c r="E78" s="438"/>
      <c r="F78" s="438"/>
      <c r="G78" s="138"/>
      <c r="H78" s="413" t="s">
        <v>359</v>
      </c>
      <c r="I78" s="434"/>
      <c r="J78" s="434"/>
      <c r="K78" s="434"/>
      <c r="L78" s="434"/>
      <c r="M78" s="434"/>
    </row>
    <row r="80" spans="1:13" s="318" customFormat="1" ht="29.95" customHeight="1">
      <c r="A80" s="442" t="s">
        <v>251</v>
      </c>
      <c r="B80" s="442"/>
      <c r="C80" s="442"/>
      <c r="D80" s="442"/>
      <c r="E80" s="442"/>
      <c r="F80" s="442"/>
      <c r="G80" s="442"/>
      <c r="H80" s="442"/>
      <c r="I80" s="442"/>
      <c r="J80" s="317">
        <f>+J81+J95+J101</f>
        <v>0</v>
      </c>
      <c r="K80" s="317">
        <f>+K81+K95+K101</f>
        <v>0</v>
      </c>
      <c r="L80" s="317">
        <f>+L81+L95+L101</f>
        <v>0</v>
      </c>
      <c r="M80" s="317">
        <f>+M81+M95+M101</f>
        <v>0</v>
      </c>
    </row>
    <row r="81" spans="1:13">
      <c r="A81" s="436"/>
      <c r="B81" s="319">
        <v>1139</v>
      </c>
      <c r="C81" s="443" t="s">
        <v>326</v>
      </c>
      <c r="D81" s="443"/>
      <c r="E81" s="443"/>
      <c r="F81" s="443"/>
      <c r="G81" s="443"/>
      <c r="H81" s="443"/>
      <c r="I81" s="443"/>
      <c r="J81" s="329">
        <f>+J82+J86</f>
        <v>0</v>
      </c>
      <c r="K81" s="329">
        <f>+K82+K86</f>
        <v>0</v>
      </c>
      <c r="L81" s="329">
        <f>+L82+L86</f>
        <v>0</v>
      </c>
      <c r="M81" s="329">
        <f>+M82+M86</f>
        <v>0</v>
      </c>
    </row>
    <row r="82" spans="1:13" s="321" customFormat="1" ht="33.049999999999997" customHeight="1">
      <c r="A82" s="436"/>
      <c r="B82" s="444"/>
      <c r="C82" s="436"/>
      <c r="D82" s="319" t="s">
        <v>327</v>
      </c>
      <c r="E82" s="445" t="s">
        <v>252</v>
      </c>
      <c r="F82" s="445"/>
      <c r="G82" s="445"/>
      <c r="H82" s="445"/>
      <c r="I82" s="445"/>
      <c r="J82" s="320">
        <f>+'Հավելված N 2'!G190</f>
        <v>32000</v>
      </c>
      <c r="K82" s="320">
        <f>+'Հավելված N 2'!H190</f>
        <v>102000</v>
      </c>
      <c r="L82" s="320">
        <f>+'Հավելված N 2'!I190</f>
        <v>102000</v>
      </c>
      <c r="M82" s="320">
        <f>+'Հավելված N 2'!J190</f>
        <v>186898.5</v>
      </c>
    </row>
    <row r="83" spans="1:13" ht="33.35" customHeight="1">
      <c r="A83" s="436"/>
      <c r="B83" s="444"/>
      <c r="C83" s="436"/>
      <c r="D83" s="444"/>
      <c r="E83" s="444"/>
      <c r="F83" s="445" t="s">
        <v>328</v>
      </c>
      <c r="G83" s="445"/>
      <c r="H83" s="445"/>
      <c r="I83" s="445"/>
      <c r="J83" s="445"/>
      <c r="K83" s="445"/>
      <c r="L83" s="445"/>
      <c r="M83" s="445"/>
    </row>
    <row r="84" spans="1:13" ht="33.35" customHeight="1">
      <c r="A84" s="436"/>
      <c r="B84" s="444"/>
      <c r="C84" s="436"/>
      <c r="D84" s="444"/>
      <c r="E84" s="444"/>
      <c r="F84" s="444"/>
      <c r="G84" s="445" t="s">
        <v>323</v>
      </c>
      <c r="H84" s="445"/>
      <c r="I84" s="445"/>
      <c r="J84" s="445"/>
      <c r="K84" s="445"/>
      <c r="L84" s="445"/>
      <c r="M84" s="445"/>
    </row>
    <row r="85" spans="1:13" ht="33.35" customHeight="1">
      <c r="A85" s="436"/>
      <c r="B85" s="444"/>
      <c r="C85" s="436"/>
      <c r="D85" s="444"/>
      <c r="E85" s="444"/>
      <c r="F85" s="444"/>
      <c r="G85" s="319"/>
      <c r="H85" s="445" t="s">
        <v>329</v>
      </c>
      <c r="I85" s="445"/>
      <c r="J85" s="445"/>
      <c r="K85" s="445"/>
      <c r="L85" s="445"/>
      <c r="M85" s="445"/>
    </row>
    <row r="86" spans="1:13" s="321" customFormat="1" ht="33.049999999999997" customHeight="1">
      <c r="A86" s="436"/>
      <c r="B86" s="444"/>
      <c r="C86" s="436"/>
      <c r="D86" s="319" t="s">
        <v>327</v>
      </c>
      <c r="E86" s="445" t="s">
        <v>252</v>
      </c>
      <c r="F86" s="445"/>
      <c r="G86" s="445"/>
      <c r="H86" s="445"/>
      <c r="I86" s="445"/>
      <c r="J86" s="320">
        <f>+'Հավելված N 2'!G198</f>
        <v>-32000</v>
      </c>
      <c r="K86" s="320">
        <f>+'Հավելված N 2'!H198</f>
        <v>-102000</v>
      </c>
      <c r="L86" s="320">
        <f>+'Հավելված N 2'!I198</f>
        <v>-102000</v>
      </c>
      <c r="M86" s="320">
        <f>+'Հավելված N 2'!J198</f>
        <v>-186898.5</v>
      </c>
    </row>
    <row r="87" spans="1:13" ht="33.35" customHeight="1">
      <c r="A87" s="436"/>
      <c r="B87" s="444"/>
      <c r="C87" s="436"/>
      <c r="D87" s="444"/>
      <c r="E87" s="444"/>
      <c r="F87" s="445" t="s">
        <v>328</v>
      </c>
      <c r="G87" s="445"/>
      <c r="H87" s="445"/>
      <c r="I87" s="445"/>
      <c r="J87" s="445"/>
      <c r="K87" s="445"/>
      <c r="L87" s="445"/>
      <c r="M87" s="445"/>
    </row>
    <row r="88" spans="1:13" ht="33.35" customHeight="1">
      <c r="A88" s="436"/>
      <c r="B88" s="444"/>
      <c r="C88" s="436"/>
      <c r="D88" s="444"/>
      <c r="E88" s="444"/>
      <c r="F88" s="444"/>
      <c r="G88" s="445" t="s">
        <v>323</v>
      </c>
      <c r="H88" s="445"/>
      <c r="I88" s="445"/>
      <c r="J88" s="445"/>
      <c r="K88" s="445"/>
      <c r="L88" s="445"/>
      <c r="M88" s="445"/>
    </row>
    <row r="89" spans="1:13" ht="33.35" customHeight="1">
      <c r="A89" s="436"/>
      <c r="B89" s="444"/>
      <c r="C89" s="436"/>
      <c r="D89" s="444"/>
      <c r="E89" s="444"/>
      <c r="F89" s="444"/>
      <c r="G89" s="319"/>
      <c r="H89" s="445" t="s">
        <v>329</v>
      </c>
      <c r="I89" s="445"/>
      <c r="J89" s="445"/>
      <c r="K89" s="445"/>
      <c r="L89" s="445"/>
      <c r="M89" s="445"/>
    </row>
  </sheetData>
  <mergeCells count="141">
    <mergeCell ref="A9:A10"/>
    <mergeCell ref="B9:C9"/>
    <mergeCell ref="D9:G9"/>
    <mergeCell ref="H9:H10"/>
    <mergeCell ref="I9:I10"/>
    <mergeCell ref="J9:M9"/>
    <mergeCell ref="G1:H1"/>
    <mergeCell ref="K1:M1"/>
    <mergeCell ref="K2:M2"/>
    <mergeCell ref="G3:H3"/>
    <mergeCell ref="K3:M3"/>
    <mergeCell ref="A6:M6"/>
    <mergeCell ref="A11:I11"/>
    <mergeCell ref="A12:I12"/>
    <mergeCell ref="A13:I13"/>
    <mergeCell ref="A14:A78"/>
    <mergeCell ref="C14:I14"/>
    <mergeCell ref="B15:B19"/>
    <mergeCell ref="C15:C24"/>
    <mergeCell ref="E15:I15"/>
    <mergeCell ref="D16:D19"/>
    <mergeCell ref="E16:E19"/>
    <mergeCell ref="F16:M16"/>
    <mergeCell ref="F17:F19"/>
    <mergeCell ref="G17:M17"/>
    <mergeCell ref="G18:G19"/>
    <mergeCell ref="H18:M18"/>
    <mergeCell ref="B20:B23"/>
    <mergeCell ref="E20:I20"/>
    <mergeCell ref="D21:D24"/>
    <mergeCell ref="E21:E24"/>
    <mergeCell ref="F21:M21"/>
    <mergeCell ref="F22:F24"/>
    <mergeCell ref="G22:M22"/>
    <mergeCell ref="G23:G24"/>
    <mergeCell ref="H23:M23"/>
    <mergeCell ref="C26:I26"/>
    <mergeCell ref="B27:B48"/>
    <mergeCell ref="C27:C48"/>
    <mergeCell ref="E27:I27"/>
    <mergeCell ref="D28:D33"/>
    <mergeCell ref="E28:E33"/>
    <mergeCell ref="D35:D38"/>
    <mergeCell ref="E35:E38"/>
    <mergeCell ref="F35:M35"/>
    <mergeCell ref="F36:F38"/>
    <mergeCell ref="G36:M36"/>
    <mergeCell ref="G37:G38"/>
    <mergeCell ref="H37:M37"/>
    <mergeCell ref="F28:M28"/>
    <mergeCell ref="F29:F33"/>
    <mergeCell ref="G29:M29"/>
    <mergeCell ref="G30:G33"/>
    <mergeCell ref="H30:M30"/>
    <mergeCell ref="E34:I34"/>
    <mergeCell ref="E44:I44"/>
    <mergeCell ref="D45:D48"/>
    <mergeCell ref="E45:E48"/>
    <mergeCell ref="F45:M45"/>
    <mergeCell ref="F46:F48"/>
    <mergeCell ref="G46:M46"/>
    <mergeCell ref="G47:G48"/>
    <mergeCell ref="H47:M47"/>
    <mergeCell ref="E39:I39"/>
    <mergeCell ref="D40:D43"/>
    <mergeCell ref="E40:E43"/>
    <mergeCell ref="F40:M40"/>
    <mergeCell ref="F41:F43"/>
    <mergeCell ref="G41:M41"/>
    <mergeCell ref="G42:G43"/>
    <mergeCell ref="H42:M42"/>
    <mergeCell ref="E55:I55"/>
    <mergeCell ref="D56:D58"/>
    <mergeCell ref="E56:E58"/>
    <mergeCell ref="F56:M56"/>
    <mergeCell ref="F57:F58"/>
    <mergeCell ref="G57:M57"/>
    <mergeCell ref="H58:M58"/>
    <mergeCell ref="C50:I50"/>
    <mergeCell ref="B51:B58"/>
    <mergeCell ref="C51:C58"/>
    <mergeCell ref="E51:I51"/>
    <mergeCell ref="D52:D54"/>
    <mergeCell ref="E52:E54"/>
    <mergeCell ref="F52:M52"/>
    <mergeCell ref="F53:F54"/>
    <mergeCell ref="G53:M53"/>
    <mergeCell ref="H54:M54"/>
    <mergeCell ref="E65:I65"/>
    <mergeCell ref="D66:D68"/>
    <mergeCell ref="E66:E68"/>
    <mergeCell ref="F66:M66"/>
    <mergeCell ref="F67:F68"/>
    <mergeCell ref="G67:M67"/>
    <mergeCell ref="H68:M68"/>
    <mergeCell ref="C60:I60"/>
    <mergeCell ref="B61:B68"/>
    <mergeCell ref="C61:C68"/>
    <mergeCell ref="E61:I61"/>
    <mergeCell ref="D62:D64"/>
    <mergeCell ref="E62:E64"/>
    <mergeCell ref="F62:M62"/>
    <mergeCell ref="F63:F64"/>
    <mergeCell ref="G63:M63"/>
    <mergeCell ref="H64:M64"/>
    <mergeCell ref="E75:I75"/>
    <mergeCell ref="D76:D78"/>
    <mergeCell ref="E76:E78"/>
    <mergeCell ref="F76:M76"/>
    <mergeCell ref="F77:F78"/>
    <mergeCell ref="G77:M77"/>
    <mergeCell ref="H78:M78"/>
    <mergeCell ref="C70:I70"/>
    <mergeCell ref="B71:B78"/>
    <mergeCell ref="C71:C78"/>
    <mergeCell ref="E71:I71"/>
    <mergeCell ref="D72:D74"/>
    <mergeCell ref="E72:E74"/>
    <mergeCell ref="F72:M72"/>
    <mergeCell ref="F73:F74"/>
    <mergeCell ref="G73:M73"/>
    <mergeCell ref="H74:M74"/>
    <mergeCell ref="A80:I80"/>
    <mergeCell ref="A81:A89"/>
    <mergeCell ref="C81:I81"/>
    <mergeCell ref="B82:B89"/>
    <mergeCell ref="C82:C89"/>
    <mergeCell ref="E82:I82"/>
    <mergeCell ref="D83:D85"/>
    <mergeCell ref="E83:E85"/>
    <mergeCell ref="F83:M83"/>
    <mergeCell ref="F84:F85"/>
    <mergeCell ref="G84:M84"/>
    <mergeCell ref="H85:M85"/>
    <mergeCell ref="E86:I86"/>
    <mergeCell ref="D87:D89"/>
    <mergeCell ref="E87:E89"/>
    <mergeCell ref="F87:M87"/>
    <mergeCell ref="F88:F89"/>
    <mergeCell ref="G88:M88"/>
    <mergeCell ref="H89:M8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77"/>
  <sheetViews>
    <sheetView zoomScale="85" zoomScaleNormal="85" workbookViewId="0">
      <selection activeCell="D14" sqref="D14:H14"/>
    </sheetView>
  </sheetViews>
  <sheetFormatPr defaultColWidth="9.09765625" defaultRowHeight="17.75"/>
  <cols>
    <col min="1" max="4" width="18.19921875" style="157" customWidth="1"/>
    <col min="5" max="6" width="14.3984375" style="160" customWidth="1"/>
    <col min="7" max="7" width="17.69921875" style="161" customWidth="1"/>
    <col min="8" max="8" width="14.3984375" style="161" customWidth="1"/>
    <col min="9" max="9" width="30.19921875" style="160" customWidth="1"/>
    <col min="10" max="10" width="18" style="157" customWidth="1"/>
    <col min="11" max="11" width="37.09765625" style="157" customWidth="1"/>
    <col min="12" max="12" width="20.19921875" style="157" customWidth="1"/>
    <col min="13" max="13" width="14" style="157" bestFit="1" customWidth="1"/>
    <col min="14" max="16384" width="9.09765625" style="157"/>
  </cols>
  <sheetData>
    <row r="1" spans="1:10" s="35" customFormat="1" ht="33.450000000000003" customHeight="1">
      <c r="A1" s="243"/>
      <c r="B1" s="243"/>
      <c r="C1" s="243"/>
      <c r="D1" s="243"/>
      <c r="E1" s="244"/>
      <c r="F1" s="244"/>
      <c r="G1" s="245"/>
      <c r="H1" s="486" t="s">
        <v>114</v>
      </c>
      <c r="I1" s="486"/>
    </row>
    <row r="2" spans="1:10" s="35" customFormat="1">
      <c r="A2" s="243"/>
      <c r="B2" s="243"/>
      <c r="C2" s="243"/>
      <c r="D2" s="243"/>
      <c r="E2" s="244"/>
      <c r="F2" s="244"/>
      <c r="G2" s="245"/>
      <c r="H2" s="487" t="s">
        <v>132</v>
      </c>
      <c r="I2" s="487"/>
    </row>
    <row r="3" spans="1:10" s="35" customFormat="1">
      <c r="A3" s="243"/>
      <c r="B3" s="243"/>
      <c r="C3" s="243"/>
      <c r="D3" s="243"/>
      <c r="E3" s="244"/>
      <c r="F3" s="244"/>
      <c r="G3" s="245"/>
      <c r="H3" s="487" t="s">
        <v>0</v>
      </c>
      <c r="I3" s="487"/>
    </row>
    <row r="4" spans="1:10" s="35" customFormat="1">
      <c r="A4" s="243"/>
      <c r="B4" s="243"/>
      <c r="C4" s="243"/>
      <c r="D4" s="243"/>
      <c r="E4" s="244"/>
      <c r="F4" s="244"/>
      <c r="G4" s="245"/>
      <c r="H4" s="245"/>
      <c r="I4" s="246"/>
    </row>
    <row r="5" spans="1:10" s="35" customFormat="1">
      <c r="A5" s="243"/>
      <c r="B5" s="243"/>
      <c r="C5" s="243"/>
      <c r="D5" s="243"/>
      <c r="E5" s="244"/>
      <c r="F5" s="244"/>
      <c r="G5" s="245"/>
      <c r="H5" s="245"/>
      <c r="I5" s="246"/>
    </row>
    <row r="6" spans="1:10" s="35" customFormat="1" ht="32.25" customHeight="1">
      <c r="A6" s="488" t="s">
        <v>211</v>
      </c>
      <c r="B6" s="488"/>
      <c r="C6" s="488"/>
      <c r="D6" s="488"/>
      <c r="E6" s="488"/>
      <c r="F6" s="488"/>
      <c r="G6" s="488"/>
      <c r="H6" s="488"/>
      <c r="I6" s="488"/>
    </row>
    <row r="7" spans="1:10" s="35" customFormat="1" ht="20.95" customHeight="1">
      <c r="A7" s="488"/>
      <c r="B7" s="488"/>
      <c r="C7" s="488"/>
      <c r="D7" s="488"/>
      <c r="E7" s="488"/>
      <c r="F7" s="488"/>
      <c r="G7" s="488"/>
      <c r="H7" s="488"/>
      <c r="I7" s="488"/>
    </row>
    <row r="8" spans="1:10" s="35" customFormat="1" ht="20.95" customHeight="1">
      <c r="A8" s="247"/>
      <c r="B8" s="247"/>
      <c r="C8" s="247"/>
      <c r="D8" s="247"/>
      <c r="E8" s="247"/>
      <c r="F8" s="247"/>
      <c r="G8" s="247"/>
      <c r="H8" s="247"/>
      <c r="I8" s="247"/>
    </row>
    <row r="9" spans="1:10" s="35" customFormat="1" ht="20.95" customHeight="1">
      <c r="A9" s="247"/>
      <c r="B9" s="247"/>
      <c r="C9" s="247"/>
      <c r="D9" s="247"/>
      <c r="E9" s="247"/>
      <c r="F9" s="247"/>
      <c r="G9" s="247"/>
      <c r="H9" s="247"/>
      <c r="I9" s="247"/>
    </row>
    <row r="10" spans="1:10" s="35" customFormat="1" ht="73.75" customHeight="1">
      <c r="A10" s="489" t="s">
        <v>29</v>
      </c>
      <c r="B10" s="489" t="s">
        <v>30</v>
      </c>
      <c r="C10" s="489"/>
      <c r="D10" s="489"/>
      <c r="E10" s="489" t="s">
        <v>31</v>
      </c>
      <c r="F10" s="489" t="s">
        <v>32</v>
      </c>
      <c r="G10" s="489" t="s">
        <v>33</v>
      </c>
      <c r="H10" s="421" t="s">
        <v>93</v>
      </c>
      <c r="I10" s="421"/>
    </row>
    <row r="11" spans="1:10" s="35" customFormat="1" ht="20.95" customHeight="1">
      <c r="A11" s="489"/>
      <c r="B11" s="489"/>
      <c r="C11" s="489"/>
      <c r="D11" s="489"/>
      <c r="E11" s="489"/>
      <c r="F11" s="489"/>
      <c r="G11" s="489"/>
      <c r="H11" s="248" t="s">
        <v>34</v>
      </c>
      <c r="I11" s="249" t="s">
        <v>35</v>
      </c>
    </row>
    <row r="12" spans="1:10" s="35" customFormat="1">
      <c r="A12" s="250">
        <v>1</v>
      </c>
      <c r="B12" s="482">
        <v>2</v>
      </c>
      <c r="C12" s="483"/>
      <c r="D12" s="484"/>
      <c r="E12" s="248">
        <v>3</v>
      </c>
      <c r="F12" s="248">
        <v>4</v>
      </c>
      <c r="G12" s="248">
        <v>5</v>
      </c>
      <c r="H12" s="248">
        <v>6</v>
      </c>
      <c r="I12" s="248">
        <v>7</v>
      </c>
      <c r="J12" s="251"/>
    </row>
    <row r="13" spans="1:10" s="35" customFormat="1" ht="44.9" customHeight="1">
      <c r="A13" s="485" t="s">
        <v>12</v>
      </c>
      <c r="B13" s="485"/>
      <c r="C13" s="485"/>
      <c r="D13" s="485"/>
      <c r="E13" s="485"/>
      <c r="F13" s="485"/>
      <c r="G13" s="485"/>
      <c r="H13" s="485"/>
      <c r="I13" s="252">
        <f>+I14+I27+I44+I51</f>
        <v>-228316.19999999998</v>
      </c>
      <c r="J13" s="253"/>
    </row>
    <row r="14" spans="1:10" s="93" customFormat="1">
      <c r="A14" s="220" t="s">
        <v>36</v>
      </c>
      <c r="B14" s="220" t="s">
        <v>68</v>
      </c>
      <c r="C14" s="220" t="s">
        <v>185</v>
      </c>
      <c r="D14" s="470" t="s">
        <v>186</v>
      </c>
      <c r="E14" s="471"/>
      <c r="F14" s="471"/>
      <c r="G14" s="471"/>
      <c r="H14" s="472"/>
      <c r="I14" s="221">
        <f>+I15+I21</f>
        <v>-180434.09999999998</v>
      </c>
      <c r="J14" s="222"/>
    </row>
    <row r="15" spans="1:10" s="35" customFormat="1" ht="54.8" customHeight="1">
      <c r="A15" s="223" t="s">
        <v>187</v>
      </c>
      <c r="B15" s="459" t="s">
        <v>181</v>
      </c>
      <c r="C15" s="460"/>
      <c r="D15" s="460"/>
      <c r="E15" s="460"/>
      <c r="F15" s="460"/>
      <c r="G15" s="460"/>
      <c r="H15" s="461"/>
      <c r="I15" s="224">
        <f>+I16+I18</f>
        <v>-265332.59999999998</v>
      </c>
    </row>
    <row r="16" spans="1:10" s="110" customFormat="1" ht="20.95" customHeight="1">
      <c r="A16" s="129"/>
      <c r="B16" s="343" t="s">
        <v>55</v>
      </c>
      <c r="C16" s="344"/>
      <c r="D16" s="345"/>
      <c r="E16" s="186" t="s">
        <v>103</v>
      </c>
      <c r="F16" s="186" t="s">
        <v>103</v>
      </c>
      <c r="G16" s="186" t="s">
        <v>103</v>
      </c>
      <c r="H16" s="196"/>
      <c r="I16" s="187">
        <f>+I17</f>
        <v>-263042.3</v>
      </c>
      <c r="J16" s="225"/>
    </row>
    <row r="17" spans="1:10" s="110" customFormat="1">
      <c r="A17" s="129" t="s">
        <v>188</v>
      </c>
      <c r="B17" s="468" t="s">
        <v>189</v>
      </c>
      <c r="C17" s="468"/>
      <c r="D17" s="468"/>
      <c r="E17" s="116" t="s">
        <v>137</v>
      </c>
      <c r="F17" s="116" t="s">
        <v>56</v>
      </c>
      <c r="G17" s="167"/>
      <c r="H17" s="195"/>
      <c r="I17" s="193">
        <v>-263042.3</v>
      </c>
    </row>
    <row r="18" spans="1:10" s="35" customFormat="1" ht="16.55" customHeight="1">
      <c r="A18" s="226"/>
      <c r="B18" s="463" t="s">
        <v>57</v>
      </c>
      <c r="C18" s="464"/>
      <c r="D18" s="465"/>
      <c r="E18" s="227"/>
      <c r="F18" s="227"/>
      <c r="G18" s="228"/>
      <c r="H18" s="228"/>
      <c r="I18" s="229">
        <f>SUM(I19:I20)</f>
        <v>-2290.3000000000002</v>
      </c>
    </row>
    <row r="19" spans="1:10" s="37" customFormat="1" ht="17.75" customHeight="1">
      <c r="A19" s="139" t="s">
        <v>163</v>
      </c>
      <c r="B19" s="466" t="s">
        <v>72</v>
      </c>
      <c r="C19" s="466"/>
      <c r="D19" s="466"/>
      <c r="E19" s="190" t="s">
        <v>58</v>
      </c>
      <c r="F19" s="190" t="s">
        <v>97</v>
      </c>
      <c r="G19" s="230">
        <v>589100</v>
      </c>
      <c r="H19" s="72">
        <v>-1</v>
      </c>
      <c r="I19" s="73">
        <f>+ROUNDDOWN(H19*G19/1000,1)</f>
        <v>-589.1</v>
      </c>
    </row>
    <row r="20" spans="1:10" s="37" customFormat="1" ht="17.75" customHeight="1">
      <c r="A20" s="139" t="s">
        <v>165</v>
      </c>
      <c r="B20" s="466" t="s">
        <v>73</v>
      </c>
      <c r="C20" s="466"/>
      <c r="D20" s="466"/>
      <c r="E20" s="190" t="s">
        <v>59</v>
      </c>
      <c r="F20" s="190" t="s">
        <v>97</v>
      </c>
      <c r="G20" s="230">
        <v>1701234</v>
      </c>
      <c r="H20" s="72">
        <v>-1</v>
      </c>
      <c r="I20" s="73">
        <f>+ROUNDDOWN(H20*G20/1000,1)</f>
        <v>-1701.2</v>
      </c>
    </row>
    <row r="21" spans="1:10" s="35" customFormat="1" ht="54.8" customHeight="1">
      <c r="A21" s="223" t="s">
        <v>195</v>
      </c>
      <c r="B21" s="459" t="s">
        <v>196</v>
      </c>
      <c r="C21" s="460"/>
      <c r="D21" s="460"/>
      <c r="E21" s="460"/>
      <c r="F21" s="460"/>
      <c r="G21" s="460"/>
      <c r="H21" s="461"/>
      <c r="I21" s="224">
        <f>+I22+I24</f>
        <v>84898.5</v>
      </c>
    </row>
    <row r="22" spans="1:10" s="110" customFormat="1" ht="20.95" customHeight="1">
      <c r="A22" s="129"/>
      <c r="B22" s="343" t="s">
        <v>55</v>
      </c>
      <c r="C22" s="344"/>
      <c r="D22" s="345"/>
      <c r="E22" s="186" t="s">
        <v>103</v>
      </c>
      <c r="F22" s="186" t="s">
        <v>103</v>
      </c>
      <c r="G22" s="186" t="s">
        <v>103</v>
      </c>
      <c r="H22" s="196"/>
      <c r="I22" s="187">
        <f>+I23</f>
        <v>84211.3</v>
      </c>
      <c r="J22" s="225"/>
    </row>
    <row r="23" spans="1:10" s="110" customFormat="1" ht="17.75" customHeight="1">
      <c r="A23" s="20">
        <v>45221142</v>
      </c>
      <c r="B23" s="462" t="s">
        <v>197</v>
      </c>
      <c r="C23" s="462"/>
      <c r="D23" s="462"/>
      <c r="E23" s="116" t="s">
        <v>137</v>
      </c>
      <c r="F23" s="116" t="s">
        <v>56</v>
      </c>
      <c r="G23" s="167">
        <v>84211290</v>
      </c>
      <c r="H23" s="195">
        <v>1</v>
      </c>
      <c r="I23" s="73">
        <f>+ROUNDUP(H23*G23/1000,1)</f>
        <v>84211.3</v>
      </c>
    </row>
    <row r="24" spans="1:10" s="35" customFormat="1" ht="16.55" customHeight="1">
      <c r="A24" s="226"/>
      <c r="B24" s="463" t="s">
        <v>57</v>
      </c>
      <c r="C24" s="464"/>
      <c r="D24" s="465"/>
      <c r="E24" s="227"/>
      <c r="F24" s="227"/>
      <c r="G24" s="228"/>
      <c r="H24" s="228"/>
      <c r="I24" s="229">
        <f>SUM(I25:I26)</f>
        <v>687.2</v>
      </c>
    </row>
    <row r="25" spans="1:10" s="37" customFormat="1" ht="17.75" customHeight="1">
      <c r="A25" s="139" t="s">
        <v>163</v>
      </c>
      <c r="B25" s="466" t="s">
        <v>72</v>
      </c>
      <c r="C25" s="466"/>
      <c r="D25" s="466"/>
      <c r="E25" s="190" t="s">
        <v>58</v>
      </c>
      <c r="F25" s="190" t="s">
        <v>97</v>
      </c>
      <c r="G25" s="230">
        <v>176730</v>
      </c>
      <c r="H25" s="231">
        <v>1</v>
      </c>
      <c r="I25" s="73">
        <f t="shared" ref="I25:I26" si="0">+ROUNDUP(H25*G25/1000,1)</f>
        <v>176.79999999999998</v>
      </c>
    </row>
    <row r="26" spans="1:10" s="37" customFormat="1" ht="17.75" customHeight="1">
      <c r="A26" s="139" t="s">
        <v>165</v>
      </c>
      <c r="B26" s="466" t="s">
        <v>73</v>
      </c>
      <c r="C26" s="466"/>
      <c r="D26" s="466"/>
      <c r="E26" s="190" t="s">
        <v>59</v>
      </c>
      <c r="F26" s="190" t="s">
        <v>97</v>
      </c>
      <c r="G26" s="230">
        <v>510370</v>
      </c>
      <c r="H26" s="231">
        <v>1</v>
      </c>
      <c r="I26" s="73">
        <f t="shared" si="0"/>
        <v>510.40000000000003</v>
      </c>
    </row>
    <row r="27" spans="1:10" s="93" customFormat="1" ht="38.15" customHeight="1">
      <c r="A27" s="70" t="s">
        <v>36</v>
      </c>
      <c r="B27" s="70" t="s">
        <v>68</v>
      </c>
      <c r="C27" s="70" t="s">
        <v>69</v>
      </c>
      <c r="D27" s="473" t="s">
        <v>70</v>
      </c>
      <c r="E27" s="474"/>
      <c r="F27" s="474"/>
      <c r="G27" s="474"/>
      <c r="H27" s="475"/>
      <c r="I27" s="58">
        <f>+I28</f>
        <v>-58890.000000000007</v>
      </c>
      <c r="J27" s="144"/>
    </row>
    <row r="28" spans="1:10" s="35" customFormat="1" ht="54.8" customHeight="1">
      <c r="A28" s="94" t="s">
        <v>71</v>
      </c>
      <c r="B28" s="476" t="s">
        <v>64</v>
      </c>
      <c r="C28" s="477"/>
      <c r="D28" s="477"/>
      <c r="E28" s="477"/>
      <c r="F28" s="477"/>
      <c r="G28" s="477"/>
      <c r="H28" s="478"/>
      <c r="I28" s="95">
        <f>+I29+I36</f>
        <v>-58890.000000000007</v>
      </c>
    </row>
    <row r="29" spans="1:10" s="35" customFormat="1" ht="16.55" customHeight="1">
      <c r="A29" s="32"/>
      <c r="B29" s="479" t="s">
        <v>55</v>
      </c>
      <c r="C29" s="480"/>
      <c r="D29" s="481"/>
      <c r="E29" s="33"/>
      <c r="F29" s="33"/>
      <c r="G29" s="34"/>
      <c r="H29" s="34"/>
      <c r="I29" s="61">
        <f>SUM(I30:I35)</f>
        <v>-61568.600000000006</v>
      </c>
      <c r="J29" s="39"/>
    </row>
    <row r="30" spans="1:10" s="37" customFormat="1">
      <c r="A30" s="139">
        <v>45451600</v>
      </c>
      <c r="B30" s="466" t="s">
        <v>136</v>
      </c>
      <c r="C30" s="466"/>
      <c r="D30" s="466"/>
      <c r="E30" s="116" t="s">
        <v>58</v>
      </c>
      <c r="F30" s="116" t="s">
        <v>97</v>
      </c>
      <c r="G30" s="109">
        <v>4494533</v>
      </c>
      <c r="H30" s="72">
        <v>1</v>
      </c>
      <c r="I30" s="73">
        <f>+ROUNDUP(H30*G30/1000,1)</f>
        <v>4494.6000000000004</v>
      </c>
      <c r="J30" s="38"/>
    </row>
    <row r="31" spans="1:10" s="37" customFormat="1">
      <c r="A31" s="139" t="s">
        <v>147</v>
      </c>
      <c r="B31" s="466" t="s">
        <v>136</v>
      </c>
      <c r="C31" s="466"/>
      <c r="D31" s="466"/>
      <c r="E31" s="116" t="s">
        <v>137</v>
      </c>
      <c r="F31" s="116" t="s">
        <v>97</v>
      </c>
      <c r="G31" s="109"/>
      <c r="H31" s="72"/>
      <c r="I31" s="73">
        <v>-25000</v>
      </c>
      <c r="J31" s="38"/>
    </row>
    <row r="32" spans="1:10" s="37" customFormat="1">
      <c r="A32" s="139" t="s">
        <v>148</v>
      </c>
      <c r="B32" s="466" t="s">
        <v>136</v>
      </c>
      <c r="C32" s="466"/>
      <c r="D32" s="466"/>
      <c r="E32" s="116" t="s">
        <v>137</v>
      </c>
      <c r="F32" s="116" t="s">
        <v>97</v>
      </c>
      <c r="G32" s="109"/>
      <c r="H32" s="72"/>
      <c r="I32" s="73">
        <v>-10000</v>
      </c>
      <c r="J32" s="38"/>
    </row>
    <row r="33" spans="1:10" s="37" customFormat="1">
      <c r="A33" s="139" t="s">
        <v>139</v>
      </c>
      <c r="B33" s="466" t="s">
        <v>136</v>
      </c>
      <c r="C33" s="466"/>
      <c r="D33" s="466"/>
      <c r="E33" s="116" t="s">
        <v>137</v>
      </c>
      <c r="F33" s="116" t="s">
        <v>97</v>
      </c>
      <c r="G33" s="109"/>
      <c r="H33" s="72"/>
      <c r="I33" s="73">
        <v>-16550.400000000001</v>
      </c>
      <c r="J33" s="38"/>
    </row>
    <row r="34" spans="1:10" s="37" customFormat="1">
      <c r="A34" s="139" t="s">
        <v>140</v>
      </c>
      <c r="B34" s="466" t="s">
        <v>136</v>
      </c>
      <c r="C34" s="466"/>
      <c r="D34" s="466"/>
      <c r="E34" s="116" t="s">
        <v>58</v>
      </c>
      <c r="F34" s="116" t="s">
        <v>97</v>
      </c>
      <c r="G34" s="109">
        <v>5487164</v>
      </c>
      <c r="H34" s="72">
        <v>1</v>
      </c>
      <c r="I34" s="73">
        <f>+ROUNDUP(H34*G34/1000,1)</f>
        <v>5487.2000000000007</v>
      </c>
      <c r="J34" s="38"/>
    </row>
    <row r="35" spans="1:10" s="37" customFormat="1">
      <c r="A35" s="139" t="s">
        <v>149</v>
      </c>
      <c r="B35" s="466" t="s">
        <v>136</v>
      </c>
      <c r="C35" s="466"/>
      <c r="D35" s="466"/>
      <c r="E35" s="116" t="s">
        <v>137</v>
      </c>
      <c r="F35" s="116" t="s">
        <v>97</v>
      </c>
      <c r="G35" s="109"/>
      <c r="H35" s="72"/>
      <c r="I35" s="73">
        <v>-20000</v>
      </c>
      <c r="J35" s="38"/>
    </row>
    <row r="36" spans="1:10" s="110" customFormat="1" ht="20.95" customHeight="1">
      <c r="A36" s="20"/>
      <c r="B36" s="367" t="s">
        <v>57</v>
      </c>
      <c r="C36" s="368"/>
      <c r="D36" s="369"/>
      <c r="E36" s="105" t="s">
        <v>103</v>
      </c>
      <c r="F36" s="105" t="s">
        <v>103</v>
      </c>
      <c r="G36" s="105" t="s">
        <v>103</v>
      </c>
      <c r="H36" s="111"/>
      <c r="I36" s="74">
        <f>SUM(I37:I43)</f>
        <v>2678.6</v>
      </c>
    </row>
    <row r="37" spans="1:10" s="110" customFormat="1">
      <c r="A37" s="20">
        <v>71351540</v>
      </c>
      <c r="B37" s="462" t="s">
        <v>72</v>
      </c>
      <c r="C37" s="462"/>
      <c r="D37" s="462"/>
      <c r="E37" s="108" t="s">
        <v>58</v>
      </c>
      <c r="F37" s="108" t="s">
        <v>56</v>
      </c>
      <c r="G37" s="109">
        <v>78000</v>
      </c>
      <c r="H37" s="72">
        <v>1</v>
      </c>
      <c r="I37" s="73">
        <f>+ROUNDUP(H37*G37/1000,1)</f>
        <v>78</v>
      </c>
    </row>
    <row r="38" spans="1:10" s="110" customFormat="1">
      <c r="A38" s="20">
        <v>98111140</v>
      </c>
      <c r="B38" s="462" t="s">
        <v>73</v>
      </c>
      <c r="C38" s="462"/>
      <c r="D38" s="462"/>
      <c r="E38" s="108" t="s">
        <v>59</v>
      </c>
      <c r="F38" s="108" t="s">
        <v>56</v>
      </c>
      <c r="G38" s="109">
        <v>60590</v>
      </c>
      <c r="H38" s="72">
        <v>1</v>
      </c>
      <c r="I38" s="73">
        <f>+ROUNDUP(H38*G38/1000,1)</f>
        <v>60.6</v>
      </c>
    </row>
    <row r="39" spans="1:10" s="110" customFormat="1" ht="18" customHeight="1">
      <c r="A39" s="20">
        <v>50531140</v>
      </c>
      <c r="B39" s="462" t="s">
        <v>76</v>
      </c>
      <c r="C39" s="462"/>
      <c r="D39" s="462"/>
      <c r="E39" s="108" t="s">
        <v>58</v>
      </c>
      <c r="F39" s="108" t="s">
        <v>56</v>
      </c>
      <c r="G39" s="109">
        <v>460000</v>
      </c>
      <c r="H39" s="36">
        <v>1</v>
      </c>
      <c r="I39" s="74">
        <f>+ROUND(H39*G39/1000,1)</f>
        <v>460</v>
      </c>
    </row>
    <row r="40" spans="1:10" s="110" customFormat="1" ht="18" customHeight="1">
      <c r="A40" s="20">
        <v>50531140</v>
      </c>
      <c r="B40" s="462" t="s">
        <v>76</v>
      </c>
      <c r="C40" s="462"/>
      <c r="D40" s="462"/>
      <c r="E40" s="108" t="s">
        <v>58</v>
      </c>
      <c r="F40" s="108" t="s">
        <v>56</v>
      </c>
      <c r="G40" s="109">
        <v>680000</v>
      </c>
      <c r="H40" s="36">
        <v>1</v>
      </c>
      <c r="I40" s="74">
        <f>+ROUND(H40*G40/1000,1)</f>
        <v>680</v>
      </c>
    </row>
    <row r="41" spans="1:10" s="110" customFormat="1" ht="18" customHeight="1">
      <c r="A41" s="20">
        <v>50531140</v>
      </c>
      <c r="B41" s="462" t="s">
        <v>76</v>
      </c>
      <c r="C41" s="462"/>
      <c r="D41" s="462"/>
      <c r="E41" s="108" t="s">
        <v>58</v>
      </c>
      <c r="F41" s="108" t="s">
        <v>56</v>
      </c>
      <c r="G41" s="109">
        <v>400000</v>
      </c>
      <c r="H41" s="36">
        <v>1</v>
      </c>
      <c r="I41" s="74">
        <f>+ROUND(H41*G41/1000,1)</f>
        <v>400</v>
      </c>
    </row>
    <row r="42" spans="1:10" s="110" customFormat="1" ht="18" customHeight="1">
      <c r="A42" s="20">
        <v>50531140</v>
      </c>
      <c r="B42" s="462" t="s">
        <v>76</v>
      </c>
      <c r="C42" s="462"/>
      <c r="D42" s="462"/>
      <c r="E42" s="108" t="s">
        <v>58</v>
      </c>
      <c r="F42" s="108" t="s">
        <v>56</v>
      </c>
      <c r="G42" s="109">
        <v>500000</v>
      </c>
      <c r="H42" s="36">
        <v>1</v>
      </c>
      <c r="I42" s="74">
        <f>+ROUND(H42*G42/1000,1)</f>
        <v>500</v>
      </c>
    </row>
    <row r="43" spans="1:10" s="110" customFormat="1" ht="18" customHeight="1">
      <c r="A43" s="20">
        <v>50531140</v>
      </c>
      <c r="B43" s="462" t="s">
        <v>76</v>
      </c>
      <c r="C43" s="462"/>
      <c r="D43" s="462"/>
      <c r="E43" s="108" t="s">
        <v>58</v>
      </c>
      <c r="F43" s="108" t="s">
        <v>56</v>
      </c>
      <c r="G43" s="109">
        <v>500000</v>
      </c>
      <c r="H43" s="36">
        <v>1</v>
      </c>
      <c r="I43" s="74">
        <f>+ROUND(H43*G43/1000,1)</f>
        <v>500</v>
      </c>
    </row>
    <row r="44" spans="1:10" s="3" customFormat="1">
      <c r="A44" s="238" t="s">
        <v>98</v>
      </c>
      <c r="B44" s="238" t="s">
        <v>68</v>
      </c>
      <c r="C44" s="238" t="s">
        <v>100</v>
      </c>
      <c r="D44" s="470" t="s">
        <v>123</v>
      </c>
      <c r="E44" s="471"/>
      <c r="F44" s="471"/>
      <c r="G44" s="471"/>
      <c r="H44" s="472"/>
      <c r="I44" s="239">
        <f>+I45</f>
        <v>5703.9</v>
      </c>
    </row>
    <row r="45" spans="1:10" s="107" customFormat="1" ht="54.95" customHeight="1">
      <c r="A45" s="17" t="s">
        <v>204</v>
      </c>
      <c r="B45" s="467" t="s">
        <v>205</v>
      </c>
      <c r="C45" s="467"/>
      <c r="D45" s="467"/>
      <c r="E45" s="467"/>
      <c r="F45" s="467"/>
      <c r="G45" s="467"/>
      <c r="H45" s="467"/>
      <c r="I45" s="240">
        <f>+I46+I48</f>
        <v>5703.9</v>
      </c>
      <c r="J45" s="233"/>
    </row>
    <row r="46" spans="1:10" s="26" customFormat="1" ht="20.95" customHeight="1">
      <c r="A46" s="241"/>
      <c r="B46" s="367" t="s">
        <v>102</v>
      </c>
      <c r="C46" s="368"/>
      <c r="D46" s="369"/>
      <c r="E46" s="105"/>
      <c r="F46" s="105"/>
      <c r="G46" s="105"/>
      <c r="H46" s="242"/>
      <c r="I46" s="74">
        <f>+I47</f>
        <v>4992</v>
      </c>
    </row>
    <row r="47" spans="1:10" s="237" customFormat="1" ht="17.75" customHeight="1">
      <c r="A47" s="139">
        <v>45111100</v>
      </c>
      <c r="B47" s="466" t="s">
        <v>206</v>
      </c>
      <c r="C47" s="466"/>
      <c r="D47" s="466"/>
      <c r="E47" s="190" t="s">
        <v>58</v>
      </c>
      <c r="F47" s="190" t="s">
        <v>97</v>
      </c>
      <c r="G47" s="191">
        <v>4992000</v>
      </c>
      <c r="H47" s="231">
        <v>1</v>
      </c>
      <c r="I47" s="74">
        <f>+ROUNDUP(H47*G47/1000,1)</f>
        <v>4992</v>
      </c>
      <c r="J47" s="236"/>
    </row>
    <row r="48" spans="1:10" s="110" customFormat="1" ht="20.95" customHeight="1">
      <c r="A48" s="20"/>
      <c r="B48" s="367" t="s">
        <v>57</v>
      </c>
      <c r="C48" s="368"/>
      <c r="D48" s="369"/>
      <c r="E48" s="105" t="s">
        <v>103</v>
      </c>
      <c r="F48" s="105" t="s">
        <v>103</v>
      </c>
      <c r="G48" s="105" t="s">
        <v>103</v>
      </c>
      <c r="H48" s="111"/>
      <c r="I48" s="74">
        <f>SUM(I49:I50)</f>
        <v>711.9</v>
      </c>
    </row>
    <row r="49" spans="1:10" s="110" customFormat="1">
      <c r="A49" s="20">
        <v>71351540</v>
      </c>
      <c r="B49" s="462" t="s">
        <v>72</v>
      </c>
      <c r="C49" s="462"/>
      <c r="D49" s="462"/>
      <c r="E49" s="108" t="s">
        <v>207</v>
      </c>
      <c r="F49" s="108" t="s">
        <v>56</v>
      </c>
      <c r="G49" s="109">
        <v>540000</v>
      </c>
      <c r="H49" s="72">
        <v>1</v>
      </c>
      <c r="I49" s="74">
        <f t="shared" ref="I49:I50" si="1">+ROUNDUP(H49*G49/1000,1)</f>
        <v>540</v>
      </c>
    </row>
    <row r="50" spans="1:10" s="110" customFormat="1">
      <c r="A50" s="20">
        <v>98111140</v>
      </c>
      <c r="B50" s="462" t="s">
        <v>73</v>
      </c>
      <c r="C50" s="462"/>
      <c r="D50" s="462"/>
      <c r="E50" s="108" t="s">
        <v>59</v>
      </c>
      <c r="F50" s="108" t="s">
        <v>56</v>
      </c>
      <c r="G50" s="109">
        <v>171810</v>
      </c>
      <c r="H50" s="72">
        <v>1</v>
      </c>
      <c r="I50" s="74">
        <f t="shared" si="1"/>
        <v>171.9</v>
      </c>
    </row>
    <row r="51" spans="1:10" s="3" customFormat="1">
      <c r="A51" s="106" t="s">
        <v>98</v>
      </c>
      <c r="B51" s="106" t="s">
        <v>99</v>
      </c>
      <c r="C51" s="106" t="s">
        <v>100</v>
      </c>
      <c r="D51" s="473" t="s">
        <v>101</v>
      </c>
      <c r="E51" s="474"/>
      <c r="F51" s="474"/>
      <c r="G51" s="474"/>
      <c r="H51" s="475"/>
      <c r="I51" s="118">
        <f>+I52+I71+I75</f>
        <v>5303.9999999999927</v>
      </c>
    </row>
    <row r="52" spans="1:10" s="107" customFormat="1" ht="54.95" customHeight="1">
      <c r="A52" s="133" t="s">
        <v>160</v>
      </c>
      <c r="B52" s="469" t="s">
        <v>171</v>
      </c>
      <c r="C52" s="469"/>
      <c r="D52" s="469"/>
      <c r="E52" s="469"/>
      <c r="F52" s="469"/>
      <c r="G52" s="469"/>
      <c r="H52" s="469"/>
      <c r="I52" s="185">
        <f>+I53+I56</f>
        <v>-50850.100000000006</v>
      </c>
      <c r="J52" s="233"/>
    </row>
    <row r="53" spans="1:10" s="26" customFormat="1" ht="20.95" customHeight="1">
      <c r="A53" s="234"/>
      <c r="B53" s="343" t="s">
        <v>102</v>
      </c>
      <c r="C53" s="344"/>
      <c r="D53" s="345"/>
      <c r="E53" s="186"/>
      <c r="F53" s="186"/>
      <c r="G53" s="186"/>
      <c r="H53" s="235"/>
      <c r="I53" s="187">
        <f>SUM(I54:I55)</f>
        <v>-64377.3</v>
      </c>
    </row>
    <row r="54" spans="1:10" s="194" customFormat="1" ht="18" customHeight="1">
      <c r="A54" s="188" t="s">
        <v>161</v>
      </c>
      <c r="B54" s="340" t="s">
        <v>162</v>
      </c>
      <c r="C54" s="340"/>
      <c r="D54" s="340"/>
      <c r="E54" s="189" t="s">
        <v>137</v>
      </c>
      <c r="F54" s="190" t="s">
        <v>97</v>
      </c>
      <c r="G54" s="191"/>
      <c r="H54" s="192"/>
      <c r="I54" s="193">
        <v>85622.7</v>
      </c>
    </row>
    <row r="55" spans="1:10" s="194" customFormat="1" ht="18" customHeight="1">
      <c r="A55" s="188" t="s">
        <v>170</v>
      </c>
      <c r="B55" s="340" t="s">
        <v>162</v>
      </c>
      <c r="C55" s="340"/>
      <c r="D55" s="340"/>
      <c r="E55" s="189" t="s">
        <v>137</v>
      </c>
      <c r="F55" s="190" t="s">
        <v>97</v>
      </c>
      <c r="G55" s="191">
        <v>150000000</v>
      </c>
      <c r="H55" s="192">
        <v>-1</v>
      </c>
      <c r="I55" s="193">
        <f>+ROUNDDOWN(G55*H55/1000,1)</f>
        <v>-150000</v>
      </c>
    </row>
    <row r="56" spans="1:10" s="110" customFormat="1" ht="20.95" customHeight="1">
      <c r="A56" s="129"/>
      <c r="B56" s="343" t="s">
        <v>57</v>
      </c>
      <c r="C56" s="344"/>
      <c r="D56" s="345"/>
      <c r="E56" s="186" t="s">
        <v>103</v>
      </c>
      <c r="F56" s="186" t="s">
        <v>103</v>
      </c>
      <c r="G56" s="186" t="s">
        <v>103</v>
      </c>
      <c r="H56" s="196"/>
      <c r="I56" s="187">
        <f>SUM(I57:I70)</f>
        <v>13527.2</v>
      </c>
    </row>
    <row r="57" spans="1:10" s="194" customFormat="1">
      <c r="A57" s="188" t="s">
        <v>163</v>
      </c>
      <c r="B57" s="340" t="s">
        <v>72</v>
      </c>
      <c r="C57" s="340"/>
      <c r="D57" s="340"/>
      <c r="E57" s="190" t="s">
        <v>58</v>
      </c>
      <c r="F57" s="190" t="s">
        <v>56</v>
      </c>
      <c r="G57" s="191"/>
      <c r="H57" s="192"/>
      <c r="I57" s="193">
        <v>919.6</v>
      </c>
    </row>
    <row r="58" spans="1:10" s="110" customFormat="1">
      <c r="A58" s="129" t="s">
        <v>164</v>
      </c>
      <c r="B58" s="468" t="s">
        <v>72</v>
      </c>
      <c r="C58" s="468"/>
      <c r="D58" s="468"/>
      <c r="E58" s="116" t="s">
        <v>58</v>
      </c>
      <c r="F58" s="116" t="s">
        <v>56</v>
      </c>
      <c r="G58" s="167">
        <v>4500000</v>
      </c>
      <c r="H58" s="195">
        <v>-1</v>
      </c>
      <c r="I58" s="193">
        <f>+ROUNDDOWN(G58*H58/1000,1)</f>
        <v>-4500</v>
      </c>
    </row>
    <row r="59" spans="1:10" s="194" customFormat="1">
      <c r="A59" s="188" t="s">
        <v>165</v>
      </c>
      <c r="B59" s="340" t="s">
        <v>73</v>
      </c>
      <c r="C59" s="340"/>
      <c r="D59" s="340"/>
      <c r="E59" s="190" t="s">
        <v>59</v>
      </c>
      <c r="F59" s="190" t="s">
        <v>56</v>
      </c>
      <c r="G59" s="191"/>
      <c r="H59" s="192"/>
      <c r="I59" s="193">
        <v>342.7</v>
      </c>
    </row>
    <row r="60" spans="1:10" s="110" customFormat="1">
      <c r="A60" s="129" t="s">
        <v>166</v>
      </c>
      <c r="B60" s="468" t="s">
        <v>73</v>
      </c>
      <c r="C60" s="468"/>
      <c r="D60" s="468"/>
      <c r="E60" s="116" t="s">
        <v>59</v>
      </c>
      <c r="F60" s="116" t="s">
        <v>56</v>
      </c>
      <c r="G60" s="167">
        <v>953866</v>
      </c>
      <c r="H60" s="195">
        <v>-1</v>
      </c>
      <c r="I60" s="193">
        <f>+ROUNDDOWN(G60*H60/1000,1)</f>
        <v>-953.8</v>
      </c>
    </row>
    <row r="61" spans="1:10" s="110" customFormat="1" ht="17.75" customHeight="1">
      <c r="A61" s="129">
        <v>71241200</v>
      </c>
      <c r="B61" s="468" t="s">
        <v>104</v>
      </c>
      <c r="C61" s="468"/>
      <c r="D61" s="468"/>
      <c r="E61" s="116" t="s">
        <v>58</v>
      </c>
      <c r="F61" s="116" t="s">
        <v>56</v>
      </c>
      <c r="G61" s="167">
        <v>4750000</v>
      </c>
      <c r="H61" s="195">
        <v>1</v>
      </c>
      <c r="I61" s="193">
        <f>+ROUND(G61*H61/1000,1)</f>
        <v>4750</v>
      </c>
    </row>
    <row r="62" spans="1:10" s="110" customFormat="1" ht="17.75" customHeight="1">
      <c r="A62" s="129" t="s">
        <v>174</v>
      </c>
      <c r="B62" s="468" t="s">
        <v>104</v>
      </c>
      <c r="C62" s="468"/>
      <c r="D62" s="468"/>
      <c r="E62" s="116" t="s">
        <v>58</v>
      </c>
      <c r="F62" s="116" t="s">
        <v>56</v>
      </c>
      <c r="G62" s="167">
        <v>16440000</v>
      </c>
      <c r="H62" s="195">
        <v>-1</v>
      </c>
      <c r="I62" s="193">
        <f>+ROUNDDOWN(G62*H62/1000,1)</f>
        <v>-16440</v>
      </c>
    </row>
    <row r="63" spans="1:10" s="110" customFormat="1" ht="17.75" customHeight="1">
      <c r="A63" s="129" t="s">
        <v>167</v>
      </c>
      <c r="B63" s="468" t="s">
        <v>104</v>
      </c>
      <c r="C63" s="468"/>
      <c r="D63" s="468"/>
      <c r="E63" s="116" t="s">
        <v>58</v>
      </c>
      <c r="F63" s="116" t="s">
        <v>56</v>
      </c>
      <c r="G63" s="167">
        <v>1346600</v>
      </c>
      <c r="H63" s="195">
        <v>1</v>
      </c>
      <c r="I63" s="193">
        <f>+ROUNDUP(G63*H63/1000,1)</f>
        <v>1346.6</v>
      </c>
    </row>
    <row r="64" spans="1:10" s="110" customFormat="1" ht="17.75" customHeight="1">
      <c r="A64" s="129">
        <v>71241200</v>
      </c>
      <c r="B64" s="468" t="s">
        <v>104</v>
      </c>
      <c r="C64" s="468"/>
      <c r="D64" s="468"/>
      <c r="E64" s="116" t="s">
        <v>58</v>
      </c>
      <c r="F64" s="116" t="s">
        <v>56</v>
      </c>
      <c r="G64" s="167">
        <v>14160000</v>
      </c>
      <c r="H64" s="195">
        <v>1</v>
      </c>
      <c r="I64" s="193">
        <f>+ROUNDUP(G64*H64/1000,1)</f>
        <v>14160</v>
      </c>
    </row>
    <row r="65" spans="1:10" s="110" customFormat="1" ht="17.75" customHeight="1">
      <c r="A65" s="129" t="s">
        <v>179</v>
      </c>
      <c r="B65" s="468" t="s">
        <v>104</v>
      </c>
      <c r="C65" s="468"/>
      <c r="D65" s="468"/>
      <c r="E65" s="116" t="s">
        <v>58</v>
      </c>
      <c r="F65" s="116" t="s">
        <v>56</v>
      </c>
      <c r="G65" s="167"/>
      <c r="H65" s="195"/>
      <c r="I65" s="193">
        <v>11443.4</v>
      </c>
    </row>
    <row r="66" spans="1:10" s="110" customFormat="1" ht="17.75" customHeight="1">
      <c r="A66" s="129">
        <v>50531140</v>
      </c>
      <c r="B66" s="468" t="s">
        <v>76</v>
      </c>
      <c r="C66" s="468"/>
      <c r="D66" s="468"/>
      <c r="E66" s="116" t="s">
        <v>58</v>
      </c>
      <c r="F66" s="116" t="s">
        <v>56</v>
      </c>
      <c r="G66" s="167">
        <v>781610</v>
      </c>
      <c r="H66" s="195">
        <v>1</v>
      </c>
      <c r="I66" s="193">
        <f>+ROUNDUP(G66*H66/1000,1)</f>
        <v>781.7</v>
      </c>
    </row>
    <row r="67" spans="1:10" s="110" customFormat="1" ht="17.75" customHeight="1">
      <c r="A67" s="129" t="s">
        <v>175</v>
      </c>
      <c r="B67" s="468" t="s">
        <v>76</v>
      </c>
      <c r="C67" s="468"/>
      <c r="D67" s="468"/>
      <c r="E67" s="116" t="s">
        <v>58</v>
      </c>
      <c r="F67" s="116" t="s">
        <v>56</v>
      </c>
      <c r="G67" s="167">
        <v>877000</v>
      </c>
      <c r="H67" s="195">
        <v>-1</v>
      </c>
      <c r="I67" s="193">
        <f>+ROUNDDOWN(G67*H67/1000,1)</f>
        <v>-877</v>
      </c>
    </row>
    <row r="68" spans="1:10" s="110" customFormat="1" ht="17.75" customHeight="1">
      <c r="A68" s="129" t="s">
        <v>180</v>
      </c>
      <c r="B68" s="468" t="s">
        <v>76</v>
      </c>
      <c r="C68" s="468"/>
      <c r="D68" s="468"/>
      <c r="E68" s="116" t="s">
        <v>58</v>
      </c>
      <c r="F68" s="116" t="s">
        <v>56</v>
      </c>
      <c r="G68" s="167">
        <v>1236600</v>
      </c>
      <c r="H68" s="195">
        <v>1</v>
      </c>
      <c r="I68" s="193">
        <f>+ROUNDUP(G68*H68/1000,1)</f>
        <v>1236.5999999999999</v>
      </c>
    </row>
    <row r="69" spans="1:10" s="110" customFormat="1" ht="17.75" customHeight="1">
      <c r="A69" s="129" t="s">
        <v>168</v>
      </c>
      <c r="B69" s="468" t="s">
        <v>76</v>
      </c>
      <c r="C69" s="468"/>
      <c r="D69" s="468"/>
      <c r="E69" s="116" t="s">
        <v>58</v>
      </c>
      <c r="F69" s="116" t="s">
        <v>56</v>
      </c>
      <c r="G69" s="167"/>
      <c r="H69" s="195"/>
      <c r="I69" s="193">
        <v>187</v>
      </c>
    </row>
    <row r="70" spans="1:10" s="110" customFormat="1" ht="17.75" customHeight="1">
      <c r="A70" s="129">
        <v>50531140</v>
      </c>
      <c r="B70" s="468" t="s">
        <v>76</v>
      </c>
      <c r="C70" s="468"/>
      <c r="D70" s="468"/>
      <c r="E70" s="116" t="s">
        <v>58</v>
      </c>
      <c r="F70" s="116" t="s">
        <v>56</v>
      </c>
      <c r="G70" s="167">
        <v>1130400</v>
      </c>
      <c r="H70" s="195">
        <v>1</v>
      </c>
      <c r="I70" s="193">
        <f>+ROUNDUP(G70*H70/1000,1)</f>
        <v>1130.4000000000001</v>
      </c>
    </row>
    <row r="71" spans="1:10" s="107" customFormat="1" ht="54.95" customHeight="1">
      <c r="A71" s="133" t="s">
        <v>173</v>
      </c>
      <c r="B71" s="469" t="s">
        <v>172</v>
      </c>
      <c r="C71" s="469"/>
      <c r="D71" s="469"/>
      <c r="E71" s="469"/>
      <c r="F71" s="469"/>
      <c r="G71" s="469"/>
      <c r="H71" s="469"/>
      <c r="I71" s="185">
        <f>+I72</f>
        <v>40742.1</v>
      </c>
    </row>
    <row r="72" spans="1:10" s="110" customFormat="1" ht="20.95" customHeight="1">
      <c r="A72" s="129"/>
      <c r="B72" s="343" t="s">
        <v>57</v>
      </c>
      <c r="C72" s="344"/>
      <c r="D72" s="345"/>
      <c r="E72" s="186" t="s">
        <v>103</v>
      </c>
      <c r="F72" s="186" t="s">
        <v>103</v>
      </c>
      <c r="G72" s="186" t="s">
        <v>103</v>
      </c>
      <c r="H72" s="196"/>
      <c r="I72" s="187">
        <f>SUM(I73:I74)</f>
        <v>40742.1</v>
      </c>
    </row>
    <row r="73" spans="1:10" s="110" customFormat="1" ht="17.75" customHeight="1">
      <c r="A73" s="129">
        <v>71241200</v>
      </c>
      <c r="B73" s="468" t="s">
        <v>104</v>
      </c>
      <c r="C73" s="468"/>
      <c r="D73" s="468"/>
      <c r="E73" s="116" t="s">
        <v>58</v>
      </c>
      <c r="F73" s="116" t="s">
        <v>56</v>
      </c>
      <c r="G73" s="167">
        <v>38802000</v>
      </c>
      <c r="H73" s="195">
        <v>1</v>
      </c>
      <c r="I73" s="193">
        <f>+ROUNDUP(G73*H73/1000,1)</f>
        <v>38802</v>
      </c>
    </row>
    <row r="74" spans="1:10" s="110" customFormat="1" ht="17.75" customHeight="1">
      <c r="A74" s="129">
        <v>50531140</v>
      </c>
      <c r="B74" s="468" t="s">
        <v>76</v>
      </c>
      <c r="C74" s="468"/>
      <c r="D74" s="468"/>
      <c r="E74" s="116" t="s">
        <v>58</v>
      </c>
      <c r="F74" s="116" t="s">
        <v>56</v>
      </c>
      <c r="G74" s="167">
        <v>1940100</v>
      </c>
      <c r="H74" s="195">
        <v>1</v>
      </c>
      <c r="I74" s="193">
        <f>+ROUNDUP(G74*H74/1000,1)</f>
        <v>1940.1</v>
      </c>
    </row>
    <row r="75" spans="1:10" s="107" customFormat="1" ht="54.95" customHeight="1">
      <c r="A75" s="133" t="s">
        <v>192</v>
      </c>
      <c r="B75" s="469" t="s">
        <v>193</v>
      </c>
      <c r="C75" s="469"/>
      <c r="D75" s="469"/>
      <c r="E75" s="469"/>
      <c r="F75" s="469"/>
      <c r="G75" s="469"/>
      <c r="H75" s="469"/>
      <c r="I75" s="185">
        <f>+I76</f>
        <v>15412</v>
      </c>
      <c r="J75" s="233"/>
    </row>
    <row r="76" spans="1:10" s="26" customFormat="1" ht="20.95" customHeight="1">
      <c r="A76" s="234"/>
      <c r="B76" s="343" t="s">
        <v>102</v>
      </c>
      <c r="C76" s="344"/>
      <c r="D76" s="345"/>
      <c r="E76" s="186"/>
      <c r="F76" s="186"/>
      <c r="G76" s="186"/>
      <c r="H76" s="235"/>
      <c r="I76" s="187">
        <f>SUM(I77:I77)</f>
        <v>15412</v>
      </c>
    </row>
    <row r="77" spans="1:10" s="194" customFormat="1" ht="18" customHeight="1">
      <c r="A77" s="188" t="s">
        <v>161</v>
      </c>
      <c r="B77" s="340" t="s">
        <v>162</v>
      </c>
      <c r="C77" s="340"/>
      <c r="D77" s="340"/>
      <c r="E77" s="189" t="s">
        <v>137</v>
      </c>
      <c r="F77" s="190" t="s">
        <v>97</v>
      </c>
      <c r="G77" s="191"/>
      <c r="H77" s="192"/>
      <c r="I77" s="193">
        <v>15412</v>
      </c>
    </row>
  </sheetData>
  <mergeCells count="76">
    <mergeCell ref="B50:D50"/>
    <mergeCell ref="B48:D48"/>
    <mergeCell ref="B49:D49"/>
    <mergeCell ref="B62:D62"/>
    <mergeCell ref="B68:D68"/>
    <mergeCell ref="B55:D55"/>
    <mergeCell ref="B67:D67"/>
    <mergeCell ref="B60:D60"/>
    <mergeCell ref="B52:H52"/>
    <mergeCell ref="B53:D53"/>
    <mergeCell ref="B54:D54"/>
    <mergeCell ref="B19:D19"/>
    <mergeCell ref="B20:D20"/>
    <mergeCell ref="B31:D31"/>
    <mergeCell ref="B32:D32"/>
    <mergeCell ref="B33:D33"/>
    <mergeCell ref="B12:D12"/>
    <mergeCell ref="A13:H13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75:H75"/>
    <mergeCell ref="B76:D76"/>
    <mergeCell ref="B56:D56"/>
    <mergeCell ref="D51:H51"/>
    <mergeCell ref="B66:D66"/>
    <mergeCell ref="B70:D70"/>
    <mergeCell ref="B64:D64"/>
    <mergeCell ref="B65:D65"/>
    <mergeCell ref="B69:D69"/>
    <mergeCell ref="B58:D58"/>
    <mergeCell ref="B59:D59"/>
    <mergeCell ref="B57:D57"/>
    <mergeCell ref="D27:H27"/>
    <mergeCell ref="B28:H28"/>
    <mergeCell ref="B30:D30"/>
    <mergeCell ref="B29:D29"/>
    <mergeCell ref="D44:H44"/>
    <mergeCell ref="B35:D35"/>
    <mergeCell ref="B34:D34"/>
    <mergeCell ref="B36:D36"/>
    <mergeCell ref="B37:D37"/>
    <mergeCell ref="B38:D38"/>
    <mergeCell ref="B39:D39"/>
    <mergeCell ref="B40:D40"/>
    <mergeCell ref="B41:D41"/>
    <mergeCell ref="B42:D42"/>
    <mergeCell ref="B43:D43"/>
    <mergeCell ref="D14:H14"/>
    <mergeCell ref="B15:H15"/>
    <mergeCell ref="B16:D16"/>
    <mergeCell ref="B17:D17"/>
    <mergeCell ref="B18:D18"/>
    <mergeCell ref="B77:D77"/>
    <mergeCell ref="B21:H21"/>
    <mergeCell ref="B22:D22"/>
    <mergeCell ref="B23:D23"/>
    <mergeCell ref="B24:D24"/>
    <mergeCell ref="B25:D25"/>
    <mergeCell ref="B26:D26"/>
    <mergeCell ref="B45:H45"/>
    <mergeCell ref="B46:D46"/>
    <mergeCell ref="B47:D47"/>
    <mergeCell ref="B61:D61"/>
    <mergeCell ref="B74:D74"/>
    <mergeCell ref="B63:D63"/>
    <mergeCell ref="B71:H71"/>
    <mergeCell ref="B72:D72"/>
    <mergeCell ref="B73:D7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55"/>
  <sheetViews>
    <sheetView topLeftCell="A7" zoomScale="70" zoomScaleNormal="70" zoomScaleSheetLayoutView="100" workbookViewId="0">
      <selection activeCell="F27" sqref="F27"/>
    </sheetView>
  </sheetViews>
  <sheetFormatPr defaultColWidth="9.09765625" defaultRowHeight="17.75"/>
  <cols>
    <col min="1" max="3" width="8.8984375" style="3" customWidth="1"/>
    <col min="4" max="4" width="10.296875" style="3" customWidth="1"/>
    <col min="5" max="5" width="14.59765625" style="3" customWidth="1"/>
    <col min="6" max="6" width="62.09765625" style="3" customWidth="1"/>
    <col min="7" max="10" width="19" style="3" customWidth="1"/>
    <col min="11" max="11" width="49.8984375" style="3" customWidth="1"/>
    <col min="12" max="12" width="14.296875" style="3" customWidth="1"/>
    <col min="13" max="16384" width="9.09765625" style="3"/>
  </cols>
  <sheetData>
    <row r="1" spans="1:10" ht="38.15" customHeight="1">
      <c r="F1" s="409" t="s">
        <v>304</v>
      </c>
      <c r="G1" s="409"/>
      <c r="H1" s="409"/>
      <c r="I1" s="409"/>
      <c r="J1" s="409"/>
    </row>
    <row r="2" spans="1:10" ht="17.600000000000001" customHeight="1">
      <c r="G2" s="27"/>
      <c r="H2" s="27"/>
      <c r="I2" s="27"/>
      <c r="J2" s="27" t="s">
        <v>132</v>
      </c>
    </row>
    <row r="3" spans="1:10" ht="17.600000000000001" customHeight="1">
      <c r="G3" s="27"/>
      <c r="H3" s="27"/>
      <c r="I3" s="27"/>
      <c r="J3" s="27" t="s">
        <v>0</v>
      </c>
    </row>
    <row r="6" spans="1:10" ht="52.55" customHeight="1">
      <c r="A6" s="365" t="s">
        <v>295</v>
      </c>
      <c r="B6" s="365"/>
      <c r="C6" s="365"/>
      <c r="D6" s="365"/>
      <c r="E6" s="365"/>
      <c r="F6" s="365"/>
      <c r="G6" s="365"/>
      <c r="H6" s="365"/>
      <c r="I6" s="365"/>
      <c r="J6" s="365"/>
    </row>
    <row r="8" spans="1:10">
      <c r="G8" s="289"/>
      <c r="H8" s="289"/>
      <c r="I8" s="289"/>
      <c r="J8" s="289"/>
    </row>
    <row r="9" spans="1:10" s="10" customFormat="1" ht="45.55" customHeight="1">
      <c r="A9" s="494" t="s">
        <v>10</v>
      </c>
      <c r="B9" s="494"/>
      <c r="C9" s="494"/>
      <c r="D9" s="494" t="s">
        <v>1</v>
      </c>
      <c r="E9" s="494"/>
      <c r="F9" s="494" t="s">
        <v>5</v>
      </c>
      <c r="G9" s="343" t="s">
        <v>296</v>
      </c>
      <c r="H9" s="344"/>
      <c r="I9" s="344"/>
      <c r="J9" s="345"/>
    </row>
    <row r="10" spans="1:10" s="10" customFormat="1" ht="45" customHeight="1">
      <c r="A10" s="116" t="s">
        <v>297</v>
      </c>
      <c r="B10" s="116" t="s">
        <v>298</v>
      </c>
      <c r="C10" s="116" t="s">
        <v>11</v>
      </c>
      <c r="D10" s="116" t="s">
        <v>4</v>
      </c>
      <c r="E10" s="116" t="s">
        <v>121</v>
      </c>
      <c r="F10" s="494"/>
      <c r="G10" s="116" t="s">
        <v>3</v>
      </c>
      <c r="H10" s="116" t="s">
        <v>3</v>
      </c>
      <c r="I10" s="116" t="s">
        <v>3</v>
      </c>
      <c r="J10" s="116" t="s">
        <v>3</v>
      </c>
    </row>
    <row r="11" spans="1:10" s="10" customFormat="1" ht="22.7" customHeight="1">
      <c r="A11" s="117"/>
      <c r="B11" s="117"/>
      <c r="C11" s="117"/>
      <c r="D11" s="116"/>
      <c r="E11" s="116"/>
      <c r="F11" s="120" t="s">
        <v>8</v>
      </c>
      <c r="G11" s="119">
        <f>+G13+G33</f>
        <v>0</v>
      </c>
      <c r="H11" s="119">
        <f>+H13+H33</f>
        <v>0</v>
      </c>
      <c r="I11" s="119">
        <f>+I13+I33</f>
        <v>0</v>
      </c>
      <c r="J11" s="119">
        <f>+J13+J33</f>
        <v>0</v>
      </c>
    </row>
    <row r="12" spans="1:10" s="10" customFormat="1" ht="22.7" customHeight="1">
      <c r="A12" s="117"/>
      <c r="B12" s="117"/>
      <c r="C12" s="117"/>
      <c r="D12" s="116"/>
      <c r="E12" s="116"/>
      <c r="F12" s="117" t="s">
        <v>122</v>
      </c>
      <c r="G12" s="119"/>
      <c r="H12" s="119"/>
      <c r="I12" s="119"/>
      <c r="J12" s="119"/>
    </row>
    <row r="13" spans="1:10" s="110" customFormat="1" ht="27" customHeight="1">
      <c r="A13" s="129"/>
      <c r="B13" s="129"/>
      <c r="C13" s="129"/>
      <c r="D13" s="116"/>
      <c r="E13" s="116"/>
      <c r="F13" s="120" t="s">
        <v>251</v>
      </c>
      <c r="G13" s="119">
        <f t="shared" ref="G13:J13" si="0">+G14</f>
        <v>-32000</v>
      </c>
      <c r="H13" s="119">
        <f t="shared" si="0"/>
        <v>-102000</v>
      </c>
      <c r="I13" s="119">
        <f t="shared" si="0"/>
        <v>-102000</v>
      </c>
      <c r="J13" s="119">
        <f t="shared" si="0"/>
        <v>-186898.5</v>
      </c>
    </row>
    <row r="14" spans="1:10" ht="33.35">
      <c r="A14" s="492" t="s">
        <v>299</v>
      </c>
      <c r="B14" s="492"/>
      <c r="C14" s="492"/>
      <c r="D14" s="492"/>
      <c r="E14" s="492"/>
      <c r="F14" s="122" t="s">
        <v>230</v>
      </c>
      <c r="G14" s="119">
        <f t="shared" ref="G14:J14" si="1">+G16</f>
        <v>-32000</v>
      </c>
      <c r="H14" s="119">
        <f t="shared" si="1"/>
        <v>-102000</v>
      </c>
      <c r="I14" s="119">
        <f t="shared" si="1"/>
        <v>-102000</v>
      </c>
      <c r="J14" s="119">
        <f t="shared" si="1"/>
        <v>-186898.5</v>
      </c>
    </row>
    <row r="15" spans="1:10">
      <c r="A15" s="492"/>
      <c r="B15" s="492"/>
      <c r="C15" s="492"/>
      <c r="D15" s="492"/>
      <c r="E15" s="492"/>
      <c r="F15" s="117" t="s">
        <v>6</v>
      </c>
      <c r="G15" s="291"/>
      <c r="H15" s="291"/>
      <c r="I15" s="291"/>
      <c r="J15" s="291"/>
    </row>
    <row r="16" spans="1:10" ht="33.35">
      <c r="A16" s="492"/>
      <c r="B16" s="492" t="s">
        <v>300</v>
      </c>
      <c r="C16" s="492"/>
      <c r="D16" s="492"/>
      <c r="E16" s="492"/>
      <c r="F16" s="122" t="s">
        <v>231</v>
      </c>
      <c r="G16" s="119">
        <f t="shared" ref="G16:J16" si="2">+G18</f>
        <v>-32000</v>
      </c>
      <c r="H16" s="119">
        <f t="shared" si="2"/>
        <v>-102000</v>
      </c>
      <c r="I16" s="119">
        <f t="shared" si="2"/>
        <v>-102000</v>
      </c>
      <c r="J16" s="119">
        <f t="shared" si="2"/>
        <v>-186898.5</v>
      </c>
    </row>
    <row r="17" spans="1:10">
      <c r="A17" s="492"/>
      <c r="B17" s="492"/>
      <c r="C17" s="492"/>
      <c r="D17" s="492"/>
      <c r="E17" s="492"/>
      <c r="F17" s="117" t="s">
        <v>6</v>
      </c>
      <c r="G17" s="291"/>
      <c r="H17" s="291"/>
      <c r="I17" s="291"/>
      <c r="J17" s="291"/>
    </row>
    <row r="18" spans="1:10">
      <c r="A18" s="492"/>
      <c r="B18" s="492"/>
      <c r="C18" s="492" t="s">
        <v>300</v>
      </c>
      <c r="D18" s="492"/>
      <c r="E18" s="492"/>
      <c r="F18" s="120" t="s">
        <v>232</v>
      </c>
      <c r="G18" s="292">
        <f t="shared" ref="G18:J18" si="3">+G20</f>
        <v>-32000</v>
      </c>
      <c r="H18" s="292">
        <f t="shared" si="3"/>
        <v>-102000</v>
      </c>
      <c r="I18" s="292">
        <f t="shared" si="3"/>
        <v>-102000</v>
      </c>
      <c r="J18" s="292">
        <f t="shared" si="3"/>
        <v>-186898.5</v>
      </c>
    </row>
    <row r="19" spans="1:10" ht="18" customHeight="1">
      <c r="A19" s="492"/>
      <c r="B19" s="492"/>
      <c r="C19" s="492"/>
      <c r="D19" s="492"/>
      <c r="E19" s="492"/>
      <c r="F19" s="117" t="s">
        <v>6</v>
      </c>
      <c r="G19" s="293"/>
      <c r="H19" s="293"/>
      <c r="I19" s="293"/>
      <c r="J19" s="293"/>
    </row>
    <row r="20" spans="1:10">
      <c r="A20" s="492"/>
      <c r="B20" s="492"/>
      <c r="C20" s="492"/>
      <c r="D20" s="492"/>
      <c r="E20" s="492"/>
      <c r="F20" s="117" t="s">
        <v>301</v>
      </c>
      <c r="G20" s="292">
        <f t="shared" ref="G20:J20" si="4">+G22</f>
        <v>-32000</v>
      </c>
      <c r="H20" s="292">
        <f t="shared" si="4"/>
        <v>-102000</v>
      </c>
      <c r="I20" s="292">
        <f t="shared" si="4"/>
        <v>-102000</v>
      </c>
      <c r="J20" s="292">
        <f t="shared" si="4"/>
        <v>-186898.5</v>
      </c>
    </row>
    <row r="21" spans="1:10">
      <c r="A21" s="492"/>
      <c r="B21" s="492"/>
      <c r="C21" s="492"/>
      <c r="D21" s="492"/>
      <c r="E21" s="492"/>
      <c r="F21" s="117" t="s">
        <v>6</v>
      </c>
      <c r="G21" s="294"/>
      <c r="H21" s="294"/>
      <c r="I21" s="294"/>
      <c r="J21" s="294"/>
    </row>
    <row r="22" spans="1:10" s="26" customFormat="1" ht="22.7" customHeight="1">
      <c r="A22" s="492"/>
      <c r="B22" s="492"/>
      <c r="C22" s="492"/>
      <c r="D22" s="290" t="s">
        <v>302</v>
      </c>
      <c r="E22" s="434" t="s">
        <v>252</v>
      </c>
      <c r="F22" s="434" t="s">
        <v>232</v>
      </c>
      <c r="G22" s="292">
        <f t="shared" ref="G22:J22" si="5">+G24</f>
        <v>-32000</v>
      </c>
      <c r="H22" s="292">
        <f t="shared" si="5"/>
        <v>-102000</v>
      </c>
      <c r="I22" s="292">
        <f t="shared" si="5"/>
        <v>-102000</v>
      </c>
      <c r="J22" s="292">
        <f t="shared" si="5"/>
        <v>-186898.5</v>
      </c>
    </row>
    <row r="23" spans="1:10" ht="17.75" customHeight="1">
      <c r="A23" s="492"/>
      <c r="B23" s="492"/>
      <c r="C23" s="492"/>
      <c r="D23" s="495"/>
      <c r="E23" s="295"/>
      <c r="F23" s="117" t="s">
        <v>6</v>
      </c>
      <c r="G23" s="167"/>
      <c r="H23" s="167"/>
      <c r="I23" s="167"/>
      <c r="J23" s="167"/>
    </row>
    <row r="24" spans="1:10" ht="20.149999999999999" customHeight="1">
      <c r="A24" s="492"/>
      <c r="B24" s="492"/>
      <c r="C24" s="492"/>
      <c r="D24" s="496"/>
      <c r="E24" s="279" t="s">
        <v>303</v>
      </c>
      <c r="F24" s="120" t="s">
        <v>232</v>
      </c>
      <c r="G24" s="296">
        <f t="shared" ref="G24:J24" si="6">+G26</f>
        <v>-32000</v>
      </c>
      <c r="H24" s="296">
        <f t="shared" si="6"/>
        <v>-102000</v>
      </c>
      <c r="I24" s="296">
        <f t="shared" si="6"/>
        <v>-102000</v>
      </c>
      <c r="J24" s="296">
        <f t="shared" si="6"/>
        <v>-186898.5</v>
      </c>
    </row>
    <row r="25" spans="1:10" ht="17.75" customHeight="1">
      <c r="A25" s="492"/>
      <c r="B25" s="492"/>
      <c r="C25" s="492"/>
      <c r="D25" s="496"/>
      <c r="E25" s="493"/>
      <c r="F25" s="117" t="s">
        <v>16</v>
      </c>
      <c r="G25" s="297"/>
      <c r="H25" s="297"/>
      <c r="I25" s="297"/>
      <c r="J25" s="297"/>
    </row>
    <row r="26" spans="1:10">
      <c r="A26" s="492"/>
      <c r="B26" s="492"/>
      <c r="C26" s="492"/>
      <c r="D26" s="496"/>
      <c r="E26" s="493"/>
      <c r="F26" s="121" t="s">
        <v>301</v>
      </c>
      <c r="G26" s="298">
        <f t="shared" ref="G26:J26" si="7">+G28</f>
        <v>-32000</v>
      </c>
      <c r="H26" s="298">
        <f t="shared" si="7"/>
        <v>-102000</v>
      </c>
      <c r="I26" s="298">
        <f t="shared" si="7"/>
        <v>-102000</v>
      </c>
      <c r="J26" s="298">
        <f t="shared" si="7"/>
        <v>-186898.5</v>
      </c>
    </row>
    <row r="27" spans="1:10" ht="53.2">
      <c r="A27" s="492"/>
      <c r="B27" s="492"/>
      <c r="C27" s="492"/>
      <c r="D27" s="496"/>
      <c r="E27" s="493"/>
      <c r="F27" s="117" t="s">
        <v>13</v>
      </c>
      <c r="G27" s="297"/>
      <c r="H27" s="297"/>
      <c r="I27" s="297"/>
      <c r="J27" s="297"/>
    </row>
    <row r="28" spans="1:10" ht="17.75" customHeight="1">
      <c r="A28" s="492"/>
      <c r="B28" s="492"/>
      <c r="C28" s="492"/>
      <c r="D28" s="496"/>
      <c r="E28" s="493"/>
      <c r="F28" s="116" t="s">
        <v>7</v>
      </c>
      <c r="G28" s="167">
        <f t="shared" ref="G28:J30" si="8">+G29</f>
        <v>-32000</v>
      </c>
      <c r="H28" s="167">
        <f t="shared" si="8"/>
        <v>-102000</v>
      </c>
      <c r="I28" s="167">
        <f t="shared" si="8"/>
        <v>-102000</v>
      </c>
      <c r="J28" s="167">
        <f t="shared" si="8"/>
        <v>-186898.5</v>
      </c>
    </row>
    <row r="29" spans="1:10" ht="17.75" customHeight="1">
      <c r="A29" s="492"/>
      <c r="B29" s="492"/>
      <c r="C29" s="492"/>
      <c r="D29" s="496"/>
      <c r="E29" s="493"/>
      <c r="F29" s="272" t="s">
        <v>88</v>
      </c>
      <c r="G29" s="297">
        <f t="shared" si="8"/>
        <v>-32000</v>
      </c>
      <c r="H29" s="297">
        <f t="shared" si="8"/>
        <v>-102000</v>
      </c>
      <c r="I29" s="297">
        <f t="shared" si="8"/>
        <v>-102000</v>
      </c>
      <c r="J29" s="297">
        <f t="shared" si="8"/>
        <v>-186898.5</v>
      </c>
    </row>
    <row r="30" spans="1:10" ht="17.75" customHeight="1">
      <c r="A30" s="492"/>
      <c r="B30" s="492"/>
      <c r="C30" s="492"/>
      <c r="D30" s="496"/>
      <c r="E30" s="493"/>
      <c r="F30" s="272" t="s">
        <v>219</v>
      </c>
      <c r="G30" s="297">
        <f t="shared" si="8"/>
        <v>-32000</v>
      </c>
      <c r="H30" s="297">
        <f t="shared" si="8"/>
        <v>-102000</v>
      </c>
      <c r="I30" s="297">
        <f t="shared" si="8"/>
        <v>-102000</v>
      </c>
      <c r="J30" s="297">
        <f t="shared" si="8"/>
        <v>-186898.5</v>
      </c>
    </row>
    <row r="31" spans="1:10" ht="17.75" customHeight="1">
      <c r="A31" s="492"/>
      <c r="B31" s="492"/>
      <c r="C31" s="492"/>
      <c r="D31" s="497"/>
      <c r="E31" s="493"/>
      <c r="F31" s="272" t="s">
        <v>233</v>
      </c>
      <c r="G31" s="297">
        <f>+'Հավելված N 2'!G203</f>
        <v>-32000</v>
      </c>
      <c r="H31" s="297">
        <f>+'Հավելված N 2'!H203</f>
        <v>-102000</v>
      </c>
      <c r="I31" s="297">
        <f>+'Հավելված N 2'!I203</f>
        <v>-102000</v>
      </c>
      <c r="J31" s="297">
        <f>+'Հավելված N 2'!J203</f>
        <v>-186898.5</v>
      </c>
    </row>
    <row r="32" spans="1:10" ht="9.4" customHeight="1">
      <c r="A32" s="299"/>
      <c r="B32" s="300"/>
      <c r="C32" s="125"/>
      <c r="D32" s="117"/>
      <c r="E32" s="117"/>
    </row>
    <row r="33" spans="1:10" s="110" customFormat="1" ht="33.35">
      <c r="A33" s="306"/>
      <c r="B33" s="129"/>
      <c r="C33" s="129"/>
      <c r="D33" s="129"/>
      <c r="E33" s="129"/>
      <c r="F33" s="120" t="s">
        <v>17</v>
      </c>
      <c r="G33" s="119">
        <f>+G34</f>
        <v>32000</v>
      </c>
      <c r="H33" s="119">
        <f t="shared" ref="H33:J33" si="9">+H34</f>
        <v>102000</v>
      </c>
      <c r="I33" s="119">
        <f t="shared" si="9"/>
        <v>102000</v>
      </c>
      <c r="J33" s="119">
        <f t="shared" si="9"/>
        <v>186898.5</v>
      </c>
    </row>
    <row r="34" spans="1:10" s="10" customFormat="1" ht="17.600000000000001" customHeight="1">
      <c r="A34" s="351" t="s">
        <v>23</v>
      </c>
      <c r="B34" s="490"/>
      <c r="C34" s="377"/>
      <c r="D34" s="348"/>
      <c r="E34" s="63"/>
      <c r="F34" s="120" t="s">
        <v>24</v>
      </c>
      <c r="G34" s="119">
        <f t="shared" ref="G34:I34" si="10">+G36</f>
        <v>32000</v>
      </c>
      <c r="H34" s="119">
        <f t="shared" si="10"/>
        <v>102000</v>
      </c>
      <c r="I34" s="119">
        <f t="shared" si="10"/>
        <v>102000</v>
      </c>
      <c r="J34" s="119">
        <f>+J36</f>
        <v>186898.5</v>
      </c>
    </row>
    <row r="35" spans="1:10" s="10" customFormat="1" ht="16.399999999999999" customHeight="1">
      <c r="A35" s="351"/>
      <c r="B35" s="491"/>
      <c r="C35" s="379"/>
      <c r="D35" s="349"/>
      <c r="E35" s="64"/>
      <c r="F35" s="117" t="s">
        <v>6</v>
      </c>
      <c r="G35" s="130"/>
      <c r="H35" s="130"/>
      <c r="I35" s="130"/>
      <c r="J35" s="130"/>
    </row>
    <row r="36" spans="1:10" s="10" customFormat="1" ht="19.25" customHeight="1">
      <c r="A36" s="351"/>
      <c r="B36" s="351" t="s">
        <v>83</v>
      </c>
      <c r="C36" s="305"/>
      <c r="D36" s="349"/>
      <c r="E36" s="64"/>
      <c r="F36" s="18" t="s">
        <v>85</v>
      </c>
      <c r="G36" s="131">
        <f t="shared" ref="G36:J36" si="11">+G38</f>
        <v>32000</v>
      </c>
      <c r="H36" s="131">
        <f t="shared" si="11"/>
        <v>102000</v>
      </c>
      <c r="I36" s="131">
        <f t="shared" si="11"/>
        <v>102000</v>
      </c>
      <c r="J36" s="131">
        <f t="shared" si="11"/>
        <v>186898.5</v>
      </c>
    </row>
    <row r="37" spans="1:10" s="10" customFormat="1" ht="16.8" customHeight="1">
      <c r="A37" s="351"/>
      <c r="B37" s="351"/>
      <c r="C37" s="305"/>
      <c r="D37" s="349"/>
      <c r="E37" s="64"/>
      <c r="F37" s="19" t="s">
        <v>6</v>
      </c>
      <c r="G37" s="130"/>
      <c r="H37" s="130"/>
      <c r="I37" s="130"/>
      <c r="J37" s="130"/>
    </row>
    <row r="38" spans="1:10" s="10" customFormat="1" ht="19.25" customHeight="1">
      <c r="A38" s="351"/>
      <c r="B38" s="351"/>
      <c r="C38" s="351" t="s">
        <v>83</v>
      </c>
      <c r="D38" s="440"/>
      <c r="E38" s="64"/>
      <c r="F38" s="18" t="s">
        <v>186</v>
      </c>
      <c r="G38" s="131">
        <f t="shared" ref="G38:J38" si="12">+G40</f>
        <v>32000</v>
      </c>
      <c r="H38" s="131">
        <f t="shared" si="12"/>
        <v>102000</v>
      </c>
      <c r="I38" s="131">
        <f t="shared" si="12"/>
        <v>102000</v>
      </c>
      <c r="J38" s="131">
        <f t="shared" si="12"/>
        <v>186898.5</v>
      </c>
    </row>
    <row r="39" spans="1:10" s="10" customFormat="1" ht="16.8" customHeight="1">
      <c r="A39" s="351"/>
      <c r="B39" s="351"/>
      <c r="C39" s="351"/>
      <c r="D39" s="440"/>
      <c r="E39" s="64"/>
      <c r="F39" s="117" t="s">
        <v>6</v>
      </c>
      <c r="G39" s="132"/>
      <c r="H39" s="132"/>
      <c r="I39" s="132"/>
      <c r="J39" s="132"/>
    </row>
    <row r="40" spans="1:10" s="10" customFormat="1" ht="35.5">
      <c r="A40" s="351"/>
      <c r="B40" s="351"/>
      <c r="C40" s="351"/>
      <c r="D40" s="440"/>
      <c r="E40" s="64"/>
      <c r="F40" s="129" t="s">
        <v>12</v>
      </c>
      <c r="G40" s="132">
        <f t="shared" ref="G40:J40" si="13">+G42</f>
        <v>32000</v>
      </c>
      <c r="H40" s="132">
        <f t="shared" si="13"/>
        <v>102000</v>
      </c>
      <c r="I40" s="132">
        <f t="shared" si="13"/>
        <v>102000</v>
      </c>
      <c r="J40" s="132">
        <f t="shared" si="13"/>
        <v>186898.5</v>
      </c>
    </row>
    <row r="41" spans="1:10" s="10" customFormat="1" ht="16.8" customHeight="1">
      <c r="A41" s="351"/>
      <c r="B41" s="351"/>
      <c r="C41" s="351"/>
      <c r="D41" s="441"/>
      <c r="E41" s="64"/>
      <c r="F41" s="301" t="s">
        <v>6</v>
      </c>
      <c r="G41" s="132"/>
      <c r="H41" s="132"/>
      <c r="I41" s="132"/>
      <c r="J41" s="132"/>
    </row>
    <row r="42" spans="1:10" s="10" customFormat="1" ht="18" customHeight="1">
      <c r="A42" s="351"/>
      <c r="B42" s="351"/>
      <c r="C42" s="351"/>
      <c r="D42" s="303">
        <v>1075</v>
      </c>
      <c r="E42" s="356" t="s">
        <v>120</v>
      </c>
      <c r="F42" s="356"/>
      <c r="G42" s="119">
        <f t="shared" ref="G42:J42" si="14">+G44</f>
        <v>32000</v>
      </c>
      <c r="H42" s="119">
        <f t="shared" si="14"/>
        <v>102000</v>
      </c>
      <c r="I42" s="119">
        <f t="shared" si="14"/>
        <v>102000</v>
      </c>
      <c r="J42" s="119">
        <f t="shared" si="14"/>
        <v>186898.5</v>
      </c>
    </row>
    <row r="43" spans="1:10" s="10" customFormat="1" ht="16.8" customHeight="1">
      <c r="A43" s="351"/>
      <c r="B43" s="351"/>
      <c r="C43" s="351"/>
      <c r="D43" s="304"/>
      <c r="E43" s="149"/>
      <c r="F43" s="117" t="s">
        <v>6</v>
      </c>
      <c r="G43" s="132"/>
      <c r="H43" s="132"/>
      <c r="I43" s="132"/>
      <c r="J43" s="132"/>
    </row>
    <row r="44" spans="1:10" s="10" customFormat="1">
      <c r="A44" s="351"/>
      <c r="B44" s="351"/>
      <c r="C44" s="351"/>
      <c r="D44" s="304"/>
      <c r="E44" s="148">
        <v>32012</v>
      </c>
      <c r="F44" s="23" t="s">
        <v>196</v>
      </c>
      <c r="G44" s="12">
        <f>+G46</f>
        <v>32000</v>
      </c>
      <c r="H44" s="12">
        <f>+H46</f>
        <v>102000</v>
      </c>
      <c r="I44" s="12">
        <f>+I46</f>
        <v>102000</v>
      </c>
      <c r="J44" s="12">
        <f>+J46</f>
        <v>186898.5</v>
      </c>
    </row>
    <row r="45" spans="1:10" s="10" customFormat="1" ht="16.8" customHeight="1">
      <c r="A45" s="351"/>
      <c r="B45" s="351"/>
      <c r="C45" s="351"/>
      <c r="D45" s="352"/>
      <c r="E45" s="357"/>
      <c r="F45" s="272" t="s">
        <v>16</v>
      </c>
      <c r="G45" s="6"/>
      <c r="H45" s="5"/>
      <c r="I45" s="6"/>
      <c r="J45" s="5"/>
    </row>
    <row r="46" spans="1:10" s="13" customFormat="1" ht="35.5">
      <c r="A46" s="351"/>
      <c r="B46" s="351"/>
      <c r="C46" s="351"/>
      <c r="D46" s="352"/>
      <c r="E46" s="357"/>
      <c r="F46" s="302" t="s">
        <v>12</v>
      </c>
      <c r="G46" s="91">
        <f>+G48</f>
        <v>32000</v>
      </c>
      <c r="H46" s="91">
        <f>+H48</f>
        <v>102000</v>
      </c>
      <c r="I46" s="91">
        <f>+I48</f>
        <v>102000</v>
      </c>
      <c r="J46" s="91">
        <f>+J48</f>
        <v>186898.5</v>
      </c>
    </row>
    <row r="47" spans="1:10" s="10" customFormat="1" ht="53.2">
      <c r="A47" s="351"/>
      <c r="B47" s="351"/>
      <c r="C47" s="351"/>
      <c r="D47" s="352"/>
      <c r="E47" s="357"/>
      <c r="F47" s="272" t="s">
        <v>13</v>
      </c>
      <c r="G47" s="7"/>
      <c r="H47" s="5"/>
      <c r="I47" s="92"/>
      <c r="J47" s="5"/>
    </row>
    <row r="48" spans="1:10" s="10" customFormat="1" ht="16.8" customHeight="1">
      <c r="A48" s="351"/>
      <c r="B48" s="351"/>
      <c r="C48" s="351"/>
      <c r="D48" s="352"/>
      <c r="E48" s="357"/>
      <c r="F48" s="151" t="s">
        <v>7</v>
      </c>
      <c r="G48" s="6">
        <f>+G49+G52</f>
        <v>32000</v>
      </c>
      <c r="H48" s="6">
        <f>+H49+H52</f>
        <v>102000</v>
      </c>
      <c r="I48" s="6">
        <f>+I49+I52</f>
        <v>102000</v>
      </c>
      <c r="J48" s="6">
        <f>+J49+J52</f>
        <v>186898.5</v>
      </c>
    </row>
    <row r="49" spans="1:10" s="10" customFormat="1" ht="16.8" customHeight="1">
      <c r="A49" s="351"/>
      <c r="B49" s="351"/>
      <c r="C49" s="351"/>
      <c r="D49" s="352"/>
      <c r="E49" s="357"/>
      <c r="F49" s="272" t="s">
        <v>88</v>
      </c>
      <c r="G49" s="7">
        <f>+G50</f>
        <v>32000</v>
      </c>
      <c r="H49" s="7">
        <f t="shared" ref="H49:J49" si="15">+H50</f>
        <v>102000</v>
      </c>
      <c r="I49" s="7">
        <f t="shared" si="15"/>
        <v>102000</v>
      </c>
      <c r="J49" s="7">
        <f t="shared" si="15"/>
        <v>102000</v>
      </c>
    </row>
    <row r="50" spans="1:10" s="10" customFormat="1" ht="16.8" customHeight="1">
      <c r="A50" s="351"/>
      <c r="B50" s="351"/>
      <c r="C50" s="351"/>
      <c r="D50" s="352"/>
      <c r="E50" s="357"/>
      <c r="F50" s="275" t="s">
        <v>214</v>
      </c>
      <c r="G50" s="7">
        <f t="shared" ref="G50:J50" si="16">+G51</f>
        <v>32000</v>
      </c>
      <c r="H50" s="7">
        <f t="shared" si="16"/>
        <v>102000</v>
      </c>
      <c r="I50" s="92">
        <f t="shared" si="16"/>
        <v>102000</v>
      </c>
      <c r="J50" s="7">
        <f t="shared" si="16"/>
        <v>102000</v>
      </c>
    </row>
    <row r="51" spans="1:10" s="10" customFormat="1" ht="16.8" customHeight="1">
      <c r="A51" s="351"/>
      <c r="B51" s="351"/>
      <c r="C51" s="351"/>
      <c r="D51" s="352"/>
      <c r="E51" s="357"/>
      <c r="F51" s="275" t="s">
        <v>215</v>
      </c>
      <c r="G51" s="7">
        <f>+'Հավելված N 2'!G55</f>
        <v>32000</v>
      </c>
      <c r="H51" s="7">
        <f>+'Հավելված N 2'!H55</f>
        <v>102000</v>
      </c>
      <c r="I51" s="7">
        <f>+'Հավելված N 2'!I55</f>
        <v>102000</v>
      </c>
      <c r="J51" s="7">
        <f>+'Հավելված N 2'!J55</f>
        <v>102000</v>
      </c>
    </row>
    <row r="52" spans="1:10" s="10" customFormat="1">
      <c r="A52" s="351"/>
      <c r="B52" s="351"/>
      <c r="C52" s="351"/>
      <c r="D52" s="352"/>
      <c r="E52" s="357"/>
      <c r="F52" s="272" t="s">
        <v>61</v>
      </c>
      <c r="G52" s="7">
        <f>+G53</f>
        <v>0</v>
      </c>
      <c r="H52" s="7">
        <f t="shared" ref="H52:J53" si="17">+H53</f>
        <v>0</v>
      </c>
      <c r="I52" s="92">
        <f t="shared" si="17"/>
        <v>0</v>
      </c>
      <c r="J52" s="7">
        <f t="shared" si="17"/>
        <v>84898.5</v>
      </c>
    </row>
    <row r="53" spans="1:10">
      <c r="A53" s="351"/>
      <c r="B53" s="351"/>
      <c r="C53" s="351"/>
      <c r="D53" s="352"/>
      <c r="E53" s="357"/>
      <c r="F53" s="272" t="s">
        <v>62</v>
      </c>
      <c r="G53" s="7">
        <f>+G54</f>
        <v>0</v>
      </c>
      <c r="H53" s="7">
        <f t="shared" si="17"/>
        <v>0</v>
      </c>
      <c r="I53" s="7">
        <f t="shared" si="17"/>
        <v>0</v>
      </c>
      <c r="J53" s="7">
        <f t="shared" si="17"/>
        <v>84898.5</v>
      </c>
    </row>
    <row r="54" spans="1:10">
      <c r="A54" s="351"/>
      <c r="B54" s="351"/>
      <c r="C54" s="351"/>
      <c r="D54" s="352"/>
      <c r="E54" s="357"/>
      <c r="F54" s="273" t="s">
        <v>63</v>
      </c>
      <c r="G54" s="65">
        <f>+G55</f>
        <v>0</v>
      </c>
      <c r="H54" s="65">
        <f>+H55</f>
        <v>0</v>
      </c>
      <c r="I54" s="24">
        <f>+I55</f>
        <v>0</v>
      </c>
      <c r="J54" s="65">
        <f>+J55</f>
        <v>84898.5</v>
      </c>
    </row>
    <row r="55" spans="1:10">
      <c r="A55" s="351"/>
      <c r="B55" s="351"/>
      <c r="C55" s="351"/>
      <c r="D55" s="352"/>
      <c r="E55" s="357"/>
      <c r="F55" s="273" t="s">
        <v>52</v>
      </c>
      <c r="G55" s="65">
        <f>+'Հավելված N 2'!G59</f>
        <v>0</v>
      </c>
      <c r="H55" s="65">
        <f>+'Հավելված N 2'!H59</f>
        <v>0</v>
      </c>
      <c r="I55" s="65">
        <f>+'Հավելված N 2'!I59</f>
        <v>0</v>
      </c>
      <c r="J55" s="65">
        <f>+'Հավելված N 2'!J59</f>
        <v>84898.5</v>
      </c>
    </row>
  </sheetData>
  <mergeCells count="25">
    <mergeCell ref="C18:C31"/>
    <mergeCell ref="E22:F22"/>
    <mergeCell ref="E25:E31"/>
    <mergeCell ref="F1:J1"/>
    <mergeCell ref="A6:J6"/>
    <mergeCell ref="A9:C9"/>
    <mergeCell ref="D9:E9"/>
    <mergeCell ref="F9:F10"/>
    <mergeCell ref="G9:J9"/>
    <mergeCell ref="D23:D31"/>
    <mergeCell ref="A14:A31"/>
    <mergeCell ref="B14:B15"/>
    <mergeCell ref="C14:C17"/>
    <mergeCell ref="D14:D21"/>
    <mergeCell ref="E14:E21"/>
    <mergeCell ref="B16:B31"/>
    <mergeCell ref="E42:F42"/>
    <mergeCell ref="A34:A55"/>
    <mergeCell ref="B36:B55"/>
    <mergeCell ref="C38:C55"/>
    <mergeCell ref="D45:D55"/>
    <mergeCell ref="E45:E55"/>
    <mergeCell ref="B34:B35"/>
    <mergeCell ref="C34:C35"/>
    <mergeCell ref="D34:D41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2024-01-29T13:27:34Z</cp:lastPrinted>
  <dcterms:created xsi:type="dcterms:W3CDTF">2022-01-04T07:12:58Z</dcterms:created>
  <dcterms:modified xsi:type="dcterms:W3CDTF">2025-03-03T12:59:33Z</dcterms:modified>
</cp:coreProperties>
</file>