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ist\ԿԳՄՍՆ ՉԲԱՇԽՎԱԾ ՄԻՋՈՑՆԵՐ\"/>
    </mc:Choice>
  </mc:AlternateContent>
  <bookViews>
    <workbookView xWindow="-110" yWindow="-110" windowWidth="23260" windowHeight="12580" activeTab="3"/>
  </bookViews>
  <sheets>
    <sheet name="Հավելված N 1" sheetId="2" r:id="rId1"/>
    <sheet name="Հավելված N 2" sheetId="1" r:id="rId2"/>
    <sheet name="Հավելված N 3" sheetId="4" r:id="rId3"/>
    <sheet name="Հավելված N 4" sheetId="3" r:id="rId4"/>
    <sheet name="Հավելված N 5" sheetId="5" r:id="rId5"/>
  </sheets>
  <definedNames>
    <definedName name="a" localSheetId="0">#REF!</definedName>
    <definedName name="a" localSheetId="3">#REF!</definedName>
    <definedName name="a" localSheetId="4">#REF!</definedName>
    <definedName name="a">#REF!</definedName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>#REF!</definedName>
    <definedName name="åû" localSheetId="0">#REF!</definedName>
    <definedName name="åû" localSheetId="3">#REF!</definedName>
    <definedName name="åû" localSheetId="4">#REF!</definedName>
    <definedName name="åû">#REF!</definedName>
    <definedName name="davit" localSheetId="0">#REF!</definedName>
    <definedName name="davit" localSheetId="3">#REF!</definedName>
    <definedName name="davit" localSheetId="4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3">#REF!</definedName>
    <definedName name="ggg" localSheetId="4">#REF!</definedName>
    <definedName name="ggg">#REF!</definedName>
    <definedName name="hav" localSheetId="0">#REF!</definedName>
    <definedName name="hav" localSheetId="3">#REF!</definedName>
    <definedName name="hav" localSheetId="4">#REF!</definedName>
    <definedName name="hav">#REF!</definedName>
    <definedName name="mas" localSheetId="0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3">#REF!</definedName>
    <definedName name="mass" localSheetId="4">#REF!</definedName>
    <definedName name="mass">#REF!</definedName>
    <definedName name="PANature" localSheetId="0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>#REF!</definedName>
    <definedName name="x" localSheetId="0">#REF!</definedName>
    <definedName name="x" localSheetId="3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Հավելված10" localSheetId="0">#REF!</definedName>
    <definedName name="Հավելված10" localSheetId="3">#REF!</definedName>
    <definedName name="Հավելված10" localSheetId="4">#REF!</definedName>
    <definedName name="Հավելված10">#REF!</definedName>
    <definedName name="Հավելված11" localSheetId="0">#REF!</definedName>
    <definedName name="Հավելված11" localSheetId="3">#REF!</definedName>
    <definedName name="Հավելված11" localSheetId="4">#REF!</definedName>
    <definedName name="Հավելված11">#REF!</definedName>
    <definedName name="Հավելված20" localSheetId="0">#REF!</definedName>
    <definedName name="Հավելված20" localSheetId="3">#REF!</definedName>
    <definedName name="Հավելված20" localSheetId="4">#REF!</definedName>
    <definedName name="Հավելված20">#REF!</definedName>
    <definedName name="Հավելված9" localSheetId="0">#REF!</definedName>
    <definedName name="Հավելված9" localSheetId="3">#REF!</definedName>
    <definedName name="Հավելված9" localSheetId="4">#REF!</definedName>
    <definedName name="Հավելված9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 localSheetId="0">#REF!</definedName>
    <definedName name="վֆյգյգ" localSheetId="3">#REF!</definedName>
    <definedName name="վֆյգյգ" localSheetId="4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5" l="1"/>
  <c r="G43" i="5"/>
  <c r="G54" i="5"/>
  <c r="G53" i="5" s="1"/>
  <c r="G52" i="5" s="1"/>
  <c r="G51" i="5" s="1"/>
  <c r="G49" i="5" s="1"/>
  <c r="G47" i="5" s="1"/>
  <c r="G45" i="5" s="1"/>
  <c r="G41" i="5" l="1"/>
  <c r="G39" i="5" s="1"/>
  <c r="G33" i="5"/>
  <c r="G32" i="5" s="1"/>
  <c r="G31" i="5" s="1"/>
  <c r="G29" i="5" s="1"/>
  <c r="G27" i="5" s="1"/>
  <c r="G25" i="5" s="1"/>
  <c r="G23" i="5" s="1"/>
  <c r="G21" i="5" s="1"/>
  <c r="G19" i="5" s="1"/>
  <c r="G17" i="5" s="1"/>
  <c r="G16" i="5" s="1"/>
  <c r="G36" i="5" l="1"/>
  <c r="G14" i="5" s="1"/>
  <c r="I111" i="3" l="1"/>
  <c r="I110" i="3"/>
  <c r="F85" i="2" l="1"/>
  <c r="E216" i="1" l="1"/>
  <c r="D237" i="1"/>
  <c r="D235" i="1"/>
  <c r="D234" i="1"/>
  <c r="D233" i="1"/>
  <c r="G202" i="2"/>
  <c r="H202" i="2"/>
  <c r="E202" i="2"/>
  <c r="G189" i="2"/>
  <c r="H189" i="2"/>
  <c r="E189" i="2"/>
  <c r="E76" i="1"/>
  <c r="E17" i="2"/>
  <c r="I371" i="3"/>
  <c r="F210" i="2" s="1"/>
  <c r="D210" i="2" s="1"/>
  <c r="E237" i="1" s="1"/>
  <c r="E236" i="1" s="1"/>
  <c r="I370" i="3"/>
  <c r="F201" i="2" s="1"/>
  <c r="D201" i="2" s="1"/>
  <c r="E235" i="1" s="1"/>
  <c r="I369" i="3"/>
  <c r="F200" i="2" s="1"/>
  <c r="D200" i="2" s="1"/>
  <c r="E234" i="1" s="1"/>
  <c r="I368" i="3"/>
  <c r="F199" i="2" s="1"/>
  <c r="D199" i="2" s="1"/>
  <c r="E233" i="1" s="1"/>
  <c r="I346" i="3"/>
  <c r="I340" i="3"/>
  <c r="E232" i="1" l="1"/>
  <c r="D219" i="1" l="1"/>
  <c r="G86" i="2"/>
  <c r="H86" i="2"/>
  <c r="E86" i="2"/>
  <c r="I358" i="3"/>
  <c r="F89" i="2" s="1"/>
  <c r="D89" i="2" s="1"/>
  <c r="E219" i="1" s="1"/>
  <c r="G357" i="3"/>
  <c r="D89" i="1"/>
  <c r="D87" i="1"/>
  <c r="D83" i="1"/>
  <c r="D81" i="1"/>
  <c r="D79" i="1"/>
  <c r="D78" i="1"/>
  <c r="F78" i="2"/>
  <c r="G78" i="2"/>
  <c r="H78" i="2"/>
  <c r="E81" i="2"/>
  <c r="D81" i="2" s="1"/>
  <c r="E89" i="1" s="1"/>
  <c r="F75" i="2"/>
  <c r="G75" i="2"/>
  <c r="H75" i="2"/>
  <c r="E77" i="2"/>
  <c r="D77" i="2" s="1"/>
  <c r="E87" i="1" s="1"/>
  <c r="E86" i="1" s="1"/>
  <c r="F40" i="2"/>
  <c r="G40" i="2"/>
  <c r="H40" i="2"/>
  <c r="E42" i="2"/>
  <c r="D42" i="2" s="1"/>
  <c r="E83" i="1" s="1"/>
  <c r="E82" i="1" s="1"/>
  <c r="E31" i="2"/>
  <c r="D31" i="2" s="1"/>
  <c r="E81" i="1" s="1"/>
  <c r="E80" i="1" s="1"/>
  <c r="F18" i="2"/>
  <c r="G18" i="2"/>
  <c r="H18" i="2"/>
  <c r="E25" i="2"/>
  <c r="D25" i="2" s="1"/>
  <c r="E79" i="1" s="1"/>
  <c r="E24" i="2"/>
  <c r="D24" i="2" s="1"/>
  <c r="E78" i="1" s="1"/>
  <c r="E77" i="1" l="1"/>
  <c r="D231" i="1"/>
  <c r="D229" i="1"/>
  <c r="D228" i="1"/>
  <c r="D222" i="1"/>
  <c r="D223" i="1"/>
  <c r="D224" i="1"/>
  <c r="D225" i="1"/>
  <c r="D226" i="1"/>
  <c r="D221" i="1"/>
  <c r="D218" i="1"/>
  <c r="G161" i="2"/>
  <c r="H161" i="2"/>
  <c r="E161" i="2"/>
  <c r="G104" i="2"/>
  <c r="H104" i="2"/>
  <c r="E104" i="2"/>
  <c r="G90" i="2"/>
  <c r="H90" i="2"/>
  <c r="E90" i="2"/>
  <c r="D90" i="1"/>
  <c r="D85" i="1"/>
  <c r="F65" i="2"/>
  <c r="G65" i="2"/>
  <c r="H65" i="2"/>
  <c r="E74" i="2"/>
  <c r="D74" i="2" s="1"/>
  <c r="E85" i="1" s="1"/>
  <c r="I367" i="3"/>
  <c r="F188" i="2" s="1"/>
  <c r="D188" i="2" s="1"/>
  <c r="E231" i="1" s="1"/>
  <c r="E230" i="1" s="1"/>
  <c r="I366" i="3"/>
  <c r="F117" i="2" s="1"/>
  <c r="D117" i="2" s="1"/>
  <c r="E229" i="1" s="1"/>
  <c r="I365" i="3"/>
  <c r="F116" i="2" s="1"/>
  <c r="D116" i="2" s="1"/>
  <c r="E228" i="1" s="1"/>
  <c r="I364" i="3"/>
  <c r="F100" i="2" s="1"/>
  <c r="D100" i="2" s="1"/>
  <c r="E226" i="1" s="1"/>
  <c r="I363" i="3"/>
  <c r="F99" i="2" s="1"/>
  <c r="D99" i="2" s="1"/>
  <c r="E225" i="1" s="1"/>
  <c r="I362" i="3"/>
  <c r="F98" i="2" s="1"/>
  <c r="D98" i="2" s="1"/>
  <c r="E224" i="1" s="1"/>
  <c r="I361" i="3"/>
  <c r="F97" i="2" s="1"/>
  <c r="D97" i="2" s="1"/>
  <c r="E223" i="1" s="1"/>
  <c r="I360" i="3"/>
  <c r="F96" i="2" s="1"/>
  <c r="D96" i="2" s="1"/>
  <c r="E222" i="1" s="1"/>
  <c r="I359" i="3"/>
  <c r="F95" i="2" s="1"/>
  <c r="D95" i="2" s="1"/>
  <c r="E221" i="1" s="1"/>
  <c r="I357" i="3"/>
  <c r="I351" i="3"/>
  <c r="I348" i="3" s="1"/>
  <c r="I347" i="3"/>
  <c r="I356" i="3" l="1"/>
  <c r="I355" i="3" s="1"/>
  <c r="I339" i="3"/>
  <c r="E82" i="2"/>
  <c r="D82" i="2" s="1"/>
  <c r="E90" i="1" s="1"/>
  <c r="E88" i="1" s="1"/>
  <c r="E227" i="1"/>
  <c r="F88" i="2"/>
  <c r="D88" i="2" s="1"/>
  <c r="E218" i="1" s="1"/>
  <c r="E217" i="1" s="1"/>
  <c r="I338" i="3"/>
  <c r="E220" i="1"/>
  <c r="E84" i="1"/>
  <c r="I337" i="3" l="1"/>
  <c r="I336" i="3" s="1"/>
  <c r="E214" i="1"/>
  <c r="E74" i="1"/>
  <c r="D53" i="1"/>
  <c r="D52" i="1"/>
  <c r="G274" i="3"/>
  <c r="G214" i="3"/>
  <c r="G215" i="3"/>
  <c r="G96" i="3" l="1"/>
  <c r="G205" i="3"/>
  <c r="G83" i="3"/>
  <c r="G80" i="3"/>
  <c r="F254" i="2" l="1"/>
  <c r="G254" i="2"/>
  <c r="H254" i="2"/>
  <c r="F247" i="2"/>
  <c r="G247" i="2"/>
  <c r="H247" i="2"/>
  <c r="F243" i="2"/>
  <c r="G243" i="2"/>
  <c r="H243" i="2"/>
  <c r="F237" i="2"/>
  <c r="G237" i="2"/>
  <c r="H237" i="2"/>
  <c r="F232" i="2"/>
  <c r="G232" i="2"/>
  <c r="H232" i="2"/>
  <c r="F228" i="2"/>
  <c r="G228" i="2"/>
  <c r="H228" i="2"/>
  <c r="F225" i="2"/>
  <c r="G225" i="2"/>
  <c r="H225" i="2"/>
  <c r="F222" i="2"/>
  <c r="F219" i="2" s="1"/>
  <c r="G222" i="2"/>
  <c r="G219" i="2" s="1"/>
  <c r="H222" i="2"/>
  <c r="H219" i="2" s="1"/>
  <c r="G211" i="2" l="1"/>
  <c r="H211" i="2"/>
  <c r="E211" i="2"/>
  <c r="G152" i="2"/>
  <c r="H152" i="2"/>
  <c r="E152" i="2"/>
  <c r="E130" i="2"/>
  <c r="G130" i="2"/>
  <c r="H130" i="2"/>
  <c r="G118" i="2"/>
  <c r="H118" i="2"/>
  <c r="E118" i="2"/>
  <c r="G101" i="2"/>
  <c r="H101" i="2"/>
  <c r="E101" i="2"/>
  <c r="F59" i="2"/>
  <c r="G59" i="2"/>
  <c r="H59" i="2"/>
  <c r="F51" i="2"/>
  <c r="G51" i="2"/>
  <c r="H51" i="2"/>
  <c r="F43" i="2"/>
  <c r="G43" i="2"/>
  <c r="H43" i="2"/>
  <c r="F32" i="2"/>
  <c r="F15" i="2" s="1"/>
  <c r="G32" i="2"/>
  <c r="H32" i="2"/>
  <c r="F26" i="2"/>
  <c r="G26" i="2"/>
  <c r="G15" i="2" s="1"/>
  <c r="H26" i="2"/>
  <c r="H15" i="2" s="1"/>
  <c r="I64" i="3"/>
  <c r="I318" i="3"/>
  <c r="D257" i="1"/>
  <c r="D274" i="1"/>
  <c r="E221" i="2"/>
  <c r="E253" i="2"/>
  <c r="D253" i="2" s="1"/>
  <c r="E274" i="1" s="1"/>
  <c r="I315" i="3"/>
  <c r="E245" i="2"/>
  <c r="I309" i="3"/>
  <c r="I304" i="3"/>
  <c r="E236" i="2"/>
  <c r="D236" i="2" s="1"/>
  <c r="E257" i="1" s="1"/>
  <c r="E234" i="2"/>
  <c r="E233" i="2"/>
  <c r="I300" i="3"/>
  <c r="I299" i="3"/>
  <c r="I298" i="3"/>
  <c r="I296" i="3"/>
  <c r="E223" i="2"/>
  <c r="G183" i="3"/>
  <c r="G182" i="3"/>
  <c r="G180" i="3"/>
  <c r="G179" i="3"/>
  <c r="G171" i="3"/>
  <c r="G170" i="3"/>
  <c r="G166" i="3"/>
  <c r="G169" i="3"/>
  <c r="G168" i="3"/>
  <c r="G167" i="3"/>
  <c r="G165" i="3"/>
  <c r="G164" i="3"/>
  <c r="G163" i="3"/>
  <c r="G162" i="3"/>
  <c r="G161" i="3"/>
  <c r="G159" i="3"/>
  <c r="G158" i="3"/>
  <c r="G157" i="3"/>
  <c r="G155" i="3"/>
  <c r="G154" i="3"/>
  <c r="G153" i="3"/>
  <c r="G152" i="3"/>
  <c r="G151" i="3"/>
  <c r="G150" i="3"/>
  <c r="G149" i="3"/>
  <c r="G148" i="3"/>
  <c r="G147" i="3"/>
  <c r="G146" i="3"/>
  <c r="G144" i="3"/>
  <c r="G143" i="3"/>
  <c r="I137" i="3"/>
  <c r="I136" i="3"/>
  <c r="I135" i="3"/>
  <c r="G130" i="3"/>
  <c r="G129" i="3"/>
  <c r="G128" i="3"/>
  <c r="G113" i="3"/>
  <c r="G124" i="3"/>
  <c r="G123" i="3"/>
  <c r="G122" i="3"/>
  <c r="G119" i="3"/>
  <c r="G118" i="3"/>
  <c r="G117" i="3"/>
  <c r="G116" i="3"/>
  <c r="G115" i="3"/>
  <c r="G114" i="3"/>
  <c r="I109" i="3"/>
  <c r="I106" i="3"/>
  <c r="G112" i="3"/>
  <c r="G97" i="3"/>
  <c r="G103" i="3"/>
  <c r="G102" i="3"/>
  <c r="G101" i="3"/>
  <c r="G98" i="3"/>
  <c r="G91" i="3"/>
  <c r="G90" i="3"/>
  <c r="G89" i="3"/>
  <c r="E83" i="2" l="1"/>
  <c r="I293" i="3"/>
  <c r="I292" i="3" s="1"/>
  <c r="H83" i="2"/>
  <c r="G83" i="2"/>
  <c r="G87" i="3"/>
  <c r="G86" i="3"/>
  <c r="G85" i="3"/>
  <c r="G79" i="3"/>
  <c r="G78" i="3"/>
  <c r="D70" i="1"/>
  <c r="D68" i="1"/>
  <c r="D67" i="1"/>
  <c r="D66" i="1"/>
  <c r="D65" i="1"/>
  <c r="D59" i="1"/>
  <c r="D58" i="1"/>
  <c r="D57" i="1"/>
  <c r="D51" i="1"/>
  <c r="D45" i="1"/>
  <c r="E76" i="2"/>
  <c r="E75" i="2" s="1"/>
  <c r="E71" i="2"/>
  <c r="D71" i="2" s="1"/>
  <c r="E66" i="1" s="1"/>
  <c r="E72" i="2"/>
  <c r="D72" i="2" s="1"/>
  <c r="E67" i="1" s="1"/>
  <c r="E73" i="2"/>
  <c r="D73" i="2" s="1"/>
  <c r="E68" i="1" s="1"/>
  <c r="E70" i="2"/>
  <c r="D70" i="2" s="1"/>
  <c r="E65" i="1" s="1"/>
  <c r="E64" i="2"/>
  <c r="D64" i="2" s="1"/>
  <c r="E59" i="1" s="1"/>
  <c r="E63" i="2"/>
  <c r="D63" i="2" s="1"/>
  <c r="E58" i="1" s="1"/>
  <c r="I50" i="3"/>
  <c r="I49" i="3"/>
  <c r="I48" i="3"/>
  <c r="E58" i="2"/>
  <c r="D58" i="2" s="1"/>
  <c r="E53" i="1" s="1"/>
  <c r="I44" i="3"/>
  <c r="I46" i="3"/>
  <c r="I41" i="3"/>
  <c r="E50" i="2"/>
  <c r="D50" i="2" s="1"/>
  <c r="E45" i="1" s="1"/>
  <c r="I30" i="3"/>
  <c r="I29" i="3"/>
  <c r="I28" i="3"/>
  <c r="D76" i="2" l="1"/>
  <c r="E70" i="1" s="1"/>
  <c r="E69" i="1" s="1"/>
  <c r="D75" i="2"/>
  <c r="I27" i="3"/>
  <c r="I26" i="3"/>
  <c r="I25" i="3"/>
  <c r="I24" i="3"/>
  <c r="I21" i="3"/>
  <c r="I19" i="3"/>
  <c r="I18" i="3"/>
  <c r="D205" i="1" l="1"/>
  <c r="D204" i="1"/>
  <c r="D203" i="1"/>
  <c r="D202" i="1"/>
  <c r="D201" i="1"/>
  <c r="D187" i="1"/>
  <c r="D160" i="1"/>
  <c r="D159" i="1"/>
  <c r="D158" i="1"/>
  <c r="D157" i="1"/>
  <c r="D151" i="1"/>
  <c r="D150" i="1"/>
  <c r="D129" i="1"/>
  <c r="D128" i="1"/>
  <c r="D117" i="1"/>
  <c r="D116" i="1"/>
  <c r="D115" i="1"/>
  <c r="I284" i="3"/>
  <c r="I283" i="3"/>
  <c r="I282" i="3"/>
  <c r="I281" i="3"/>
  <c r="I280" i="3"/>
  <c r="I268" i="3"/>
  <c r="I242" i="3"/>
  <c r="I241" i="3"/>
  <c r="I240" i="3"/>
  <c r="I239" i="3"/>
  <c r="I234" i="3"/>
  <c r="I233" i="3"/>
  <c r="I213" i="3"/>
  <c r="I212" i="3"/>
  <c r="I202" i="3"/>
  <c r="I201" i="3"/>
  <c r="I200" i="3"/>
  <c r="I176" i="3"/>
  <c r="I175" i="3"/>
  <c r="I174" i="3"/>
  <c r="I173" i="3"/>
  <c r="I172" i="3"/>
  <c r="I160" i="3"/>
  <c r="I134" i="3"/>
  <c r="I133" i="3"/>
  <c r="F159" i="2" s="1"/>
  <c r="D159" i="2" s="1"/>
  <c r="E159" i="1" s="1"/>
  <c r="I132" i="3"/>
  <c r="F158" i="2" s="1"/>
  <c r="D158" i="2" s="1"/>
  <c r="E158" i="1" s="1"/>
  <c r="I131" i="3"/>
  <c r="F157" i="2" s="1"/>
  <c r="D157" i="2" s="1"/>
  <c r="E157" i="1" s="1"/>
  <c r="I126" i="3"/>
  <c r="I125" i="3"/>
  <c r="I105" i="3"/>
  <c r="I104" i="3"/>
  <c r="I94" i="3"/>
  <c r="I93" i="3"/>
  <c r="I92" i="3"/>
  <c r="E62" i="2"/>
  <c r="D62" i="2" s="1"/>
  <c r="E57" i="1" s="1"/>
  <c r="E57" i="2"/>
  <c r="D57" i="2" s="1"/>
  <c r="E52" i="1" s="1"/>
  <c r="E56" i="2"/>
  <c r="D56" i="2" s="1"/>
  <c r="E51" i="1" s="1"/>
  <c r="F151" i="2" l="1"/>
  <c r="D151" i="2" s="1"/>
  <c r="E151" i="1" s="1"/>
  <c r="F209" i="2"/>
  <c r="D209" i="2" s="1"/>
  <c r="E205" i="1" s="1"/>
  <c r="F160" i="2"/>
  <c r="D160" i="2" s="1"/>
  <c r="E160" i="1" s="1"/>
  <c r="F187" i="2"/>
  <c r="D187" i="2" s="1"/>
  <c r="E187" i="1" s="1"/>
  <c r="F113" i="2"/>
  <c r="D113" i="2" s="1"/>
  <c r="E115" i="1" s="1"/>
  <c r="F205" i="2"/>
  <c r="D205" i="2" s="1"/>
  <c r="E201" i="1" s="1"/>
  <c r="F206" i="2"/>
  <c r="D206" i="2" s="1"/>
  <c r="E202" i="1" s="1"/>
  <c r="F207" i="2"/>
  <c r="D207" i="2" s="1"/>
  <c r="E203" i="1" s="1"/>
  <c r="F208" i="2"/>
  <c r="D208" i="2" s="1"/>
  <c r="E204" i="1" s="1"/>
  <c r="F115" i="2"/>
  <c r="D115" i="2" s="1"/>
  <c r="E117" i="1" s="1"/>
  <c r="F129" i="2"/>
  <c r="D129" i="2" s="1"/>
  <c r="E129" i="1" s="1"/>
  <c r="F114" i="2"/>
  <c r="D114" i="2" s="1"/>
  <c r="E116" i="1" s="1"/>
  <c r="F128" i="2"/>
  <c r="D128" i="2" s="1"/>
  <c r="E128" i="1" s="1"/>
  <c r="F150" i="2"/>
  <c r="D150" i="2" s="1"/>
  <c r="E150" i="1" s="1"/>
  <c r="D273" i="1"/>
  <c r="D272" i="1"/>
  <c r="D271" i="1"/>
  <c r="D270" i="1"/>
  <c r="D267" i="1"/>
  <c r="D261" i="1"/>
  <c r="D260" i="1"/>
  <c r="D252" i="1"/>
  <c r="D248" i="1"/>
  <c r="E255" i="2"/>
  <c r="E250" i="2"/>
  <c r="D250" i="2" s="1"/>
  <c r="E271" i="1" s="1"/>
  <c r="E251" i="2"/>
  <c r="D251" i="2" s="1"/>
  <c r="E272" i="1" s="1"/>
  <c r="E252" i="2"/>
  <c r="D252" i="2" s="1"/>
  <c r="E273" i="1" s="1"/>
  <c r="E249" i="2"/>
  <c r="D249" i="2" s="1"/>
  <c r="E270" i="1" s="1"/>
  <c r="E246" i="2"/>
  <c r="D246" i="2" s="1"/>
  <c r="E267" i="1" s="1"/>
  <c r="E242" i="2"/>
  <c r="E240" i="2"/>
  <c r="D240" i="2" s="1"/>
  <c r="E261" i="1" s="1"/>
  <c r="E239" i="2"/>
  <c r="D239" i="2" s="1"/>
  <c r="E260" i="1" s="1"/>
  <c r="E241" i="2"/>
  <c r="E238" i="2"/>
  <c r="E231" i="2"/>
  <c r="D231" i="2" s="1"/>
  <c r="E252" i="1" s="1"/>
  <c r="E230" i="2"/>
  <c r="E229" i="2"/>
  <c r="E227" i="2"/>
  <c r="D227" i="2" s="1"/>
  <c r="E248" i="1" s="1"/>
  <c r="E226" i="2"/>
  <c r="E224" i="2"/>
  <c r="E222" i="2" s="1"/>
  <c r="G291" i="3"/>
  <c r="G290" i="3"/>
  <c r="G289" i="3"/>
  <c r="G288" i="3"/>
  <c r="G287" i="3"/>
  <c r="G279" i="3"/>
  <c r="G278" i="3"/>
  <c r="G277" i="3"/>
  <c r="G276" i="3"/>
  <c r="G275" i="3"/>
  <c r="G273" i="3"/>
  <c r="G272" i="3"/>
  <c r="G269" i="3"/>
  <c r="G270" i="3"/>
  <c r="G271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48" i="3"/>
  <c r="G247" i="3"/>
  <c r="I245" i="3"/>
  <c r="F164" i="2" s="1"/>
  <c r="D164" i="2" s="1"/>
  <c r="E164" i="1" s="1"/>
  <c r="G244" i="3"/>
  <c r="G243" i="3"/>
  <c r="G238" i="3"/>
  <c r="G237" i="3"/>
  <c r="G236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19" i="3"/>
  <c r="I204" i="3"/>
  <c r="G211" i="3"/>
  <c r="G210" i="3"/>
  <c r="G209" i="3"/>
  <c r="G208" i="3"/>
  <c r="G207" i="3"/>
  <c r="G206" i="3"/>
  <c r="G199" i="3"/>
  <c r="G198" i="3"/>
  <c r="G197" i="3"/>
  <c r="G196" i="3"/>
  <c r="G195" i="3"/>
  <c r="G194" i="3"/>
  <c r="G193" i="3"/>
  <c r="G191" i="3"/>
  <c r="G189" i="3"/>
  <c r="G188" i="3"/>
  <c r="G187" i="3"/>
  <c r="G186" i="3"/>
  <c r="G185" i="3"/>
  <c r="I177" i="3"/>
  <c r="G181" i="3"/>
  <c r="G156" i="3"/>
  <c r="G145" i="3"/>
  <c r="I141" i="3"/>
  <c r="I140" i="3"/>
  <c r="I139" i="3"/>
  <c r="I138" i="3"/>
  <c r="D164" i="1"/>
  <c r="G127" i="3"/>
  <c r="G121" i="3"/>
  <c r="G120" i="3"/>
  <c r="I107" i="3"/>
  <c r="G100" i="3"/>
  <c r="G99" i="3"/>
  <c r="I95" i="3"/>
  <c r="G88" i="3"/>
  <c r="I84" i="3"/>
  <c r="G81" i="3"/>
  <c r="G77" i="3"/>
  <c r="D56" i="1"/>
  <c r="D55" i="1"/>
  <c r="D62" i="1"/>
  <c r="D49" i="1"/>
  <c r="D48" i="1"/>
  <c r="D47" i="1"/>
  <c r="D37" i="1"/>
  <c r="D42" i="1"/>
  <c r="D39" i="1"/>
  <c r="D35" i="1"/>
  <c r="D34" i="1"/>
  <c r="D29" i="1"/>
  <c r="D25" i="1"/>
  <c r="D24" i="1"/>
  <c r="D22" i="1"/>
  <c r="D18" i="1"/>
  <c r="D19" i="1"/>
  <c r="E79" i="2"/>
  <c r="I63" i="3"/>
  <c r="E67" i="2"/>
  <c r="D67" i="2" s="1"/>
  <c r="E62" i="1" s="1"/>
  <c r="E66" i="2"/>
  <c r="I55" i="3"/>
  <c r="E61" i="2"/>
  <c r="D61" i="2" s="1"/>
  <c r="E56" i="1" s="1"/>
  <c r="E60" i="2"/>
  <c r="E53" i="2"/>
  <c r="D53" i="2" s="1"/>
  <c r="E48" i="1" s="1"/>
  <c r="E54" i="2"/>
  <c r="D54" i="2" s="1"/>
  <c r="E49" i="1" s="1"/>
  <c r="E52" i="2"/>
  <c r="E47" i="2"/>
  <c r="D47" i="2" s="1"/>
  <c r="E42" i="1" s="1"/>
  <c r="E44" i="2"/>
  <c r="I39" i="3"/>
  <c r="I38" i="3"/>
  <c r="I36" i="3"/>
  <c r="I35" i="3"/>
  <c r="E41" i="2"/>
  <c r="E40" i="2" s="1"/>
  <c r="E39" i="2"/>
  <c r="D39" i="2" s="1"/>
  <c r="E35" i="1" s="1"/>
  <c r="E38" i="2"/>
  <c r="D38" i="2" s="1"/>
  <c r="E34" i="1" s="1"/>
  <c r="E36" i="2"/>
  <c r="E35" i="2"/>
  <c r="E33" i="2"/>
  <c r="E34" i="2"/>
  <c r="D34" i="2" s="1"/>
  <c r="E28" i="2"/>
  <c r="D28" i="2" s="1"/>
  <c r="E25" i="1" s="1"/>
  <c r="E27" i="2"/>
  <c r="E23" i="2"/>
  <c r="D23" i="2" s="1"/>
  <c r="E22" i="1" s="1"/>
  <c r="I20" i="3"/>
  <c r="E21" i="2"/>
  <c r="E20" i="2"/>
  <c r="E19" i="2"/>
  <c r="E228" i="2" l="1"/>
  <c r="I16" i="3"/>
  <c r="I15" i="3" s="1"/>
  <c r="E237" i="2"/>
  <c r="D41" i="2"/>
  <c r="E37" i="1" s="1"/>
  <c r="E36" i="1" s="1"/>
  <c r="D40" i="2"/>
  <c r="D60" i="2"/>
  <c r="E55" i="1" s="1"/>
  <c r="E54" i="1" s="1"/>
  <c r="E59" i="2"/>
  <c r="D59" i="2" s="1"/>
  <c r="D19" i="2"/>
  <c r="E18" i="1" s="1"/>
  <c r="D44" i="2"/>
  <c r="E39" i="1" s="1"/>
  <c r="D33" i="2"/>
  <c r="E29" i="1" s="1"/>
  <c r="D52" i="2"/>
  <c r="E47" i="1" s="1"/>
  <c r="D27" i="2"/>
  <c r="E24" i="1" s="1"/>
  <c r="E225" i="2"/>
  <c r="D277" i="1" l="1"/>
  <c r="D276" i="1"/>
  <c r="D269" i="1"/>
  <c r="D266" i="1"/>
  <c r="D265" i="1"/>
  <c r="D262" i="1"/>
  <c r="D263" i="1"/>
  <c r="D259" i="1"/>
  <c r="D255" i="1"/>
  <c r="D256" i="1"/>
  <c r="D254" i="1"/>
  <c r="D251" i="1"/>
  <c r="D250" i="1"/>
  <c r="D247" i="1"/>
  <c r="D245" i="1"/>
  <c r="D244" i="1"/>
  <c r="D73" i="1"/>
  <c r="D72" i="1"/>
  <c r="D63" i="1"/>
  <c r="D64" i="1"/>
  <c r="D61" i="1"/>
  <c r="D50" i="1"/>
  <c r="D41" i="1"/>
  <c r="D43" i="1"/>
  <c r="D44" i="1"/>
  <c r="D40" i="1"/>
  <c r="D31" i="1"/>
  <c r="D32" i="1"/>
  <c r="D33" i="1"/>
  <c r="D30" i="1"/>
  <c r="D27" i="1"/>
  <c r="D26" i="1"/>
  <c r="D20" i="1"/>
  <c r="D21" i="1"/>
  <c r="E256" i="2"/>
  <c r="D255" i="2"/>
  <c r="E276" i="1" s="1"/>
  <c r="E248" i="2"/>
  <c r="D245" i="2"/>
  <c r="E266" i="1" s="1"/>
  <c r="E244" i="2"/>
  <c r="D241" i="2"/>
  <c r="E262" i="1" s="1"/>
  <c r="D242" i="2"/>
  <c r="E263" i="1" s="1"/>
  <c r="D238" i="2"/>
  <c r="E259" i="1" s="1"/>
  <c r="D234" i="2"/>
  <c r="E255" i="1" s="1"/>
  <c r="E235" i="2"/>
  <c r="D233" i="2"/>
  <c r="E254" i="1" s="1"/>
  <c r="D230" i="2"/>
  <c r="E251" i="1" s="1"/>
  <c r="D229" i="2"/>
  <c r="E250" i="1" s="1"/>
  <c r="D226" i="2"/>
  <c r="E247" i="1" s="1"/>
  <c r="E246" i="1" s="1"/>
  <c r="D224" i="2"/>
  <c r="E245" i="1" s="1"/>
  <c r="D223" i="2"/>
  <c r="E244" i="1" s="1"/>
  <c r="E80" i="2"/>
  <c r="E78" i="2" s="1"/>
  <c r="D79" i="2"/>
  <c r="E72" i="1" s="1"/>
  <c r="E69" i="2"/>
  <c r="D69" i="2" s="1"/>
  <c r="E64" i="1" s="1"/>
  <c r="E68" i="2"/>
  <c r="D66" i="2"/>
  <c r="E61" i="1" s="1"/>
  <c r="E55" i="2"/>
  <c r="E46" i="2"/>
  <c r="D46" i="2" s="1"/>
  <c r="E41" i="1" s="1"/>
  <c r="E48" i="2"/>
  <c r="D48" i="2" s="1"/>
  <c r="E43" i="1" s="1"/>
  <c r="E49" i="2"/>
  <c r="D49" i="2" s="1"/>
  <c r="E44" i="1" s="1"/>
  <c r="E45" i="2"/>
  <c r="E37" i="2"/>
  <c r="D36" i="2"/>
  <c r="E32" i="1" s="1"/>
  <c r="D35" i="2"/>
  <c r="E31" i="1" s="1"/>
  <c r="E30" i="2"/>
  <c r="D30" i="2" s="1"/>
  <c r="E27" i="1" s="1"/>
  <c r="E29" i="2"/>
  <c r="E22" i="2"/>
  <c r="E18" i="2" s="1"/>
  <c r="D20" i="2"/>
  <c r="E19" i="1" s="1"/>
  <c r="D221" i="2"/>
  <c r="E242" i="1" s="1"/>
  <c r="D17" i="2"/>
  <c r="E65" i="2" l="1"/>
  <c r="E258" i="1"/>
  <c r="E26" i="2"/>
  <c r="D26" i="2" s="1"/>
  <c r="E249" i="1"/>
  <c r="E243" i="1"/>
  <c r="D235" i="2"/>
  <c r="E256" i="1" s="1"/>
  <c r="E232" i="2"/>
  <c r="D232" i="2" s="1"/>
  <c r="D68" i="2"/>
  <c r="E63" i="1" s="1"/>
  <c r="E60" i="1" s="1"/>
  <c r="D22" i="2"/>
  <c r="E21" i="1" s="1"/>
  <c r="D244" i="2"/>
  <c r="E265" i="1" s="1"/>
  <c r="E264" i="1" s="1"/>
  <c r="E243" i="2"/>
  <c r="D243" i="2" s="1"/>
  <c r="E253" i="1"/>
  <c r="D29" i="2"/>
  <c r="E26" i="1" s="1"/>
  <c r="E23" i="1" s="1"/>
  <c r="D256" i="2"/>
  <c r="E277" i="1" s="1"/>
  <c r="E275" i="1" s="1"/>
  <c r="E254" i="2"/>
  <c r="D254" i="2" s="1"/>
  <c r="D80" i="2"/>
  <c r="E73" i="1" s="1"/>
  <c r="E71" i="1" s="1"/>
  <c r="D78" i="2"/>
  <c r="D37" i="2"/>
  <c r="E33" i="1" s="1"/>
  <c r="E32" i="2"/>
  <c r="D32" i="2" s="1"/>
  <c r="D248" i="2"/>
  <c r="E269" i="1" s="1"/>
  <c r="E268" i="1" s="1"/>
  <c r="E247" i="2"/>
  <c r="D247" i="2" s="1"/>
  <c r="D55" i="2"/>
  <c r="E50" i="1" s="1"/>
  <c r="E46" i="1" s="1"/>
  <c r="E51" i="2"/>
  <c r="D51" i="2" s="1"/>
  <c r="D45" i="2"/>
  <c r="E40" i="1" s="1"/>
  <c r="E38" i="1" s="1"/>
  <c r="E43" i="2"/>
  <c r="D43" i="2" s="1"/>
  <c r="E30" i="1"/>
  <c r="D225" i="2"/>
  <c r="D21" i="2"/>
  <c r="E20" i="1" s="1"/>
  <c r="D228" i="2"/>
  <c r="D237" i="2"/>
  <c r="D65" i="2"/>
  <c r="E240" i="1" l="1"/>
  <c r="E238" i="1" s="1"/>
  <c r="E17" i="1"/>
  <c r="E28" i="1"/>
  <c r="E15" i="2"/>
  <c r="D15" i="2" s="1"/>
  <c r="D18" i="2"/>
  <c r="E219" i="2"/>
  <c r="D219" i="2" s="1"/>
  <c r="D222" i="2"/>
  <c r="E14" i="1" l="1"/>
  <c r="E12" i="1" s="1"/>
  <c r="D213" i="1"/>
  <c r="D212" i="1"/>
  <c r="D208" i="1"/>
  <c r="D207" i="1"/>
  <c r="D200" i="1"/>
  <c r="D199" i="1"/>
  <c r="D197" i="1"/>
  <c r="D196" i="1"/>
  <c r="D195" i="1"/>
  <c r="D186" i="1"/>
  <c r="D185" i="1"/>
  <c r="D184" i="1"/>
  <c r="D183" i="1"/>
  <c r="D182" i="1"/>
  <c r="D169" i="1"/>
  <c r="D168" i="1"/>
  <c r="D167" i="1"/>
  <c r="D166" i="1"/>
  <c r="D165" i="1"/>
  <c r="D163" i="1"/>
  <c r="D162" i="1"/>
  <c r="D156" i="1"/>
  <c r="D155" i="1"/>
  <c r="D154" i="1"/>
  <c r="D149" i="1"/>
  <c r="D148" i="1"/>
  <c r="D147" i="1"/>
  <c r="D146" i="1"/>
  <c r="D145" i="1"/>
  <c r="D144" i="1"/>
  <c r="D143" i="1"/>
  <c r="D142" i="1"/>
  <c r="D141" i="1"/>
  <c r="D140" i="1"/>
  <c r="D139" i="1"/>
  <c r="D136" i="1"/>
  <c r="D135" i="1"/>
  <c r="D134" i="1"/>
  <c r="D133" i="1"/>
  <c r="D132" i="1"/>
  <c r="D131" i="1"/>
  <c r="D127" i="1"/>
  <c r="D126" i="1"/>
  <c r="D125" i="1"/>
  <c r="D124" i="1"/>
  <c r="D123" i="1"/>
  <c r="D122" i="1"/>
  <c r="D119" i="1"/>
  <c r="D114" i="1"/>
  <c r="D113" i="1"/>
  <c r="D112" i="1"/>
  <c r="D111" i="1"/>
  <c r="D110" i="1"/>
  <c r="D107" i="1"/>
  <c r="D104" i="1"/>
  <c r="D102" i="1"/>
  <c r="D101" i="1"/>
  <c r="D97" i="1"/>
  <c r="I183" i="3"/>
  <c r="I182" i="3"/>
  <c r="I171" i="3"/>
  <c r="I170" i="3"/>
  <c r="I169" i="3"/>
  <c r="I168" i="3"/>
  <c r="I167" i="3"/>
  <c r="I159" i="3"/>
  <c r="I158" i="3"/>
  <c r="I157" i="3"/>
  <c r="I156" i="3"/>
  <c r="I155" i="3"/>
  <c r="I130" i="3"/>
  <c r="I129" i="3"/>
  <c r="I128" i="3"/>
  <c r="I124" i="3"/>
  <c r="I123" i="3"/>
  <c r="I122" i="3"/>
  <c r="I121" i="3"/>
  <c r="I120" i="3"/>
  <c r="I119" i="3"/>
  <c r="I118" i="3"/>
  <c r="I117" i="3"/>
  <c r="I116" i="3"/>
  <c r="I115" i="3"/>
  <c r="I114" i="3"/>
  <c r="I103" i="3"/>
  <c r="I102" i="3"/>
  <c r="I101" i="3"/>
  <c r="I100" i="3"/>
  <c r="I99" i="3"/>
  <c r="I98" i="3"/>
  <c r="I291" i="3"/>
  <c r="I290" i="3"/>
  <c r="I286" i="3"/>
  <c r="I285" i="3"/>
  <c r="F212" i="2" s="1"/>
  <c r="I289" i="3"/>
  <c r="I288" i="3"/>
  <c r="I287" i="3"/>
  <c r="I279" i="3"/>
  <c r="I278" i="3"/>
  <c r="I277" i="3"/>
  <c r="I276" i="3"/>
  <c r="I275" i="3"/>
  <c r="I273" i="3"/>
  <c r="I272" i="3"/>
  <c r="I271" i="3"/>
  <c r="I270" i="3"/>
  <c r="I269" i="3"/>
  <c r="I267" i="3"/>
  <c r="I266" i="3"/>
  <c r="I265" i="3"/>
  <c r="I264" i="3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F169" i="2" s="1"/>
  <c r="D169" i="2" s="1"/>
  <c r="E169" i="1" s="1"/>
  <c r="I249" i="3"/>
  <c r="F168" i="2" s="1"/>
  <c r="D168" i="2" s="1"/>
  <c r="E168" i="1" s="1"/>
  <c r="I248" i="3"/>
  <c r="F167" i="2" s="1"/>
  <c r="D167" i="2" s="1"/>
  <c r="E167" i="1" s="1"/>
  <c r="I247" i="3"/>
  <c r="F166" i="2" s="1"/>
  <c r="D166" i="2" s="1"/>
  <c r="E166" i="1" s="1"/>
  <c r="I246" i="3"/>
  <c r="F165" i="2" s="1"/>
  <c r="D165" i="2" s="1"/>
  <c r="E165" i="1" s="1"/>
  <c r="I244" i="3"/>
  <c r="F163" i="2" s="1"/>
  <c r="D163" i="2" s="1"/>
  <c r="E163" i="1" s="1"/>
  <c r="I243" i="3"/>
  <c r="F162" i="2" s="1"/>
  <c r="I237" i="3"/>
  <c r="I236" i="3"/>
  <c r="I235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F136" i="2" s="1"/>
  <c r="D136" i="2" s="1"/>
  <c r="E136" i="1" s="1"/>
  <c r="I220" i="3"/>
  <c r="F135" i="2" s="1"/>
  <c r="D135" i="2" s="1"/>
  <c r="E135" i="1" s="1"/>
  <c r="I219" i="3"/>
  <c r="F134" i="2" s="1"/>
  <c r="D134" i="2" s="1"/>
  <c r="E134" i="1" s="1"/>
  <c r="I218" i="3"/>
  <c r="F133" i="2" s="1"/>
  <c r="D133" i="2" s="1"/>
  <c r="E133" i="1" s="1"/>
  <c r="I217" i="3"/>
  <c r="F132" i="2" s="1"/>
  <c r="D132" i="2" s="1"/>
  <c r="E132" i="1" s="1"/>
  <c r="I216" i="3"/>
  <c r="F131" i="2" s="1"/>
  <c r="D131" i="2" s="1"/>
  <c r="E131" i="1" s="1"/>
  <c r="I215" i="3"/>
  <c r="I211" i="3"/>
  <c r="I210" i="3"/>
  <c r="I209" i="3"/>
  <c r="I208" i="3"/>
  <c r="I207" i="3"/>
  <c r="I206" i="3"/>
  <c r="I203" i="3"/>
  <c r="F119" i="2" s="1"/>
  <c r="D119" i="2" s="1"/>
  <c r="E119" i="1" s="1"/>
  <c r="I91" i="3"/>
  <c r="I90" i="3"/>
  <c r="I89" i="3"/>
  <c r="I88" i="3"/>
  <c r="I87" i="3"/>
  <c r="I81" i="3"/>
  <c r="I80" i="3"/>
  <c r="I238" i="3"/>
  <c r="I199" i="3"/>
  <c r="I198" i="3"/>
  <c r="I197" i="3"/>
  <c r="I196" i="3"/>
  <c r="I195" i="3"/>
  <c r="I194" i="3"/>
  <c r="I193" i="3"/>
  <c r="I192" i="3"/>
  <c r="F105" i="2" s="1"/>
  <c r="I191" i="3"/>
  <c r="I190" i="3"/>
  <c r="F102" i="2" s="1"/>
  <c r="D102" i="2" s="1"/>
  <c r="E104" i="1" s="1"/>
  <c r="I189" i="3"/>
  <c r="I188" i="3"/>
  <c r="I187" i="3"/>
  <c r="I186" i="3"/>
  <c r="I185" i="3"/>
  <c r="I77" i="3"/>
  <c r="F196" i="2" l="1"/>
  <c r="F197" i="2"/>
  <c r="F198" i="2"/>
  <c r="D162" i="2"/>
  <c r="E162" i="1" s="1"/>
  <c r="D212" i="2"/>
  <c r="E207" i="1" s="1"/>
  <c r="D105" i="2"/>
  <c r="E107" i="1" s="1"/>
  <c r="D197" i="2"/>
  <c r="E196" i="1" s="1"/>
  <c r="F218" i="2"/>
  <c r="D218" i="2" s="1"/>
  <c r="E213" i="1" s="1"/>
  <c r="F217" i="2"/>
  <c r="D217" i="2" s="1"/>
  <c r="E212" i="1" s="1"/>
  <c r="F141" i="2"/>
  <c r="D141" i="2" s="1"/>
  <c r="E141" i="1" s="1"/>
  <c r="F145" i="2"/>
  <c r="D145" i="2" s="1"/>
  <c r="E145" i="1" s="1"/>
  <c r="F149" i="2"/>
  <c r="D149" i="2" s="1"/>
  <c r="E149" i="1" s="1"/>
  <c r="F204" i="2"/>
  <c r="D204" i="2" s="1"/>
  <c r="E200" i="1" s="1"/>
  <c r="F213" i="2"/>
  <c r="D213" i="2" s="1"/>
  <c r="E208" i="1" s="1"/>
  <c r="D198" i="2"/>
  <c r="E197" i="1" s="1"/>
  <c r="F203" i="2"/>
  <c r="F202" i="2" s="1"/>
  <c r="D196" i="2"/>
  <c r="E195" i="1" s="1"/>
  <c r="F184" i="2"/>
  <c r="D184" i="2" s="1"/>
  <c r="E184" i="1" s="1"/>
  <c r="F182" i="2"/>
  <c r="D182" i="2" s="1"/>
  <c r="E182" i="1" s="1"/>
  <c r="F186" i="2"/>
  <c r="D186" i="2" s="1"/>
  <c r="E186" i="1" s="1"/>
  <c r="F183" i="2"/>
  <c r="D183" i="2" s="1"/>
  <c r="E183" i="1" s="1"/>
  <c r="F185" i="2"/>
  <c r="D185" i="2" s="1"/>
  <c r="E185" i="1" s="1"/>
  <c r="F154" i="2"/>
  <c r="D154" i="2" s="1"/>
  <c r="E154" i="1" s="1"/>
  <c r="F140" i="2"/>
  <c r="D140" i="2" s="1"/>
  <c r="E140" i="1" s="1"/>
  <c r="F144" i="2"/>
  <c r="D144" i="2" s="1"/>
  <c r="E144" i="1" s="1"/>
  <c r="F148" i="2"/>
  <c r="D148" i="2" s="1"/>
  <c r="E148" i="1" s="1"/>
  <c r="F155" i="2"/>
  <c r="D155" i="2" s="1"/>
  <c r="E155" i="1" s="1"/>
  <c r="F139" i="2"/>
  <c r="D139" i="2" s="1"/>
  <c r="E139" i="1" s="1"/>
  <c r="F156" i="2"/>
  <c r="D156" i="2" s="1"/>
  <c r="E156" i="1" s="1"/>
  <c r="F142" i="2"/>
  <c r="D142" i="2" s="1"/>
  <c r="E142" i="1" s="1"/>
  <c r="F146" i="2"/>
  <c r="D146" i="2" s="1"/>
  <c r="E146" i="1" s="1"/>
  <c r="F143" i="2"/>
  <c r="D143" i="2" s="1"/>
  <c r="E143" i="1" s="1"/>
  <c r="F147" i="2"/>
  <c r="D147" i="2" s="1"/>
  <c r="E147" i="1" s="1"/>
  <c r="F123" i="2"/>
  <c r="D123" i="2" s="1"/>
  <c r="E123" i="1" s="1"/>
  <c r="F127" i="2"/>
  <c r="D127" i="2" s="1"/>
  <c r="E127" i="1" s="1"/>
  <c r="F124" i="2"/>
  <c r="D124" i="2" s="1"/>
  <c r="E124" i="1" s="1"/>
  <c r="F111" i="2"/>
  <c r="D111" i="2" s="1"/>
  <c r="E113" i="1" s="1"/>
  <c r="F125" i="2"/>
  <c r="D125" i="2" s="1"/>
  <c r="E125" i="1" s="1"/>
  <c r="F122" i="2"/>
  <c r="D122" i="2" s="1"/>
  <c r="E122" i="1" s="1"/>
  <c r="F126" i="2"/>
  <c r="D126" i="2" s="1"/>
  <c r="E126" i="1" s="1"/>
  <c r="F109" i="2"/>
  <c r="D109" i="2" s="1"/>
  <c r="E111" i="1" s="1"/>
  <c r="F108" i="2"/>
  <c r="D108" i="2" s="1"/>
  <c r="E110" i="1" s="1"/>
  <c r="F112" i="2"/>
  <c r="D112" i="2" s="1"/>
  <c r="E114" i="1" s="1"/>
  <c r="F110" i="2"/>
  <c r="D110" i="2" s="1"/>
  <c r="E112" i="1" s="1"/>
  <c r="F93" i="2"/>
  <c r="F94" i="2"/>
  <c r="D94" i="2" s="1"/>
  <c r="E102" i="1" s="1"/>
  <c r="F87" i="2"/>
  <c r="F86" i="2" s="1"/>
  <c r="D203" i="2" l="1"/>
  <c r="E199" i="1" s="1"/>
  <c r="E198" i="1" s="1"/>
  <c r="D86" i="2"/>
  <c r="D93" i="2"/>
  <c r="E101" i="1" s="1"/>
  <c r="D202" i="2"/>
  <c r="D87" i="2"/>
  <c r="E97" i="1" s="1"/>
  <c r="E96" i="1" s="1"/>
  <c r="D194" i="1" l="1"/>
  <c r="D138" i="1"/>
  <c r="D121" i="1"/>
  <c r="D120" i="1"/>
  <c r="I274" i="3"/>
  <c r="I214" i="3"/>
  <c r="I205" i="3"/>
  <c r="I184" i="3" s="1"/>
  <c r="I166" i="3"/>
  <c r="F195" i="2" s="1"/>
  <c r="I113" i="3"/>
  <c r="I97" i="3"/>
  <c r="I96" i="3"/>
  <c r="F120" i="2" s="1"/>
  <c r="F138" i="2" l="1"/>
  <c r="D138" i="2" s="1"/>
  <c r="E138" i="1" s="1"/>
  <c r="F121" i="2"/>
  <c r="D120" i="2"/>
  <c r="E120" i="1" s="1"/>
  <c r="D195" i="2" l="1"/>
  <c r="E194" i="1" s="1"/>
  <c r="F118" i="2"/>
  <c r="D118" i="2" s="1"/>
  <c r="D121" i="2"/>
  <c r="E121" i="1" s="1"/>
  <c r="E118" i="1" s="1"/>
  <c r="I181" i="3" l="1"/>
  <c r="F216" i="2" s="1"/>
  <c r="I180" i="3"/>
  <c r="F215" i="2" s="1"/>
  <c r="I179" i="3"/>
  <c r="F214" i="2" s="1"/>
  <c r="I165" i="3"/>
  <c r="F194" i="2" s="1"/>
  <c r="I164" i="3"/>
  <c r="F193" i="2" s="1"/>
  <c r="I163" i="3"/>
  <c r="F192" i="2" s="1"/>
  <c r="I162" i="3"/>
  <c r="F191" i="2" s="1"/>
  <c r="I161" i="3"/>
  <c r="F190" i="2" s="1"/>
  <c r="I154" i="3"/>
  <c r="F181" i="2" s="1"/>
  <c r="I153" i="3"/>
  <c r="F180" i="2" s="1"/>
  <c r="I152" i="3"/>
  <c r="F179" i="2" s="1"/>
  <c r="I151" i="3"/>
  <c r="F178" i="2" s="1"/>
  <c r="I150" i="3"/>
  <c r="F177" i="2" s="1"/>
  <c r="I149" i="3"/>
  <c r="F176" i="2" s="1"/>
  <c r="I148" i="3"/>
  <c r="F175" i="2" s="1"/>
  <c r="I147" i="3"/>
  <c r="F174" i="2" s="1"/>
  <c r="I146" i="3"/>
  <c r="F173" i="2" s="1"/>
  <c r="I145" i="3"/>
  <c r="F172" i="2" s="1"/>
  <c r="I144" i="3"/>
  <c r="F171" i="2" s="1"/>
  <c r="I143" i="3"/>
  <c r="F170" i="2" s="1"/>
  <c r="I127" i="3"/>
  <c r="F153" i="2" s="1"/>
  <c r="F152" i="2" s="1"/>
  <c r="I112" i="3"/>
  <c r="F137" i="2" s="1"/>
  <c r="F130" i="2" s="1"/>
  <c r="I86" i="3"/>
  <c r="F107" i="2" s="1"/>
  <c r="I85" i="3"/>
  <c r="F106" i="2" s="1"/>
  <c r="I83" i="3"/>
  <c r="I78" i="3"/>
  <c r="F189" i="2" l="1"/>
  <c r="F91" i="2"/>
  <c r="F211" i="2"/>
  <c r="F104" i="2"/>
  <c r="F161" i="2"/>
  <c r="F103" i="2"/>
  <c r="F101" i="2" s="1"/>
  <c r="D211" i="1"/>
  <c r="D210" i="1"/>
  <c r="D209" i="1"/>
  <c r="D193" i="1"/>
  <c r="D192" i="1"/>
  <c r="D191" i="1"/>
  <c r="D190" i="1"/>
  <c r="D189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53" i="1"/>
  <c r="D137" i="1"/>
  <c r="D109" i="1"/>
  <c r="D108" i="1"/>
  <c r="D105" i="1"/>
  <c r="D100" i="1"/>
  <c r="D99" i="1"/>
  <c r="D216" i="2" l="1"/>
  <c r="E211" i="1" s="1"/>
  <c r="D215" i="2"/>
  <c r="E210" i="1" s="1"/>
  <c r="D194" i="2"/>
  <c r="E193" i="1" s="1"/>
  <c r="D193" i="2"/>
  <c r="E192" i="1" s="1"/>
  <c r="D192" i="2"/>
  <c r="E191" i="1" s="1"/>
  <c r="D191" i="2"/>
  <c r="E190" i="1" s="1"/>
  <c r="D190" i="2"/>
  <c r="E189" i="1" s="1"/>
  <c r="D107" i="2"/>
  <c r="E109" i="1" s="1"/>
  <c r="E188" i="1" l="1"/>
  <c r="D104" i="2"/>
  <c r="D137" i="2"/>
  <c r="E137" i="1" s="1"/>
  <c r="E130" i="1" s="1"/>
  <c r="D181" i="2"/>
  <c r="E181" i="1" s="1"/>
  <c r="D180" i="2"/>
  <c r="E180" i="1" s="1"/>
  <c r="D179" i="2"/>
  <c r="E179" i="1" s="1"/>
  <c r="D178" i="2"/>
  <c r="E178" i="1" s="1"/>
  <c r="D177" i="2"/>
  <c r="E177" i="1" s="1"/>
  <c r="D176" i="2"/>
  <c r="E176" i="1" s="1"/>
  <c r="D175" i="2"/>
  <c r="E175" i="1" s="1"/>
  <c r="D174" i="2"/>
  <c r="E174" i="1" s="1"/>
  <c r="D173" i="2"/>
  <c r="E173" i="1" s="1"/>
  <c r="D172" i="2"/>
  <c r="E172" i="1" s="1"/>
  <c r="D171" i="2"/>
  <c r="E171" i="1" s="1"/>
  <c r="D170" i="2"/>
  <c r="E170" i="1" s="1"/>
  <c r="D106" i="2"/>
  <c r="E108" i="1" s="1"/>
  <c r="E106" i="1" s="1"/>
  <c r="E161" i="1" l="1"/>
  <c r="D130" i="2"/>
  <c r="D161" i="2"/>
  <c r="D103" i="2"/>
  <c r="E105" i="1" s="1"/>
  <c r="E103" i="1" s="1"/>
  <c r="D101" i="2" l="1"/>
  <c r="I79" i="3"/>
  <c r="I76" i="3" s="1"/>
  <c r="I75" i="3" s="1"/>
  <c r="D214" i="2"/>
  <c r="E209" i="1" s="1"/>
  <c r="E206" i="1" s="1"/>
  <c r="D153" i="2"/>
  <c r="E153" i="1" s="1"/>
  <c r="E152" i="1" s="1"/>
  <c r="H13" i="2"/>
  <c r="E13" i="2"/>
  <c r="D91" i="2"/>
  <c r="E99" i="1" s="1"/>
  <c r="F92" i="2" l="1"/>
  <c r="I14" i="3"/>
  <c r="I13" i="3" s="1"/>
  <c r="F90" i="2"/>
  <c r="F83" i="2" s="1"/>
  <c r="H11" i="2"/>
  <c r="D85" i="2"/>
  <c r="G13" i="2"/>
  <c r="D92" i="2" l="1"/>
  <c r="E100" i="1" s="1"/>
  <c r="E98" i="1" s="1"/>
  <c r="E93" i="1" s="1"/>
  <c r="E91" i="1" s="1"/>
  <c r="D211" i="2"/>
  <c r="D189" i="2"/>
  <c r="G11" i="2"/>
  <c r="D152" i="2"/>
  <c r="D90" i="2" l="1"/>
  <c r="F13" i="2" l="1"/>
  <c r="F11" i="2" s="1"/>
  <c r="D83" i="2"/>
  <c r="J15" i="4" s="1"/>
  <c r="J14" i="4" s="1"/>
  <c r="J13" i="4" s="1"/>
  <c r="J11" i="4" s="1"/>
  <c r="E11" i="2"/>
  <c r="E10" i="1" l="1"/>
  <c r="D11" i="2"/>
  <c r="D13" i="2"/>
</calcChain>
</file>

<file path=xl/sharedStrings.xml><?xml version="1.0" encoding="utf-8"?>
<sst xmlns="http://schemas.openxmlformats.org/spreadsheetml/2006/main" count="1826" uniqueCount="648">
  <si>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</si>
  <si>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հազ. դրամներով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</si>
  <si>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</si>
  <si>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</si>
  <si>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Ցուցանիշների փոփոխությունը (ավելացումները նշված են դրական նշանով, իսկ նվազեցումները՝ փակագծերում)  </t>
  </si>
  <si>
    <t>Ծրագիր</t>
  </si>
  <si>
    <t>Միջոցառում</t>
  </si>
  <si>
    <t xml:space="preserve"> Տարի</t>
  </si>
  <si>
    <t>ՀՀ ԿՐԹՈՒԹՅԱՆ, ԳԻՏՈՒԹՅԱՆ, ՄՇԱԿՈՒՅԹԻ ԵՎ ՍՊՈՐՏԻ ՆԱԽԱՐԱՐՈՒԹՅՈՒՆ</t>
  </si>
  <si>
    <t>այդ  թվում՝</t>
  </si>
  <si>
    <t xml:space="preserve"> այդ թվում` ըստ կատարողների</t>
  </si>
  <si>
    <t xml:space="preserve"> այդ թվում`ըստ ուղղությունների</t>
  </si>
  <si>
    <t>ՀՀ Արարատի մարզ</t>
  </si>
  <si>
    <t>ՀՀ Լոռու մարզ</t>
  </si>
  <si>
    <t>ՀՀ Տավուշի մարզ</t>
  </si>
  <si>
    <t>ՀՀ կրթության, գիտության, մշակույթի և սպորտի նախարարություն</t>
  </si>
  <si>
    <t>ՀՀ Գեղարքունիքի մարզ</t>
  </si>
  <si>
    <t>ՀՀ Շիրակի մարզ</t>
  </si>
  <si>
    <t>ՀՀ Արագածոտնի մարզ</t>
  </si>
  <si>
    <t>ՀՀ Սյունիքի մարզ</t>
  </si>
  <si>
    <t>ՀՀ Կոտայքի մարզ</t>
  </si>
  <si>
    <t>Հանրակրթական դպրոցների շենքերի վերակառուցում, հիմնանորոգում</t>
  </si>
  <si>
    <t>ՀՀ Արմավիրի մարզ</t>
  </si>
  <si>
    <t>ՀՀ կառավարության  2025 թվականի</t>
  </si>
  <si>
    <t xml:space="preserve"> ______________ ի    ___Ն որոշման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</si>
  <si>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</si>
  <si>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</si>
  <si>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</si>
  <si>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</si>
  <si>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</si>
  <si>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</si>
  <si>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</si>
  <si>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</si>
  <si>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</si>
  <si>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այդ թվում`</t>
  </si>
  <si>
    <t xml:space="preserve">ՀՀ կառավարության  2025 թվականի 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</si>
  <si>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</si>
  <si>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</si>
  <si>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</si>
  <si>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</si>
  <si>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</si>
  <si>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</si>
  <si>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</si>
  <si>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</si>
  <si>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</si>
  <si>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02</t>
  </si>
  <si>
    <t>Դաս N 01</t>
  </si>
  <si>
    <t xml:space="preserve"> Հիմնական ընդհանուր կրթություն</t>
  </si>
  <si>
    <t xml:space="preserve"> </t>
  </si>
  <si>
    <t>ՀԲՄ</t>
  </si>
  <si>
    <t xml:space="preserve"> դրամ</t>
  </si>
  <si>
    <t xml:space="preserve"> ՄԱՍ II. ԱՇԽԱՏԱՆՔՆԵՐ</t>
  </si>
  <si>
    <t>Մաստարայի միջնակարգ դպրոց</t>
  </si>
  <si>
    <t>Թալինի ավագ դպրոց</t>
  </si>
  <si>
    <t>Բաղրամյանի միջնակարգ դպրոց</t>
  </si>
  <si>
    <t>Նորակերտի միջնակարգ դպրոց</t>
  </si>
  <si>
    <t>Գառնու թիվ 2 ավագ դպրոց</t>
  </si>
  <si>
    <t>Աշոցքի միջնակարգ դպրոց</t>
  </si>
  <si>
    <t>Գյումրու Օյունջյանի միջնակարգ դպրոց-վարժարան</t>
  </si>
  <si>
    <t>Գյումրու թիվ 9 հիմնական դպրոց</t>
  </si>
  <si>
    <t>Գյումրու թիվ 19 հիմնական դպրոց</t>
  </si>
  <si>
    <t>Հառիճի միջնակարգ դպրոց</t>
  </si>
  <si>
    <t>Գյումրու թիվ 31 հիմնական դպրոց</t>
  </si>
  <si>
    <t>Գյուլագարակի միջնակարգ դպրոց</t>
  </si>
  <si>
    <t>Գյումրու թիվ 45 միջնակարգ դպրոց</t>
  </si>
  <si>
    <t>Քարակերտի թիվ 2 միջնակարգ դպրոց</t>
  </si>
  <si>
    <t>Կառնուտի միջնակարգ դպրոց</t>
  </si>
  <si>
    <t>Գյումրու թիվ 5 հիմնական դպրոց</t>
  </si>
  <si>
    <t>Գյումրու թիվ 30 հիմնական դպրոց</t>
  </si>
  <si>
    <t>Նոր Կյանքի միջնակարգ դպրոց</t>
  </si>
  <si>
    <t>Արևշատի միջնակարգ դպրոց</t>
  </si>
  <si>
    <t>Սիսիանի թիվ 4 հիմնական դպրոց</t>
  </si>
  <si>
    <t>Գորիսի թիվ 5 հիմնական դպրոց</t>
  </si>
  <si>
    <t>Գորիսի թիվ 3 հիմնական դպրոց</t>
  </si>
  <si>
    <t>Քաջարանի թիվ 2 միջնակարգ դպրոց</t>
  </si>
  <si>
    <t>Ձագիկավանի միջնակարգ դպրոց</t>
  </si>
  <si>
    <t>Թեղուտի միջնակարգ դպրոց</t>
  </si>
  <si>
    <t>Բերդավանի միջնակարգ դպրոց</t>
  </si>
  <si>
    <t>Տավուշի միջնակարգ դպրոց</t>
  </si>
  <si>
    <t>1236-32004</t>
  </si>
  <si>
    <t xml:space="preserve"> Հանրակրթական դպրոցների շենքերի վերակառուցում, հիմնանորոգում</t>
  </si>
  <si>
    <t>45211229-743</t>
  </si>
  <si>
    <t xml:space="preserve"> շինարարական աշխատանքներ դպրոցների  համար</t>
  </si>
  <si>
    <t>45211229-705</t>
  </si>
  <si>
    <t>45211229-712</t>
  </si>
  <si>
    <t>45211229-702</t>
  </si>
  <si>
    <t>45211229-734</t>
  </si>
  <si>
    <t>45211229-720</t>
  </si>
  <si>
    <t>45211229-703</t>
  </si>
  <si>
    <t>45211229-701</t>
  </si>
  <si>
    <t>45211229-704</t>
  </si>
  <si>
    <t>45211229-706</t>
  </si>
  <si>
    <t>45211229-709</t>
  </si>
  <si>
    <t>45211229-736</t>
  </si>
  <si>
    <t>45211229-708</t>
  </si>
  <si>
    <t>45211229-722</t>
  </si>
  <si>
    <t>45211229-733</t>
  </si>
  <si>
    <t>45211229-742</t>
  </si>
  <si>
    <t>45211229-761</t>
  </si>
  <si>
    <t>45211229-762</t>
  </si>
  <si>
    <t>45211229-715</t>
  </si>
  <si>
    <t>45211229-716</t>
  </si>
  <si>
    <t>45211229-728</t>
  </si>
  <si>
    <t>45211229-744</t>
  </si>
  <si>
    <t>45211229-748</t>
  </si>
  <si>
    <t>45211229-707</t>
  </si>
  <si>
    <t>45211229-723</t>
  </si>
  <si>
    <t>45211229-727</t>
  </si>
  <si>
    <t>45211229-749</t>
  </si>
  <si>
    <t xml:space="preserve">«Հնաբերդի միջնակարգ դպրոց» ՊՈԱԿ </t>
  </si>
  <si>
    <t xml:space="preserve">«Վաղաշենի միջնակարգ դպրոց» ՊՈԱԿ </t>
  </si>
  <si>
    <t xml:space="preserve">«Ստեփանավանի Ստ․ Շահումյանի անվան թիվ 1 հիմնական դպրոց» ՊՈԱԿ </t>
  </si>
  <si>
    <t xml:space="preserve">«ք. Վանաձորի Ա.Մաթևոսյանի անվան թիվ 8 հիմնական դպրոց» ՊՈԱԿ </t>
  </si>
  <si>
    <t xml:space="preserve">«ք. Վանաձորի Խ.Աբովյանի անվան թիվ 9 հիմնական դպրոց» ՊՈԱԿ </t>
  </si>
  <si>
    <t>«Վանաձորի ծովակալ Իսակովի անվան թիվ 23 հիմնական դպրոց» ՊՈԱԿ</t>
  </si>
  <si>
    <t xml:space="preserve">«ք․ Գյումրու թիվ 32 հիմնական դպրոց» ՊՈԱԿ </t>
  </si>
  <si>
    <t xml:space="preserve">«ք․ Գյումրու թիվ 38 հիմնական դպրոց» ՊՈԱԿ </t>
  </si>
  <si>
    <t xml:space="preserve">«Փանիկի միջնակարգ դպրոց» ՊՈԱԿ </t>
  </si>
  <si>
    <t>«Գյումրու թիվ 23 միջնակարգ դպրոց» ՊՈԱԿ</t>
  </si>
  <si>
    <t>45211229-753</t>
  </si>
  <si>
    <t>ՀՄԱ</t>
  </si>
  <si>
    <t>Ծակքարի միջնակարգ դպրոց</t>
  </si>
  <si>
    <t>Նորատուսի թիվ 1 միջնակարգ դպրոց</t>
  </si>
  <si>
    <t>Սպիտակի Շ. Ազնավուրի անվան թիվ 3 հիմնական դպրոց</t>
  </si>
  <si>
    <t xml:space="preserve"> ՄԱՍ III. ԾԱՌԱՅՈՒԹՅՈՒՆՆԵՐ</t>
  </si>
  <si>
    <t xml:space="preserve"> հեղինակային հսկողության ծառայություններ</t>
  </si>
  <si>
    <t>ՄԱ</t>
  </si>
  <si>
    <t>Շվանիձորի միջնակարգ դպրոց</t>
  </si>
  <si>
    <t>45211229-791</t>
  </si>
  <si>
    <t>Երևան քաղաք</t>
  </si>
  <si>
    <t>Երևանի հ. 101 միջնակարգ դպրոց</t>
  </si>
  <si>
    <t>45211229-745</t>
  </si>
  <si>
    <t>45211229-746</t>
  </si>
  <si>
    <t>Արագածի թիվ 2 միջնակարգ դպրոց</t>
  </si>
  <si>
    <t>Բազմաղբյուրի միջնակարգ դպրոց</t>
  </si>
  <si>
    <t>45211229-174</t>
  </si>
  <si>
    <t>45211229-664</t>
  </si>
  <si>
    <t>45211229-741</t>
  </si>
  <si>
    <t>45211229-768</t>
  </si>
  <si>
    <t>45211229-750</t>
  </si>
  <si>
    <t>45211229-780</t>
  </si>
  <si>
    <t>45211229-717</t>
  </si>
  <si>
    <t>«Այգեկի Մուշեղ Մովսիսյանի անվան միջնակարգ դպրոց» ՊՈԱԿ</t>
  </si>
  <si>
    <t>Արմավիրի Վ. Բախշյանի անվան թիվ 2 հիմնական դպրոց</t>
  </si>
  <si>
    <t>Խանջյանի Ա. Հակոբյանի անվան միջնակարգ դպրոց</t>
  </si>
  <si>
    <t>Ալաշկերտի Հ. Քոչարի անվան միջնակարգ դպրոց</t>
  </si>
  <si>
    <t>Նորավանի միջնակարգ դպրոց</t>
  </si>
  <si>
    <t>Մեծամորի միջնակարգ դպրոց</t>
  </si>
  <si>
    <t>45211229-176</t>
  </si>
  <si>
    <t>45211229-751</t>
  </si>
  <si>
    <t>45211229-767</t>
  </si>
  <si>
    <t>45211229-776</t>
  </si>
  <si>
    <t>45211229-773</t>
  </si>
  <si>
    <t>45211229-785</t>
  </si>
  <si>
    <t>45211229-793</t>
  </si>
  <si>
    <t>Կարմիրգյուղի թիվ 2 միջնակարգ դպրոց</t>
  </si>
  <si>
    <t>Ծովագյուղի միջնակարգ դպրոց</t>
  </si>
  <si>
    <t>Ակունքի միջնակարգ դպրոց</t>
  </si>
  <si>
    <t>Վարդաձորի միջնակարգ դպրոց</t>
  </si>
  <si>
    <t>Սարուխանի թիվ 2 միջնակարգ դպրոց</t>
  </si>
  <si>
    <t>Ձորագյուղի միջնակարգ դպրոց</t>
  </si>
  <si>
    <t>45211229-180</t>
  </si>
  <si>
    <t>ԳՀ</t>
  </si>
  <si>
    <t>45211229-178</t>
  </si>
  <si>
    <t>45211229-179</t>
  </si>
  <si>
    <t>45211229-666</t>
  </si>
  <si>
    <t>45211229-177</t>
  </si>
  <si>
    <t>45211229-181</t>
  </si>
  <si>
    <t xml:space="preserve">«Ագարակի միջնակարգ դպրոց» ՊՈԱԿ </t>
  </si>
  <si>
    <t xml:space="preserve">«Ստեփանավանի Սուրբ Գրիգոր Լուսավորիչի անվան թիվ 2 հիմնական դպրոց» ՊՈԱԿ </t>
  </si>
  <si>
    <t>45211229-775</t>
  </si>
  <si>
    <t>45211229-730</t>
  </si>
  <si>
    <t>45211229-738</t>
  </si>
  <si>
    <t>45211229-756</t>
  </si>
  <si>
    <t>45211229-758</t>
  </si>
  <si>
    <t>45211229-759</t>
  </si>
  <si>
    <t>45211229-765</t>
  </si>
  <si>
    <t>45211229-769</t>
  </si>
  <si>
    <t>45211229-779</t>
  </si>
  <si>
    <t>45211229-781</t>
  </si>
  <si>
    <t>45211229-786</t>
  </si>
  <si>
    <t>ք. Վանաձորի Մաթեմատիկայի և բնագիտական առարկաների խորացված ուսուցմամբ հատուկ դպրոց</t>
  </si>
  <si>
    <t>Լեռնավանի միջնակարգ դպրոց</t>
  </si>
  <si>
    <t>Արևաշողի միջնակարգ դպրոց</t>
  </si>
  <si>
    <t>Վարդաբլուրի միջնակարգ դպրոց</t>
  </si>
  <si>
    <t>Արջահովիտի Ղուրսալիի միջնակարգ դպրոց</t>
  </si>
  <si>
    <t>Լեռնապատի Ե. Դալլաքյանի անվան միջնակարգ դպրոց</t>
  </si>
  <si>
    <t>Լուսաղբյուրի միջնակարգ դպրոց</t>
  </si>
  <si>
    <t>Ծաղկաբերի Դ. Մարտիրոսյանի անվան միջնակարգ դպրոց</t>
  </si>
  <si>
    <t>Գոգարանի միջնակարգ դպրոց</t>
  </si>
  <si>
    <t>Լեռնանցքի միջնակարգ դպրոց</t>
  </si>
  <si>
    <t>Կաթնաջրի Ս. Սեյրանյանի անվան միջնակարգ դպրոց</t>
  </si>
  <si>
    <t>45211229-740</t>
  </si>
  <si>
    <t>45211229-778</t>
  </si>
  <si>
    <t>45211229-783</t>
  </si>
  <si>
    <t>Արզնիի միջնակարգ դպրոց</t>
  </si>
  <si>
    <t>Ձորաղբյուրի Վ. Կարապետյանի անվան միջնակարգ դպրոց</t>
  </si>
  <si>
    <t>Մրգաշենի միջնակարգ դպրոց</t>
  </si>
  <si>
    <t>45211229-182</t>
  </si>
  <si>
    <t>45211229-183</t>
  </si>
  <si>
    <t>45211229-185</t>
  </si>
  <si>
    <t>45211229-186</t>
  </si>
  <si>
    <t>45211229-187</t>
  </si>
  <si>
    <t>45211229-501</t>
  </si>
  <si>
    <t>45211229-502</t>
  </si>
  <si>
    <t xml:space="preserve">«ք․ Գյումրու թիվ 28 հիմնական դպրոց» ՊՈԱԿ </t>
  </si>
  <si>
    <t xml:space="preserve">«Ախուրյանի թիվ 2 հիմնական դպրոց» ՊՈԱԿ </t>
  </si>
  <si>
    <t>«Գյումրու թիվ 20 հիմնական դպրոց» ՊՈԱԿ</t>
  </si>
  <si>
    <t>45211229-735</t>
  </si>
  <si>
    <t>45211229-747</t>
  </si>
  <si>
    <t>45211229-755</t>
  </si>
  <si>
    <t>45211229-766</t>
  </si>
  <si>
    <t>45211229-777</t>
  </si>
  <si>
    <t>Գյումրու թիվ 7 հիմնական դպրոց</t>
  </si>
  <si>
    <t>Լեռնակերտի միջնակարգ դպրոց</t>
  </si>
  <si>
    <t>Հայկավանի միջնակարգ դպրոց</t>
  </si>
  <si>
    <t>Վահրամաբերդի Հ. Մկրտչյանի անվան միջնակարգ դպրոց</t>
  </si>
  <si>
    <t>Մուսայելյանի միջնակարգ դպրոց</t>
  </si>
  <si>
    <t>45211229-754</t>
  </si>
  <si>
    <t>45211229-789</t>
  </si>
  <si>
    <t>45211229-790</t>
  </si>
  <si>
    <t>Աճանանի միջնակարգ դպրոց</t>
  </si>
  <si>
    <t>Կապանի թիվ 8 միջնակարգ դպրոց</t>
  </si>
  <si>
    <t>Քարահունջի միջնակարգ դպրոց</t>
  </si>
  <si>
    <t>45211229-752</t>
  </si>
  <si>
    <t>45211229-774</t>
  </si>
  <si>
    <t>ՀՀ Վայոց Ձորի մարզ</t>
  </si>
  <si>
    <t>Ջերմուկի Մ. Գորկու անվան թիվ 1 հիմնական դպրոց</t>
  </si>
  <si>
    <t>Մալիշկայի Մ. Լոմոնոսովի անվան միջնակարգ դպրոց</t>
  </si>
  <si>
    <t>45211229-652</t>
  </si>
  <si>
    <t>45211229-200</t>
  </si>
  <si>
    <t>«Մ. Սաղումյանի անվան Բերդի ավագ դպրոց» ՊՈԱԿ</t>
  </si>
  <si>
    <t>«Կայանի Հովհաննես Հինդլյանի անվան միջնակարգ դպրոց» ՊՈԱԿ</t>
  </si>
  <si>
    <t>Իջևանի թիվ 4 հիմնական դպրոց</t>
  </si>
  <si>
    <t>Բերդի Կ. Մարդանյանի անվան թիվ 3 հիմնական դպրոց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</si>
  <si>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</si>
  <si>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</si>
  <si>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գ. Արագածավանի թիվ 2 միջնակարգ դպրոց</t>
  </si>
  <si>
    <t>Վերին Դվին բնակավայրի միջնակարգ դպրոց</t>
  </si>
  <si>
    <t>Այգեստան բնակավայրի միջնակարգ դպրոց</t>
  </si>
  <si>
    <t>գ. Ջրառատի Թ.Խաչատրյանի անվ. միջնակարգ դպրոց</t>
  </si>
  <si>
    <t xml:space="preserve">գ. Վանանդի միջնակարգ դպրոց            </t>
  </si>
  <si>
    <t>գ. Նոր Կեսարիայի միջնակարգ դպրոց</t>
  </si>
  <si>
    <t>գ. Գեղակերտի միջնակարգ դպրոց</t>
  </si>
  <si>
    <t>գ. Օձունի թիվ 2 միջնակարգ դպրոց</t>
  </si>
  <si>
    <t>ք. Սպիտակի թիվ 8 միջնակարգ դպրոց</t>
  </si>
  <si>
    <t>գ. Շիրակամուտի թիվ 1 միջնակարգ դպրոց</t>
  </si>
  <si>
    <t>գ. Ճոճկանի միջնակարգ դպրոց</t>
  </si>
  <si>
    <t>Գողթ բնակավայրի միջնակարգ դպրոց</t>
  </si>
  <si>
    <t xml:space="preserve">«գ. Խնձորեսկի միջնակարգ դպրոց» ՊՈԱԿ </t>
  </si>
  <si>
    <t>ք. Ագարակի միջնակարգ դպրոց</t>
  </si>
  <si>
    <t>գ․ Տաթևի միջնակարգ դպրոց</t>
  </si>
  <si>
    <t xml:space="preserve">ք. Այրումի Հ.Մալինյանի անվան միջնակարգ դպրոց </t>
  </si>
  <si>
    <t>գ. Բագրատաշենի Մ․ Մագուլյանի անվան թիվ 1 միջնակարգ դպրոց</t>
  </si>
  <si>
    <t>Կրթահամալիրների կառուցում</t>
  </si>
  <si>
    <t>գ. Ճարճակիսի կրթահամալիր</t>
  </si>
  <si>
    <t>գ. Զարինջայի կրթահամալիր</t>
  </si>
  <si>
    <t>գ. Պարույր Սևակի կրթահամալիր</t>
  </si>
  <si>
    <t>գ. Երասխահունի կրթահամալիր</t>
  </si>
  <si>
    <t>գ. Հայկավանի կրթահամալիր</t>
  </si>
  <si>
    <t>գ. Կախակնի կրթահամալիր</t>
  </si>
  <si>
    <t>գ. Արեգունու կրթահամալիր</t>
  </si>
  <si>
    <t>գ. Փոքր Մասրիկի  կրթահամալիր</t>
  </si>
  <si>
    <t>գ. Կաթնաղբյուրի կրթահամալիր</t>
  </si>
  <si>
    <t>գ. Բազումի կրթահամալիր</t>
  </si>
  <si>
    <t>գ. Գարգառի կրթահամալիր</t>
  </si>
  <si>
    <t>գ. Քեթիի կրթահամալիր</t>
  </si>
  <si>
    <t>գ․ Բյուրակնի կրթահամալիր</t>
  </si>
  <si>
    <t>Կապան համայնքի Արծվանիկի կրթահամալիր</t>
  </si>
  <si>
    <t>գ. Լուսաձորի կրթահամալիր</t>
  </si>
  <si>
    <t>գ. Պտղավանի կրթահամալիր</t>
  </si>
  <si>
    <t>1236-32005</t>
  </si>
  <si>
    <t xml:space="preserve"> Կրթահամալիրների կառուցում</t>
  </si>
  <si>
    <t>45211229-154</t>
  </si>
  <si>
    <t>71351540-111</t>
  </si>
  <si>
    <t xml:space="preserve"> տեխնիկական հսկողության ծառայություններ</t>
  </si>
  <si>
    <t>71351540-112</t>
  </si>
  <si>
    <t>71351540-113</t>
  </si>
  <si>
    <t>71351540-118</t>
  </si>
  <si>
    <t>71351540-120</t>
  </si>
  <si>
    <t>71351540-123</t>
  </si>
  <si>
    <t>71351540-124</t>
  </si>
  <si>
    <t>71351540-125</t>
  </si>
  <si>
    <t>71351540-130</t>
  </si>
  <si>
    <t>71351540-134</t>
  </si>
  <si>
    <t>71351540-137</t>
  </si>
  <si>
    <t>71351540-139</t>
  </si>
  <si>
    <t>71351540-142</t>
  </si>
  <si>
    <t>71351540-146</t>
  </si>
  <si>
    <t>71351540-156</t>
  </si>
  <si>
    <t>71351540-158</t>
  </si>
  <si>
    <t>1236-32003</t>
  </si>
  <si>
    <t xml:space="preserve"> Հանրակրթական դպրոցների նոր շենքերի կառուցում</t>
  </si>
  <si>
    <t>45211229-60</t>
  </si>
  <si>
    <t>45211229-64</t>
  </si>
  <si>
    <t>45211229-65</t>
  </si>
  <si>
    <t>45211229-67</t>
  </si>
  <si>
    <t>45211229-70</t>
  </si>
  <si>
    <t>45211229-76</t>
  </si>
  <si>
    <t>45211229-78</t>
  </si>
  <si>
    <t>45211229-81</t>
  </si>
  <si>
    <t>45211229-82</t>
  </si>
  <si>
    <t>45211229-89</t>
  </si>
  <si>
    <t>45211229-105</t>
  </si>
  <si>
    <t>45211229-107</t>
  </si>
  <si>
    <t>45211229-110</t>
  </si>
  <si>
    <t>71351540-58</t>
  </si>
  <si>
    <t>71351540-59</t>
  </si>
  <si>
    <t>71351540-64</t>
  </si>
  <si>
    <t>71351540-65</t>
  </si>
  <si>
    <t>71351540-67</t>
  </si>
  <si>
    <t>71351540-68</t>
  </si>
  <si>
    <t>71351540-69</t>
  </si>
  <si>
    <t>71351540-88</t>
  </si>
  <si>
    <t>71351540-98</t>
  </si>
  <si>
    <t>71351540-107</t>
  </si>
  <si>
    <t>Հանրակրթական դպրոցների նոր շենքերի կառուցում</t>
  </si>
  <si>
    <t>45211229-57</t>
  </si>
  <si>
    <t>45211229-58</t>
  </si>
  <si>
    <t>45211229-59</t>
  </si>
  <si>
    <t>45211229-61</t>
  </si>
  <si>
    <t>ք. Աշտարակի Վ.Պետրոսյան անվ. հիմնական դպրոց</t>
  </si>
  <si>
    <t>գ. Նոր Եդեսիայի Ն. Շնորհալու անվ. միջնակարգ դպրոց</t>
  </si>
  <si>
    <t>45211229-62</t>
  </si>
  <si>
    <t>45211229-63</t>
  </si>
  <si>
    <t>«Վեդիի ավագ դպրոց» ՊՈԱԿ</t>
  </si>
  <si>
    <t>Գետազատ բնակավայրի միջնակարգ դպրոց</t>
  </si>
  <si>
    <t>45211229-66</t>
  </si>
  <si>
    <t>45211229-69</t>
  </si>
  <si>
    <t>45211229-71</t>
  </si>
  <si>
    <t>45211229-72</t>
  </si>
  <si>
    <t>«Վաղարշապատի Մովսես Խորենացու անվան N 10 ավագ դպրոց» ՊՈԱԿ</t>
  </si>
  <si>
    <t xml:space="preserve">գ. Ամբերդի Հ. Նավասարդյանի անվ. միջնակարգ դպրոց  </t>
  </si>
  <si>
    <t>ք. Վաղարշապատի Վ.Ռշտունու անվ. թիվ 11 հիմնական դպրոց</t>
  </si>
  <si>
    <t>45211229-73</t>
  </si>
  <si>
    <t>գ. Ծովինարի Արծրուն Խաչատրյանի անվ. միջնակարգ դպրոց</t>
  </si>
  <si>
    <t>45211229-75</t>
  </si>
  <si>
    <t>45211229-79</t>
  </si>
  <si>
    <t>գ. Արևածագի Կ․ Մելիքսեթյանի անվան միջնակարգ դպրոց</t>
  </si>
  <si>
    <t>գ. Աքորու միջնակարգ դպրոց</t>
  </si>
  <si>
    <t>45211229-84</t>
  </si>
  <si>
    <t>45211229-86</t>
  </si>
  <si>
    <t>45211229-88</t>
  </si>
  <si>
    <t>Գեղադիր բնակավայրի միջնակարգ դպրոց</t>
  </si>
  <si>
    <t>Մայակովսկի բնակավայրի միջնակարգ դպրոց</t>
  </si>
  <si>
    <t>Արգել բնակավայրի միջնակարգ դպրոց</t>
  </si>
  <si>
    <t>45211229-91</t>
  </si>
  <si>
    <t>45211229-93</t>
  </si>
  <si>
    <t>գ․ Սարատակի միջնակարգ դպրոց</t>
  </si>
  <si>
    <t>գ․ Ջրափիի միջնակարգ դպրոց</t>
  </si>
  <si>
    <t>45211229-100</t>
  </si>
  <si>
    <t>45211229-102</t>
  </si>
  <si>
    <t>«ք. Կապանի թիվ 6 հիմնական դպրոց» ՊՈԱԿ</t>
  </si>
  <si>
    <t>45211229-109</t>
  </si>
  <si>
    <t>45211229-799</t>
  </si>
  <si>
    <t>45211229-800</t>
  </si>
  <si>
    <t>45211229-184</t>
  </si>
  <si>
    <t>«ք․ Գյումրու թիվ 41 հիմնական դպրոց» ՊՈԱԿ</t>
  </si>
  <si>
    <t>45211229-801</t>
  </si>
  <si>
    <t>98111140-65</t>
  </si>
  <si>
    <t>98111140-67</t>
  </si>
  <si>
    <t>98111140-89</t>
  </si>
  <si>
    <t>98111140-82</t>
  </si>
  <si>
    <t>98111140-98</t>
  </si>
  <si>
    <t>98111140-83</t>
  </si>
  <si>
    <t>98111140-68</t>
  </si>
  <si>
    <t>98111140-77</t>
  </si>
  <si>
    <t>98111140-100</t>
  </si>
  <si>
    <t>98111140-78</t>
  </si>
  <si>
    <t>98111140-99</t>
  </si>
  <si>
    <t>98111140-71</t>
  </si>
  <si>
    <t>98111140-54</t>
  </si>
  <si>
    <t>98111140-55</t>
  </si>
  <si>
    <t>98111140-72</t>
  </si>
  <si>
    <t>98111140-105</t>
  </si>
  <si>
    <t>98111140-73</t>
  </si>
  <si>
    <t>98111140-52</t>
  </si>
  <si>
    <t>98111140-56</t>
  </si>
  <si>
    <t>98111140-101</t>
  </si>
  <si>
    <t>98111140-92</t>
  </si>
  <si>
    <t>98111140-49</t>
  </si>
  <si>
    <t>98111140-57</t>
  </si>
  <si>
    <t>98111140-42</t>
  </si>
  <si>
    <t>98111140-84</t>
  </si>
  <si>
    <t>98111140-90</t>
  </si>
  <si>
    <t>98111140-43</t>
  </si>
  <si>
    <t>98111140-85</t>
  </si>
  <si>
    <t>98111140-91</t>
  </si>
  <si>
    <t>98111140-86</t>
  </si>
  <si>
    <t>98111140-50</t>
  </si>
  <si>
    <t>98111140-46</t>
  </si>
  <si>
    <t>98111140-53</t>
  </si>
  <si>
    <t>98111140-74</t>
  </si>
  <si>
    <t>98111140-33</t>
  </si>
  <si>
    <t>98111140-30</t>
  </si>
  <si>
    <t>98111140-29</t>
  </si>
  <si>
    <t>98111140-28</t>
  </si>
  <si>
    <t>98111140-32</t>
  </si>
  <si>
    <t>98111140-36</t>
  </si>
  <si>
    <t>98111140-64</t>
  </si>
  <si>
    <t>98111140-37</t>
  </si>
  <si>
    <t>98111140-75</t>
  </si>
  <si>
    <t>98111140-87</t>
  </si>
  <si>
    <t>98111140-38</t>
  </si>
  <si>
    <t>98111140-66</t>
  </si>
  <si>
    <t>98111140-102</t>
  </si>
  <si>
    <t>98111140-39</t>
  </si>
  <si>
    <t>98111140-40</t>
  </si>
  <si>
    <t>98111140-41</t>
  </si>
  <si>
    <t>98111140-104</t>
  </si>
  <si>
    <t>98111140-76</t>
  </si>
  <si>
    <t>98111140-97</t>
  </si>
  <si>
    <t>98111140-103</t>
  </si>
  <si>
    <t>98111140-93</t>
  </si>
  <si>
    <t>98111140-63</t>
  </si>
  <si>
    <t>98111140-48</t>
  </si>
  <si>
    <t>98111140-79</t>
  </si>
  <si>
    <t>98111140-80</t>
  </si>
  <si>
    <t>98111140-47</t>
  </si>
  <si>
    <t>98111140-58</t>
  </si>
  <si>
    <t>98111140-59</t>
  </si>
  <si>
    <t>98111140-60</t>
  </si>
  <si>
    <t>98111140-69</t>
  </si>
  <si>
    <t>98111140-61</t>
  </si>
  <si>
    <t>98111140-81</t>
  </si>
  <si>
    <t>98111140-62</t>
  </si>
  <si>
    <t>98111140-44</t>
  </si>
  <si>
    <t>98111140-45</t>
  </si>
  <si>
    <t>98111140-95</t>
  </si>
  <si>
    <t>98111140-94</t>
  </si>
  <si>
    <t>98111140-96</t>
  </si>
  <si>
    <t>45211229-128</t>
  </si>
  <si>
    <t>45211229-129</t>
  </si>
  <si>
    <t>45211229-133</t>
  </si>
  <si>
    <t>45211229-134</t>
  </si>
  <si>
    <t>45211229-136</t>
  </si>
  <si>
    <t>45211229-137</t>
  </si>
  <si>
    <t>45211229-145</t>
  </si>
  <si>
    <t>45211229-146</t>
  </si>
  <si>
    <t>45211229-147</t>
  </si>
  <si>
    <t>45211229-149</t>
  </si>
  <si>
    <t>45211229-152</t>
  </si>
  <si>
    <t>գ․ Արևաբույրի կրթահամալիր</t>
  </si>
  <si>
    <t>գ. Նոր Արտագերսի կրթահամալիր</t>
  </si>
  <si>
    <t>գ. Նորաշենի կրթահամալիր</t>
  </si>
  <si>
    <t>գ. Լորուտի կրթահամալիր</t>
  </si>
  <si>
    <t>45211229-155</t>
  </si>
  <si>
    <t>45211229-171</t>
  </si>
  <si>
    <t>գ․ Բավրայի կրթահամալիր</t>
  </si>
  <si>
    <t>Կապան համայնքի Ծավի կրթահամալիր</t>
  </si>
  <si>
    <t>Կապան համայնքի Վերին Խոտանանի կրթահամալիր</t>
  </si>
  <si>
    <t xml:space="preserve">գ. Ակների կրթահամալիր                                                     </t>
  </si>
  <si>
    <t>գ. Խնածախի կրթահամալիր</t>
  </si>
  <si>
    <t>45211229-83</t>
  </si>
  <si>
    <t>45211229-85</t>
  </si>
  <si>
    <t>Զառ բնակավայրի միջնակարգ դպրոց</t>
  </si>
  <si>
    <t>Արագյուղ բնակավայրի միջնակարգ դպրոց</t>
  </si>
  <si>
    <t>45211229-94</t>
  </si>
  <si>
    <t>գ․ Շիրակավանի միջնակարգ դպրոց</t>
  </si>
  <si>
    <t>45211229-802</t>
  </si>
  <si>
    <t>45211229-803</t>
  </si>
  <si>
    <t>45211229-810</t>
  </si>
  <si>
    <t>Նորապատի միջնակարգ դպրոց</t>
  </si>
  <si>
    <t>Այգեվանի Մ. Խորենացու անվան միջնակարգ դպրոց</t>
  </si>
  <si>
    <t>Ծիածանի միջնակարգ դպրոց</t>
  </si>
  <si>
    <t>45211229-807</t>
  </si>
  <si>
    <t>45211229-812</t>
  </si>
  <si>
    <t>Կարճաղբյուրի Ա. Գրիգորյանի անվան միջնակարգ դպրոց</t>
  </si>
  <si>
    <t>Գավառի թիվ 4 հիմնական դպրոց</t>
  </si>
  <si>
    <t>45211229-813</t>
  </si>
  <si>
    <t>45211229-814</t>
  </si>
  <si>
    <t>Վանաձորի թիվ 22 միջնակարգ դպրոց</t>
  </si>
  <si>
    <t>Ախթալայի թիվ 2 միջնակարգ դպրոց</t>
  </si>
  <si>
    <t>45211229-804</t>
  </si>
  <si>
    <t>45211229-805</t>
  </si>
  <si>
    <t>45211229-809</t>
  </si>
  <si>
    <t>45211229-820</t>
  </si>
  <si>
    <t>Ծաղկաձորի միջնակարգ դպրոց</t>
  </si>
  <si>
    <t>Հրազդանի Խ․ Աբովյանի թիվ 1 ավագ դպրոց</t>
  </si>
  <si>
    <t>Քաղսի միջնակարգ դպրոց</t>
  </si>
  <si>
    <t>Մեղրաձորի Հ. Հակոբյանի անվան միջնակարգ դպրոց</t>
  </si>
  <si>
    <t>45211229-817</t>
  </si>
  <si>
    <t>Այգաբացի միջնակարգ դպրոց</t>
  </si>
  <si>
    <t>45211229-806</t>
  </si>
  <si>
    <t>45211229-808</t>
  </si>
  <si>
    <t>45211229-819</t>
  </si>
  <si>
    <t>45211229-726</t>
  </si>
  <si>
    <t>45211229-821</t>
  </si>
  <si>
    <t>ք. Վայքի վարժարան</t>
  </si>
  <si>
    <t>Ռինդի միջնակարգ դպրոց</t>
  </si>
  <si>
    <t>Գլաձորի միջնակարգ դպրոց</t>
  </si>
  <si>
    <t>Եղեգնաձորի Հ. Հովհաննիսյանի անվան թիվ 2 հիմնական դպրոց</t>
  </si>
  <si>
    <t>Զառիթափի Ա. Մելիքյանի անվան միջնակարգ դպրոց</t>
  </si>
  <si>
    <t>45211229-80</t>
  </si>
  <si>
    <t>գ. Մեծավանի թիվ 2 միջնակարգ դպրոց</t>
  </si>
  <si>
    <t>45211229-90</t>
  </si>
  <si>
    <t>Լեռնանիստ բնակավայրի միջնակարգ դպրոց</t>
  </si>
  <si>
    <t>45211229-95</t>
  </si>
  <si>
    <t>45211229-96</t>
  </si>
  <si>
    <t>գ․ Մայիսյանի միջնակարգ դպրոց</t>
  </si>
  <si>
    <t>գ․ Փոքր Մանթաշի միջնակարգ դպրոց</t>
  </si>
  <si>
    <t>45211229-98</t>
  </si>
  <si>
    <t>45211229-99</t>
  </si>
  <si>
    <t>45211229-103</t>
  </si>
  <si>
    <t>45211229-104</t>
  </si>
  <si>
    <t xml:space="preserve">«ք. Գորիսի Ս. Խանզադյանի անվան թիվ 6 հիմնական դպրոց» ՊՈԱԿ </t>
  </si>
  <si>
    <t xml:space="preserve">«գ. Վերիշենի միջնակարգ դպրոց» ՊՈԱԿ </t>
  </si>
  <si>
    <t>գ. Շինուհայրի միջնակարգ դպրոց</t>
  </si>
  <si>
    <t>գ. Խոտի միջնակարգ դպրոց</t>
  </si>
  <si>
    <t>45211229-108</t>
  </si>
  <si>
    <t>գ. Արենիի միջնակարգ դպրոց</t>
  </si>
  <si>
    <t>45211229-127</t>
  </si>
  <si>
    <t>45211229-139</t>
  </si>
  <si>
    <t>45211229-140</t>
  </si>
  <si>
    <t>45211229-143</t>
  </si>
  <si>
    <t>գ. Մադինայի  կրթահամալիր</t>
  </si>
  <si>
    <t>45211229-157</t>
  </si>
  <si>
    <t>45211229-158</t>
  </si>
  <si>
    <t>Սիսիան համայնքի Շաքիի կրթահամալիր</t>
  </si>
  <si>
    <t>Հավելված N 1</t>
  </si>
  <si>
    <t xml:space="preserve">ՀԱՅԱՍՏԱՆԻ ՀԱՆՐԱՊԵՏՈՒԹՅԱՆ ԿԱՌԱՎԱՐՈՒԹՅԱՆ 2024 ԹՎԱԿԱՆԻ ԴԵԿՏԵՄԲԵՐԻ 27-Ի N 2060-Ն N 10 ՀԱՎԵԼՎԱԾՈՒՄ ԿԱՏԱՐՎՈՂ ԼՐԱՑՈՒՄՆԵՐԸ
</t>
  </si>
  <si>
    <t>Ցուցանիշների փոփոխությունը (ավելացումները նշված են դրական նշանով)</t>
  </si>
  <si>
    <t>ՀՀ քաղաքաշինության կոմիտե</t>
  </si>
  <si>
    <t>45211231-12</t>
  </si>
  <si>
    <t xml:space="preserve"> միջնակարգ դպրոցների կառուցման աշխատանքներ</t>
  </si>
  <si>
    <t>45221142-530</t>
  </si>
  <si>
    <t xml:space="preserve"> ընդհանուր շինարարական աշխատանքներ</t>
  </si>
  <si>
    <t>ԲՄ</t>
  </si>
  <si>
    <t>71351540-13</t>
  </si>
  <si>
    <t>տեխնիկական հսկողության ծառայություններ</t>
  </si>
  <si>
    <t>71351540-546</t>
  </si>
  <si>
    <t>98111140-2</t>
  </si>
  <si>
    <t>45461100-518</t>
  </si>
  <si>
    <t xml:space="preserve"> շենքերի, շինությունների ընթացիկ նորոգում</t>
  </si>
  <si>
    <t>45461100-511</t>
  </si>
  <si>
    <t>45461100-509</t>
  </si>
  <si>
    <t>45461100-506</t>
  </si>
  <si>
    <t>45461100-507</t>
  </si>
  <si>
    <t>45461100-508</t>
  </si>
  <si>
    <t>45461100-510</t>
  </si>
  <si>
    <t>45461100-503</t>
  </si>
  <si>
    <t>45461100-504</t>
  </si>
  <si>
    <t>45461100-501</t>
  </si>
  <si>
    <t>«Հարժիսի Համլետ Մինասյանի անվան միջնակարգ դպրոց» ՊՈԱԿ</t>
  </si>
  <si>
    <t>«Նավուրի միջնակարգ դպրոց» ՊՈԱԿ</t>
  </si>
  <si>
    <t>Երևանի Ա. Հովհաննիսյանի անվան հմ. 194 հիմնական դպրոց</t>
  </si>
  <si>
    <t>Կաքավաձորի միջնակարգ դպրոց</t>
  </si>
  <si>
    <t>Քուչակի միջնակարգ դպրոց</t>
  </si>
  <si>
    <t>Ագարակի Տ. Թերլեմեզյանի անվան միջնակարգ դպրոց</t>
  </si>
  <si>
    <t>Աղձքի միջնակարգ դպրոց</t>
  </si>
  <si>
    <t>Երնջատափի Ե․ Չարենցի անվան միջնակարգ դպրոց</t>
  </si>
  <si>
    <t>Մելիքգյուղի միջնակարգ դպրոց</t>
  </si>
  <si>
    <t>Հովտամեջի միջնակարգ դպրոց</t>
  </si>
  <si>
    <t>Սարդարապատի միջնակարգ դպրոց</t>
  </si>
  <si>
    <t>Ախուրյանի Ն․ Աղբալյանի ավագ դպրոց</t>
  </si>
  <si>
    <t>45221142-2</t>
  </si>
  <si>
    <t xml:space="preserve"> ՀԲՄ</t>
  </si>
  <si>
    <t>45211231-518</t>
  </si>
  <si>
    <t>45211231-2</t>
  </si>
  <si>
    <t xml:space="preserve"> ԲՄ</t>
  </si>
  <si>
    <t>45211231-9</t>
  </si>
  <si>
    <t>45211231-14</t>
  </si>
  <si>
    <t>45211231-13</t>
  </si>
  <si>
    <t>71351540-4</t>
  </si>
  <si>
    <t>98111140-3</t>
  </si>
  <si>
    <t>98111140-536</t>
  </si>
  <si>
    <t>գ. Ներքին Սասնաշենի միջնակարգ դպրոց</t>
  </si>
  <si>
    <t>«Լուսակնի միջնակարգ դպրոց» ՊՈԱԿ</t>
  </si>
  <si>
    <t>«Բարձրաշենի միջնակարգ դպրոց»ՊՈԱԿ</t>
  </si>
  <si>
    <t>«Լեռնահովիտ գյուղի Վ. Բարեղամյանի անվան հիմնական դպրոց» ՊՈԱԿ</t>
  </si>
  <si>
    <t>«Չիվայի միջնակարգ դպրոց» ՊՈԱԿ</t>
  </si>
  <si>
    <t>«Դովեղի միջնակարգ դպրոց»ՊՈԱԿ</t>
  </si>
  <si>
    <t>45461100-516</t>
  </si>
  <si>
    <t>Երևանի Սիլվա Կապուտիկյանի անվան հ. 145 հիմնական դպրոց</t>
  </si>
  <si>
    <t>45461100-513</t>
  </si>
  <si>
    <t>45461100-514</t>
  </si>
  <si>
    <t>45461100-512</t>
  </si>
  <si>
    <t>45461100-505</t>
  </si>
  <si>
    <t>գ․ Գորայքի միջնակարգ դպրոց</t>
  </si>
  <si>
    <t>գ․ Ախլաթյանի միջնակարգ դպրոց</t>
  </si>
  <si>
    <t>Քարաշենի միջնակարգ դպրոց</t>
  </si>
  <si>
    <t>Շատինի միջնակարգ դպրոց</t>
  </si>
  <si>
    <t>Հավելված N 2</t>
  </si>
  <si>
    <t xml:space="preserve">Հավելված N 3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</si>
  <si>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</si>
  <si>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</si>
  <si>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</si>
  <si>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</si>
  <si>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Ցուցանիշների փոփոխությունը (ավելացումները նշված են դրական նշանով)  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</si>
  <si>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</si>
  <si>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</si>
  <si>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</si>
  <si>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</si>
  <si>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</si>
  <si>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</si>
  <si>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</si>
  <si>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>այդ թվում՝</t>
  </si>
  <si>
    <t>ՀՀ ԿՐԹՈՒԹՅԱՆ, ԳԻՏՈՒԹՅԱՆ, ՄՇԱԿՈԻՅԹԻ ԵՎ ՍՊՈՐՏԻ ՆԱԽԱՐԱՐՈՒԹՅՈՒՆ</t>
  </si>
  <si>
    <t xml:space="preserve"> Հանրակրթական և նախադպրոցական հաստատությունների հիմնում, կառուցում, բարելավում </t>
  </si>
  <si>
    <t>1236 - 32004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</si>
  <si>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</si>
  <si>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</si>
  <si>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անվանումները` Հանրակրթական դպրոցներ </t>
  </si>
  <si>
    <t>ՀՀ-ում կրթական որակյալ ծառայությունների հասանելիության ապահովման ծրագրի շրջանակներում հիմնանորոգվող / վերանորոգվող դպրոցների թիվը</t>
  </si>
  <si>
    <t>Հավելված N 3</t>
  </si>
  <si>
    <t>ՀԱՅԱՍՏԱՆԻ ՀԱՆՐԱՊԵՏՈՒԹՅԱՆ ԿԱՌԱՎԱՐՈՒԹՅԱՆ 2024 ԹՎԱԿԱՆԻ ԴԵԿՏԵՄԲԵՐԻ 27-Ի N 2060-Ն ՈՐՈՇՄԱՆ NN 9 ԵՎ 9.1 ՀԱՎԵԼՎԱԾՆԵՐՈՒՄ ԿԱՏԱՐՎՈՂ ԼՐԱՑՈՒՄԸ</t>
  </si>
  <si>
    <t>ԲԳԿ, ԲՍԿ</t>
  </si>
  <si>
    <t>45211229-198</t>
  </si>
  <si>
    <t>Փաստը 12.12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</si>
  <si>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</si>
  <si>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Գործառական դասիչը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</si>
  <si>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</si>
  <si>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</si>
  <si>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</si>
  <si>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Խումբ</t>
  </si>
  <si>
    <t xml:space="preserve"> Դաս</t>
  </si>
  <si>
    <t xml:space="preserve"> ԸՆԴԱՄԵՆԸ</t>
  </si>
  <si>
    <t>այդ թվում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</si>
  <si>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</si>
  <si>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</si>
  <si>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</si>
  <si>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</si>
  <si>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</si>
  <si>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</si>
  <si>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</si>
  <si>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</si>
  <si>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</si>
  <si>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</si>
  <si>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</si>
  <si>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</si>
  <si>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ԸՆԹԱՑԻԿ ԾԱԽՍԵՐ</t>
  </si>
  <si>
    <t xml:space="preserve"> ԱՅԼ  ԾԱԽՍԵՐ</t>
  </si>
  <si>
    <t xml:space="preserve"> - Պահուստային միջոցներ</t>
  </si>
  <si>
    <t>09</t>
  </si>
  <si>
    <t xml:space="preserve"> ԿՐԹՈՒԹՅՈՒՆ</t>
  </si>
  <si>
    <t>01</t>
  </si>
  <si>
    <t>Հավելված N 5</t>
  </si>
  <si>
    <t>«Հավելված N 10</t>
  </si>
  <si>
    <t>նոյեմբերի 6-ի 1575-Ն որոշման</t>
  </si>
  <si>
    <t>02</t>
  </si>
  <si>
    <t xml:space="preserve"> Միջնակարգ ընդհանուր կրթություն</t>
  </si>
  <si>
    <t xml:space="preserve"> Հանրակրթական և նախադպրոցական հաստատությունների հիմնում, կառուցում, բարելավում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</si>
  <si>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</si>
  <si>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</si>
  <si>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</si>
  <si>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կապիտալ վերանորոգում</t>
  </si>
  <si>
    <t>»</t>
  </si>
  <si>
    <t>Բաժին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</si>
</sst>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_(* #,##0.0_);_(* \(#,##0.0\);_(* &quot;-&quot;?_);_(@_)"/>
    <numFmt numFmtId="167" formatCode="##,##0.0;\(##,##0.0\);\-"/>
    <numFmt numFmtId="168" formatCode="0.0"/>
    <numFmt numFmtId="169" formatCode="_-* #,##0.00\ _р_._-;\-* #,##0.00\ _р_._-;_-* &quot;-&quot;??\ _р_._-;_-@_-"/>
    <numFmt numFmtId="170" formatCode="#,##0.0"/>
    <numFmt numFmtId="171" formatCode="_-* #,##0.0\ _р_._-;\-* #,##0.0\ _р_._-;_-* &quot;-&quot;?\ _р_._-;_-@_-"/>
    <numFmt numFmtId="172" formatCode="0.000%"/>
    <numFmt numFmtId="173" formatCode="##,##0;\(##,##0\);\-"/>
    <numFmt numFmtId="174" formatCode="#,##0.000_);\(#,##0.000\)"/>
    <numFmt numFmtId="175" formatCode="#,##0.000"/>
    <numFmt numFmtId="176" formatCode="#,##0.000000_);\(#,##0.00000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b/>
      <i/>
      <sz val="12"/>
      <name val="GHEA Grapalat"/>
      <family val="3"/>
    </font>
    <font>
      <sz val="12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sz val="12"/>
      <color theme="5"/>
      <name val="GHEA Grapalat"/>
      <family val="3"/>
    </font>
    <font>
      <i/>
      <sz val="12"/>
      <color rgb="FFFF0000"/>
      <name val="GHEA Grapalat"/>
      <family val="3"/>
    </font>
    <font>
      <sz val="12"/>
      <color rgb="FFFF0000"/>
      <name val="Calibri"/>
      <family val="2"/>
      <charset val="1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  <xf numFmtId="0" fontId="6" fillId="0" borderId="0">
      <alignment horizontal="left" vertical="top" wrapText="1"/>
    </xf>
    <xf numFmtId="167" fontId="6" fillId="0" borderId="0" applyFill="0" applyBorder="0" applyProtection="0">
      <alignment horizontal="right" vertical="top"/>
    </xf>
    <xf numFmtId="0" fontId="1" fillId="0" borderId="0"/>
    <xf numFmtId="0" fontId="1" fillId="0" borderId="0"/>
    <xf numFmtId="169" fontId="3" fillId="0" borderId="0" applyFont="0" applyFill="0" applyBorder="0" applyAlignment="0" applyProtection="0"/>
    <xf numFmtId="0" fontId="13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>
      <alignment horizontal="left" vertical="top" wrapText="1"/>
    </xf>
    <xf numFmtId="0" fontId="1" fillId="0" borderId="0"/>
    <xf numFmtId="0" fontId="1" fillId="0" borderId="0"/>
    <xf numFmtId="9" fontId="13" fillId="0" borderId="0" applyFont="0" applyFill="0" applyBorder="0" applyAlignment="0" applyProtection="0"/>
  </cellStyleXfs>
  <cellXfs count="275">
    <xf numFmtId="0" fontId="0" fillId="0" borderId="0" xfId="0"/>
    <xf numFmtId="0" fontId="2" fillId="2" borderId="0" xfId="2" applyFont="1" applyFill="1"/>
    <xf numFmtId="164" fontId="2" fillId="2" borderId="0" xfId="2" applyNumberFormat="1" applyFont="1" applyFill="1"/>
    <xf numFmtId="164" fontId="2" fillId="2" borderId="0" xfId="2" applyNumberFormat="1" applyFont="1" applyFill="1" applyAlignment="1">
      <alignment horizontal="center"/>
    </xf>
    <xf numFmtId="49" fontId="4" fillId="2" borderId="5" xfId="4" applyNumberFormat="1" applyFont="1" applyFill="1" applyBorder="1" applyAlignment="1">
      <alignment horizontal="center" vertical="center" textRotation="90" wrapText="1"/>
    </xf>
    <xf numFmtId="164" fontId="4" fillId="2" borderId="5" xfId="5" applyNumberFormat="1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164" fontId="4" fillId="0" borderId="5" xfId="4" applyNumberFormat="1" applyFont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"/>
    </xf>
    <xf numFmtId="166" fontId="2" fillId="2" borderId="5" xfId="3" applyNumberFormat="1" applyFont="1" applyFill="1" applyBorder="1" applyAlignment="1">
      <alignment horizontal="center"/>
    </xf>
    <xf numFmtId="0" fontId="9" fillId="2" borderId="5" xfId="2" applyFont="1" applyFill="1" applyBorder="1"/>
    <xf numFmtId="0" fontId="10" fillId="2" borderId="2" xfId="4" applyFont="1" applyFill="1" applyBorder="1" applyAlignment="1">
      <alignment horizontal="center" vertical="center" wrapText="1"/>
    </xf>
    <xf numFmtId="0" fontId="2" fillId="2" borderId="5" xfId="2" applyFont="1" applyFill="1" applyBorder="1"/>
    <xf numFmtId="0" fontId="2" fillId="2" borderId="5" xfId="4" applyFont="1" applyFill="1" applyBorder="1" applyAlignment="1">
      <alignment horizontal="center" vertical="center" wrapText="1"/>
    </xf>
    <xf numFmtId="166" fontId="2" fillId="2" borderId="5" xfId="4" applyNumberFormat="1" applyFont="1" applyFill="1" applyBorder="1" applyAlignment="1">
      <alignment horizontal="center" vertical="center" wrapText="1"/>
    </xf>
    <xf numFmtId="0" fontId="10" fillId="0" borderId="5" xfId="2" applyFont="1" applyBorder="1" applyAlignment="1">
      <alignment vertical="center" wrapText="1"/>
    </xf>
    <xf numFmtId="166" fontId="2" fillId="2" borderId="5" xfId="1" applyNumberFormat="1" applyFont="1" applyFill="1" applyBorder="1" applyAlignment="1">
      <alignment vertical="center"/>
    </xf>
    <xf numFmtId="0" fontId="4" fillId="0" borderId="5" xfId="4" applyFont="1" applyBorder="1" applyAlignment="1">
      <alignment horizontal="left" vertical="center" wrapText="1"/>
    </xf>
    <xf numFmtId="0" fontId="8" fillId="0" borderId="5" xfId="2" applyFont="1" applyBorder="1" applyAlignment="1">
      <alignment vertical="center" wrapText="1"/>
    </xf>
    <xf numFmtId="166" fontId="10" fillId="0" borderId="5" xfId="2" applyNumberFormat="1" applyFont="1" applyBorder="1" applyAlignment="1">
      <alignment vertical="center" wrapText="1"/>
    </xf>
    <xf numFmtId="43" fontId="11" fillId="2" borderId="0" xfId="1" applyFont="1" applyFill="1"/>
    <xf numFmtId="0" fontId="11" fillId="2" borderId="0" xfId="2" applyFont="1" applyFill="1"/>
    <xf numFmtId="0" fontId="11" fillId="2" borderId="5" xfId="2" applyFont="1" applyFill="1" applyBorder="1"/>
    <xf numFmtId="43" fontId="12" fillId="2" borderId="0" xfId="1" applyFont="1" applyFill="1"/>
    <xf numFmtId="0" fontId="12" fillId="2" borderId="0" xfId="2" applyFont="1" applyFill="1"/>
    <xf numFmtId="164" fontId="11" fillId="2" borderId="0" xfId="2" applyNumberFormat="1" applyFont="1" applyFill="1"/>
    <xf numFmtId="168" fontId="4" fillId="2" borderId="5" xfId="4" applyNumberFormat="1" applyFont="1" applyFill="1" applyBorder="1" applyAlignment="1">
      <alignment horizontal="center" vertical="center" wrapText="1"/>
    </xf>
    <xf numFmtId="0" fontId="2" fillId="2" borderId="0" xfId="7" applyFont="1" applyFill="1" applyAlignment="1">
      <alignment vertical="top"/>
    </xf>
    <xf numFmtId="165" fontId="2" fillId="2" borderId="0" xfId="4" applyNumberFormat="1" applyFont="1" applyFill="1" applyAlignment="1">
      <alignment vertical="top" wrapText="1"/>
    </xf>
    <xf numFmtId="0" fontId="2" fillId="2" borderId="0" xfId="3" applyFont="1" applyFill="1" applyAlignment="1">
      <alignment vertical="top"/>
    </xf>
    <xf numFmtId="165" fontId="2" fillId="2" borderId="0" xfId="4" applyNumberFormat="1" applyFont="1" applyFill="1" applyAlignment="1">
      <alignment vertical="center" wrapText="1"/>
    </xf>
    <xf numFmtId="0" fontId="2" fillId="2" borderId="0" xfId="7" applyFont="1" applyFill="1"/>
    <xf numFmtId="0" fontId="2" fillId="2" borderId="0" xfId="3" applyFont="1" applyFill="1"/>
    <xf numFmtId="49" fontId="4" fillId="2" borderId="0" xfId="4" applyNumberFormat="1" applyFont="1" applyFill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2" fillId="2" borderId="0" xfId="8" applyFont="1" applyFill="1"/>
    <xf numFmtId="169" fontId="2" fillId="2" borderId="0" xfId="9" applyFont="1" applyFill="1"/>
    <xf numFmtId="170" fontId="4" fillId="2" borderId="5" xfId="4" applyNumberFormat="1" applyFont="1" applyFill="1" applyBorder="1" applyAlignment="1">
      <alignment horizontal="center" vertical="center" wrapText="1"/>
    </xf>
    <xf numFmtId="165" fontId="4" fillId="2" borderId="5" xfId="4" applyNumberFormat="1" applyFont="1" applyFill="1" applyBorder="1" applyAlignment="1">
      <alignment horizontal="center" vertical="center" wrapText="1"/>
    </xf>
    <xf numFmtId="171" fontId="2" fillId="2" borderId="0" xfId="3" applyNumberFormat="1" applyFont="1" applyFill="1"/>
    <xf numFmtId="171" fontId="4" fillId="2" borderId="0" xfId="3" applyNumberFormat="1" applyFont="1" applyFill="1"/>
    <xf numFmtId="43" fontId="2" fillId="2" borderId="0" xfId="3" applyNumberFormat="1" applyFont="1" applyFill="1"/>
    <xf numFmtId="0" fontId="7" fillId="2" borderId="5" xfId="4" applyFont="1" applyFill="1" applyBorder="1" applyAlignment="1">
      <alignment horizontal="center" vertical="center" wrapText="1"/>
    </xf>
    <xf numFmtId="170" fontId="2" fillId="2" borderId="5" xfId="4" applyNumberFormat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vertical="center" wrapText="1"/>
    </xf>
    <xf numFmtId="43" fontId="15" fillId="2" borderId="0" xfId="1" applyFont="1" applyFill="1"/>
    <xf numFmtId="0" fontId="15" fillId="2" borderId="0" xfId="2" applyFont="1" applyFill="1"/>
    <xf numFmtId="164" fontId="8" fillId="2" borderId="5" xfId="12" applyNumberFormat="1" applyFont="1" applyFill="1" applyBorder="1" applyAlignment="1">
      <alignment vertical="center"/>
    </xf>
    <xf numFmtId="43" fontId="14" fillId="2" borderId="0" xfId="1" applyFont="1" applyFill="1"/>
    <xf numFmtId="0" fontId="14" fillId="2" borderId="0" xfId="2" applyFont="1" applyFill="1"/>
    <xf numFmtId="0" fontId="4" fillId="0" borderId="5" xfId="4" applyFont="1" applyBorder="1" applyAlignment="1">
      <alignment horizontal="center" vertical="center" wrapText="1"/>
    </xf>
    <xf numFmtId="43" fontId="2" fillId="2" borderId="0" xfId="1" applyFont="1" applyFill="1"/>
    <xf numFmtId="0" fontId="2" fillId="2" borderId="2" xfId="2" applyFont="1" applyFill="1" applyBorder="1" applyAlignment="1">
      <alignment horizontal="center"/>
    </xf>
    <xf numFmtId="0" fontId="2" fillId="2" borderId="5" xfId="3" applyFont="1" applyFill="1" applyBorder="1"/>
    <xf numFmtId="0" fontId="10" fillId="0" borderId="5" xfId="4" applyFont="1" applyBorder="1" applyAlignment="1">
      <alignment horizontal="left" vertical="center" wrapText="1"/>
    </xf>
    <xf numFmtId="0" fontId="2" fillId="2" borderId="0" xfId="14" applyFont="1" applyFill="1"/>
    <xf numFmtId="0" fontId="2" fillId="2" borderId="0" xfId="14" applyFont="1" applyFill="1" applyAlignment="1">
      <alignment vertical="center"/>
    </xf>
    <xf numFmtId="0" fontId="2" fillId="2" borderId="0" xfId="14" applyFont="1" applyFill="1" applyAlignment="1">
      <alignment horizontal="center" vertical="center"/>
    </xf>
    <xf numFmtId="0" fontId="2" fillId="2" borderId="0" xfId="14" applyFont="1" applyFill="1" applyAlignment="1">
      <alignment horizontal="right" vertical="center"/>
    </xf>
    <xf numFmtId="0" fontId="4" fillId="2" borderId="0" xfId="14" applyFont="1" applyFill="1" applyAlignment="1">
      <alignment horizontal="center" vertical="center" wrapText="1"/>
    </xf>
    <xf numFmtId="0" fontId="2" fillId="2" borderId="5" xfId="15" applyFont="1" applyFill="1" applyBorder="1" applyAlignment="1">
      <alignment horizontal="center" vertical="center" wrapText="1"/>
    </xf>
    <xf numFmtId="0" fontId="2" fillId="2" borderId="5" xfId="17" applyFont="1" applyFill="1" applyBorder="1" applyAlignment="1">
      <alignment horizontal="center" vertical="center"/>
    </xf>
    <xf numFmtId="0" fontId="2" fillId="2" borderId="5" xfId="15" applyFont="1" applyFill="1" applyBorder="1" applyAlignment="1">
      <alignment horizontal="center"/>
    </xf>
    <xf numFmtId="0" fontId="2" fillId="3" borderId="5" xfId="2" applyFont="1" applyFill="1" applyBorder="1" applyAlignment="1">
      <alignment vertical="center" wrapText="1"/>
    </xf>
    <xf numFmtId="165" fontId="2" fillId="3" borderId="2" xfId="2" applyNumberFormat="1" applyFont="1" applyFill="1" applyBorder="1" applyAlignment="1">
      <alignment horizontal="right" vertical="center" wrapText="1"/>
    </xf>
    <xf numFmtId="0" fontId="2" fillId="2" borderId="0" xfId="3" applyFont="1" applyFill="1" applyAlignment="1">
      <alignment vertical="center"/>
    </xf>
    <xf numFmtId="0" fontId="2" fillId="2" borderId="5" xfId="3" applyFont="1" applyFill="1" applyBorder="1" applyAlignment="1">
      <alignment vertical="top"/>
    </xf>
    <xf numFmtId="43" fontId="2" fillId="2" borderId="5" xfId="1" applyFont="1" applyFill="1" applyBorder="1" applyAlignment="1">
      <alignment horizontal="right" vertical="top" wrapText="1"/>
    </xf>
    <xf numFmtId="0" fontId="2" fillId="2" borderId="5" xfId="2" applyFont="1" applyFill="1" applyBorder="1" applyAlignment="1">
      <alignment horizontal="left" vertical="center" wrapText="1"/>
    </xf>
    <xf numFmtId="0" fontId="2" fillId="2" borderId="4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center" vertical="center"/>
    </xf>
    <xf numFmtId="165" fontId="2" fillId="2" borderId="5" xfId="2" applyNumberFormat="1" applyFont="1" applyFill="1" applyBorder="1" applyAlignment="1">
      <alignment horizontal="right" vertical="center" wrapText="1"/>
    </xf>
    <xf numFmtId="0" fontId="2" fillId="2" borderId="0" xfId="2" applyFont="1" applyFill="1" applyAlignment="1">
      <alignment horizontal="left" vertical="center" wrapText="1"/>
    </xf>
    <xf numFmtId="0" fontId="2" fillId="0" borderId="5" xfId="2" applyFont="1" applyBorder="1" applyAlignment="1">
      <alignment horizontal="left" vertical="top" wrapText="1"/>
    </xf>
    <xf numFmtId="0" fontId="2" fillId="0" borderId="5" xfId="2" applyFont="1" applyBorder="1" applyAlignment="1">
      <alignment horizontal="center" vertical="center" wrapText="1"/>
    </xf>
    <xf numFmtId="167" fontId="2" fillId="0" borderId="5" xfId="6" applyFont="1" applyBorder="1" applyAlignment="1">
      <alignment horizontal="center" vertical="center"/>
    </xf>
    <xf numFmtId="173" fontId="2" fillId="0" borderId="5" xfId="6" applyNumberFormat="1" applyFont="1" applyFill="1" applyBorder="1" applyAlignment="1">
      <alignment horizontal="center" vertical="center"/>
    </xf>
    <xf numFmtId="165" fontId="2" fillId="0" borderId="5" xfId="2" applyNumberFormat="1" applyFont="1" applyBorder="1" applyAlignment="1">
      <alignment horizontal="right" vertical="center" wrapText="1"/>
    </xf>
    <xf numFmtId="0" fontId="2" fillId="2" borderId="0" xfId="3" applyFont="1" applyFill="1" applyAlignment="1">
      <alignment horizontal="left" vertical="center" wrapText="1"/>
    </xf>
    <xf numFmtId="0" fontId="2" fillId="2" borderId="0" xfId="3" applyFont="1" applyFill="1" applyAlignment="1">
      <alignment horizontal="center" vertical="center"/>
    </xf>
    <xf numFmtId="170" fontId="10" fillId="2" borderId="2" xfId="4" applyNumberFormat="1" applyFont="1" applyFill="1" applyBorder="1" applyAlignment="1">
      <alignment horizontal="right" vertical="center" wrapText="1"/>
    </xf>
    <xf numFmtId="43" fontId="16" fillId="2" borderId="0" xfId="1" applyFont="1" applyFill="1" applyAlignment="1">
      <alignment vertical="center"/>
    </xf>
    <xf numFmtId="43" fontId="16" fillId="2" borderId="0" xfId="1" applyFont="1" applyFill="1" applyAlignment="1">
      <alignment horizontal="left" vertical="center" wrapText="1"/>
    </xf>
    <xf numFmtId="164" fontId="4" fillId="4" borderId="5" xfId="1" applyNumberFormat="1" applyFont="1" applyFill="1" applyBorder="1" applyAlignment="1">
      <alignment vertical="top" wrapText="1"/>
    </xf>
    <xf numFmtId="165" fontId="2" fillId="2" borderId="0" xfId="4" applyNumberFormat="1" applyFont="1" applyFill="1" applyAlignment="1">
      <alignment horizontal="right" vertical="top" wrapText="1"/>
    </xf>
    <xf numFmtId="165" fontId="2" fillId="2" borderId="0" xfId="4" applyNumberFormat="1" applyFont="1" applyFill="1" applyAlignment="1">
      <alignment horizontal="right" vertical="center" wrapText="1"/>
    </xf>
    <xf numFmtId="0" fontId="2" fillId="2" borderId="3" xfId="3" applyFont="1" applyFill="1" applyBorder="1" applyAlignment="1">
      <alignment horizontal="center"/>
    </xf>
    <xf numFmtId="0" fontId="11" fillId="2" borderId="5" xfId="2" applyFont="1" applyFill="1" applyBorder="1" applyAlignment="1">
      <alignment horizontal="center"/>
    </xf>
    <xf numFmtId="164" fontId="2" fillId="2" borderId="5" xfId="4" applyNumberFormat="1" applyFont="1" applyFill="1" applyBorder="1" applyAlignment="1">
      <alignment horizontal="center" vertical="center" wrapText="1"/>
    </xf>
    <xf numFmtId="167" fontId="2" fillId="0" borderId="5" xfId="6" applyFont="1" applyFill="1" applyBorder="1" applyAlignment="1">
      <alignment horizontal="center" vertical="center"/>
    </xf>
    <xf numFmtId="0" fontId="2" fillId="0" borderId="0" xfId="3" applyFont="1" applyAlignment="1">
      <alignment horizontal="left" vertical="center" wrapText="1"/>
    </xf>
    <xf numFmtId="164" fontId="8" fillId="0" borderId="5" xfId="12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4" fontId="2" fillId="0" borderId="5" xfId="2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2" fillId="0" borderId="5" xfId="2" applyFont="1" applyBorder="1"/>
    <xf numFmtId="43" fontId="15" fillId="0" borderId="0" xfId="1" applyFont="1" applyFill="1"/>
    <xf numFmtId="0" fontId="15" fillId="0" borderId="0" xfId="2" applyFont="1"/>
    <xf numFmtId="174" fontId="2" fillId="2" borderId="5" xfId="1" applyNumberFormat="1" applyFont="1" applyFill="1" applyBorder="1" applyAlignment="1">
      <alignment horizontal="right" vertical="top" wrapText="1"/>
    </xf>
    <xf numFmtId="174" fontId="2" fillId="2" borderId="5" xfId="2" applyNumberFormat="1" applyFont="1" applyFill="1" applyBorder="1" applyAlignment="1">
      <alignment horizontal="right" vertical="center" wrapText="1"/>
    </xf>
    <xf numFmtId="43" fontId="14" fillId="0" borderId="0" xfId="1" applyFont="1" applyFill="1"/>
    <xf numFmtId="0" fontId="2" fillId="0" borderId="5" xfId="0" applyFont="1" applyBorder="1" applyAlignment="1">
      <alignment horizontal="center" vertical="center" wrapText="1"/>
    </xf>
    <xf numFmtId="170" fontId="2" fillId="2" borderId="5" xfId="2" applyNumberFormat="1" applyFont="1" applyFill="1" applyBorder="1"/>
    <xf numFmtId="170" fontId="2" fillId="2" borderId="5" xfId="13" applyNumberFormat="1" applyFont="1" applyFill="1" applyBorder="1"/>
    <xf numFmtId="170" fontId="10" fillId="2" borderId="5" xfId="12" applyNumberFormat="1" applyFont="1" applyFill="1" applyBorder="1"/>
    <xf numFmtId="170" fontId="8" fillId="2" borderId="5" xfId="12" applyNumberFormat="1" applyFont="1" applyFill="1" applyBorder="1" applyAlignment="1">
      <alignment vertical="center"/>
    </xf>
    <xf numFmtId="170" fontId="10" fillId="0" borderId="5" xfId="12" applyNumberFormat="1" applyFont="1" applyFill="1" applyBorder="1"/>
    <xf numFmtId="164" fontId="10" fillId="2" borderId="5" xfId="1" applyNumberFormat="1" applyFont="1" applyFill="1" applyBorder="1" applyAlignment="1">
      <alignment vertical="center"/>
    </xf>
    <xf numFmtId="0" fontId="2" fillId="2" borderId="5" xfId="2" applyFont="1" applyFill="1" applyBorder="1" applyAlignment="1">
      <alignment horizontal="center"/>
    </xf>
    <xf numFmtId="0" fontId="11" fillId="2" borderId="5" xfId="3" applyFont="1" applyFill="1" applyBorder="1"/>
    <xf numFmtId="170" fontId="8" fillId="0" borderId="5" xfId="12" applyNumberFormat="1" applyFont="1" applyFill="1" applyBorder="1" applyAlignment="1">
      <alignment vertical="center"/>
    </xf>
    <xf numFmtId="165" fontId="4" fillId="0" borderId="5" xfId="4" applyNumberFormat="1" applyFont="1" applyBorder="1" applyAlignment="1">
      <alignment horizontal="center" vertical="center" wrapText="1"/>
    </xf>
    <xf numFmtId="167" fontId="4" fillId="0" borderId="5" xfId="6" applyFont="1" applyFill="1" applyBorder="1" applyAlignment="1">
      <alignment horizontal="center" vertical="center"/>
    </xf>
    <xf numFmtId="43" fontId="2" fillId="0" borderId="0" xfId="1" applyFont="1" applyFill="1"/>
    <xf numFmtId="0" fontId="2" fillId="0" borderId="0" xfId="3" applyFont="1"/>
    <xf numFmtId="0" fontId="2" fillId="0" borderId="2" xfId="2" applyFont="1" applyBorder="1" applyAlignment="1">
      <alignment horizontal="center"/>
    </xf>
    <xf numFmtId="172" fontId="2" fillId="0" borderId="5" xfId="13" applyNumberFormat="1" applyFont="1" applyFill="1" applyBorder="1"/>
    <xf numFmtId="0" fontId="2" fillId="0" borderId="0" xfId="2" applyFont="1"/>
    <xf numFmtId="164" fontId="10" fillId="0" borderId="5" xfId="12" applyNumberFormat="1" applyFont="1" applyFill="1" applyBorder="1" applyAlignment="1">
      <alignment vertical="center"/>
    </xf>
    <xf numFmtId="0" fontId="2" fillId="0" borderId="5" xfId="3" applyFont="1" applyBorder="1"/>
    <xf numFmtId="0" fontId="14" fillId="0" borderId="0" xfId="2" applyFont="1"/>
    <xf numFmtId="0" fontId="2" fillId="0" borderId="5" xfId="3" applyFont="1" applyBorder="1" applyAlignment="1">
      <alignment horizontal="center"/>
    </xf>
    <xf numFmtId="0" fontId="2" fillId="0" borderId="6" xfId="3" applyFont="1" applyBorder="1" applyAlignment="1">
      <alignment horizontal="center"/>
    </xf>
    <xf numFmtId="170" fontId="17" fillId="0" borderId="5" xfId="12" applyNumberFormat="1" applyFont="1" applyFill="1" applyBorder="1" applyAlignment="1">
      <alignment vertical="center"/>
    </xf>
    <xf numFmtId="43" fontId="18" fillId="0" borderId="0" xfId="1" applyFont="1" applyFill="1"/>
    <xf numFmtId="0" fontId="18" fillId="0" borderId="0" xfId="2" applyFont="1"/>
    <xf numFmtId="0" fontId="2" fillId="0" borderId="5" xfId="2" applyFont="1" applyBorder="1" applyAlignment="1">
      <alignment horizontal="center"/>
    </xf>
    <xf numFmtId="175" fontId="4" fillId="0" borderId="5" xfId="4" applyNumberFormat="1" applyFont="1" applyBorder="1" applyAlignment="1">
      <alignment horizontal="center" vertical="center" wrapText="1"/>
    </xf>
    <xf numFmtId="170" fontId="4" fillId="0" borderId="5" xfId="6" applyNumberFormat="1" applyFont="1" applyFill="1" applyBorder="1" applyAlignment="1">
      <alignment horizontal="center" vertical="center"/>
    </xf>
    <xf numFmtId="175" fontId="2" fillId="0" borderId="5" xfId="2" applyNumberFormat="1" applyFont="1" applyBorder="1"/>
    <xf numFmtId="175" fontId="2" fillId="0" borderId="5" xfId="13" applyNumberFormat="1" applyFont="1" applyFill="1" applyBorder="1"/>
    <xf numFmtId="164" fontId="10" fillId="0" borderId="5" xfId="1" applyNumberFormat="1" applyFont="1" applyFill="1" applyBorder="1" applyAlignment="1">
      <alignment vertical="center"/>
    </xf>
    <xf numFmtId="174" fontId="4" fillId="5" borderId="5" xfId="1" applyNumberFormat="1" applyFont="1" applyFill="1" applyBorder="1" applyAlignment="1">
      <alignment vertical="top" wrapText="1"/>
    </xf>
    <xf numFmtId="174" fontId="2" fillId="3" borderId="2" xfId="2" applyNumberFormat="1" applyFont="1" applyFill="1" applyBorder="1" applyAlignment="1">
      <alignment horizontal="right" vertical="center" wrapText="1"/>
    </xf>
    <xf numFmtId="9" fontId="2" fillId="0" borderId="5" xfId="19" applyFont="1" applyFill="1" applyBorder="1" applyAlignment="1">
      <alignment horizontal="center" vertical="center"/>
    </xf>
    <xf numFmtId="43" fontId="14" fillId="2" borderId="0" xfId="2" applyNumberFormat="1" applyFont="1" applyFill="1"/>
    <xf numFmtId="0" fontId="2" fillId="2" borderId="5" xfId="4" applyFont="1" applyFill="1" applyBorder="1" applyAlignment="1">
      <alignment vertical="center" wrapText="1"/>
    </xf>
    <xf numFmtId="176" fontId="2" fillId="2" borderId="0" xfId="3" applyNumberFormat="1" applyFont="1" applyFill="1"/>
    <xf numFmtId="0" fontId="12" fillId="2" borderId="0" xfId="0" applyFont="1" applyFill="1" applyAlignment="1">
      <alignment wrapText="1"/>
    </xf>
    <xf numFmtId="0" fontId="12" fillId="2" borderId="0" xfId="0" applyFont="1" applyFill="1" applyAlignment="1">
      <alignment vertical="center" wrapText="1"/>
    </xf>
    <xf numFmtId="0" fontId="12" fillId="2" borderId="0" xfId="2" applyFont="1" applyFill="1" applyAlignment="1">
      <alignment vertical="top"/>
    </xf>
    <xf numFmtId="0" fontId="12" fillId="2" borderId="0" xfId="2" applyFont="1" applyFill="1" applyAlignment="1">
      <alignment wrapText="1"/>
    </xf>
    <xf numFmtId="164" fontId="12" fillId="2" borderId="0" xfId="2" applyNumberFormat="1" applyFont="1" applyFill="1" applyAlignment="1">
      <alignment wrapText="1"/>
    </xf>
    <xf numFmtId="0" fontId="12" fillId="2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0" fontId="4" fillId="6" borderId="5" xfId="4" applyNumberFormat="1" applyFont="1" applyFill="1" applyBorder="1" applyAlignment="1">
      <alignment horizontal="center" vertical="top" wrapText="1"/>
    </xf>
    <xf numFmtId="170" fontId="4" fillId="3" borderId="5" xfId="4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19" fillId="2" borderId="0" xfId="3" applyFont="1" applyFill="1"/>
    <xf numFmtId="0" fontId="4" fillId="2" borderId="5" xfId="0" applyFont="1" applyFill="1" applyBorder="1" applyAlignment="1">
      <alignment horizontal="center" vertical="center" wrapText="1"/>
    </xf>
    <xf numFmtId="0" fontId="2" fillId="0" borderId="5" xfId="2" applyFont="1" applyFill="1" applyBorder="1"/>
    <xf numFmtId="0" fontId="8" fillId="0" borderId="5" xfId="2" applyFont="1" applyFill="1" applyBorder="1" applyAlignment="1">
      <alignment vertical="center" wrapText="1"/>
    </xf>
    <xf numFmtId="0" fontId="2" fillId="2" borderId="0" xfId="2" applyFont="1" applyFill="1" applyAlignment="1">
      <alignment horizontal="right"/>
    </xf>
    <xf numFmtId="0" fontId="2" fillId="2" borderId="7" xfId="2" applyFont="1" applyFill="1" applyBorder="1" applyAlignment="1">
      <alignment horizontal="right"/>
    </xf>
    <xf numFmtId="0" fontId="2" fillId="2" borderId="0" xfId="2" applyFont="1" applyFill="1" applyAlignment="1">
      <alignment horizontal="left" vertical="top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left" vertical="top" wrapText="1"/>
    </xf>
    <xf numFmtId="0" fontId="4" fillId="2" borderId="5" xfId="2" applyFont="1" applyFill="1" applyBorder="1" applyAlignment="1">
      <alignment horizontal="left" vertical="top" wrapText="1"/>
    </xf>
    <xf numFmtId="165" fontId="4" fillId="2" borderId="5" xfId="1" applyNumberFormat="1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left" vertical="center" wrapText="1"/>
    </xf>
    <xf numFmtId="167" fontId="4" fillId="2" borderId="5" xfId="16" applyNumberFormat="1" applyFont="1" applyFill="1" applyBorder="1" applyAlignment="1">
      <alignment horizontal="center" vertical="center" wrapText="1"/>
    </xf>
    <xf numFmtId="165" fontId="4" fillId="2" borderId="5" xfId="2" applyNumberFormat="1" applyFont="1" applyFill="1" applyBorder="1" applyAlignment="1">
      <alignment horizontal="center" vertical="center"/>
    </xf>
    <xf numFmtId="167" fontId="2" fillId="2" borderId="5" xfId="16" applyNumberFormat="1" applyFont="1" applyFill="1" applyBorder="1" applyAlignment="1">
      <alignment horizontal="center" vertical="center" wrapText="1"/>
    </xf>
    <xf numFmtId="170" fontId="4" fillId="2" borderId="5" xfId="2" applyNumberFormat="1" applyFont="1" applyFill="1" applyBorder="1" applyAlignment="1">
      <alignment horizontal="center" vertical="center"/>
    </xf>
    <xf numFmtId="0" fontId="4" fillId="2" borderId="5" xfId="16" applyFont="1" applyFill="1" applyBorder="1" applyAlignment="1">
      <alignment horizontal="center" vertical="top" wrapText="1"/>
    </xf>
    <xf numFmtId="0" fontId="2" fillId="2" borderId="0" xfId="2" applyFont="1" applyFill="1" applyAlignment="1">
      <alignment vertical="center"/>
    </xf>
    <xf numFmtId="0" fontId="4" fillId="2" borderId="5" xfId="2" applyFont="1" applyFill="1" applyBorder="1" applyAlignment="1">
      <alignment wrapText="1"/>
    </xf>
    <xf numFmtId="167" fontId="2" fillId="2" borderId="5" xfId="6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wrapText="1"/>
    </xf>
    <xf numFmtId="167" fontId="4" fillId="2" borderId="5" xfId="6" applyFont="1" applyFill="1" applyBorder="1" applyAlignment="1">
      <alignment horizontal="right" vertical="center"/>
    </xf>
    <xf numFmtId="167" fontId="2" fillId="2" borderId="5" xfId="6" applyFont="1" applyFill="1" applyBorder="1" applyAlignment="1">
      <alignment horizontal="right" vertical="center"/>
    </xf>
    <xf numFmtId="0" fontId="8" fillId="2" borderId="5" xfId="2" applyFont="1" applyFill="1" applyBorder="1" applyAlignment="1">
      <alignment horizontal="left" vertical="top" wrapText="1"/>
    </xf>
    <xf numFmtId="167" fontId="8" fillId="2" borderId="5" xfId="6" applyFont="1" applyFill="1" applyBorder="1" applyAlignment="1">
      <alignment horizontal="right" vertical="center"/>
    </xf>
    <xf numFmtId="0" fontId="2" fillId="2" borderId="2" xfId="2" applyFont="1" applyFill="1" applyBorder="1" applyAlignment="1">
      <alignment horizontal="left" vertical="top" wrapText="1"/>
    </xf>
    <xf numFmtId="0" fontId="4" fillId="2" borderId="9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top" wrapText="1"/>
    </xf>
    <xf numFmtId="0" fontId="2" fillId="2" borderId="5" xfId="16" applyFont="1" applyFill="1" applyBorder="1">
      <alignment horizontal="left" vertical="top" wrapText="1"/>
    </xf>
    <xf numFmtId="0" fontId="2" fillId="2" borderId="3" xfId="2" applyFont="1" applyFill="1" applyBorder="1" applyAlignment="1">
      <alignment horizontal="left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5" fontId="2" fillId="2" borderId="5" xfId="1" applyNumberFormat="1" applyFont="1" applyFill="1" applyBorder="1" applyAlignment="1">
      <alignment horizontal="center" vertical="center" wrapText="1"/>
    </xf>
    <xf numFmtId="43" fontId="2" fillId="2" borderId="5" xfId="1" applyFont="1" applyFill="1" applyBorder="1" applyAlignment="1">
      <alignment horizontal="center" vertical="center" wrapText="1"/>
    </xf>
    <xf numFmtId="165" fontId="4" fillId="2" borderId="5" xfId="1" applyNumberFormat="1" applyFont="1" applyFill="1" applyBorder="1" applyAlignment="1">
      <alignment horizontal="right" vertical="center" wrapText="1"/>
    </xf>
    <xf numFmtId="165" fontId="8" fillId="2" borderId="5" xfId="1" applyNumberFormat="1" applyFont="1" applyFill="1" applyBorder="1" applyAlignment="1">
      <alignment horizontal="right" vertical="center" wrapText="1"/>
    </xf>
    <xf numFmtId="164" fontId="2" fillId="2" borderId="5" xfId="1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center"/>
    </xf>
    <xf numFmtId="0" fontId="8" fillId="2" borderId="5" xfId="5" applyFont="1" applyFill="1" applyBorder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49" fontId="4" fillId="2" borderId="1" xfId="4" applyNumberFormat="1" applyFont="1" applyFill="1" applyBorder="1" applyAlignment="1">
      <alignment horizontal="center" vertical="center" wrapText="1"/>
    </xf>
    <xf numFmtId="49" fontId="4" fillId="2" borderId="2" xfId="4" applyNumberFormat="1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170" fontId="4" fillId="2" borderId="3" xfId="4" applyNumberFormat="1" applyFont="1" applyFill="1" applyBorder="1" applyAlignment="1">
      <alignment horizontal="center" vertical="center" wrapText="1"/>
    </xf>
    <xf numFmtId="170" fontId="4" fillId="2" borderId="6" xfId="4" applyNumberFormat="1" applyFont="1" applyFill="1" applyBorder="1" applyAlignment="1">
      <alignment horizontal="center" vertical="center" wrapText="1"/>
    </xf>
    <xf numFmtId="170" fontId="2" fillId="2" borderId="1" xfId="4" applyNumberFormat="1" applyFont="1" applyFill="1" applyBorder="1" applyAlignment="1">
      <alignment horizontal="center" vertical="center" wrapText="1"/>
    </xf>
    <xf numFmtId="170" fontId="2" fillId="2" borderId="4" xfId="4" applyNumberFormat="1" applyFont="1" applyFill="1" applyBorder="1" applyAlignment="1">
      <alignment horizontal="center" vertical="center" wrapText="1"/>
    </xf>
    <xf numFmtId="170" fontId="2" fillId="2" borderId="2" xfId="4" applyNumberFormat="1" applyFont="1" applyFill="1" applyBorder="1" applyAlignment="1">
      <alignment horizontal="center" vertical="center" wrapText="1"/>
    </xf>
    <xf numFmtId="165" fontId="2" fillId="2" borderId="0" xfId="4" applyNumberFormat="1" applyFont="1" applyFill="1" applyAlignment="1">
      <alignment horizontal="right" vertical="top" wrapText="1"/>
    </xf>
    <xf numFmtId="165" fontId="2" fillId="2" borderId="0" xfId="4" applyNumberFormat="1" applyFont="1" applyFill="1" applyAlignment="1">
      <alignment horizontal="right" vertical="center" wrapText="1"/>
    </xf>
    <xf numFmtId="49" fontId="4" fillId="2" borderId="0" xfId="4" applyNumberFormat="1" applyFont="1" applyFill="1" applyAlignment="1">
      <alignment horizontal="center" vertical="center" wrapText="1"/>
    </xf>
    <xf numFmtId="0" fontId="2" fillId="2" borderId="0" xfId="7" applyFont="1" applyFill="1" applyAlignment="1">
      <alignment vertical="center" wrapText="1"/>
    </xf>
    <xf numFmtId="0" fontId="2" fillId="2" borderId="7" xfId="8" applyFont="1" applyFill="1" applyBorder="1" applyAlignment="1">
      <alignment horizontal="right"/>
    </xf>
    <xf numFmtId="0" fontId="4" fillId="2" borderId="0" xfId="3" applyFont="1" applyFill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2" fillId="2" borderId="0" xfId="2" applyNumberFormat="1" applyFont="1" applyFill="1" applyAlignment="1">
      <alignment horizontal="right" vertical="top" wrapText="1"/>
    </xf>
    <xf numFmtId="164" fontId="12" fillId="2" borderId="0" xfId="2" applyNumberFormat="1" applyFont="1" applyFill="1" applyAlignment="1">
      <alignment horizontal="right" wrapText="1"/>
    </xf>
    <xf numFmtId="0" fontId="2" fillId="0" borderId="5" xfId="2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top" wrapText="1"/>
    </xf>
    <xf numFmtId="0" fontId="2" fillId="2" borderId="4" xfId="3" applyFont="1" applyFill="1" applyBorder="1" applyAlignment="1">
      <alignment horizontal="left" vertical="top" wrapText="1"/>
    </xf>
    <xf numFmtId="0" fontId="2" fillId="2" borderId="2" xfId="3" applyFont="1" applyFill="1" applyBorder="1" applyAlignment="1">
      <alignment horizontal="left" vertical="top" wrapText="1"/>
    </xf>
    <xf numFmtId="0" fontId="2" fillId="0" borderId="1" xfId="2" applyFont="1" applyBorder="1" applyAlignment="1">
      <alignment horizontal="left" vertical="top" wrapText="1"/>
    </xf>
    <xf numFmtId="0" fontId="2" fillId="0" borderId="4" xfId="2" applyFont="1" applyBorder="1" applyAlignment="1">
      <alignment horizontal="left" vertical="top" wrapText="1"/>
    </xf>
    <xf numFmtId="0" fontId="2" fillId="0" borderId="2" xfId="2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0" xfId="14" applyFont="1" applyFill="1" applyAlignment="1">
      <alignment horizontal="right" vertical="top"/>
    </xf>
    <xf numFmtId="0" fontId="2" fillId="2" borderId="0" xfId="14" applyFont="1" applyFill="1" applyAlignment="1">
      <alignment horizontal="right" vertical="center"/>
    </xf>
    <xf numFmtId="0" fontId="4" fillId="2" borderId="5" xfId="14" applyFont="1" applyFill="1" applyBorder="1" applyAlignment="1">
      <alignment horizontal="center" vertical="center" wrapText="1"/>
    </xf>
    <xf numFmtId="0" fontId="2" fillId="2" borderId="5" xfId="15" applyFont="1" applyFill="1" applyBorder="1" applyAlignment="1">
      <alignment horizontal="center" vertical="center" wrapText="1"/>
    </xf>
    <xf numFmtId="0" fontId="2" fillId="2" borderId="5" xfId="16" applyFont="1" applyFill="1" applyBorder="1" applyAlignment="1">
      <alignment horizontal="center" vertical="center" wrapText="1"/>
    </xf>
    <xf numFmtId="0" fontId="2" fillId="2" borderId="1" xfId="15" applyFont="1" applyFill="1" applyBorder="1" applyAlignment="1">
      <alignment horizontal="center" wrapText="1"/>
    </xf>
    <xf numFmtId="0" fontId="2" fillId="2" borderId="4" xfId="15" applyFont="1" applyFill="1" applyBorder="1" applyAlignment="1">
      <alignment horizontal="center" wrapText="1"/>
    </xf>
    <xf numFmtId="0" fontId="2" fillId="2" borderId="2" xfId="15" applyFont="1" applyFill="1" applyBorder="1" applyAlignment="1">
      <alignment horizontal="center" wrapText="1"/>
    </xf>
    <xf numFmtId="0" fontId="4" fillId="4" borderId="5" xfId="2" applyFont="1" applyFill="1" applyBorder="1" applyAlignment="1">
      <alignment vertical="top" wrapText="1"/>
    </xf>
    <xf numFmtId="0" fontId="2" fillId="3" borderId="1" xfId="2" applyFont="1" applyFill="1" applyBorder="1" applyAlignment="1">
      <alignment horizontal="left" vertical="center" wrapText="1"/>
    </xf>
    <xf numFmtId="0" fontId="2" fillId="3" borderId="4" xfId="2" applyFont="1" applyFill="1" applyBorder="1" applyAlignment="1">
      <alignment horizontal="left" vertical="center" wrapText="1"/>
    </xf>
    <xf numFmtId="0" fontId="2" fillId="3" borderId="2" xfId="2" applyFont="1" applyFill="1" applyBorder="1" applyAlignment="1">
      <alignment horizontal="left" vertical="center" wrapText="1"/>
    </xf>
    <xf numFmtId="0" fontId="4" fillId="5" borderId="5" xfId="2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2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/>
    </xf>
    <xf numFmtId="0" fontId="2" fillId="2" borderId="3" xfId="2" applyFont="1" applyFill="1" applyBorder="1" applyAlignment="1">
      <alignment horizontal="center"/>
    </xf>
    <xf numFmtId="0" fontId="2" fillId="2" borderId="8" xfId="2" applyFont="1" applyFill="1" applyBorder="1" applyAlignment="1">
      <alignment horizontal="center"/>
    </xf>
    <xf numFmtId="0" fontId="2" fillId="2" borderId="6" xfId="2" applyFont="1" applyFill="1" applyBorder="1" applyAlignment="1">
      <alignment horizontal="center"/>
    </xf>
    <xf numFmtId="0" fontId="4" fillId="2" borderId="5" xfId="2" applyFont="1" applyFill="1" applyBorder="1" applyAlignment="1">
      <alignment horizontal="center" vertical="top" wrapText="1"/>
    </xf>
    <xf numFmtId="49" fontId="4" fillId="2" borderId="3" xfId="2" applyNumberFormat="1" applyFont="1" applyFill="1" applyBorder="1" applyAlignment="1">
      <alignment horizontal="center" vertical="top" wrapText="1"/>
    </xf>
    <xf numFmtId="49" fontId="4" fillId="2" borderId="8" xfId="2" applyNumberFormat="1" applyFont="1" applyFill="1" applyBorder="1" applyAlignment="1">
      <alignment horizontal="center" vertical="top" wrapText="1"/>
    </xf>
    <xf numFmtId="49" fontId="4" fillId="2" borderId="6" xfId="2" applyNumberFormat="1" applyFont="1" applyFill="1" applyBorder="1" applyAlignment="1">
      <alignment horizontal="center" vertical="top" wrapText="1"/>
    </xf>
    <xf numFmtId="0" fontId="4" fillId="2" borderId="5" xfId="16" applyFont="1" applyFill="1" applyBorder="1" applyAlignment="1">
      <alignment horizontal="center" vertical="top" wrapText="1"/>
    </xf>
    <xf numFmtId="0" fontId="4" fillId="2" borderId="5" xfId="2" applyFont="1" applyFill="1" applyBorder="1" applyAlignment="1">
      <alignment horizontal="left" vertical="center" wrapText="1"/>
    </xf>
    <xf numFmtId="0" fontId="4" fillId="2" borderId="3" xfId="16" applyFont="1" applyFill="1" applyBorder="1" applyAlignment="1">
      <alignment horizontal="center" vertical="top" wrapText="1"/>
    </xf>
    <xf numFmtId="0" fontId="4" fillId="2" borderId="8" xfId="16" applyFont="1" applyFill="1" applyBorder="1" applyAlignment="1">
      <alignment horizontal="center" vertical="top" wrapText="1"/>
    </xf>
    <xf numFmtId="0" fontId="4" fillId="2" borderId="6" xfId="16" applyFont="1" applyFill="1" applyBorder="1" applyAlignment="1">
      <alignment horizontal="center" vertical="top" wrapText="1"/>
    </xf>
    <xf numFmtId="0" fontId="2" fillId="2" borderId="5" xfId="16" applyFont="1" applyFill="1" applyBorder="1" applyAlignment="1">
      <alignment horizontal="center" vertical="top" wrapText="1"/>
    </xf>
    <xf numFmtId="0" fontId="2" fillId="2" borderId="0" xfId="2" applyFont="1" applyFill="1" applyAlignment="1">
      <alignment horizontal="right" vertical="top"/>
    </xf>
    <xf numFmtId="0" fontId="4" fillId="2" borderId="0" xfId="2" applyFont="1" applyFill="1" applyAlignment="1">
      <alignment horizontal="center" wrapText="1"/>
    </xf>
    <xf numFmtId="0" fontId="2" fillId="2" borderId="5" xfId="2" applyFont="1" applyFill="1" applyBorder="1" applyAlignment="1">
      <alignment horizontal="center" vertical="center" wrapText="1"/>
    </xf>
  </cellXfs>
  <cellStyles count="20">
    <cellStyle name="Comma" xfId="1" builtinId="3"/>
    <cellStyle name="Comma 10" xfId="11"/>
    <cellStyle name="Comma 12" xfId="9"/>
    <cellStyle name="Comma 2 5" xfId="12"/>
    <cellStyle name="Normal" xfId="0" builtinId="0"/>
    <cellStyle name="Normal 10 3" xfId="10"/>
    <cellStyle name="Normal 12" xfId="5"/>
    <cellStyle name="Normal 18" xfId="3"/>
    <cellStyle name="Normal 2 4" xfId="4"/>
    <cellStyle name="Normal 2 6" xfId="2"/>
    <cellStyle name="Normal 8" xfId="16"/>
    <cellStyle name="Percent" xfId="19" builtinId="5"/>
    <cellStyle name="Percent 6" xfId="13"/>
    <cellStyle name="SN_241" xfId="6"/>
    <cellStyle name="Обычный 19" xfId="7"/>
    <cellStyle name="Обычный 3 3" xfId="8"/>
    <cellStyle name="Обычный 32" xfId="14"/>
    <cellStyle name="Обычный 34" xfId="15"/>
    <cellStyle name="Обычный 35" xfId="17"/>
    <cellStyle name="Обычный 36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256"/>
  <sheetViews>
    <sheetView zoomScale="85" zoomScaleNormal="85" workbookViewId="0">
      <selection activeCell="D140" sqref="D140"/>
    </sheetView>
  </sheetViews>
  <sheetFormatPr defaultColWidth="9.08984375" defaultRowHeight="17" x14ac:dyDescent="0.45"/>
  <cols>
    <col min="1" max="1" width="9.08984375" style="34"/>
    <col min="2" max="2" width="9.08984375" style="34" customWidth="1"/>
    <col min="3" max="3" width="54.1796875" style="34" customWidth="1"/>
    <col min="4" max="4" width="20.1796875" style="34" bestFit="1" customWidth="1"/>
    <col min="5" max="8" width="20.453125" style="34" customWidth="1"/>
    <col min="9" max="9" width="17.6328125" style="34" bestFit="1" customWidth="1"/>
    <col min="10" max="10" width="13.6328125" style="34" bestFit="1" customWidth="1"/>
    <col min="11" max="16384" width="9.08984375" style="34"/>
  </cols>
  <sheetData>
    <row r="1" spans="1:10" s="31" customFormat="1" ht="26.5" customHeight="1" x14ac:dyDescent="0.35">
      <c r="A1" s="29"/>
      <c r="B1" s="30"/>
      <c r="C1" s="30"/>
      <c r="D1" s="30"/>
      <c r="E1" s="29"/>
      <c r="F1" s="208" t="s">
        <v>519</v>
      </c>
      <c r="G1" s="208"/>
      <c r="H1" s="208"/>
    </row>
    <row r="2" spans="1:10" x14ac:dyDescent="0.45">
      <c r="A2" s="32"/>
      <c r="B2" s="32"/>
      <c r="C2" s="32"/>
      <c r="D2" s="32"/>
      <c r="E2" s="33"/>
      <c r="F2" s="209" t="s">
        <v>23</v>
      </c>
      <c r="G2" s="209"/>
      <c r="H2" s="209"/>
    </row>
    <row r="3" spans="1:10" x14ac:dyDescent="0.45">
      <c r="A3" s="32"/>
      <c r="B3" s="32"/>
      <c r="C3" s="32"/>
      <c r="D3" s="32"/>
      <c r="E3" s="33"/>
      <c r="F3" s="209" t="s">
        <v>24</v>
      </c>
      <c r="G3" s="209"/>
      <c r="H3" s="209"/>
    </row>
    <row r="4" spans="1:10" ht="17.5" x14ac:dyDescent="0.45">
      <c r="A4" s="35"/>
      <c r="B4" s="35"/>
      <c r="C4" s="36"/>
      <c r="D4" s="33"/>
      <c r="E4" s="33"/>
      <c r="F4" s="33"/>
      <c r="G4" s="33"/>
      <c r="H4" s="33"/>
    </row>
    <row r="5" spans="1:10" ht="37.5" customHeight="1" x14ac:dyDescent="0.45">
      <c r="A5" s="210" t="s">
        <v>25</v>
      </c>
      <c r="B5" s="211"/>
      <c r="C5" s="211"/>
      <c r="D5" s="211"/>
      <c r="E5" s="211"/>
      <c r="F5" s="211"/>
      <c r="G5" s="211"/>
      <c r="H5" s="211"/>
    </row>
    <row r="6" spans="1:10" ht="37.5" customHeight="1" x14ac:dyDescent="0.45">
      <c r="A6" s="211"/>
      <c r="B6" s="211"/>
      <c r="C6" s="211"/>
      <c r="D6" s="211"/>
      <c r="E6" s="211"/>
      <c r="F6" s="211"/>
      <c r="G6" s="211"/>
      <c r="H6" s="211"/>
    </row>
    <row r="7" spans="1:10" x14ac:dyDescent="0.45">
      <c r="E7" s="33"/>
      <c r="F7" s="33"/>
      <c r="G7" s="33"/>
    </row>
    <row r="8" spans="1:10" x14ac:dyDescent="0.45">
      <c r="A8" s="37"/>
      <c r="B8" s="37"/>
      <c r="C8" s="37"/>
      <c r="D8" s="38"/>
      <c r="E8" s="33"/>
      <c r="F8" s="33"/>
      <c r="G8" s="212" t="s">
        <v>1</v>
      </c>
      <c r="H8" s="212"/>
    </row>
    <row r="9" spans="1:10" ht="45" customHeight="1" x14ac:dyDescent="0.45">
      <c r="A9" s="199" t="s">
        <v>2</v>
      </c>
      <c r="B9" s="200"/>
      <c r="C9" s="201" t="s">
        <v>3</v>
      </c>
      <c r="D9" s="203" t="s">
        <v>26</v>
      </c>
      <c r="E9" s="205" t="s">
        <v>4</v>
      </c>
      <c r="F9" s="206"/>
      <c r="G9" s="206"/>
      <c r="H9" s="207"/>
    </row>
    <row r="10" spans="1:10" ht="105" x14ac:dyDescent="0.45">
      <c r="A10" s="4" t="s">
        <v>5</v>
      </c>
      <c r="B10" s="4" t="s">
        <v>6</v>
      </c>
      <c r="C10" s="202"/>
      <c r="D10" s="204"/>
      <c r="E10" s="39" t="s">
        <v>27</v>
      </c>
      <c r="F10" s="39" t="s">
        <v>28</v>
      </c>
      <c r="G10" s="39" t="s">
        <v>29</v>
      </c>
      <c r="H10" s="39" t="s">
        <v>30</v>
      </c>
    </row>
    <row r="11" spans="1:10" ht="17.5" x14ac:dyDescent="0.45">
      <c r="A11" s="4"/>
      <c r="B11" s="4"/>
      <c r="C11" s="9" t="s">
        <v>31</v>
      </c>
      <c r="D11" s="40">
        <f>SUM(E11:H11)</f>
        <v>0</v>
      </c>
      <c r="E11" s="40">
        <f>+E13</f>
        <v>0</v>
      </c>
      <c r="F11" s="40">
        <f>+F13</f>
        <v>0</v>
      </c>
      <c r="G11" s="40">
        <f>+G13</f>
        <v>0</v>
      </c>
      <c r="H11" s="40">
        <f>+H13</f>
        <v>0</v>
      </c>
      <c r="I11" s="41"/>
      <c r="J11" s="41"/>
    </row>
    <row r="12" spans="1:10" ht="17.5" x14ac:dyDescent="0.45">
      <c r="A12" s="4"/>
      <c r="B12" s="4"/>
      <c r="C12" s="9" t="s">
        <v>32</v>
      </c>
      <c r="D12" s="40"/>
      <c r="E12" s="40"/>
      <c r="F12" s="40"/>
      <c r="G12" s="40"/>
      <c r="H12" s="40"/>
      <c r="I12" s="42"/>
      <c r="J12" s="43"/>
    </row>
    <row r="13" spans="1:10" ht="35" x14ac:dyDescent="0.45">
      <c r="A13" s="15"/>
      <c r="B13" s="44"/>
      <c r="C13" s="44" t="s">
        <v>8</v>
      </c>
      <c r="D13" s="40">
        <f>SUM(E13:H13)</f>
        <v>0</v>
      </c>
      <c r="E13" s="40">
        <f>+E83</f>
        <v>0</v>
      </c>
      <c r="F13" s="40">
        <f>+F83</f>
        <v>0</v>
      </c>
      <c r="G13" s="40">
        <f>+G83</f>
        <v>0</v>
      </c>
      <c r="H13" s="40">
        <f>+H83</f>
        <v>0</v>
      </c>
      <c r="I13" s="41"/>
    </row>
    <row r="14" spans="1:10" ht="17.5" x14ac:dyDescent="0.45">
      <c r="A14" s="15"/>
      <c r="B14" s="15"/>
      <c r="C14" s="15" t="s">
        <v>33</v>
      </c>
      <c r="D14" s="40"/>
      <c r="E14" s="45"/>
      <c r="F14" s="45"/>
      <c r="G14" s="45"/>
      <c r="H14" s="45"/>
    </row>
    <row r="15" spans="1:10" ht="35" x14ac:dyDescent="0.45">
      <c r="A15" s="9">
        <v>1236</v>
      </c>
      <c r="B15" s="52">
        <v>32003</v>
      </c>
      <c r="C15" s="19" t="s">
        <v>316</v>
      </c>
      <c r="D15" s="39">
        <f>SUM(E15:H15)</f>
        <v>2.0954757928848267E-9</v>
      </c>
      <c r="E15" s="39">
        <f>+E17+E18+E26+E32+E40+E43+E51+E59+E65+E75+E78</f>
        <v>2.0954757928848267E-9</v>
      </c>
      <c r="F15" s="39">
        <f t="shared" ref="F15:H15" si="0">+F17+F18+F26+F32+F40+F43+F51+F59+F65+F75+F78</f>
        <v>0</v>
      </c>
      <c r="G15" s="39">
        <f t="shared" si="0"/>
        <v>0</v>
      </c>
      <c r="H15" s="39">
        <f t="shared" si="0"/>
        <v>0</v>
      </c>
      <c r="I15" s="53"/>
      <c r="J15" s="53"/>
    </row>
    <row r="16" spans="1:10" s="1" customFormat="1" ht="17.5" x14ac:dyDescent="0.45">
      <c r="A16" s="9"/>
      <c r="B16" s="9"/>
      <c r="C16" s="54" t="s">
        <v>34</v>
      </c>
      <c r="D16" s="106"/>
      <c r="E16" s="107"/>
      <c r="F16" s="107"/>
      <c r="G16" s="107"/>
      <c r="H16" s="107"/>
      <c r="I16" s="53"/>
      <c r="J16" s="53"/>
    </row>
    <row r="17" spans="1:10" s="48" customFormat="1" ht="35" x14ac:dyDescent="0.45">
      <c r="A17" s="14"/>
      <c r="B17" s="14"/>
      <c r="C17" s="56" t="s">
        <v>316</v>
      </c>
      <c r="D17" s="111">
        <f>SUM(E17:H17)</f>
        <v>-13785673.114999998</v>
      </c>
      <c r="E17" s="111">
        <f>(-1300000-7500000-550000-3285846.2)+(-343732.915-656094-150000)</f>
        <v>-13785673.114999998</v>
      </c>
      <c r="F17" s="111">
        <v>0</v>
      </c>
      <c r="G17" s="111">
        <v>0</v>
      </c>
      <c r="H17" s="111">
        <v>0</v>
      </c>
      <c r="I17" s="47"/>
      <c r="J17" s="47"/>
    </row>
    <row r="18" spans="1:10" s="48" customFormat="1" ht="17" customHeight="1" x14ac:dyDescent="0.45">
      <c r="A18" s="14"/>
      <c r="B18" s="14"/>
      <c r="C18" s="46" t="s">
        <v>18</v>
      </c>
      <c r="D18" s="108">
        <f>SUM(E18:H18)</f>
        <v>2171315.1</v>
      </c>
      <c r="E18" s="108">
        <f>SUM(E19:E25)</f>
        <v>2171315.1</v>
      </c>
      <c r="F18" s="108">
        <f t="shared" ref="F18:H18" si="1">SUM(F19:F25)</f>
        <v>0</v>
      </c>
      <c r="G18" s="108">
        <f t="shared" si="1"/>
        <v>0</v>
      </c>
      <c r="H18" s="108">
        <f t="shared" si="1"/>
        <v>0</v>
      </c>
      <c r="I18" s="47"/>
      <c r="J18" s="47"/>
    </row>
    <row r="19" spans="1:10" s="51" customFormat="1" ht="34" x14ac:dyDescent="0.45">
      <c r="A19" s="14"/>
      <c r="B19" s="14"/>
      <c r="C19" s="20" t="s">
        <v>321</v>
      </c>
      <c r="D19" s="109">
        <f t="shared" ref="D19" si="2">+E19+F19+G19+H19</f>
        <v>250000</v>
      </c>
      <c r="E19" s="109">
        <f>+'Հավելված N 4'!I17</f>
        <v>250000</v>
      </c>
      <c r="F19" s="109"/>
      <c r="G19" s="109"/>
      <c r="H19" s="109"/>
      <c r="I19" s="50"/>
      <c r="J19" s="50"/>
    </row>
    <row r="20" spans="1:10" s="51" customFormat="1" ht="51" x14ac:dyDescent="0.45">
      <c r="A20" s="55"/>
      <c r="B20" s="55"/>
      <c r="C20" s="20" t="s">
        <v>235</v>
      </c>
      <c r="D20" s="109">
        <f t="shared" ref="D20:D25" si="3">+E20+F20+G20+H20</f>
        <v>509859.3</v>
      </c>
      <c r="E20" s="109">
        <f>+'Հավելված N 4'!I18+'Հավելված N 4'!I65</f>
        <v>509859.3</v>
      </c>
      <c r="F20" s="109"/>
      <c r="G20" s="109"/>
      <c r="H20" s="109"/>
      <c r="I20" s="50"/>
      <c r="J20" s="50"/>
    </row>
    <row r="21" spans="1:10" s="51" customFormat="1" ht="34" x14ac:dyDescent="0.45">
      <c r="A21" s="55"/>
      <c r="B21" s="55"/>
      <c r="C21" s="20" t="s">
        <v>236</v>
      </c>
      <c r="D21" s="109">
        <f t="shared" si="3"/>
        <v>564003.4</v>
      </c>
      <c r="E21" s="109">
        <f>+'Հավելված N 4'!I19+'Հավելված N 4'!I66</f>
        <v>564003.4</v>
      </c>
      <c r="F21" s="109"/>
      <c r="G21" s="109"/>
      <c r="H21" s="109"/>
      <c r="I21" s="50"/>
      <c r="J21" s="50"/>
    </row>
    <row r="22" spans="1:10" s="51" customFormat="1" x14ac:dyDescent="0.45">
      <c r="A22" s="55"/>
      <c r="B22" s="55"/>
      <c r="C22" s="20" t="s">
        <v>237</v>
      </c>
      <c r="D22" s="109">
        <f t="shared" si="3"/>
        <v>450000</v>
      </c>
      <c r="E22" s="109">
        <f>+'Հավելված N 4'!I20</f>
        <v>450000</v>
      </c>
      <c r="F22" s="109"/>
      <c r="G22" s="109"/>
      <c r="H22" s="109"/>
      <c r="I22" s="50"/>
      <c r="J22" s="50"/>
    </row>
    <row r="23" spans="1:10" s="51" customFormat="1" ht="34" x14ac:dyDescent="0.45">
      <c r="A23" s="10"/>
      <c r="B23" s="10"/>
      <c r="C23" s="20" t="s">
        <v>322</v>
      </c>
      <c r="D23" s="109">
        <f t="shared" si="3"/>
        <v>149203.4</v>
      </c>
      <c r="E23" s="109">
        <f>+'Հավելված N 4'!I21</f>
        <v>149203.4</v>
      </c>
      <c r="F23" s="109"/>
      <c r="G23" s="109"/>
      <c r="H23" s="109"/>
      <c r="I23" s="50"/>
      <c r="J23" s="50"/>
    </row>
    <row r="24" spans="1:10" s="51" customFormat="1" x14ac:dyDescent="0.35">
      <c r="A24" s="140"/>
      <c r="B24" s="140"/>
      <c r="C24" s="20" t="s">
        <v>566</v>
      </c>
      <c r="D24" s="49">
        <f t="shared" si="3"/>
        <v>180000</v>
      </c>
      <c r="E24" s="49">
        <f>+'Հավելված N 4'!I340</f>
        <v>180000</v>
      </c>
      <c r="F24" s="49"/>
      <c r="G24" s="49"/>
      <c r="H24" s="49"/>
      <c r="I24" s="50"/>
      <c r="J24" s="50"/>
    </row>
    <row r="25" spans="1:10" s="51" customFormat="1" x14ac:dyDescent="0.35">
      <c r="A25" s="140"/>
      <c r="B25" s="140"/>
      <c r="C25" s="20" t="s">
        <v>567</v>
      </c>
      <c r="D25" s="49">
        <f t="shared" si="3"/>
        <v>68249</v>
      </c>
      <c r="E25" s="49">
        <f>+'Հավելված N 4'!I341</f>
        <v>68249</v>
      </c>
      <c r="F25" s="49"/>
      <c r="G25" s="49"/>
      <c r="H25" s="49"/>
      <c r="I25" s="50"/>
      <c r="J25" s="50"/>
    </row>
    <row r="26" spans="1:10" s="48" customFormat="1" ht="17" customHeight="1" x14ac:dyDescent="0.45">
      <c r="A26" s="14"/>
      <c r="B26" s="14"/>
      <c r="C26" s="46" t="s">
        <v>12</v>
      </c>
      <c r="D26" s="108">
        <f>SUM(E26:H26)</f>
        <v>1821777.9000000001</v>
      </c>
      <c r="E26" s="108">
        <f>SUM(E27:E31)</f>
        <v>1821777.9000000001</v>
      </c>
      <c r="F26" s="108">
        <f t="shared" ref="F26:H26" si="4">SUM(F27:F30)</f>
        <v>0</v>
      </c>
      <c r="G26" s="108">
        <f t="shared" si="4"/>
        <v>0</v>
      </c>
      <c r="H26" s="108">
        <f t="shared" si="4"/>
        <v>0</v>
      </c>
      <c r="I26" s="47"/>
      <c r="J26" s="47"/>
    </row>
    <row r="27" spans="1:10" s="51" customFormat="1" x14ac:dyDescent="0.45">
      <c r="A27" s="14"/>
      <c r="B27" s="14"/>
      <c r="C27" s="20" t="s">
        <v>325</v>
      </c>
      <c r="D27" s="109">
        <f t="shared" ref="D27:D28" si="5">+E27+F27+G27+H27</f>
        <v>80000</v>
      </c>
      <c r="E27" s="109">
        <f>+'Հավելված N 4'!I22</f>
        <v>80000</v>
      </c>
      <c r="F27" s="109"/>
      <c r="G27" s="109"/>
      <c r="H27" s="109"/>
      <c r="I27" s="50"/>
      <c r="J27" s="50"/>
    </row>
    <row r="28" spans="1:10" s="51" customFormat="1" x14ac:dyDescent="0.45">
      <c r="A28" s="14"/>
      <c r="B28" s="14"/>
      <c r="C28" s="20" t="s">
        <v>326</v>
      </c>
      <c r="D28" s="109">
        <f t="shared" si="5"/>
        <v>158000</v>
      </c>
      <c r="E28" s="109">
        <f>+'Հավելված N 4'!I23</f>
        <v>158000</v>
      </c>
      <c r="F28" s="109"/>
      <c r="G28" s="109"/>
      <c r="H28" s="109"/>
      <c r="I28" s="50"/>
      <c r="J28" s="50"/>
    </row>
    <row r="29" spans="1:10" s="51" customFormat="1" x14ac:dyDescent="0.45">
      <c r="A29" s="55"/>
      <c r="B29" s="55"/>
      <c r="C29" s="20" t="s">
        <v>238</v>
      </c>
      <c r="D29" s="109">
        <f t="shared" ref="D29:D31" si="6">+E29+F29+G29+H29</f>
        <v>623329.60000000009</v>
      </c>
      <c r="E29" s="109">
        <f>+'Հավելված N 4'!I24+'Հավելված N 4'!I67</f>
        <v>623329.60000000009</v>
      </c>
      <c r="F29" s="109"/>
      <c r="G29" s="109"/>
      <c r="H29" s="109"/>
      <c r="I29" s="50"/>
      <c r="J29" s="50"/>
    </row>
    <row r="30" spans="1:10" s="51" customFormat="1" x14ac:dyDescent="0.45">
      <c r="A30" s="55"/>
      <c r="B30" s="55"/>
      <c r="C30" s="20" t="s">
        <v>239</v>
      </c>
      <c r="D30" s="109">
        <f t="shared" si="6"/>
        <v>657548.30000000005</v>
      </c>
      <c r="E30" s="109">
        <f>+'Հավելված N 4'!I25+'Հավելված N 4'!I68</f>
        <v>657548.30000000005</v>
      </c>
      <c r="F30" s="109"/>
      <c r="G30" s="109"/>
      <c r="H30" s="109"/>
      <c r="I30" s="50"/>
      <c r="J30" s="50"/>
    </row>
    <row r="31" spans="1:10" s="51" customFormat="1" x14ac:dyDescent="0.35">
      <c r="A31" s="15"/>
      <c r="B31" s="15"/>
      <c r="C31" s="20" t="s">
        <v>568</v>
      </c>
      <c r="D31" s="49">
        <f t="shared" si="6"/>
        <v>302900</v>
      </c>
      <c r="E31" s="49">
        <f>+'Հավելված N 4'!I342+'Հավելված N 4'!I349+'Հավելված N 4'!I352</f>
        <v>302900</v>
      </c>
      <c r="F31" s="49"/>
      <c r="G31" s="49"/>
      <c r="H31" s="49"/>
      <c r="I31" s="50"/>
      <c r="J31" s="50"/>
    </row>
    <row r="32" spans="1:10" s="48" customFormat="1" ht="17" customHeight="1" x14ac:dyDescent="0.45">
      <c r="A32" s="14"/>
      <c r="B32" s="14"/>
      <c r="C32" s="46" t="s">
        <v>22</v>
      </c>
      <c r="D32" s="108">
        <f>SUM(E32:H32)</f>
        <v>2974214.9</v>
      </c>
      <c r="E32" s="108">
        <f>SUM(E33:E39)</f>
        <v>2974214.9</v>
      </c>
      <c r="F32" s="108">
        <f t="shared" ref="F32:H32" si="7">SUM(F33:F39)</f>
        <v>0</v>
      </c>
      <c r="G32" s="108">
        <f t="shared" si="7"/>
        <v>0</v>
      </c>
      <c r="H32" s="108">
        <f t="shared" si="7"/>
        <v>0</v>
      </c>
      <c r="I32" s="47"/>
      <c r="J32" s="47"/>
    </row>
    <row r="33" spans="1:10" s="51" customFormat="1" ht="34" x14ac:dyDescent="0.45">
      <c r="A33" s="14"/>
      <c r="B33" s="14"/>
      <c r="C33" s="20" t="s">
        <v>331</v>
      </c>
      <c r="D33" s="109">
        <f t="shared" ref="D33" si="8">+E33+F33+G33+H33</f>
        <v>312245.90000000002</v>
      </c>
      <c r="E33" s="109">
        <f>+'Հավելված N 4'!I26</f>
        <v>312245.90000000002</v>
      </c>
      <c r="F33" s="109"/>
      <c r="G33" s="109"/>
      <c r="H33" s="109"/>
      <c r="I33" s="50"/>
      <c r="J33" s="50"/>
    </row>
    <row r="34" spans="1:10" s="51" customFormat="1" ht="34" x14ac:dyDescent="0.45">
      <c r="A34" s="14"/>
      <c r="B34" s="14"/>
      <c r="C34" s="20" t="s">
        <v>240</v>
      </c>
      <c r="D34" s="109">
        <f t="shared" ref="D34:D39" si="9">+E34+F34+G34+H34</f>
        <v>499292</v>
      </c>
      <c r="E34" s="109">
        <f>+'Հավելված N 4'!I27+'Հավելված N 4'!I69</f>
        <v>499292</v>
      </c>
      <c r="F34" s="109"/>
      <c r="G34" s="109"/>
      <c r="H34" s="109"/>
      <c r="I34" s="50"/>
      <c r="J34" s="50"/>
    </row>
    <row r="35" spans="1:10" s="51" customFormat="1" x14ac:dyDescent="0.45">
      <c r="A35" s="14"/>
      <c r="B35" s="14"/>
      <c r="C35" s="20" t="s">
        <v>241</v>
      </c>
      <c r="D35" s="109">
        <f t="shared" si="9"/>
        <v>313084.39999999997</v>
      </c>
      <c r="E35" s="109">
        <f>+'Հավելված N 4'!I28+'Հավելված N 4'!I70</f>
        <v>313084.39999999997</v>
      </c>
      <c r="F35" s="109"/>
      <c r="G35" s="109"/>
      <c r="H35" s="109"/>
      <c r="I35" s="50"/>
      <c r="J35" s="50"/>
    </row>
    <row r="36" spans="1:10" s="51" customFormat="1" x14ac:dyDescent="0.45">
      <c r="A36" s="14"/>
      <c r="B36" s="14"/>
      <c r="C36" s="20" t="s">
        <v>242</v>
      </c>
      <c r="D36" s="109">
        <f t="shared" si="9"/>
        <v>1009478.3</v>
      </c>
      <c r="E36" s="109">
        <f>+'Հավելված N 4'!I29+'Հավելված N 4'!I71</f>
        <v>1009478.3</v>
      </c>
      <c r="F36" s="109"/>
      <c r="G36" s="109"/>
      <c r="H36" s="109"/>
      <c r="I36" s="50"/>
      <c r="J36" s="50"/>
    </row>
    <row r="37" spans="1:10" s="51" customFormat="1" x14ac:dyDescent="0.45">
      <c r="A37" s="14"/>
      <c r="B37" s="14"/>
      <c r="C37" s="20" t="s">
        <v>243</v>
      </c>
      <c r="D37" s="109">
        <f t="shared" si="9"/>
        <v>410114.3</v>
      </c>
      <c r="E37" s="109">
        <f>+'Հավելված N 4'!I30</f>
        <v>410114.3</v>
      </c>
      <c r="F37" s="109"/>
      <c r="G37" s="109"/>
      <c r="H37" s="109"/>
      <c r="I37" s="50"/>
      <c r="J37" s="50"/>
    </row>
    <row r="38" spans="1:10" s="51" customFormat="1" ht="34" x14ac:dyDescent="0.45">
      <c r="A38" s="112"/>
      <c r="B38" s="112"/>
      <c r="C38" s="20" t="s">
        <v>332</v>
      </c>
      <c r="D38" s="109">
        <f t="shared" si="9"/>
        <v>180000</v>
      </c>
      <c r="E38" s="109">
        <f>+'Հավելված N 4'!I31</f>
        <v>180000</v>
      </c>
      <c r="F38" s="109"/>
      <c r="G38" s="109"/>
      <c r="H38" s="109"/>
      <c r="I38" s="50"/>
      <c r="J38" s="50"/>
    </row>
    <row r="39" spans="1:10" s="51" customFormat="1" ht="34" x14ac:dyDescent="0.45">
      <c r="A39" s="112"/>
      <c r="B39" s="112"/>
      <c r="C39" s="20" t="s">
        <v>333</v>
      </c>
      <c r="D39" s="109">
        <f t="shared" si="9"/>
        <v>250000</v>
      </c>
      <c r="E39" s="109">
        <f>+'Հավելված N 4'!I32</f>
        <v>250000</v>
      </c>
      <c r="F39" s="109"/>
      <c r="G39" s="109"/>
      <c r="H39" s="109"/>
      <c r="I39" s="50"/>
      <c r="J39" s="50"/>
    </row>
    <row r="40" spans="1:10" s="48" customFormat="1" ht="17" customHeight="1" x14ac:dyDescent="0.45">
      <c r="A40" s="14"/>
      <c r="B40" s="14"/>
      <c r="C40" s="46" t="s">
        <v>16</v>
      </c>
      <c r="D40" s="108">
        <f>SUM(E40:H40)</f>
        <v>124371</v>
      </c>
      <c r="E40" s="108">
        <f>SUM(E41:E42)</f>
        <v>124371</v>
      </c>
      <c r="F40" s="108">
        <f t="shared" ref="F40:H40" si="10">SUM(F41:F42)</f>
        <v>0</v>
      </c>
      <c r="G40" s="108">
        <f t="shared" si="10"/>
        <v>0</v>
      </c>
      <c r="H40" s="108">
        <f t="shared" si="10"/>
        <v>0</v>
      </c>
      <c r="I40" s="47"/>
      <c r="J40" s="47"/>
    </row>
    <row r="41" spans="1:10" s="51" customFormat="1" ht="34" x14ac:dyDescent="0.45">
      <c r="A41" s="112"/>
      <c r="B41" s="112"/>
      <c r="C41" s="20" t="s">
        <v>335</v>
      </c>
      <c r="D41" s="109">
        <f t="shared" ref="D41:D42" si="11">+E41+F41+G41+H41</f>
        <v>70000</v>
      </c>
      <c r="E41" s="109">
        <f>+'Հավելված N 4'!I33</f>
        <v>70000</v>
      </c>
      <c r="F41" s="109"/>
      <c r="G41" s="109"/>
      <c r="H41" s="109"/>
      <c r="I41" s="50"/>
      <c r="J41" s="50"/>
    </row>
    <row r="42" spans="1:10" s="51" customFormat="1" ht="34" x14ac:dyDescent="0.35">
      <c r="A42" s="15"/>
      <c r="B42" s="15"/>
      <c r="C42" s="20" t="s">
        <v>569</v>
      </c>
      <c r="D42" s="49">
        <f t="shared" si="11"/>
        <v>54371</v>
      </c>
      <c r="E42" s="49">
        <f>+'Հավելված N 4'!I343</f>
        <v>54371</v>
      </c>
      <c r="F42" s="49"/>
      <c r="G42" s="49"/>
      <c r="H42" s="49"/>
      <c r="I42" s="50"/>
      <c r="J42" s="50"/>
    </row>
    <row r="43" spans="1:10" s="48" customFormat="1" ht="17" customHeight="1" x14ac:dyDescent="0.45">
      <c r="A43" s="14"/>
      <c r="B43" s="14"/>
      <c r="C43" s="46" t="s">
        <v>13</v>
      </c>
      <c r="D43" s="108">
        <f>SUM(E43:H43)</f>
        <v>2185598</v>
      </c>
      <c r="E43" s="108">
        <f>SUM(E44:E50)</f>
        <v>2185598</v>
      </c>
      <c r="F43" s="108">
        <f t="shared" ref="F43:H43" si="12">SUM(F44:F50)</f>
        <v>0</v>
      </c>
      <c r="G43" s="108">
        <f t="shared" si="12"/>
        <v>0</v>
      </c>
      <c r="H43" s="108">
        <f t="shared" si="12"/>
        <v>0</v>
      </c>
      <c r="I43" s="47"/>
      <c r="J43" s="47"/>
    </row>
    <row r="44" spans="1:10" s="51" customFormat="1" ht="34" x14ac:dyDescent="0.45">
      <c r="A44" s="14"/>
      <c r="B44" s="14"/>
      <c r="C44" s="20" t="s">
        <v>338</v>
      </c>
      <c r="D44" s="109">
        <f t="shared" ref="D44" si="13">+E44+F44+G44+H44</f>
        <v>100000</v>
      </c>
      <c r="E44" s="109">
        <f>+'Հավելված N 4'!I34</f>
        <v>100000</v>
      </c>
      <c r="F44" s="109"/>
      <c r="G44" s="109"/>
      <c r="H44" s="109"/>
      <c r="I44" s="50"/>
      <c r="J44" s="50"/>
    </row>
    <row r="45" spans="1:10" s="51" customFormat="1" x14ac:dyDescent="0.45">
      <c r="A45" s="113"/>
      <c r="B45" s="113"/>
      <c r="C45" s="20" t="s">
        <v>244</v>
      </c>
      <c r="D45" s="109">
        <f t="shared" ref="D45:D50" si="14">+E45+F45+G45+H45</f>
        <v>350000</v>
      </c>
      <c r="E45" s="109">
        <f>+'Հավելված N 4'!I35</f>
        <v>350000</v>
      </c>
      <c r="F45" s="109"/>
      <c r="G45" s="109"/>
      <c r="H45" s="109"/>
      <c r="I45" s="50"/>
      <c r="J45" s="50"/>
    </row>
    <row r="46" spans="1:10" s="51" customFormat="1" x14ac:dyDescent="0.45">
      <c r="A46" s="113"/>
      <c r="B46" s="113"/>
      <c r="C46" s="20" t="s">
        <v>245</v>
      </c>
      <c r="D46" s="109">
        <f t="shared" si="14"/>
        <v>620000</v>
      </c>
      <c r="E46" s="109">
        <f>+'Հավելված N 4'!I36</f>
        <v>620000</v>
      </c>
      <c r="F46" s="109"/>
      <c r="G46" s="109"/>
      <c r="H46" s="109"/>
      <c r="I46" s="50"/>
      <c r="J46" s="50"/>
    </row>
    <row r="47" spans="1:10" s="51" customFormat="1" x14ac:dyDescent="0.45">
      <c r="A47" s="113"/>
      <c r="B47" s="113"/>
      <c r="C47" s="20" t="s">
        <v>339</v>
      </c>
      <c r="D47" s="109">
        <f t="shared" si="14"/>
        <v>350000</v>
      </c>
      <c r="E47" s="109">
        <f>+'Հավելված N 4'!I37</f>
        <v>350000</v>
      </c>
      <c r="F47" s="109"/>
      <c r="G47" s="109"/>
      <c r="H47" s="109"/>
      <c r="I47" s="50"/>
      <c r="J47" s="50"/>
    </row>
    <row r="48" spans="1:10" s="51" customFormat="1" x14ac:dyDescent="0.45">
      <c r="A48" s="113"/>
      <c r="B48" s="113"/>
      <c r="C48" s="20" t="s">
        <v>246</v>
      </c>
      <c r="D48" s="109">
        <f t="shared" si="14"/>
        <v>292000</v>
      </c>
      <c r="E48" s="109">
        <f>+'Հավելված N 4'!I38</f>
        <v>292000</v>
      </c>
      <c r="F48" s="109"/>
      <c r="G48" s="109"/>
      <c r="H48" s="109"/>
      <c r="I48" s="50"/>
      <c r="J48" s="50"/>
    </row>
    <row r="49" spans="1:10" s="51" customFormat="1" x14ac:dyDescent="0.45">
      <c r="A49" s="113"/>
      <c r="B49" s="113"/>
      <c r="C49" s="20" t="s">
        <v>247</v>
      </c>
      <c r="D49" s="109">
        <f t="shared" si="14"/>
        <v>380000</v>
      </c>
      <c r="E49" s="109">
        <f>+'Հավելված N 4'!I39</f>
        <v>380000</v>
      </c>
      <c r="F49" s="109"/>
      <c r="G49" s="109"/>
      <c r="H49" s="109"/>
      <c r="I49" s="50"/>
      <c r="J49" s="50"/>
    </row>
    <row r="50" spans="1:10" s="51" customFormat="1" x14ac:dyDescent="0.45">
      <c r="A50" s="112"/>
      <c r="B50" s="112"/>
      <c r="C50" s="20" t="s">
        <v>494</v>
      </c>
      <c r="D50" s="109">
        <f t="shared" si="14"/>
        <v>93598</v>
      </c>
      <c r="E50" s="109">
        <f>+'Հավելված N 4'!I40</f>
        <v>93598</v>
      </c>
      <c r="F50" s="109"/>
      <c r="G50" s="109"/>
      <c r="H50" s="109"/>
      <c r="I50" s="50"/>
      <c r="J50" s="50"/>
    </row>
    <row r="51" spans="1:10" s="48" customFormat="1" ht="17" customHeight="1" x14ac:dyDescent="0.45">
      <c r="A51" s="14"/>
      <c r="B51" s="14"/>
      <c r="C51" s="46" t="s">
        <v>20</v>
      </c>
      <c r="D51" s="108">
        <f>SUM(E51:H51)</f>
        <v>1568494.7</v>
      </c>
      <c r="E51" s="108">
        <f>SUM(E52:E58)</f>
        <v>1568494.7</v>
      </c>
      <c r="F51" s="108">
        <f t="shared" ref="F51:H51" si="15">SUM(F52:F58)</f>
        <v>0</v>
      </c>
      <c r="G51" s="108">
        <f t="shared" si="15"/>
        <v>0</v>
      </c>
      <c r="H51" s="108">
        <f t="shared" si="15"/>
        <v>0</v>
      </c>
      <c r="I51" s="47"/>
      <c r="J51" s="47"/>
    </row>
    <row r="52" spans="1:10" s="51" customFormat="1" x14ac:dyDescent="0.45">
      <c r="A52" s="14"/>
      <c r="B52" s="14"/>
      <c r="C52" s="20" t="s">
        <v>343</v>
      </c>
      <c r="D52" s="109">
        <f t="shared" ref="D52:D54" si="16">+E52+F52+G52+H52</f>
        <v>559762.19999999995</v>
      </c>
      <c r="E52" s="109">
        <f>+'Հավելված N 4'!I41</f>
        <v>559762.19999999995</v>
      </c>
      <c r="F52" s="109"/>
      <c r="G52" s="109"/>
      <c r="H52" s="109"/>
      <c r="I52" s="50"/>
      <c r="J52" s="50"/>
    </row>
    <row r="53" spans="1:10" s="51" customFormat="1" x14ac:dyDescent="0.45">
      <c r="A53" s="14"/>
      <c r="B53" s="14"/>
      <c r="C53" s="20" t="s">
        <v>344</v>
      </c>
      <c r="D53" s="109">
        <f t="shared" si="16"/>
        <v>50000</v>
      </c>
      <c r="E53" s="109">
        <f>+'Հավելված N 4'!I42</f>
        <v>50000</v>
      </c>
      <c r="F53" s="109"/>
      <c r="G53" s="109"/>
      <c r="H53" s="109"/>
      <c r="I53" s="50"/>
      <c r="J53" s="50"/>
    </row>
    <row r="54" spans="1:10" s="51" customFormat="1" x14ac:dyDescent="0.45">
      <c r="A54" s="14"/>
      <c r="B54" s="14"/>
      <c r="C54" s="20" t="s">
        <v>345</v>
      </c>
      <c r="D54" s="109">
        <f t="shared" si="16"/>
        <v>50000</v>
      </c>
      <c r="E54" s="109">
        <f>+'Հավելված N 4'!I43</f>
        <v>50000</v>
      </c>
      <c r="F54" s="109"/>
      <c r="G54" s="109"/>
      <c r="H54" s="109"/>
      <c r="I54" s="50"/>
      <c r="J54" s="50"/>
    </row>
    <row r="55" spans="1:10" s="51" customFormat="1" x14ac:dyDescent="0.45">
      <c r="A55" s="10"/>
      <c r="B55" s="10"/>
      <c r="C55" s="20" t="s">
        <v>248</v>
      </c>
      <c r="D55" s="109">
        <f t="shared" ref="D55:D82" si="17">+E55+F55+G55+H55</f>
        <v>433611.7</v>
      </c>
      <c r="E55" s="109">
        <f>+'Հավելված N 4'!I44+'Հավելված N 4'!I72</f>
        <v>433611.7</v>
      </c>
      <c r="F55" s="109"/>
      <c r="G55" s="109"/>
      <c r="H55" s="109"/>
      <c r="I55" s="50"/>
      <c r="J55" s="50"/>
    </row>
    <row r="56" spans="1:10" s="51" customFormat="1" x14ac:dyDescent="0.45">
      <c r="A56" s="55"/>
      <c r="B56" s="55"/>
      <c r="C56" s="20" t="s">
        <v>455</v>
      </c>
      <c r="D56" s="109">
        <f>+E56+F56+G56+H56</f>
        <v>155000</v>
      </c>
      <c r="E56" s="109">
        <f>+'Հավելված N 4'!I45</f>
        <v>155000</v>
      </c>
      <c r="F56" s="109"/>
      <c r="G56" s="109"/>
      <c r="H56" s="109"/>
      <c r="I56" s="50"/>
      <c r="J56" s="50"/>
    </row>
    <row r="57" spans="1:10" s="51" customFormat="1" x14ac:dyDescent="0.45">
      <c r="A57" s="55"/>
      <c r="B57" s="55"/>
      <c r="C57" s="20" t="s">
        <v>456</v>
      </c>
      <c r="D57" s="109">
        <f>+E57+F57+G57+H57</f>
        <v>225163.8</v>
      </c>
      <c r="E57" s="109">
        <f>+'Հավելված N 4'!I46</f>
        <v>225163.8</v>
      </c>
      <c r="F57" s="109"/>
      <c r="G57" s="109"/>
      <c r="H57" s="109"/>
      <c r="I57" s="50"/>
      <c r="J57" s="50"/>
    </row>
    <row r="58" spans="1:10" s="51" customFormat="1" x14ac:dyDescent="0.45">
      <c r="A58" s="10"/>
      <c r="B58" s="10"/>
      <c r="C58" s="20" t="s">
        <v>496</v>
      </c>
      <c r="D58" s="109">
        <f t="shared" ref="D58" si="18">+E58+F58+G58+H58</f>
        <v>94957</v>
      </c>
      <c r="E58" s="109">
        <f>+'Հավելված N 4'!I47</f>
        <v>94957</v>
      </c>
      <c r="F58" s="109"/>
      <c r="G58" s="109"/>
      <c r="H58" s="109"/>
      <c r="I58" s="50"/>
      <c r="J58" s="50"/>
    </row>
    <row r="59" spans="1:10" s="101" customFormat="1" ht="17" customHeight="1" x14ac:dyDescent="0.45">
      <c r="A59" s="99"/>
      <c r="B59" s="99"/>
      <c r="C59" s="17" t="s">
        <v>17</v>
      </c>
      <c r="D59" s="110">
        <f>SUM(E59:H59)</f>
        <v>1137571.7</v>
      </c>
      <c r="E59" s="110">
        <f>SUM(E60:E64)</f>
        <v>1137571.7</v>
      </c>
      <c r="F59" s="110">
        <f t="shared" ref="F59:H59" si="19">SUM(F60:F64)</f>
        <v>0</v>
      </c>
      <c r="G59" s="110">
        <f t="shared" si="19"/>
        <v>0</v>
      </c>
      <c r="H59" s="110">
        <f t="shared" si="19"/>
        <v>0</v>
      </c>
      <c r="I59" s="100"/>
      <c r="J59" s="100"/>
    </row>
    <row r="60" spans="1:10" s="51" customFormat="1" x14ac:dyDescent="0.45">
      <c r="A60" s="55"/>
      <c r="B60" s="55"/>
      <c r="C60" s="20" t="s">
        <v>348</v>
      </c>
      <c r="D60" s="109">
        <f t="shared" ref="D60:D61" si="20">+E60+F60+G60+H60</f>
        <v>237767.7</v>
      </c>
      <c r="E60" s="109">
        <f>+'Հավելված N 4'!I48</f>
        <v>237767.7</v>
      </c>
      <c r="F60" s="109"/>
      <c r="G60" s="109"/>
      <c r="H60" s="109"/>
      <c r="I60" s="50"/>
      <c r="J60" s="50"/>
    </row>
    <row r="61" spans="1:10" s="51" customFormat="1" x14ac:dyDescent="0.45">
      <c r="A61" s="55"/>
      <c r="B61" s="55"/>
      <c r="C61" s="20" t="s">
        <v>349</v>
      </c>
      <c r="D61" s="109">
        <f t="shared" si="20"/>
        <v>393001.6</v>
      </c>
      <c r="E61" s="109">
        <f>+'Հավելված N 4'!I49</f>
        <v>393001.6</v>
      </c>
      <c r="F61" s="109"/>
      <c r="G61" s="109"/>
      <c r="H61" s="109"/>
      <c r="I61" s="50"/>
      <c r="J61" s="50"/>
    </row>
    <row r="62" spans="1:10" s="51" customFormat="1" x14ac:dyDescent="0.45">
      <c r="A62" s="10"/>
      <c r="B62" s="10"/>
      <c r="C62" s="20" t="s">
        <v>458</v>
      </c>
      <c r="D62" s="109">
        <f>+E62+F62+G62+H62</f>
        <v>342968</v>
      </c>
      <c r="E62" s="109">
        <f>+'Հավելված N 4'!I50</f>
        <v>342968</v>
      </c>
      <c r="F62" s="109"/>
      <c r="G62" s="109"/>
      <c r="H62" s="109"/>
      <c r="I62" s="50"/>
      <c r="J62" s="50"/>
    </row>
    <row r="63" spans="1:10" s="51" customFormat="1" x14ac:dyDescent="0.45">
      <c r="A63" s="10"/>
      <c r="B63" s="10"/>
      <c r="C63" s="20" t="s">
        <v>499</v>
      </c>
      <c r="D63" s="109">
        <f t="shared" ref="D63:D64" si="21">+E63+F63+G63+H63</f>
        <v>70000</v>
      </c>
      <c r="E63" s="109">
        <f>+'Հավելված N 4'!I51</f>
        <v>70000</v>
      </c>
      <c r="F63" s="109"/>
      <c r="G63" s="109"/>
      <c r="H63" s="109"/>
      <c r="I63" s="50"/>
      <c r="J63" s="50"/>
    </row>
    <row r="64" spans="1:10" s="51" customFormat="1" x14ac:dyDescent="0.45">
      <c r="A64" s="10"/>
      <c r="B64" s="10"/>
      <c r="C64" s="20" t="s">
        <v>500</v>
      </c>
      <c r="D64" s="109">
        <f t="shared" si="21"/>
        <v>93834.4</v>
      </c>
      <c r="E64" s="109">
        <f>+'Հավելված N 4'!I52</f>
        <v>93834.4</v>
      </c>
      <c r="F64" s="109"/>
      <c r="G64" s="109"/>
      <c r="H64" s="109"/>
      <c r="I64" s="50"/>
      <c r="J64" s="50"/>
    </row>
    <row r="65" spans="1:10" s="101" customFormat="1" ht="17" customHeight="1" x14ac:dyDescent="0.45">
      <c r="A65" s="99"/>
      <c r="B65" s="99"/>
      <c r="C65" s="17" t="s">
        <v>19</v>
      </c>
      <c r="D65" s="110">
        <f>SUM(E65:H65)</f>
        <v>1037442.115</v>
      </c>
      <c r="E65" s="110">
        <f>SUM(E66:E74)</f>
        <v>1037442.115</v>
      </c>
      <c r="F65" s="110">
        <f t="shared" ref="F65:H65" si="22">SUM(F66:F74)</f>
        <v>0</v>
      </c>
      <c r="G65" s="110">
        <f t="shared" si="22"/>
        <v>0</v>
      </c>
      <c r="H65" s="110">
        <f t="shared" si="22"/>
        <v>0</v>
      </c>
      <c r="I65" s="100"/>
      <c r="J65" s="100"/>
    </row>
    <row r="66" spans="1:10" s="51" customFormat="1" x14ac:dyDescent="0.45">
      <c r="A66" s="55"/>
      <c r="B66" s="55"/>
      <c r="C66" s="20" t="s">
        <v>249</v>
      </c>
      <c r="D66" s="109">
        <f t="shared" ref="D66:D74" si="23">+E66+F66+G66+H66</f>
        <v>53405.7</v>
      </c>
      <c r="E66" s="109">
        <f>'Հավելված N 4'!I53+'Հավելված N 4'!I73</f>
        <v>53405.7</v>
      </c>
      <c r="F66" s="109"/>
      <c r="G66" s="109"/>
      <c r="H66" s="109"/>
      <c r="I66" s="50"/>
      <c r="J66" s="50"/>
    </row>
    <row r="67" spans="1:10" s="51" customFormat="1" x14ac:dyDescent="0.45">
      <c r="A67" s="55"/>
      <c r="B67" s="55"/>
      <c r="C67" s="20" t="s">
        <v>352</v>
      </c>
      <c r="D67" s="109">
        <f t="shared" si="23"/>
        <v>100000</v>
      </c>
      <c r="E67" s="109">
        <f>+'Հավելված N 4'!I54</f>
        <v>100000</v>
      </c>
      <c r="F67" s="109"/>
      <c r="G67" s="109"/>
      <c r="H67" s="109"/>
      <c r="I67" s="50"/>
      <c r="J67" s="50"/>
    </row>
    <row r="68" spans="1:10" s="51" customFormat="1" x14ac:dyDescent="0.45">
      <c r="A68" s="55"/>
      <c r="B68" s="55"/>
      <c r="C68" s="20" t="s">
        <v>250</v>
      </c>
      <c r="D68" s="109">
        <f t="shared" si="23"/>
        <v>200000</v>
      </c>
      <c r="E68" s="109">
        <f>+'Հավելված N 4'!I55</f>
        <v>200000</v>
      </c>
      <c r="F68" s="109"/>
      <c r="G68" s="109"/>
      <c r="H68" s="109"/>
      <c r="I68" s="50"/>
      <c r="J68" s="50"/>
    </row>
    <row r="69" spans="1:10" s="51" customFormat="1" x14ac:dyDescent="0.45">
      <c r="A69" s="55"/>
      <c r="B69" s="55"/>
      <c r="C69" s="20" t="s">
        <v>251</v>
      </c>
      <c r="D69" s="109">
        <f t="shared" si="23"/>
        <v>100000</v>
      </c>
      <c r="E69" s="109">
        <f>+'Հավելված N 4'!I56</f>
        <v>100000</v>
      </c>
      <c r="F69" s="109"/>
      <c r="G69" s="109"/>
      <c r="H69" s="109"/>
      <c r="I69" s="50"/>
      <c r="J69" s="50"/>
    </row>
    <row r="70" spans="1:10" s="51" customFormat="1" ht="34" x14ac:dyDescent="0.45">
      <c r="A70" s="55"/>
      <c r="B70" s="55"/>
      <c r="C70" s="20" t="s">
        <v>505</v>
      </c>
      <c r="D70" s="109">
        <f t="shared" si="23"/>
        <v>62368</v>
      </c>
      <c r="E70" s="109">
        <f>+'Հավելված N 4'!I57</f>
        <v>62368</v>
      </c>
      <c r="F70" s="109"/>
      <c r="G70" s="109"/>
      <c r="H70" s="109"/>
      <c r="I70" s="50"/>
      <c r="J70" s="50"/>
    </row>
    <row r="71" spans="1:10" s="51" customFormat="1" x14ac:dyDescent="0.45">
      <c r="A71" s="55"/>
      <c r="B71" s="55"/>
      <c r="C71" s="20" t="s">
        <v>506</v>
      </c>
      <c r="D71" s="109">
        <f t="shared" si="23"/>
        <v>45508.5</v>
      </c>
      <c r="E71" s="109">
        <f>+'Հավելված N 4'!I58</f>
        <v>45508.5</v>
      </c>
      <c r="F71" s="109"/>
      <c r="G71" s="109"/>
      <c r="H71" s="109"/>
      <c r="I71" s="50"/>
      <c r="J71" s="50"/>
    </row>
    <row r="72" spans="1:10" s="51" customFormat="1" x14ac:dyDescent="0.45">
      <c r="A72" s="55"/>
      <c r="B72" s="55"/>
      <c r="C72" s="20" t="s">
        <v>507</v>
      </c>
      <c r="D72" s="109">
        <f t="shared" si="23"/>
        <v>65442</v>
      </c>
      <c r="E72" s="109">
        <f>+'Հավելված N 4'!I59</f>
        <v>65442</v>
      </c>
      <c r="F72" s="109"/>
      <c r="G72" s="109"/>
      <c r="H72" s="109"/>
      <c r="I72" s="50"/>
      <c r="J72" s="50"/>
    </row>
    <row r="73" spans="1:10" s="51" customFormat="1" x14ac:dyDescent="0.45">
      <c r="A73" s="10"/>
      <c r="B73" s="10"/>
      <c r="C73" s="20" t="s">
        <v>508</v>
      </c>
      <c r="D73" s="109">
        <f t="shared" si="23"/>
        <v>167985</v>
      </c>
      <c r="E73" s="109">
        <f>+'Հավելված N 4'!I60</f>
        <v>167985</v>
      </c>
      <c r="F73" s="109"/>
      <c r="G73" s="109"/>
      <c r="H73" s="109"/>
      <c r="I73" s="50"/>
      <c r="J73" s="50"/>
    </row>
    <row r="74" spans="1:10" s="51" customFormat="1" ht="34" x14ac:dyDescent="0.35">
      <c r="A74" s="15"/>
      <c r="B74" s="15"/>
      <c r="C74" s="20" t="s">
        <v>543</v>
      </c>
      <c r="D74" s="49">
        <f t="shared" si="23"/>
        <v>242732.91499999998</v>
      </c>
      <c r="E74" s="49">
        <f>+'Հավելված N 4'!I344+'Հավելված N 4'!I350+'Հավելված N 4'!I353</f>
        <v>242732.91499999998</v>
      </c>
      <c r="F74" s="49"/>
      <c r="G74" s="49"/>
      <c r="H74" s="49"/>
      <c r="I74" s="50"/>
      <c r="J74" s="50"/>
    </row>
    <row r="75" spans="1:10" s="48" customFormat="1" ht="17" customHeight="1" x14ac:dyDescent="0.45">
      <c r="A75" s="14"/>
      <c r="B75" s="14"/>
      <c r="C75" s="46" t="s">
        <v>226</v>
      </c>
      <c r="D75" s="108">
        <f>SUM(E75:H75)</f>
        <v>80231.199999999997</v>
      </c>
      <c r="E75" s="108">
        <f>SUM(E76:E77)</f>
        <v>80231.199999999997</v>
      </c>
      <c r="F75" s="108">
        <f t="shared" ref="F75:H75" si="24">SUM(F76:F77)</f>
        <v>0</v>
      </c>
      <c r="G75" s="108">
        <f t="shared" si="24"/>
        <v>0</v>
      </c>
      <c r="H75" s="108">
        <f t="shared" si="24"/>
        <v>0</v>
      </c>
      <c r="I75" s="47"/>
      <c r="J75" s="47"/>
    </row>
    <row r="76" spans="1:10" s="51" customFormat="1" ht="18" customHeight="1" x14ac:dyDescent="0.45">
      <c r="A76" s="10"/>
      <c r="B76" s="10"/>
      <c r="C76" s="98" t="s">
        <v>510</v>
      </c>
      <c r="D76" s="109">
        <f t="shared" ref="D76:D77" si="25">+E76+F76+G76+H76</f>
        <v>30231.200000000001</v>
      </c>
      <c r="E76" s="109">
        <f>+'Հավելված N 4'!I61</f>
        <v>30231.200000000001</v>
      </c>
      <c r="F76" s="109"/>
      <c r="G76" s="109"/>
      <c r="H76" s="109"/>
      <c r="I76" s="50"/>
      <c r="J76" s="50"/>
    </row>
    <row r="77" spans="1:10" s="51" customFormat="1" x14ac:dyDescent="0.35">
      <c r="A77" s="15"/>
      <c r="B77" s="15"/>
      <c r="C77" s="20" t="s">
        <v>570</v>
      </c>
      <c r="D77" s="49">
        <f t="shared" si="25"/>
        <v>50000</v>
      </c>
      <c r="E77" s="49">
        <f>+'Հավելված N 4'!I345</f>
        <v>50000</v>
      </c>
      <c r="F77" s="49"/>
      <c r="G77" s="49"/>
      <c r="H77" s="49"/>
      <c r="I77" s="50"/>
      <c r="J77" s="50"/>
    </row>
    <row r="78" spans="1:10" s="48" customFormat="1" ht="17" customHeight="1" x14ac:dyDescent="0.45">
      <c r="A78" s="14"/>
      <c r="B78" s="14"/>
      <c r="C78" s="46" t="s">
        <v>14</v>
      </c>
      <c r="D78" s="108">
        <f>SUM(E78:H78)</f>
        <v>684656.5</v>
      </c>
      <c r="E78" s="108">
        <f>SUM(E79:E82)</f>
        <v>684656.5</v>
      </c>
      <c r="F78" s="108">
        <f t="shared" ref="F78:H78" si="26">SUM(F79:F82)</f>
        <v>0</v>
      </c>
      <c r="G78" s="108">
        <f t="shared" si="26"/>
        <v>0</v>
      </c>
      <c r="H78" s="108">
        <f t="shared" si="26"/>
        <v>0</v>
      </c>
      <c r="I78" s="47"/>
      <c r="J78" s="47"/>
    </row>
    <row r="79" spans="1:10" s="51" customFormat="1" ht="17.399999999999999" customHeight="1" x14ac:dyDescent="0.45">
      <c r="A79" s="55"/>
      <c r="B79" s="55"/>
      <c r="C79" s="98" t="s">
        <v>252</v>
      </c>
      <c r="D79" s="109">
        <f t="shared" si="17"/>
        <v>103082.5</v>
      </c>
      <c r="E79" s="109">
        <f>'Հավելված N 4'!I62+'Հավելված N 4'!I74</f>
        <v>103082.5</v>
      </c>
      <c r="F79" s="109"/>
      <c r="G79" s="109"/>
      <c r="H79" s="109"/>
      <c r="I79" s="50"/>
      <c r="J79" s="50"/>
    </row>
    <row r="80" spans="1:10" s="51" customFormat="1" ht="34" x14ac:dyDescent="0.45">
      <c r="A80" s="55"/>
      <c r="B80" s="55"/>
      <c r="C80" s="98" t="s">
        <v>253</v>
      </c>
      <c r="D80" s="109">
        <f t="shared" si="17"/>
        <v>330000</v>
      </c>
      <c r="E80" s="109">
        <f>+'Հավելված N 4'!I63</f>
        <v>330000</v>
      </c>
      <c r="F80" s="109"/>
      <c r="G80" s="109"/>
      <c r="H80" s="109"/>
      <c r="I80" s="50"/>
      <c r="J80" s="50"/>
    </row>
    <row r="81" spans="1:11" s="51" customFormat="1" x14ac:dyDescent="0.45">
      <c r="A81" s="55"/>
      <c r="B81" s="55"/>
      <c r="C81" s="20" t="s">
        <v>571</v>
      </c>
      <c r="D81" s="49">
        <f t="shared" si="17"/>
        <v>150000</v>
      </c>
      <c r="E81" s="49">
        <f>+'Հավելված N 4'!I346</f>
        <v>150000</v>
      </c>
      <c r="F81" s="49"/>
      <c r="G81" s="49"/>
      <c r="H81" s="49"/>
      <c r="I81" s="50"/>
      <c r="J81" s="50"/>
    </row>
    <row r="82" spans="1:11" s="51" customFormat="1" x14ac:dyDescent="0.35">
      <c r="A82" s="15"/>
      <c r="B82" s="15"/>
      <c r="C82" s="20" t="s">
        <v>544</v>
      </c>
      <c r="D82" s="49">
        <f t="shared" si="17"/>
        <v>101574</v>
      </c>
      <c r="E82" s="49">
        <f>+'Հավելված N 4'!I347+'Հավելված N 4'!I351+'Հավելված N 4'!I354</f>
        <v>101574</v>
      </c>
      <c r="F82" s="49"/>
      <c r="G82" s="49"/>
      <c r="H82" s="49"/>
      <c r="I82" s="50"/>
      <c r="J82" s="50"/>
    </row>
    <row r="83" spans="1:11" s="118" customFormat="1" ht="35" x14ac:dyDescent="0.45">
      <c r="A83" s="52">
        <v>1236</v>
      </c>
      <c r="B83" s="52">
        <v>32004</v>
      </c>
      <c r="C83" s="19" t="s">
        <v>21</v>
      </c>
      <c r="D83" s="115">
        <f>SUM(E83:H83)</f>
        <v>0</v>
      </c>
      <c r="E83" s="116">
        <f>+ROUND(E85+E86+E90+E101+E104+E118+E130+E152+E161+E189+E202+E211,1)</f>
        <v>0</v>
      </c>
      <c r="F83" s="115">
        <f t="shared" ref="F83:H83" si="27">+ROUND(F85+F86+F90+F101+F104+F118+F130+F152+F161+F189+F202+F211,1)</f>
        <v>0</v>
      </c>
      <c r="G83" s="116">
        <f t="shared" si="27"/>
        <v>0</v>
      </c>
      <c r="H83" s="116">
        <f t="shared" si="27"/>
        <v>0</v>
      </c>
      <c r="I83" s="117"/>
      <c r="J83" s="117"/>
    </row>
    <row r="84" spans="1:11" s="121" customFormat="1" ht="17.5" x14ac:dyDescent="0.45">
      <c r="A84" s="52"/>
      <c r="B84" s="52"/>
      <c r="C84" s="119" t="s">
        <v>34</v>
      </c>
      <c r="D84" s="99"/>
      <c r="E84" s="120"/>
      <c r="F84" s="120"/>
      <c r="G84" s="120"/>
      <c r="H84" s="120"/>
      <c r="I84" s="117"/>
      <c r="J84" s="117"/>
    </row>
    <row r="85" spans="1:11" s="101" customFormat="1" ht="35" x14ac:dyDescent="0.45">
      <c r="A85" s="99"/>
      <c r="B85" s="99"/>
      <c r="C85" s="56" t="s">
        <v>21</v>
      </c>
      <c r="D85" s="122">
        <f>SUM(E85:H85)</f>
        <v>-20353883.313000001</v>
      </c>
      <c r="E85" s="122">
        <v>0</v>
      </c>
      <c r="F85" s="122">
        <f>(-1417546-351800-4039439.465-7999498.324-995175.2-4250424.324)+(-917697.2-209000-173302.8)</f>
        <v>-20353883.313000001</v>
      </c>
      <c r="G85" s="122">
        <v>0</v>
      </c>
      <c r="H85" s="122">
        <v>0</v>
      </c>
      <c r="I85" s="100"/>
      <c r="J85" s="100"/>
    </row>
    <row r="86" spans="1:11" s="101" customFormat="1" ht="17" customHeight="1" x14ac:dyDescent="0.45">
      <c r="A86" s="99"/>
      <c r="B86" s="99"/>
      <c r="C86" s="17" t="s">
        <v>129</v>
      </c>
      <c r="D86" s="110">
        <f>SUM(E86:H86)</f>
        <v>429840</v>
      </c>
      <c r="E86" s="110">
        <f>SUM(E87:E89)</f>
        <v>0</v>
      </c>
      <c r="F86" s="110">
        <f t="shared" ref="F86:H86" si="28">SUM(F87:F89)</f>
        <v>429840</v>
      </c>
      <c r="G86" s="110">
        <f t="shared" si="28"/>
        <v>0</v>
      </c>
      <c r="H86" s="110">
        <f t="shared" si="28"/>
        <v>0</v>
      </c>
      <c r="I86" s="100"/>
      <c r="J86" s="100"/>
    </row>
    <row r="87" spans="1:11" s="124" customFormat="1" x14ac:dyDescent="0.45">
      <c r="A87" s="123"/>
      <c r="B87" s="123"/>
      <c r="C87" s="20" t="s">
        <v>130</v>
      </c>
      <c r="D87" s="114">
        <f t="shared" ref="D87:D89" si="29">+E87+F87+G87+H87</f>
        <v>140840</v>
      </c>
      <c r="E87" s="114"/>
      <c r="F87" s="114">
        <f>+'Հավելված N 4'!I77+'Հավելված N 4'!I185</f>
        <v>140840</v>
      </c>
      <c r="G87" s="114"/>
      <c r="H87" s="114"/>
      <c r="I87" s="104"/>
      <c r="J87" s="104"/>
    </row>
    <row r="88" spans="1:11" s="51" customFormat="1" ht="34" x14ac:dyDescent="0.45">
      <c r="A88" s="88"/>
      <c r="B88" s="88"/>
      <c r="C88" s="20" t="s">
        <v>545</v>
      </c>
      <c r="D88" s="49">
        <f t="shared" si="29"/>
        <v>209000</v>
      </c>
      <c r="E88" s="49"/>
      <c r="F88" s="49">
        <f>+'Հավելված N 4'!I357</f>
        <v>209000</v>
      </c>
      <c r="G88" s="49"/>
      <c r="H88" s="49"/>
      <c r="I88" s="50"/>
      <c r="J88" s="50"/>
      <c r="K88" s="139"/>
    </row>
    <row r="89" spans="1:11" s="51" customFormat="1" ht="34" x14ac:dyDescent="0.45">
      <c r="A89" s="88"/>
      <c r="B89" s="88"/>
      <c r="C89" s="20" t="s">
        <v>573</v>
      </c>
      <c r="D89" s="49">
        <f t="shared" si="29"/>
        <v>80000</v>
      </c>
      <c r="E89" s="49"/>
      <c r="F89" s="49">
        <f>+'Հավելված N 4'!I358</f>
        <v>80000</v>
      </c>
      <c r="G89" s="49"/>
      <c r="H89" s="49"/>
      <c r="I89" s="50"/>
      <c r="J89" s="50"/>
      <c r="K89" s="139"/>
    </row>
    <row r="90" spans="1:11" s="101" customFormat="1" ht="17" customHeight="1" x14ac:dyDescent="0.45">
      <c r="A90" s="99"/>
      <c r="B90" s="99"/>
      <c r="C90" s="17" t="s">
        <v>18</v>
      </c>
      <c r="D90" s="110">
        <f>SUM(E90:H90)</f>
        <v>1369330.35</v>
      </c>
      <c r="E90" s="110">
        <f>SUM(E91:E100)</f>
        <v>0</v>
      </c>
      <c r="F90" s="110">
        <f t="shared" ref="F90:H90" si="30">SUM(F91:F100)</f>
        <v>1369330.35</v>
      </c>
      <c r="G90" s="110">
        <f t="shared" si="30"/>
        <v>0</v>
      </c>
      <c r="H90" s="110">
        <f t="shared" si="30"/>
        <v>0</v>
      </c>
      <c r="I90" s="100"/>
      <c r="J90" s="100"/>
    </row>
    <row r="91" spans="1:11" s="124" customFormat="1" x14ac:dyDescent="0.45">
      <c r="A91" s="123"/>
      <c r="B91" s="123"/>
      <c r="C91" s="20" t="s">
        <v>52</v>
      </c>
      <c r="D91" s="114">
        <f>+E91+F91+G91+H91</f>
        <v>250721.7</v>
      </c>
      <c r="E91" s="114"/>
      <c r="F91" s="114">
        <f>+'Հավելված N 4'!I78+'Հավելված N 4'!I186</f>
        <v>250721.7</v>
      </c>
      <c r="G91" s="114"/>
      <c r="H91" s="114"/>
      <c r="I91" s="104"/>
      <c r="J91" s="104"/>
    </row>
    <row r="92" spans="1:11" s="124" customFormat="1" x14ac:dyDescent="0.45">
      <c r="A92" s="123"/>
      <c r="B92" s="123"/>
      <c r="C92" s="20" t="s">
        <v>53</v>
      </c>
      <c r="D92" s="114">
        <f>+E92+F92+G92+H92</f>
        <v>228616.4</v>
      </c>
      <c r="E92" s="114"/>
      <c r="F92" s="114">
        <f>+'Հավելված N 4'!I79+'Հավելված N 4'!I187</f>
        <v>228616.4</v>
      </c>
      <c r="G92" s="114"/>
      <c r="H92" s="114"/>
      <c r="I92" s="104"/>
      <c r="J92" s="104"/>
    </row>
    <row r="93" spans="1:11" s="124" customFormat="1" x14ac:dyDescent="0.45">
      <c r="A93" s="125"/>
      <c r="B93" s="125"/>
      <c r="C93" s="20" t="s">
        <v>133</v>
      </c>
      <c r="D93" s="114">
        <f t="shared" ref="D93:D100" si="31">+E93+F93+G93+H93</f>
        <v>169032.25</v>
      </c>
      <c r="E93" s="114"/>
      <c r="F93" s="114">
        <f>+'Հավելված N 4'!I80+'Հավելված N 4'!I188</f>
        <v>169032.25</v>
      </c>
      <c r="G93" s="114"/>
      <c r="H93" s="114"/>
      <c r="I93" s="104"/>
      <c r="J93" s="104"/>
    </row>
    <row r="94" spans="1:11" s="124" customFormat="1" x14ac:dyDescent="0.45">
      <c r="A94" s="125"/>
      <c r="B94" s="125"/>
      <c r="C94" s="20" t="s">
        <v>134</v>
      </c>
      <c r="D94" s="114">
        <f t="shared" si="31"/>
        <v>160960</v>
      </c>
      <c r="E94" s="114"/>
      <c r="F94" s="114">
        <f>+'Հավելված N 4'!I81+'Հավելված N 4'!I189</f>
        <v>160960</v>
      </c>
      <c r="G94" s="114"/>
      <c r="H94" s="114"/>
      <c r="I94" s="104"/>
      <c r="J94" s="104"/>
    </row>
    <row r="95" spans="1:11" s="51" customFormat="1" x14ac:dyDescent="0.45">
      <c r="A95" s="55"/>
      <c r="B95" s="55"/>
      <c r="C95" s="20" t="s">
        <v>546</v>
      </c>
      <c r="D95" s="49">
        <f t="shared" si="31"/>
        <v>120000</v>
      </c>
      <c r="E95" s="49"/>
      <c r="F95" s="93">
        <f>+'Հավելված N 4'!I359</f>
        <v>120000</v>
      </c>
      <c r="G95" s="49"/>
      <c r="H95" s="49"/>
      <c r="I95" s="50"/>
      <c r="J95" s="50"/>
      <c r="K95" s="139"/>
    </row>
    <row r="96" spans="1:11" s="51" customFormat="1" x14ac:dyDescent="0.45">
      <c r="A96" s="55"/>
      <c r="B96" s="55"/>
      <c r="C96" s="20" t="s">
        <v>547</v>
      </c>
      <c r="D96" s="49">
        <f t="shared" si="31"/>
        <v>120000</v>
      </c>
      <c r="E96" s="49"/>
      <c r="F96" s="93">
        <f>+'Հավելված N 4'!I360</f>
        <v>120000</v>
      </c>
      <c r="G96" s="49"/>
      <c r="H96" s="49"/>
      <c r="I96" s="50"/>
      <c r="J96" s="50"/>
      <c r="K96" s="139"/>
    </row>
    <row r="97" spans="1:11" s="51" customFormat="1" ht="34" x14ac:dyDescent="0.45">
      <c r="A97" s="55"/>
      <c r="B97" s="55"/>
      <c r="C97" s="20" t="s">
        <v>548</v>
      </c>
      <c r="D97" s="49">
        <f t="shared" si="31"/>
        <v>80000</v>
      </c>
      <c r="E97" s="49"/>
      <c r="F97" s="93">
        <f>+'Հավելված N 4'!I361</f>
        <v>80000</v>
      </c>
      <c r="G97" s="49"/>
      <c r="H97" s="49"/>
      <c r="I97" s="50"/>
      <c r="J97" s="50"/>
      <c r="K97" s="139"/>
    </row>
    <row r="98" spans="1:11" s="51" customFormat="1" x14ac:dyDescent="0.45">
      <c r="A98" s="55"/>
      <c r="B98" s="55"/>
      <c r="C98" s="20" t="s">
        <v>549</v>
      </c>
      <c r="D98" s="49">
        <f t="shared" si="31"/>
        <v>80000</v>
      </c>
      <c r="E98" s="49"/>
      <c r="F98" s="93">
        <f>+'Հավելված N 4'!I362</f>
        <v>80000</v>
      </c>
      <c r="G98" s="49"/>
      <c r="H98" s="49"/>
      <c r="I98" s="50"/>
      <c r="J98" s="50"/>
      <c r="K98" s="139"/>
    </row>
    <row r="99" spans="1:11" s="51" customFormat="1" ht="34" x14ac:dyDescent="0.45">
      <c r="A99" s="55"/>
      <c r="B99" s="55"/>
      <c r="C99" s="20" t="s">
        <v>550</v>
      </c>
      <c r="D99" s="49">
        <f t="shared" si="31"/>
        <v>80000</v>
      </c>
      <c r="E99" s="49"/>
      <c r="F99" s="93">
        <f>+'Հավելված N 4'!I363</f>
        <v>80000</v>
      </c>
      <c r="G99" s="49"/>
      <c r="H99" s="49"/>
      <c r="I99" s="50"/>
      <c r="J99" s="50"/>
      <c r="K99" s="139"/>
    </row>
    <row r="100" spans="1:11" s="51" customFormat="1" x14ac:dyDescent="0.45">
      <c r="A100" s="55"/>
      <c r="B100" s="55"/>
      <c r="C100" s="20" t="s">
        <v>551</v>
      </c>
      <c r="D100" s="49">
        <f t="shared" si="31"/>
        <v>80000</v>
      </c>
      <c r="E100" s="49"/>
      <c r="F100" s="93">
        <f>+'Հավելված N 4'!I364</f>
        <v>80000</v>
      </c>
      <c r="G100" s="49"/>
      <c r="H100" s="49"/>
      <c r="I100" s="50"/>
      <c r="J100" s="50"/>
      <c r="K100" s="139"/>
    </row>
    <row r="101" spans="1:11" s="101" customFormat="1" ht="17" customHeight="1" x14ac:dyDescent="0.45">
      <c r="A101" s="99"/>
      <c r="B101" s="99"/>
      <c r="C101" s="17" t="s">
        <v>12</v>
      </c>
      <c r="D101" s="110">
        <f>SUM(E101:H101)</f>
        <v>274589.54889799998</v>
      </c>
      <c r="E101" s="110">
        <f>SUM(E102:E103)</f>
        <v>0</v>
      </c>
      <c r="F101" s="110">
        <f>SUM(F102:F103)</f>
        <v>274589.54889799998</v>
      </c>
      <c r="G101" s="110">
        <f t="shared" ref="G101:H101" si="32">SUM(G102:G103)</f>
        <v>0</v>
      </c>
      <c r="H101" s="110">
        <f t="shared" si="32"/>
        <v>0</v>
      </c>
      <c r="I101" s="100"/>
      <c r="J101" s="100"/>
    </row>
    <row r="102" spans="1:11" s="124" customFormat="1" x14ac:dyDescent="0.45">
      <c r="A102" s="123"/>
      <c r="B102" s="123"/>
      <c r="C102" s="20" t="s">
        <v>109</v>
      </c>
      <c r="D102" s="114">
        <f t="shared" ref="D102" si="33">+E102+F102+G102+H102</f>
        <v>14849.548898000001</v>
      </c>
      <c r="E102" s="114"/>
      <c r="F102" s="114">
        <f>+'Հավելված N 4'!I82+'Հավելված N 4'!I190</f>
        <v>14849.548898000001</v>
      </c>
      <c r="G102" s="114"/>
      <c r="H102" s="114"/>
      <c r="I102" s="104"/>
      <c r="J102" s="104"/>
    </row>
    <row r="103" spans="1:11" s="124" customFormat="1" x14ac:dyDescent="0.45">
      <c r="A103" s="123"/>
      <c r="B103" s="123"/>
      <c r="C103" s="20" t="s">
        <v>54</v>
      </c>
      <c r="D103" s="114">
        <f>+E103+F103+G103+H103</f>
        <v>259740</v>
      </c>
      <c r="E103" s="114"/>
      <c r="F103" s="114">
        <f>+'Հավելված N 4'!I83+'Հավելված N 4'!I191</f>
        <v>259740</v>
      </c>
      <c r="G103" s="114"/>
      <c r="H103" s="114"/>
      <c r="I103" s="104"/>
      <c r="J103" s="104"/>
    </row>
    <row r="104" spans="1:11" s="101" customFormat="1" ht="17" customHeight="1" x14ac:dyDescent="0.45">
      <c r="A104" s="99"/>
      <c r="B104" s="99"/>
      <c r="C104" s="17" t="s">
        <v>22</v>
      </c>
      <c r="D104" s="110">
        <f>SUM(E104:H104)</f>
        <v>2174963.1296000001</v>
      </c>
      <c r="E104" s="110">
        <f>SUM(E105:E117)</f>
        <v>0</v>
      </c>
      <c r="F104" s="110">
        <f t="shared" ref="F104:H104" si="34">SUM(F105:F117)</f>
        <v>2174963.1296000001</v>
      </c>
      <c r="G104" s="110">
        <f t="shared" si="34"/>
        <v>0</v>
      </c>
      <c r="H104" s="110">
        <f t="shared" si="34"/>
        <v>0</v>
      </c>
      <c r="I104" s="100"/>
      <c r="J104" s="100"/>
    </row>
    <row r="105" spans="1:11" s="124" customFormat="1" ht="34" x14ac:dyDescent="0.45">
      <c r="A105" s="99"/>
      <c r="B105" s="99"/>
      <c r="C105" s="20" t="s">
        <v>142</v>
      </c>
      <c r="D105" s="114">
        <f t="shared" ref="D105" si="35">+E105+F105+G105+H105</f>
        <v>145793.4296</v>
      </c>
      <c r="E105" s="114"/>
      <c r="F105" s="114">
        <f>+'Հավելված N 4'!I84+'Հավելված N 4'!I192</f>
        <v>145793.4296</v>
      </c>
      <c r="G105" s="114"/>
      <c r="H105" s="114"/>
      <c r="I105" s="104"/>
      <c r="J105" s="104"/>
    </row>
    <row r="106" spans="1:11" s="124" customFormat="1" x14ac:dyDescent="0.45">
      <c r="A106" s="123"/>
      <c r="B106" s="123"/>
      <c r="C106" s="20" t="s">
        <v>55</v>
      </c>
      <c r="D106" s="114">
        <f>+E106+F106+G106+H106</f>
        <v>171443.09</v>
      </c>
      <c r="E106" s="114"/>
      <c r="F106" s="114">
        <f>+'Հավելված N 4'!I85+'Հավելված N 4'!I193</f>
        <v>171443.09</v>
      </c>
      <c r="G106" s="114"/>
      <c r="H106" s="114"/>
      <c r="I106" s="104"/>
      <c r="J106" s="104"/>
    </row>
    <row r="107" spans="1:11" s="124" customFormat="1" x14ac:dyDescent="0.45">
      <c r="A107" s="123"/>
      <c r="B107" s="123"/>
      <c r="C107" s="20" t="s">
        <v>65</v>
      </c>
      <c r="D107" s="114">
        <f>+E107+F107+G107+H107</f>
        <v>362200.04000000004</v>
      </c>
      <c r="E107" s="114"/>
      <c r="F107" s="114">
        <f>+'Հավելված N 4'!I86+'Հավելված N 4'!I194</f>
        <v>362200.04000000004</v>
      </c>
      <c r="G107" s="114"/>
      <c r="H107" s="114"/>
      <c r="I107" s="104"/>
      <c r="J107" s="104"/>
    </row>
    <row r="108" spans="1:11" s="124" customFormat="1" ht="34" x14ac:dyDescent="0.45">
      <c r="A108" s="125"/>
      <c r="B108" s="125"/>
      <c r="C108" s="20" t="s">
        <v>143</v>
      </c>
      <c r="D108" s="114">
        <f t="shared" ref="D108:D112" si="36">+E108+F108+G108+H108</f>
        <v>250900</v>
      </c>
      <c r="E108" s="114"/>
      <c r="F108" s="114">
        <f>+'Հավելված N 4'!I87+'Հավելված N 4'!I195</f>
        <v>250900</v>
      </c>
      <c r="G108" s="114"/>
      <c r="H108" s="114"/>
      <c r="I108" s="104"/>
      <c r="J108" s="104"/>
    </row>
    <row r="109" spans="1:11" s="124" customFormat="1" ht="34" x14ac:dyDescent="0.45">
      <c r="A109" s="125"/>
      <c r="B109" s="125"/>
      <c r="C109" s="20" t="s">
        <v>144</v>
      </c>
      <c r="D109" s="114">
        <f t="shared" si="36"/>
        <v>171020</v>
      </c>
      <c r="E109" s="114"/>
      <c r="F109" s="114">
        <f>+'Հավելված N 4'!I88+'Հավելված N 4'!I196</f>
        <v>171020</v>
      </c>
      <c r="G109" s="114"/>
      <c r="H109" s="114"/>
      <c r="I109" s="104"/>
      <c r="J109" s="104"/>
    </row>
    <row r="110" spans="1:11" s="124" customFormat="1" ht="35" customHeight="1" x14ac:dyDescent="0.45">
      <c r="A110" s="125"/>
      <c r="B110" s="125"/>
      <c r="C110" s="20" t="s">
        <v>145</v>
      </c>
      <c r="D110" s="114">
        <f t="shared" si="36"/>
        <v>243858.5</v>
      </c>
      <c r="E110" s="114"/>
      <c r="F110" s="114">
        <f>+'Հավելված N 4'!I89+'Հավելված N 4'!I197</f>
        <v>243858.5</v>
      </c>
      <c r="G110" s="114"/>
      <c r="H110" s="114"/>
      <c r="I110" s="104"/>
      <c r="J110" s="104"/>
    </row>
    <row r="111" spans="1:11" s="124" customFormat="1" x14ac:dyDescent="0.45">
      <c r="A111" s="125"/>
      <c r="B111" s="125"/>
      <c r="C111" s="20" t="s">
        <v>146</v>
      </c>
      <c r="D111" s="114">
        <f t="shared" si="36"/>
        <v>260960</v>
      </c>
      <c r="E111" s="114"/>
      <c r="F111" s="114">
        <f>+'Հավելված N 4'!I90+'Հավելված N 4'!I198</f>
        <v>260960</v>
      </c>
      <c r="G111" s="114"/>
      <c r="H111" s="114"/>
      <c r="I111" s="104"/>
      <c r="J111" s="104"/>
    </row>
    <row r="112" spans="1:11" s="124" customFormat="1" x14ac:dyDescent="0.45">
      <c r="A112" s="125"/>
      <c r="B112" s="125"/>
      <c r="C112" s="20" t="s">
        <v>147</v>
      </c>
      <c r="D112" s="114">
        <f t="shared" si="36"/>
        <v>144569.07</v>
      </c>
      <c r="E112" s="114"/>
      <c r="F112" s="114">
        <f>+'Հավելված N 4'!I91+'Հավելված N 4'!I199</f>
        <v>144569.07</v>
      </c>
      <c r="G112" s="114"/>
      <c r="H112" s="114"/>
      <c r="I112" s="104"/>
      <c r="J112" s="104"/>
    </row>
    <row r="113" spans="1:11" s="124" customFormat="1" x14ac:dyDescent="0.45">
      <c r="A113" s="99"/>
      <c r="B113" s="99"/>
      <c r="C113" s="20" t="s">
        <v>462</v>
      </c>
      <c r="D113" s="114">
        <f>+E113+F113+G113+H113</f>
        <v>70438.100000000006</v>
      </c>
      <c r="E113" s="114"/>
      <c r="F113" s="114">
        <f>+'Հավելված N 4'!I92+'Հավելված N 4'!I200</f>
        <v>70438.100000000006</v>
      </c>
      <c r="G113" s="114"/>
      <c r="H113" s="114"/>
      <c r="I113" s="104"/>
      <c r="J113" s="104"/>
    </row>
    <row r="114" spans="1:11" s="124" customFormat="1" ht="16.75" customHeight="1" x14ac:dyDescent="0.45">
      <c r="A114" s="99"/>
      <c r="B114" s="99"/>
      <c r="C114" s="20" t="s">
        <v>463</v>
      </c>
      <c r="D114" s="114">
        <f>+E114+F114+G114+H114</f>
        <v>70488.2</v>
      </c>
      <c r="E114" s="114"/>
      <c r="F114" s="114">
        <f>+'Հավելված N 4'!I93+'Հավելված N 4'!I201</f>
        <v>70488.2</v>
      </c>
      <c r="G114" s="114"/>
      <c r="H114" s="114"/>
      <c r="I114" s="104"/>
      <c r="J114" s="104"/>
    </row>
    <row r="115" spans="1:11" s="124" customFormat="1" x14ac:dyDescent="0.45">
      <c r="A115" s="99"/>
      <c r="B115" s="99"/>
      <c r="C115" s="20" t="s">
        <v>464</v>
      </c>
      <c r="D115" s="114">
        <f>+E115+F115+G115+H115</f>
        <v>63292.7</v>
      </c>
      <c r="E115" s="114"/>
      <c r="F115" s="114">
        <f>+'Հավելված N 4'!I94+'Հավելված N 4'!I202</f>
        <v>63292.7</v>
      </c>
      <c r="G115" s="114"/>
      <c r="H115" s="114"/>
      <c r="I115" s="104"/>
      <c r="J115" s="104"/>
    </row>
    <row r="116" spans="1:11" s="51" customFormat="1" x14ac:dyDescent="0.45">
      <c r="A116" s="55"/>
      <c r="B116" s="55"/>
      <c r="C116" s="20" t="s">
        <v>552</v>
      </c>
      <c r="D116" s="49">
        <f t="shared" ref="D116:D117" si="37">+E116+F116+G116+H116</f>
        <v>70000</v>
      </c>
      <c r="E116" s="49"/>
      <c r="F116" s="93">
        <f>+'Հավելված N 4'!I365</f>
        <v>70000</v>
      </c>
      <c r="G116" s="49"/>
      <c r="H116" s="49"/>
      <c r="I116" s="50"/>
      <c r="J116" s="50"/>
      <c r="K116" s="139"/>
    </row>
    <row r="117" spans="1:11" s="51" customFormat="1" x14ac:dyDescent="0.45">
      <c r="A117" s="55"/>
      <c r="B117" s="55"/>
      <c r="C117" s="20" t="s">
        <v>553</v>
      </c>
      <c r="D117" s="49">
        <f t="shared" si="37"/>
        <v>150000</v>
      </c>
      <c r="E117" s="49"/>
      <c r="F117" s="93">
        <f>+'Հավելված N 4'!I366</f>
        <v>150000</v>
      </c>
      <c r="G117" s="49"/>
      <c r="H117" s="49"/>
      <c r="I117" s="50"/>
      <c r="J117" s="50"/>
      <c r="K117" s="139"/>
    </row>
    <row r="118" spans="1:11" s="101" customFormat="1" ht="17" customHeight="1" x14ac:dyDescent="0.45">
      <c r="A118" s="99"/>
      <c r="B118" s="99"/>
      <c r="C118" s="17" t="s">
        <v>16</v>
      </c>
      <c r="D118" s="110">
        <f>SUM(E118:H118)</f>
        <v>1969927.4780000001</v>
      </c>
      <c r="E118" s="110">
        <f>SUM(E119:E129)</f>
        <v>0</v>
      </c>
      <c r="F118" s="110">
        <f>SUM(F119:F129)</f>
        <v>1969927.4780000001</v>
      </c>
      <c r="G118" s="110">
        <f t="shared" ref="G118:H118" si="38">SUM(G119:G129)</f>
        <v>0</v>
      </c>
      <c r="H118" s="110">
        <f t="shared" si="38"/>
        <v>0</v>
      </c>
      <c r="I118" s="100"/>
      <c r="J118" s="100"/>
    </row>
    <row r="119" spans="1:11" s="124" customFormat="1" x14ac:dyDescent="0.45">
      <c r="A119" s="99"/>
      <c r="B119" s="99"/>
      <c r="C119" s="20" t="s">
        <v>110</v>
      </c>
      <c r="D119" s="114">
        <f t="shared" ref="D119" si="39">+E119+F119+G119+H119</f>
        <v>34087.777999999998</v>
      </c>
      <c r="E119" s="114"/>
      <c r="F119" s="114">
        <f>+'Հավելված N 4'!I95+'Հավելված N 4'!I203</f>
        <v>34087.777999999998</v>
      </c>
      <c r="G119" s="114"/>
      <c r="H119" s="114"/>
      <c r="I119" s="104"/>
      <c r="J119" s="104"/>
    </row>
    <row r="120" spans="1:11" s="124" customFormat="1" x14ac:dyDescent="0.45">
      <c r="A120" s="123"/>
      <c r="B120" s="123"/>
      <c r="C120" s="20" t="s">
        <v>121</v>
      </c>
      <c r="D120" s="114">
        <f t="shared" ref="D120:D127" si="40">+E120+F120+G120+H120</f>
        <v>248362.2</v>
      </c>
      <c r="E120" s="114"/>
      <c r="F120" s="114">
        <f>+'Հավելված N 4'!I96+'Հավելված N 4'!I204</f>
        <v>248362.2</v>
      </c>
      <c r="G120" s="114"/>
      <c r="H120" s="114"/>
      <c r="I120" s="104"/>
      <c r="J120" s="104"/>
    </row>
    <row r="121" spans="1:11" s="124" customFormat="1" x14ac:dyDescent="0.45">
      <c r="A121" s="123"/>
      <c r="B121" s="123"/>
      <c r="C121" s="20" t="s">
        <v>122</v>
      </c>
      <c r="D121" s="114">
        <f t="shared" si="40"/>
        <v>406969.7</v>
      </c>
      <c r="E121" s="114"/>
      <c r="F121" s="114">
        <f>+'Հավելված N 4'!I97+'Հավելված N 4'!I205</f>
        <v>406969.7</v>
      </c>
      <c r="G121" s="114"/>
      <c r="H121" s="114"/>
      <c r="I121" s="104"/>
      <c r="J121" s="104"/>
    </row>
    <row r="122" spans="1:11" s="124" customFormat="1" x14ac:dyDescent="0.45">
      <c r="A122" s="125"/>
      <c r="B122" s="125"/>
      <c r="C122" s="20" t="s">
        <v>155</v>
      </c>
      <c r="D122" s="114">
        <f t="shared" si="40"/>
        <v>264450.5</v>
      </c>
      <c r="E122" s="114"/>
      <c r="F122" s="114">
        <f>+'Հավելված N 4'!I98+'Հավելված N 4'!I206</f>
        <v>264450.5</v>
      </c>
      <c r="G122" s="114"/>
      <c r="H122" s="114"/>
      <c r="I122" s="104"/>
      <c r="J122" s="104"/>
    </row>
    <row r="123" spans="1:11" s="124" customFormat="1" x14ac:dyDescent="0.45">
      <c r="A123" s="125"/>
      <c r="B123" s="125"/>
      <c r="C123" s="20" t="s">
        <v>156</v>
      </c>
      <c r="D123" s="114">
        <f t="shared" si="40"/>
        <v>130780</v>
      </c>
      <c r="E123" s="114"/>
      <c r="F123" s="114">
        <f>+'Հավելված N 4'!I99+'Հավելված N 4'!I207</f>
        <v>130780</v>
      </c>
      <c r="G123" s="114"/>
      <c r="H123" s="114"/>
      <c r="I123" s="104"/>
      <c r="J123" s="104"/>
    </row>
    <row r="124" spans="1:11" s="124" customFormat="1" x14ac:dyDescent="0.45">
      <c r="A124" s="125"/>
      <c r="B124" s="125"/>
      <c r="C124" s="20" t="s">
        <v>157</v>
      </c>
      <c r="D124" s="114">
        <f t="shared" si="40"/>
        <v>120720</v>
      </c>
      <c r="E124" s="114"/>
      <c r="F124" s="114">
        <f>+'Հավելված N 4'!I100+'Հավելված N 4'!I208</f>
        <v>120720</v>
      </c>
      <c r="G124" s="114"/>
      <c r="H124" s="114"/>
      <c r="I124" s="104"/>
      <c r="J124" s="104"/>
    </row>
    <row r="125" spans="1:11" s="124" customFormat="1" x14ac:dyDescent="0.45">
      <c r="A125" s="126"/>
      <c r="B125" s="126"/>
      <c r="C125" s="20" t="s">
        <v>158</v>
      </c>
      <c r="D125" s="114">
        <f t="shared" si="40"/>
        <v>200600</v>
      </c>
      <c r="E125" s="114"/>
      <c r="F125" s="114">
        <f>+'Հավելված N 4'!I101+'Հավելված N 4'!I209</f>
        <v>200600</v>
      </c>
      <c r="G125" s="114"/>
      <c r="H125" s="114"/>
      <c r="I125" s="104"/>
      <c r="J125" s="104"/>
    </row>
    <row r="126" spans="1:11" s="124" customFormat="1" x14ac:dyDescent="0.45">
      <c r="A126" s="126"/>
      <c r="B126" s="126"/>
      <c r="C126" s="20" t="s">
        <v>159</v>
      </c>
      <c r="D126" s="114">
        <f t="shared" si="40"/>
        <v>235426.4</v>
      </c>
      <c r="E126" s="114"/>
      <c r="F126" s="114">
        <f>+'Հավելված N 4'!I102+'Հավելված N 4'!I210</f>
        <v>235426.4</v>
      </c>
      <c r="G126" s="114"/>
      <c r="H126" s="114"/>
      <c r="I126" s="104"/>
      <c r="J126" s="104"/>
    </row>
    <row r="127" spans="1:11" s="124" customFormat="1" x14ac:dyDescent="0.45">
      <c r="A127" s="126"/>
      <c r="B127" s="126"/>
      <c r="C127" s="20" t="s">
        <v>160</v>
      </c>
      <c r="D127" s="114">
        <f t="shared" si="40"/>
        <v>237449.1</v>
      </c>
      <c r="E127" s="114"/>
      <c r="F127" s="114">
        <f>+'Հավելված N 4'!I103+'Հավելված N 4'!I211</f>
        <v>237449.1</v>
      </c>
      <c r="G127" s="114"/>
      <c r="H127" s="114"/>
      <c r="I127" s="104"/>
      <c r="J127" s="104"/>
    </row>
    <row r="128" spans="1:11" s="124" customFormat="1" ht="34" x14ac:dyDescent="0.45">
      <c r="A128" s="126"/>
      <c r="B128" s="126"/>
      <c r="C128" s="20" t="s">
        <v>467</v>
      </c>
      <c r="D128" s="114">
        <f>+E128+F128+G128+H128</f>
        <v>50830.1</v>
      </c>
      <c r="E128" s="114"/>
      <c r="F128" s="114">
        <f>+'Հավելված N 4'!I104+'Հավելված N 4'!I212</f>
        <v>50830.1</v>
      </c>
      <c r="G128" s="114"/>
      <c r="H128" s="114"/>
      <c r="I128" s="104"/>
      <c r="J128" s="104"/>
    </row>
    <row r="129" spans="1:10" s="124" customFormat="1" x14ac:dyDescent="0.45">
      <c r="A129" s="126"/>
      <c r="B129" s="126"/>
      <c r="C129" s="20" t="s">
        <v>468</v>
      </c>
      <c r="D129" s="114">
        <f>+E129+F129+G129+H129</f>
        <v>40251.699999999997</v>
      </c>
      <c r="E129" s="114"/>
      <c r="F129" s="114">
        <f>+'Հավելված N 4'!I105+'Հավելված N 4'!I213</f>
        <v>40251.699999999997</v>
      </c>
      <c r="G129" s="114"/>
      <c r="H129" s="114"/>
      <c r="I129" s="104"/>
      <c r="J129" s="104"/>
    </row>
    <row r="130" spans="1:10" s="101" customFormat="1" ht="17" customHeight="1" x14ac:dyDescent="0.45">
      <c r="A130" s="99"/>
      <c r="B130" s="99"/>
      <c r="C130" s="17" t="s">
        <v>13</v>
      </c>
      <c r="D130" s="110">
        <f>SUM(E130:H130)</f>
        <v>3923011.7337999996</v>
      </c>
      <c r="E130" s="110">
        <f>SUM(E131:E151)</f>
        <v>0</v>
      </c>
      <c r="F130" s="110">
        <f>SUM(F131:F151)</f>
        <v>3923011.7337999996</v>
      </c>
      <c r="G130" s="110">
        <f t="shared" ref="G130:H130" si="41">SUM(G131:G151)</f>
        <v>0</v>
      </c>
      <c r="H130" s="110">
        <f t="shared" si="41"/>
        <v>0</v>
      </c>
      <c r="I130" s="100"/>
      <c r="J130" s="100"/>
    </row>
    <row r="131" spans="1:10" s="124" customFormat="1" x14ac:dyDescent="0.45">
      <c r="A131" s="99"/>
      <c r="B131" s="99"/>
      <c r="C131" s="20" t="s">
        <v>168</v>
      </c>
      <c r="D131" s="114">
        <f t="shared" ref="D131:D136" si="42">+E131+F131+G131+H131</f>
        <v>104921.80739999999</v>
      </c>
      <c r="E131" s="114"/>
      <c r="F131" s="114">
        <f>+'Հավելված N 4'!I106+'Հավելված N 4'!I216</f>
        <v>104921.80739999999</v>
      </c>
      <c r="G131" s="114"/>
      <c r="H131" s="114"/>
      <c r="I131" s="104"/>
      <c r="J131" s="104"/>
    </row>
    <row r="132" spans="1:10" s="124" customFormat="1" ht="34" x14ac:dyDescent="0.45">
      <c r="A132" s="99"/>
      <c r="B132" s="99"/>
      <c r="C132" s="20" t="s">
        <v>112</v>
      </c>
      <c r="D132" s="114">
        <f t="shared" si="42"/>
        <v>125520.69899999999</v>
      </c>
      <c r="E132" s="114"/>
      <c r="F132" s="114">
        <f>+'Հավելված N 4'!I107+'Հավելված N 4'!I217</f>
        <v>125520.69899999999</v>
      </c>
      <c r="G132" s="114"/>
      <c r="H132" s="114"/>
      <c r="I132" s="104"/>
      <c r="J132" s="104"/>
    </row>
    <row r="133" spans="1:10" s="124" customFormat="1" ht="34" x14ac:dyDescent="0.45">
      <c r="A133" s="99"/>
      <c r="B133" s="99"/>
      <c r="C133" s="20" t="s">
        <v>113</v>
      </c>
      <c r="D133" s="114">
        <f t="shared" si="42"/>
        <v>83448.102399999989</v>
      </c>
      <c r="E133" s="114"/>
      <c r="F133" s="114">
        <f>+'Հավելված N 4'!I108+'Հավելված N 4'!I218</f>
        <v>83448.102399999989</v>
      </c>
      <c r="G133" s="114"/>
      <c r="H133" s="114"/>
      <c r="I133" s="104"/>
      <c r="J133" s="104"/>
    </row>
    <row r="134" spans="1:10" s="124" customFormat="1" ht="34" x14ac:dyDescent="0.45">
      <c r="A134" s="99"/>
      <c r="B134" s="99"/>
      <c r="C134" s="20" t="s">
        <v>114</v>
      </c>
      <c r="D134" s="114">
        <f t="shared" si="42"/>
        <v>124648.11899999999</v>
      </c>
      <c r="E134" s="114"/>
      <c r="F134" s="114">
        <f>+'Հավելված N 4'!I109+'Հավելված N 4'!I219</f>
        <v>124648.11899999999</v>
      </c>
      <c r="G134" s="114"/>
      <c r="H134" s="114"/>
      <c r="I134" s="104"/>
      <c r="J134" s="104"/>
    </row>
    <row r="135" spans="1:10" s="124" customFormat="1" ht="34" x14ac:dyDescent="0.45">
      <c r="A135" s="157"/>
      <c r="B135" s="157"/>
      <c r="C135" s="158" t="s">
        <v>111</v>
      </c>
      <c r="D135" s="114">
        <f t="shared" si="42"/>
        <v>83351.776799999992</v>
      </c>
      <c r="E135" s="114"/>
      <c r="F135" s="114">
        <f>+'Հավելված N 4'!I110+'Հավելված N 4'!I220</f>
        <v>83351.776799999992</v>
      </c>
      <c r="G135" s="114"/>
      <c r="H135" s="114"/>
      <c r="I135" s="104"/>
      <c r="J135" s="104"/>
    </row>
    <row r="136" spans="1:10" s="129" customFormat="1" ht="34" x14ac:dyDescent="0.45">
      <c r="A136" s="157"/>
      <c r="B136" s="157"/>
      <c r="C136" s="158" t="s">
        <v>169</v>
      </c>
      <c r="D136" s="114">
        <f t="shared" si="42"/>
        <v>263617.10599999997</v>
      </c>
      <c r="E136" s="114"/>
      <c r="F136" s="114">
        <f>+'Հավելված N 4'!I111+'Հավելված N 4'!I221</f>
        <v>263617.10599999997</v>
      </c>
      <c r="G136" s="127"/>
      <c r="H136" s="127"/>
      <c r="I136" s="128"/>
      <c r="J136" s="128"/>
    </row>
    <row r="137" spans="1:10" s="124" customFormat="1" x14ac:dyDescent="0.45">
      <c r="A137" s="123"/>
      <c r="B137" s="123"/>
      <c r="C137" s="20" t="s">
        <v>63</v>
      </c>
      <c r="D137" s="114">
        <f>+E137+F137+G137+H137</f>
        <v>290362.2</v>
      </c>
      <c r="E137" s="114"/>
      <c r="F137" s="114">
        <f>+'Հավելված N 4'!I112+'Հավելված N 4'!I215</f>
        <v>290362.2</v>
      </c>
      <c r="G137" s="114"/>
      <c r="H137" s="114"/>
      <c r="I137" s="104"/>
      <c r="J137" s="104"/>
    </row>
    <row r="138" spans="1:10" s="124" customFormat="1" ht="34" x14ac:dyDescent="0.45">
      <c r="A138" s="123"/>
      <c r="B138" s="123"/>
      <c r="C138" s="20" t="s">
        <v>123</v>
      </c>
      <c r="D138" s="114">
        <f t="shared" ref="D138:D149" si="43">+E138+F138+G138+H138</f>
        <v>172289</v>
      </c>
      <c r="E138" s="114"/>
      <c r="F138" s="114">
        <f>+'Հավելված N 4'!I113+'Հավելված N 4'!I214</f>
        <v>172289</v>
      </c>
      <c r="G138" s="114"/>
      <c r="H138" s="114"/>
      <c r="I138" s="104"/>
      <c r="J138" s="104"/>
    </row>
    <row r="139" spans="1:10" s="124" customFormat="1" ht="51" x14ac:dyDescent="0.45">
      <c r="A139" s="123"/>
      <c r="B139" s="123"/>
      <c r="C139" s="20" t="s">
        <v>181</v>
      </c>
      <c r="D139" s="114">
        <f t="shared" si="43"/>
        <v>380593.3</v>
      </c>
      <c r="E139" s="114"/>
      <c r="F139" s="114">
        <f>+'Հավելված N 4'!I114+'Հավելված N 4'!I222</f>
        <v>380593.3</v>
      </c>
      <c r="G139" s="114"/>
      <c r="H139" s="114"/>
      <c r="I139" s="104"/>
      <c r="J139" s="104"/>
    </row>
    <row r="140" spans="1:10" s="124" customFormat="1" x14ac:dyDescent="0.45">
      <c r="A140" s="123"/>
      <c r="B140" s="123"/>
      <c r="C140" s="20" t="s">
        <v>182</v>
      </c>
      <c r="D140" s="114">
        <f t="shared" si="43"/>
        <v>140194.81400000001</v>
      </c>
      <c r="E140" s="114"/>
      <c r="F140" s="114">
        <f>+'Հավելված N 4'!I115+'Հավելված N 4'!I223</f>
        <v>140194.81400000001</v>
      </c>
      <c r="G140" s="114"/>
      <c r="H140" s="114"/>
      <c r="I140" s="104"/>
      <c r="J140" s="104"/>
    </row>
    <row r="141" spans="1:10" s="124" customFormat="1" x14ac:dyDescent="0.45">
      <c r="A141" s="123"/>
      <c r="B141" s="123"/>
      <c r="C141" s="20" t="s">
        <v>183</v>
      </c>
      <c r="D141" s="114">
        <f t="shared" si="43"/>
        <v>305254.37599999999</v>
      </c>
      <c r="E141" s="114"/>
      <c r="F141" s="114">
        <f>+'Հավելված N 4'!I116+'Հավելված N 4'!I224</f>
        <v>305254.37599999999</v>
      </c>
      <c r="G141" s="114"/>
      <c r="H141" s="114"/>
      <c r="I141" s="104"/>
      <c r="J141" s="104"/>
    </row>
    <row r="142" spans="1:10" s="124" customFormat="1" x14ac:dyDescent="0.45">
      <c r="A142" s="123"/>
      <c r="B142" s="123"/>
      <c r="C142" s="20" t="s">
        <v>184</v>
      </c>
      <c r="D142" s="114">
        <f t="shared" si="43"/>
        <v>257364.83919999999</v>
      </c>
      <c r="E142" s="114"/>
      <c r="F142" s="114">
        <f>+'Հավելված N 4'!I117+'Հավելված N 4'!I225</f>
        <v>257364.83919999999</v>
      </c>
      <c r="G142" s="114"/>
      <c r="H142" s="114"/>
      <c r="I142" s="104"/>
      <c r="J142" s="104"/>
    </row>
    <row r="143" spans="1:10" s="124" customFormat="1" x14ac:dyDescent="0.45">
      <c r="A143" s="123"/>
      <c r="B143" s="123"/>
      <c r="C143" s="20" t="s">
        <v>185</v>
      </c>
      <c r="D143" s="114">
        <f t="shared" si="43"/>
        <v>203414.5</v>
      </c>
      <c r="E143" s="114"/>
      <c r="F143" s="114">
        <f>+'Հավելված N 4'!I118+'Հավելված N 4'!I226</f>
        <v>203414.5</v>
      </c>
      <c r="G143" s="114"/>
      <c r="H143" s="114"/>
      <c r="I143" s="104"/>
      <c r="J143" s="104"/>
    </row>
    <row r="144" spans="1:10" s="124" customFormat="1" ht="34" x14ac:dyDescent="0.45">
      <c r="A144" s="123"/>
      <c r="B144" s="123"/>
      <c r="C144" s="20" t="s">
        <v>186</v>
      </c>
      <c r="D144" s="114">
        <f t="shared" si="43"/>
        <v>251719.49300000002</v>
      </c>
      <c r="E144" s="114"/>
      <c r="F144" s="114">
        <f>+'Հավելված N 4'!I119+'Հավելված N 4'!I227</f>
        <v>251719.49300000002</v>
      </c>
      <c r="G144" s="114"/>
      <c r="H144" s="114"/>
      <c r="I144" s="104"/>
      <c r="J144" s="104"/>
    </row>
    <row r="145" spans="1:10" s="124" customFormat="1" x14ac:dyDescent="0.45">
      <c r="A145" s="123"/>
      <c r="B145" s="123"/>
      <c r="C145" s="20" t="s">
        <v>187</v>
      </c>
      <c r="D145" s="114">
        <f t="shared" si="43"/>
        <v>124341.6</v>
      </c>
      <c r="E145" s="114"/>
      <c r="F145" s="114">
        <f>+'Հավելված N 4'!I120+'Հավելված N 4'!I228</f>
        <v>124341.6</v>
      </c>
      <c r="G145" s="114"/>
      <c r="H145" s="114"/>
      <c r="I145" s="104"/>
      <c r="J145" s="104"/>
    </row>
    <row r="146" spans="1:10" s="124" customFormat="1" ht="34" x14ac:dyDescent="0.45">
      <c r="A146" s="123"/>
      <c r="B146" s="123"/>
      <c r="C146" s="20" t="s">
        <v>188</v>
      </c>
      <c r="D146" s="114">
        <f t="shared" si="43"/>
        <v>197980.79999999999</v>
      </c>
      <c r="E146" s="114"/>
      <c r="F146" s="114">
        <f>+'Հավելված N 4'!I121+'Հավելված N 4'!I229</f>
        <v>197980.79999999999</v>
      </c>
      <c r="G146" s="114"/>
      <c r="H146" s="114"/>
      <c r="I146" s="104"/>
      <c r="J146" s="104"/>
    </row>
    <row r="147" spans="1:10" s="124" customFormat="1" x14ac:dyDescent="0.45">
      <c r="A147" s="123"/>
      <c r="B147" s="123"/>
      <c r="C147" s="20" t="s">
        <v>189</v>
      </c>
      <c r="D147" s="114">
        <f t="shared" si="43"/>
        <v>282528.88</v>
      </c>
      <c r="E147" s="114"/>
      <c r="F147" s="114">
        <f>+'Հավելված N 4'!I122+'Հավելված N 4'!I230</f>
        <v>282528.88</v>
      </c>
      <c r="G147" s="114"/>
      <c r="H147" s="114"/>
      <c r="I147" s="104"/>
      <c r="J147" s="104"/>
    </row>
    <row r="148" spans="1:10" s="124" customFormat="1" x14ac:dyDescent="0.45">
      <c r="A148" s="123"/>
      <c r="B148" s="123"/>
      <c r="C148" s="20" t="s">
        <v>190</v>
      </c>
      <c r="D148" s="114">
        <f t="shared" si="43"/>
        <v>164273.82100000003</v>
      </c>
      <c r="E148" s="114"/>
      <c r="F148" s="114">
        <f>+'Հավելված N 4'!I123+'Հավելված N 4'!I231</f>
        <v>164273.82100000003</v>
      </c>
      <c r="G148" s="114"/>
      <c r="H148" s="114"/>
      <c r="I148" s="104"/>
      <c r="J148" s="104"/>
    </row>
    <row r="149" spans="1:10" s="124" customFormat="1" ht="34" x14ac:dyDescent="0.45">
      <c r="A149" s="123"/>
      <c r="B149" s="123"/>
      <c r="C149" s="20" t="s">
        <v>191</v>
      </c>
      <c r="D149" s="114">
        <f t="shared" si="43"/>
        <v>266449</v>
      </c>
      <c r="E149" s="114"/>
      <c r="F149" s="114">
        <f>+'Հավելված N 4'!I124+'Հավելված N 4'!I232</f>
        <v>266449</v>
      </c>
      <c r="G149" s="114"/>
      <c r="H149" s="114"/>
      <c r="I149" s="104"/>
      <c r="J149" s="104"/>
    </row>
    <row r="150" spans="1:10" s="124" customFormat="1" x14ac:dyDescent="0.45">
      <c r="A150" s="123"/>
      <c r="B150" s="123"/>
      <c r="C150" s="20" t="s">
        <v>471</v>
      </c>
      <c r="D150" s="114">
        <f>+E150+F150+G150+H150</f>
        <v>50351.6</v>
      </c>
      <c r="E150" s="114"/>
      <c r="F150" s="114">
        <f>+'Հավելված N 4'!I125+'Հավելված N 4'!I233</f>
        <v>50351.6</v>
      </c>
      <c r="G150" s="114"/>
      <c r="H150" s="114"/>
      <c r="I150" s="104"/>
      <c r="J150" s="104"/>
    </row>
    <row r="151" spans="1:10" s="124" customFormat="1" x14ac:dyDescent="0.45">
      <c r="A151" s="123"/>
      <c r="B151" s="123"/>
      <c r="C151" s="20" t="s">
        <v>472</v>
      </c>
      <c r="D151" s="114">
        <f>+E151+F151+G151+H151</f>
        <v>50385.9</v>
      </c>
      <c r="E151" s="114"/>
      <c r="F151" s="114">
        <f>+'Հավելված N 4'!I126+'Հավելված N 4'!I234</f>
        <v>50385.9</v>
      </c>
      <c r="G151" s="114"/>
      <c r="H151" s="114"/>
      <c r="I151" s="104"/>
      <c r="J151" s="104"/>
    </row>
    <row r="152" spans="1:10" s="101" customFormat="1" ht="17" customHeight="1" x14ac:dyDescent="0.45">
      <c r="A152" s="99"/>
      <c r="B152" s="99"/>
      <c r="C152" s="17" t="s">
        <v>20</v>
      </c>
      <c r="D152" s="110">
        <f>SUM(E152:H152)</f>
        <v>846717.70872000011</v>
      </c>
      <c r="E152" s="110">
        <f>SUM(E153:E160)</f>
        <v>0</v>
      </c>
      <c r="F152" s="110">
        <f>SUM(F153:F160)</f>
        <v>846717.70872000011</v>
      </c>
      <c r="G152" s="110">
        <f t="shared" ref="G152:H152" si="44">SUM(G153:G160)</f>
        <v>0</v>
      </c>
      <c r="H152" s="110">
        <f t="shared" si="44"/>
        <v>0</v>
      </c>
      <c r="I152" s="100"/>
      <c r="J152" s="100"/>
    </row>
    <row r="153" spans="1:10" s="124" customFormat="1" x14ac:dyDescent="0.45">
      <c r="A153" s="123"/>
      <c r="B153" s="123"/>
      <c r="C153" s="20" t="s">
        <v>56</v>
      </c>
      <c r="D153" s="114">
        <f>+E153+F153+G153+H153</f>
        <v>80450.282399999996</v>
      </c>
      <c r="E153" s="114"/>
      <c r="F153" s="114">
        <f>+'Հավելված N 4'!I127+'Հավելված N 4'!I235</f>
        <v>80450.282399999996</v>
      </c>
      <c r="G153" s="114"/>
      <c r="H153" s="114"/>
      <c r="I153" s="104"/>
      <c r="J153" s="104"/>
    </row>
    <row r="154" spans="1:10" s="124" customFormat="1" x14ac:dyDescent="0.45">
      <c r="A154" s="123"/>
      <c r="B154" s="123"/>
      <c r="C154" s="20" t="s">
        <v>195</v>
      </c>
      <c r="D154" s="114">
        <f t="shared" ref="D154:D156" si="45">+E154+F154+G154+H154</f>
        <v>198381.3</v>
      </c>
      <c r="E154" s="114"/>
      <c r="F154" s="114">
        <f>+'Հավելված N 4'!I128+'Հավելված N 4'!I236</f>
        <v>198381.3</v>
      </c>
      <c r="G154" s="114"/>
      <c r="H154" s="114"/>
      <c r="I154" s="104"/>
      <c r="J154" s="104"/>
    </row>
    <row r="155" spans="1:10" s="124" customFormat="1" ht="34" x14ac:dyDescent="0.45">
      <c r="A155" s="123"/>
      <c r="B155" s="123"/>
      <c r="C155" s="20" t="s">
        <v>196</v>
      </c>
      <c r="D155" s="114">
        <f t="shared" si="45"/>
        <v>182093.3</v>
      </c>
      <c r="E155" s="114"/>
      <c r="F155" s="114">
        <f>+'Հավելված N 4'!I129+'Հավելված N 4'!I237</f>
        <v>182093.3</v>
      </c>
      <c r="G155" s="114"/>
      <c r="H155" s="114"/>
      <c r="I155" s="104"/>
      <c r="J155" s="104"/>
    </row>
    <row r="156" spans="1:10" s="124" customFormat="1" x14ac:dyDescent="0.45">
      <c r="A156" s="123"/>
      <c r="B156" s="123"/>
      <c r="C156" s="20" t="s">
        <v>197</v>
      </c>
      <c r="D156" s="114">
        <f t="shared" si="45"/>
        <v>159164.82631999999</v>
      </c>
      <c r="E156" s="114"/>
      <c r="F156" s="114">
        <f>+'Հավելված N 4'!I130+'Հավելված N 4'!I238</f>
        <v>159164.82631999999</v>
      </c>
      <c r="G156" s="114"/>
      <c r="H156" s="114"/>
      <c r="I156" s="104"/>
      <c r="J156" s="104"/>
    </row>
    <row r="157" spans="1:10" s="124" customFormat="1" x14ac:dyDescent="0.45">
      <c r="A157" s="123"/>
      <c r="B157" s="123"/>
      <c r="C157" s="20" t="s">
        <v>477</v>
      </c>
      <c r="D157" s="114">
        <f>+E157+F157+G157+H157</f>
        <v>65471.4</v>
      </c>
      <c r="E157" s="114"/>
      <c r="F157" s="114">
        <f>+'Հավելված N 4'!I131+'Հավելված N 4'!I239</f>
        <v>65471.4</v>
      </c>
      <c r="G157" s="114"/>
      <c r="H157" s="114"/>
      <c r="I157" s="104"/>
      <c r="J157" s="104"/>
    </row>
    <row r="158" spans="1:10" s="124" customFormat="1" x14ac:dyDescent="0.45">
      <c r="A158" s="123"/>
      <c r="B158" s="123"/>
      <c r="C158" s="20" t="s">
        <v>478</v>
      </c>
      <c r="D158" s="114">
        <f>+E158+F158+G158+H158</f>
        <v>50361.4</v>
      </c>
      <c r="E158" s="114"/>
      <c r="F158" s="114">
        <f>+'Հավելված N 4'!I132+'Հավելված N 4'!I240</f>
        <v>50361.4</v>
      </c>
      <c r="G158" s="114"/>
      <c r="H158" s="114"/>
      <c r="I158" s="104"/>
      <c r="J158" s="104"/>
    </row>
    <row r="159" spans="1:10" s="124" customFormat="1" x14ac:dyDescent="0.45">
      <c r="A159" s="123"/>
      <c r="B159" s="123"/>
      <c r="C159" s="20" t="s">
        <v>479</v>
      </c>
      <c r="D159" s="114">
        <f>+E159+F159+G159+H159</f>
        <v>80580.3</v>
      </c>
      <c r="E159" s="114"/>
      <c r="F159" s="114">
        <f>+'Հավելված N 4'!I133+'Հավելված N 4'!I241</f>
        <v>80580.3</v>
      </c>
      <c r="G159" s="114"/>
      <c r="H159" s="114"/>
      <c r="I159" s="104"/>
      <c r="J159" s="104"/>
    </row>
    <row r="160" spans="1:10" s="124" customFormat="1" ht="34" x14ac:dyDescent="0.45">
      <c r="A160" s="123"/>
      <c r="B160" s="123"/>
      <c r="C160" s="20" t="s">
        <v>480</v>
      </c>
      <c r="D160" s="114">
        <f>+E160+F160+G160+H160</f>
        <v>30214.9</v>
      </c>
      <c r="E160" s="114"/>
      <c r="F160" s="114">
        <f>+'Հավելված N 4'!I134+'Հավելված N 4'!I242</f>
        <v>30214.9</v>
      </c>
      <c r="G160" s="114"/>
      <c r="H160" s="114"/>
      <c r="I160" s="104"/>
      <c r="J160" s="104"/>
    </row>
    <row r="161" spans="1:10" s="101" customFormat="1" ht="17" customHeight="1" x14ac:dyDescent="0.45">
      <c r="A161" s="99"/>
      <c r="B161" s="99"/>
      <c r="C161" s="17" t="s">
        <v>17</v>
      </c>
      <c r="D161" s="110">
        <f>SUM(E161:H161)</f>
        <v>5003395.1216000002</v>
      </c>
      <c r="E161" s="110">
        <f>SUM(E162:E188)</f>
        <v>0</v>
      </c>
      <c r="F161" s="110">
        <f t="shared" ref="F161:H161" si="46">SUM(F162:F188)</f>
        <v>5003395.1216000002</v>
      </c>
      <c r="G161" s="110">
        <f t="shared" si="46"/>
        <v>0</v>
      </c>
      <c r="H161" s="110">
        <f t="shared" si="46"/>
        <v>0</v>
      </c>
      <c r="I161" s="100"/>
      <c r="J161" s="100"/>
    </row>
    <row r="162" spans="1:10" s="124" customFormat="1" x14ac:dyDescent="0.45">
      <c r="A162" s="99"/>
      <c r="B162" s="99"/>
      <c r="C162" s="20" t="s">
        <v>115</v>
      </c>
      <c r="D162" s="114">
        <f t="shared" ref="D162:D169" si="47">+E162+F162+G162+H162</f>
        <v>146613</v>
      </c>
      <c r="E162" s="114"/>
      <c r="F162" s="114">
        <f>+'Հավելված N 4'!I135+'Հավելված N 4'!I243</f>
        <v>146613</v>
      </c>
      <c r="G162" s="114"/>
      <c r="H162" s="114"/>
      <c r="I162" s="104"/>
      <c r="J162" s="104"/>
    </row>
    <row r="163" spans="1:10" s="124" customFormat="1" x14ac:dyDescent="0.45">
      <c r="A163" s="99"/>
      <c r="B163" s="99"/>
      <c r="C163" s="20" t="s">
        <v>116</v>
      </c>
      <c r="D163" s="114">
        <f t="shared" si="47"/>
        <v>126501.40299999999</v>
      </c>
      <c r="E163" s="114"/>
      <c r="F163" s="114">
        <f>+'Հավելված N 4'!I136+'Հավելված N 4'!I244</f>
        <v>126501.40299999999</v>
      </c>
      <c r="G163" s="114"/>
      <c r="H163" s="114"/>
      <c r="I163" s="104"/>
      <c r="J163" s="104"/>
    </row>
    <row r="164" spans="1:10" s="124" customFormat="1" x14ac:dyDescent="0.45">
      <c r="A164" s="99"/>
      <c r="B164" s="99"/>
      <c r="C164" s="20" t="s">
        <v>357</v>
      </c>
      <c r="D164" s="114">
        <f t="shared" si="47"/>
        <v>182380.9</v>
      </c>
      <c r="E164" s="114"/>
      <c r="F164" s="114">
        <f>+'Հավելված N 4'!I137+'Հավելված N 4'!I245</f>
        <v>182380.9</v>
      </c>
      <c r="G164" s="114"/>
      <c r="H164" s="114"/>
      <c r="I164" s="104"/>
      <c r="J164" s="104"/>
    </row>
    <row r="165" spans="1:10" s="124" customFormat="1" x14ac:dyDescent="0.45">
      <c r="A165" s="99"/>
      <c r="B165" s="99"/>
      <c r="C165" s="20" t="s">
        <v>205</v>
      </c>
      <c r="D165" s="114">
        <f t="shared" si="47"/>
        <v>52251.808199999999</v>
      </c>
      <c r="E165" s="114"/>
      <c r="F165" s="114">
        <f>+'Հավելված N 4'!I138+'Հավելված N 4'!I246</f>
        <v>52251.808199999999</v>
      </c>
      <c r="G165" s="114"/>
      <c r="H165" s="114"/>
      <c r="I165" s="104"/>
      <c r="J165" s="104"/>
    </row>
    <row r="166" spans="1:10" s="124" customFormat="1" x14ac:dyDescent="0.45">
      <c r="A166" s="99"/>
      <c r="B166" s="99"/>
      <c r="C166" s="20" t="s">
        <v>117</v>
      </c>
      <c r="D166" s="114">
        <f t="shared" si="47"/>
        <v>149899.90000000002</v>
      </c>
      <c r="E166" s="114"/>
      <c r="F166" s="114">
        <f>+'Հավելված N 4'!I139+'Հավելված N 4'!I247</f>
        <v>149899.90000000002</v>
      </c>
      <c r="G166" s="114"/>
      <c r="H166" s="114"/>
      <c r="I166" s="104"/>
      <c r="J166" s="104"/>
    </row>
    <row r="167" spans="1:10" s="124" customFormat="1" x14ac:dyDescent="0.45">
      <c r="A167" s="99"/>
      <c r="B167" s="99"/>
      <c r="C167" s="20" t="s">
        <v>206</v>
      </c>
      <c r="D167" s="114">
        <f t="shared" si="47"/>
        <v>103310.47199999999</v>
      </c>
      <c r="E167" s="114"/>
      <c r="F167" s="114">
        <f>+'Հավելված N 4'!I140+'Հավելված N 4'!I248</f>
        <v>103310.47199999999</v>
      </c>
      <c r="G167" s="114"/>
      <c r="H167" s="114"/>
      <c r="I167" s="104"/>
      <c r="J167" s="104"/>
    </row>
    <row r="168" spans="1:10" s="124" customFormat="1" x14ac:dyDescent="0.45">
      <c r="A168" s="99"/>
      <c r="B168" s="99"/>
      <c r="C168" s="20" t="s">
        <v>207</v>
      </c>
      <c r="D168" s="114">
        <f t="shared" si="47"/>
        <v>51571.989000000001</v>
      </c>
      <c r="E168" s="114"/>
      <c r="F168" s="114">
        <f>+'Հավելված N 4'!I141+'Հավելված N 4'!I249</f>
        <v>51571.989000000001</v>
      </c>
      <c r="G168" s="114"/>
      <c r="H168" s="114"/>
      <c r="I168" s="104"/>
      <c r="J168" s="104"/>
    </row>
    <row r="169" spans="1:10" s="124" customFormat="1" x14ac:dyDescent="0.45">
      <c r="A169" s="99"/>
      <c r="B169" s="99"/>
      <c r="C169" s="20" t="s">
        <v>118</v>
      </c>
      <c r="D169" s="114">
        <f t="shared" si="47"/>
        <v>23735.664600000036</v>
      </c>
      <c r="E169" s="114"/>
      <c r="F169" s="114">
        <f>+'Հավելված N 4'!I142+'Հավելված N 4'!I250</f>
        <v>23735.664600000036</v>
      </c>
      <c r="G169" s="114"/>
      <c r="H169" s="114"/>
      <c r="I169" s="104"/>
      <c r="J169" s="104"/>
    </row>
    <row r="170" spans="1:10" s="124" customFormat="1" x14ac:dyDescent="0.45">
      <c r="A170" s="123"/>
      <c r="B170" s="123"/>
      <c r="C170" s="20" t="s">
        <v>57</v>
      </c>
      <c r="D170" s="114">
        <f t="shared" ref="D170:D186" si="48">+E170+F170+G170+H170</f>
        <v>108042.9798</v>
      </c>
      <c r="E170" s="114"/>
      <c r="F170" s="114">
        <f>+'Հավելված N 4'!I143+'Հավելված N 4'!I251</f>
        <v>108042.9798</v>
      </c>
      <c r="G170" s="114"/>
      <c r="H170" s="114"/>
      <c r="I170" s="104"/>
      <c r="J170" s="104"/>
    </row>
    <row r="171" spans="1:10" s="124" customFormat="1" ht="20.399999999999999" customHeight="1" x14ac:dyDescent="0.45">
      <c r="A171" s="123"/>
      <c r="B171" s="123"/>
      <c r="C171" s="20" t="s">
        <v>58</v>
      </c>
      <c r="D171" s="114">
        <f t="shared" si="48"/>
        <v>232381.35</v>
      </c>
      <c r="E171" s="114"/>
      <c r="F171" s="114">
        <f>+'Հավելված N 4'!I144+'Հավելված N 4'!I252</f>
        <v>232381.35</v>
      </c>
      <c r="G171" s="114"/>
      <c r="H171" s="114"/>
      <c r="I171" s="104"/>
      <c r="J171" s="104"/>
    </row>
    <row r="172" spans="1:10" s="124" customFormat="1" x14ac:dyDescent="0.45">
      <c r="A172" s="123"/>
      <c r="B172" s="123"/>
      <c r="C172" s="20" t="s">
        <v>59</v>
      </c>
      <c r="D172" s="114">
        <f t="shared" si="48"/>
        <v>184802.2</v>
      </c>
      <c r="E172" s="114"/>
      <c r="F172" s="114">
        <f>+'Հավելված N 4'!I145+'Հավելված N 4'!I253</f>
        <v>184802.2</v>
      </c>
      <c r="G172" s="114"/>
      <c r="H172" s="114"/>
      <c r="I172" s="104"/>
      <c r="J172" s="104"/>
    </row>
    <row r="173" spans="1:10" s="124" customFormat="1" x14ac:dyDescent="0.45">
      <c r="A173" s="123"/>
      <c r="B173" s="123"/>
      <c r="C173" s="20" t="s">
        <v>60</v>
      </c>
      <c r="D173" s="114">
        <f t="shared" si="48"/>
        <v>417180.2</v>
      </c>
      <c r="E173" s="114"/>
      <c r="F173" s="114">
        <f>+'Հավելված N 4'!I146+'Հավելված N 4'!I254</f>
        <v>417180.2</v>
      </c>
      <c r="G173" s="114"/>
      <c r="H173" s="114"/>
      <c r="I173" s="104"/>
      <c r="J173" s="104"/>
    </row>
    <row r="174" spans="1:10" s="124" customFormat="1" x14ac:dyDescent="0.45">
      <c r="A174" s="123"/>
      <c r="B174" s="123"/>
      <c r="C174" s="20" t="s">
        <v>61</v>
      </c>
      <c r="D174" s="114">
        <f t="shared" si="48"/>
        <v>194693.984</v>
      </c>
      <c r="E174" s="114"/>
      <c r="F174" s="114">
        <f>+'Հավելված N 4'!I147+'Հավելված N 4'!I255</f>
        <v>194693.984</v>
      </c>
      <c r="G174" s="114"/>
      <c r="H174" s="114"/>
      <c r="I174" s="104"/>
      <c r="J174" s="104"/>
    </row>
    <row r="175" spans="1:10" s="124" customFormat="1" x14ac:dyDescent="0.45">
      <c r="A175" s="123"/>
      <c r="B175" s="123"/>
      <c r="C175" s="20" t="s">
        <v>62</v>
      </c>
      <c r="D175" s="114">
        <f t="shared" si="48"/>
        <v>236547.92</v>
      </c>
      <c r="E175" s="114"/>
      <c r="F175" s="114">
        <f>+'Հավելված N 4'!I148+'Հավելված N 4'!I256</f>
        <v>236547.92</v>
      </c>
      <c r="G175" s="114"/>
      <c r="H175" s="114"/>
      <c r="I175" s="104"/>
      <c r="J175" s="104"/>
    </row>
    <row r="176" spans="1:10" s="124" customFormat="1" x14ac:dyDescent="0.45">
      <c r="A176" s="123"/>
      <c r="B176" s="123"/>
      <c r="C176" s="20" t="s">
        <v>64</v>
      </c>
      <c r="D176" s="114">
        <f t="shared" si="48"/>
        <v>342252.9</v>
      </c>
      <c r="E176" s="114"/>
      <c r="F176" s="114">
        <f>+'Հավելված N 4'!I149+'Հավելված N 4'!I257</f>
        <v>342252.9</v>
      </c>
      <c r="G176" s="114"/>
      <c r="H176" s="114"/>
      <c r="I176" s="104"/>
      <c r="J176" s="104"/>
    </row>
    <row r="177" spans="1:10" s="124" customFormat="1" x14ac:dyDescent="0.45">
      <c r="A177" s="123"/>
      <c r="B177" s="123"/>
      <c r="C177" s="20" t="s">
        <v>66</v>
      </c>
      <c r="D177" s="114">
        <f t="shared" si="48"/>
        <v>169561.4</v>
      </c>
      <c r="E177" s="114"/>
      <c r="F177" s="114">
        <f>+'Հավելված N 4'!I150+'Հավելված N 4'!I258</f>
        <v>169561.4</v>
      </c>
      <c r="G177" s="114"/>
      <c r="H177" s="114"/>
      <c r="I177" s="104"/>
      <c r="J177" s="104"/>
    </row>
    <row r="178" spans="1:10" s="124" customFormat="1" x14ac:dyDescent="0.45">
      <c r="A178" s="123"/>
      <c r="B178" s="123"/>
      <c r="C178" s="20" t="s">
        <v>67</v>
      </c>
      <c r="D178" s="114">
        <f t="shared" si="48"/>
        <v>318602.5</v>
      </c>
      <c r="E178" s="114"/>
      <c r="F178" s="114">
        <f>+'Հավելված N 4'!I151+'Հավելված N 4'!I259</f>
        <v>318602.5</v>
      </c>
      <c r="G178" s="114"/>
      <c r="H178" s="114"/>
      <c r="I178" s="104"/>
      <c r="J178" s="104"/>
    </row>
    <row r="179" spans="1:10" s="124" customFormat="1" x14ac:dyDescent="0.45">
      <c r="A179" s="123"/>
      <c r="B179" s="123"/>
      <c r="C179" s="20" t="s">
        <v>68</v>
      </c>
      <c r="D179" s="114">
        <f t="shared" si="48"/>
        <v>273813.09999999998</v>
      </c>
      <c r="E179" s="114"/>
      <c r="F179" s="114">
        <f>+'Հավելված N 4'!I152+'Հավելված N 4'!I260</f>
        <v>273813.09999999998</v>
      </c>
      <c r="G179" s="114"/>
      <c r="H179" s="114"/>
      <c r="I179" s="104"/>
      <c r="J179" s="104"/>
    </row>
    <row r="180" spans="1:10" s="124" customFormat="1" x14ac:dyDescent="0.45">
      <c r="A180" s="123"/>
      <c r="B180" s="123"/>
      <c r="C180" s="20" t="s">
        <v>69</v>
      </c>
      <c r="D180" s="114">
        <f t="shared" si="48"/>
        <v>178218.99160000001</v>
      </c>
      <c r="E180" s="114"/>
      <c r="F180" s="114">
        <f>+'Հավելված N 4'!I153+'Հավելված N 4'!I261</f>
        <v>178218.99160000001</v>
      </c>
      <c r="G180" s="114"/>
      <c r="H180" s="114"/>
      <c r="I180" s="104"/>
      <c r="J180" s="104"/>
    </row>
    <row r="181" spans="1:10" s="124" customFormat="1" x14ac:dyDescent="0.45">
      <c r="A181" s="123"/>
      <c r="B181" s="123"/>
      <c r="C181" s="20" t="s">
        <v>70</v>
      </c>
      <c r="D181" s="114">
        <f t="shared" si="48"/>
        <v>176149.4596</v>
      </c>
      <c r="E181" s="114"/>
      <c r="F181" s="114">
        <f>+'Հավելված N 4'!I154+'Հավելված N 4'!I262</f>
        <v>176149.4596</v>
      </c>
      <c r="G181" s="114"/>
      <c r="H181" s="114"/>
      <c r="I181" s="104"/>
      <c r="J181" s="104"/>
    </row>
    <row r="182" spans="1:10" s="124" customFormat="1" x14ac:dyDescent="0.45">
      <c r="A182" s="125"/>
      <c r="B182" s="125"/>
      <c r="C182" s="20" t="s">
        <v>213</v>
      </c>
      <c r="D182" s="114">
        <f t="shared" si="48"/>
        <v>382761.44</v>
      </c>
      <c r="E182" s="114"/>
      <c r="F182" s="114">
        <f>+'Հավելված N 4'!I155+'Հավելված N 4'!I263</f>
        <v>382761.44</v>
      </c>
      <c r="G182" s="114"/>
      <c r="H182" s="114"/>
      <c r="I182" s="104"/>
      <c r="J182" s="104"/>
    </row>
    <row r="183" spans="1:10" s="124" customFormat="1" x14ac:dyDescent="0.45">
      <c r="A183" s="125"/>
      <c r="B183" s="125"/>
      <c r="C183" s="20" t="s">
        <v>214</v>
      </c>
      <c r="D183" s="114">
        <f t="shared" si="48"/>
        <v>176915.15979999999</v>
      </c>
      <c r="E183" s="114"/>
      <c r="F183" s="114">
        <f>+'Հավելված N 4'!I156+'Հավելված N 4'!I264</f>
        <v>176915.15979999999</v>
      </c>
      <c r="G183" s="114"/>
      <c r="H183" s="114"/>
      <c r="I183" s="104"/>
      <c r="J183" s="104"/>
    </row>
    <row r="184" spans="1:10" s="124" customFormat="1" x14ac:dyDescent="0.45">
      <c r="A184" s="125"/>
      <c r="B184" s="125"/>
      <c r="C184" s="20" t="s">
        <v>215</v>
      </c>
      <c r="D184" s="114">
        <f t="shared" si="48"/>
        <v>264080.40000000002</v>
      </c>
      <c r="E184" s="114"/>
      <c r="F184" s="114">
        <f>+'Հավելված N 4'!I157+'Հավելված N 4'!I265</f>
        <v>264080.40000000002</v>
      </c>
      <c r="G184" s="114"/>
      <c r="H184" s="114"/>
      <c r="I184" s="104"/>
      <c r="J184" s="104"/>
    </row>
    <row r="185" spans="1:10" s="124" customFormat="1" ht="34" x14ac:dyDescent="0.45">
      <c r="A185" s="125"/>
      <c r="B185" s="125"/>
      <c r="C185" s="20" t="s">
        <v>216</v>
      </c>
      <c r="D185" s="114">
        <f t="shared" si="48"/>
        <v>233645.5</v>
      </c>
      <c r="E185" s="114"/>
      <c r="F185" s="114">
        <f>+'Հավելված N 4'!I158+'Հավելված N 4'!I266</f>
        <v>233645.5</v>
      </c>
      <c r="G185" s="114"/>
      <c r="H185" s="114"/>
      <c r="I185" s="104"/>
      <c r="J185" s="104"/>
    </row>
    <row r="186" spans="1:10" s="124" customFormat="1" x14ac:dyDescent="0.45">
      <c r="A186" s="125"/>
      <c r="B186" s="125"/>
      <c r="C186" s="20" t="s">
        <v>217</v>
      </c>
      <c r="D186" s="114">
        <f t="shared" si="48"/>
        <v>179497.8</v>
      </c>
      <c r="E186" s="114"/>
      <c r="F186" s="114">
        <f>+'Հավելված N 4'!I159+'Հավելված N 4'!I267</f>
        <v>179497.8</v>
      </c>
      <c r="G186" s="114"/>
      <c r="H186" s="114"/>
      <c r="I186" s="104"/>
      <c r="J186" s="104"/>
    </row>
    <row r="187" spans="1:10" s="124" customFormat="1" x14ac:dyDescent="0.45">
      <c r="A187" s="130"/>
      <c r="B187" s="130"/>
      <c r="C187" s="20" t="s">
        <v>482</v>
      </c>
      <c r="D187" s="114">
        <f>+E187+F187+G187+H187</f>
        <v>40285.5</v>
      </c>
      <c r="E187" s="114"/>
      <c r="F187" s="114">
        <f>+'Հավելված N 4'!I160+'Հավելված N 4'!I268</f>
        <v>40285.5</v>
      </c>
      <c r="G187" s="114"/>
      <c r="H187" s="114"/>
      <c r="I187" s="104"/>
      <c r="J187" s="104"/>
    </row>
    <row r="188" spans="1:10" s="51" customFormat="1" x14ac:dyDescent="0.45">
      <c r="A188" s="55"/>
      <c r="B188" s="55"/>
      <c r="C188" s="20" t="s">
        <v>554</v>
      </c>
      <c r="D188" s="49">
        <f t="shared" ref="D188" si="49">+E188+F188+G188+H188</f>
        <v>57697.2</v>
      </c>
      <c r="E188" s="49"/>
      <c r="F188" s="93">
        <f>+'Հավելված N 4'!I367</f>
        <v>57697.2</v>
      </c>
      <c r="G188" s="49"/>
      <c r="H188" s="49"/>
      <c r="I188" s="50"/>
      <c r="J188" s="50"/>
    </row>
    <row r="189" spans="1:10" s="101" customFormat="1" ht="17" customHeight="1" x14ac:dyDescent="0.45">
      <c r="A189" s="99"/>
      <c r="B189" s="99"/>
      <c r="C189" s="17" t="s">
        <v>19</v>
      </c>
      <c r="D189" s="110">
        <f>SUM(E189:H189)</f>
        <v>2207084.784</v>
      </c>
      <c r="E189" s="110">
        <f>SUM(E190:E201)</f>
        <v>0</v>
      </c>
      <c r="F189" s="110">
        <f t="shared" ref="F189:H189" si="50">SUM(F190:F201)</f>
        <v>2207084.784</v>
      </c>
      <c r="G189" s="110">
        <f t="shared" si="50"/>
        <v>0</v>
      </c>
      <c r="H189" s="110">
        <f t="shared" si="50"/>
        <v>0</v>
      </c>
      <c r="I189" s="100"/>
      <c r="J189" s="100"/>
    </row>
    <row r="190" spans="1:10" s="124" customFormat="1" x14ac:dyDescent="0.45">
      <c r="A190" s="123"/>
      <c r="B190" s="123"/>
      <c r="C190" s="20" t="s">
        <v>71</v>
      </c>
      <c r="D190" s="114">
        <f>+E190+F190+G190+H190</f>
        <v>285295.40000000002</v>
      </c>
      <c r="E190" s="114"/>
      <c r="F190" s="114">
        <f>+'Հավելված N 4'!I161+'Հավելված N 4'!I269</f>
        <v>285295.40000000002</v>
      </c>
      <c r="G190" s="114"/>
      <c r="H190" s="114"/>
      <c r="I190" s="104"/>
      <c r="J190" s="104"/>
    </row>
    <row r="191" spans="1:10" s="124" customFormat="1" x14ac:dyDescent="0.45">
      <c r="A191" s="123"/>
      <c r="B191" s="123"/>
      <c r="C191" s="20" t="s">
        <v>72</v>
      </c>
      <c r="D191" s="114">
        <f>+E191+F191+G191+H191</f>
        <v>275422.8</v>
      </c>
      <c r="E191" s="114"/>
      <c r="F191" s="114">
        <f>+'Հավելված N 4'!I162+'Հավելված N 4'!I270</f>
        <v>275422.8</v>
      </c>
      <c r="G191" s="114"/>
      <c r="H191" s="114"/>
      <c r="I191" s="104"/>
      <c r="J191" s="104"/>
    </row>
    <row r="192" spans="1:10" s="124" customFormat="1" x14ac:dyDescent="0.45">
      <c r="A192" s="123"/>
      <c r="B192" s="123"/>
      <c r="C192" s="20" t="s">
        <v>73</v>
      </c>
      <c r="D192" s="114">
        <f>+E192+F192+G192+H192</f>
        <v>197340</v>
      </c>
      <c r="E192" s="114"/>
      <c r="F192" s="114">
        <f>+'Հավելված N 4'!I163+'Հավելված N 4'!I271</f>
        <v>197340</v>
      </c>
      <c r="G192" s="114"/>
      <c r="H192" s="114"/>
      <c r="I192" s="104"/>
      <c r="J192" s="104"/>
    </row>
    <row r="193" spans="1:11" s="124" customFormat="1" x14ac:dyDescent="0.45">
      <c r="A193" s="123"/>
      <c r="B193" s="123"/>
      <c r="C193" s="20" t="s">
        <v>74</v>
      </c>
      <c r="D193" s="114">
        <f>+E193+F193+G193+H193</f>
        <v>245840</v>
      </c>
      <c r="E193" s="114"/>
      <c r="F193" s="114">
        <f>+'Հավելված N 4'!I164+'Հավելված N 4'!I272</f>
        <v>245840</v>
      </c>
      <c r="G193" s="114"/>
      <c r="H193" s="114"/>
      <c r="I193" s="104"/>
      <c r="J193" s="104"/>
    </row>
    <row r="194" spans="1:11" s="124" customFormat="1" x14ac:dyDescent="0.45">
      <c r="A194" s="123"/>
      <c r="B194" s="123"/>
      <c r="C194" s="20" t="s">
        <v>75</v>
      </c>
      <c r="D194" s="114">
        <f>+E194+F194+G194+H194</f>
        <v>138823.20000000001</v>
      </c>
      <c r="E194" s="114"/>
      <c r="F194" s="114">
        <f>+'Հավելված N 4'!I165+'Հավելված N 4'!I273</f>
        <v>138823.20000000001</v>
      </c>
      <c r="G194" s="114"/>
      <c r="H194" s="114"/>
      <c r="I194" s="104"/>
      <c r="J194" s="104"/>
    </row>
    <row r="195" spans="1:11" s="124" customFormat="1" x14ac:dyDescent="0.45">
      <c r="A195" s="125"/>
      <c r="B195" s="125"/>
      <c r="C195" s="20" t="s">
        <v>127</v>
      </c>
      <c r="D195" s="114">
        <f t="shared" ref="D195:D201" si="51">+E195+F195+G195+H195</f>
        <v>164580.1</v>
      </c>
      <c r="E195" s="114"/>
      <c r="F195" s="114">
        <f>+'Հավելված N 4'!I166+'Հավելված N 4'!I274</f>
        <v>164580.1</v>
      </c>
      <c r="G195" s="114"/>
      <c r="H195" s="114"/>
      <c r="I195" s="104"/>
      <c r="J195" s="104"/>
    </row>
    <row r="196" spans="1:11" s="124" customFormat="1" x14ac:dyDescent="0.45">
      <c r="A196" s="125"/>
      <c r="B196" s="125"/>
      <c r="C196" s="20" t="s">
        <v>221</v>
      </c>
      <c r="D196" s="114">
        <f t="shared" si="51"/>
        <v>239429.67</v>
      </c>
      <c r="E196" s="114"/>
      <c r="F196" s="114">
        <f>+'Հավելված N 4'!I167+'Հավելված N 4'!I275</f>
        <v>239429.67</v>
      </c>
      <c r="G196" s="114"/>
      <c r="H196" s="114"/>
      <c r="I196" s="104"/>
      <c r="J196" s="104"/>
    </row>
    <row r="197" spans="1:11" s="124" customFormat="1" x14ac:dyDescent="0.45">
      <c r="A197" s="125"/>
      <c r="B197" s="125"/>
      <c r="C197" s="20" t="s">
        <v>222</v>
      </c>
      <c r="D197" s="114">
        <f t="shared" si="51"/>
        <v>383420.94900000002</v>
      </c>
      <c r="E197" s="114"/>
      <c r="F197" s="114">
        <f>+'Հավելված N 4'!I168+'Հավելված N 4'!I276</f>
        <v>383420.94900000002</v>
      </c>
      <c r="G197" s="114"/>
      <c r="H197" s="114"/>
      <c r="I197" s="104"/>
      <c r="J197" s="104"/>
    </row>
    <row r="198" spans="1:11" s="124" customFormat="1" x14ac:dyDescent="0.45">
      <c r="A198" s="125"/>
      <c r="B198" s="125"/>
      <c r="C198" s="20" t="s">
        <v>223</v>
      </c>
      <c r="D198" s="114">
        <f t="shared" si="51"/>
        <v>154332.66500000001</v>
      </c>
      <c r="E198" s="114"/>
      <c r="F198" s="114">
        <f>+'Հավելված N 4'!I169+'Հավելված N 4'!I277</f>
        <v>154332.66500000001</v>
      </c>
      <c r="G198" s="114"/>
      <c r="H198" s="114"/>
      <c r="I198" s="104"/>
      <c r="J198" s="104"/>
    </row>
    <row r="199" spans="1:11" s="51" customFormat="1" x14ac:dyDescent="0.45">
      <c r="A199" s="55"/>
      <c r="B199" s="55"/>
      <c r="C199" s="20" t="s">
        <v>578</v>
      </c>
      <c r="D199" s="49">
        <f t="shared" si="51"/>
        <v>40000</v>
      </c>
      <c r="E199" s="49"/>
      <c r="F199" s="49">
        <f>+'Հավելված N 4'!I368</f>
        <v>40000</v>
      </c>
      <c r="G199" s="49"/>
      <c r="H199" s="49"/>
      <c r="I199" s="50"/>
      <c r="J199" s="50"/>
      <c r="K199" s="139"/>
    </row>
    <row r="200" spans="1:11" s="51" customFormat="1" x14ac:dyDescent="0.45">
      <c r="A200" s="55"/>
      <c r="B200" s="55"/>
      <c r="C200" s="20" t="s">
        <v>579</v>
      </c>
      <c r="D200" s="49">
        <f t="shared" si="51"/>
        <v>40000</v>
      </c>
      <c r="E200" s="49"/>
      <c r="F200" s="49">
        <f>+'Հավելված N 4'!I369</f>
        <v>40000</v>
      </c>
      <c r="G200" s="49"/>
      <c r="H200" s="49"/>
      <c r="I200" s="50"/>
      <c r="J200" s="50"/>
      <c r="K200" s="139"/>
    </row>
    <row r="201" spans="1:11" s="51" customFormat="1" x14ac:dyDescent="0.45">
      <c r="A201" s="55"/>
      <c r="B201" s="55"/>
      <c r="C201" s="20" t="s">
        <v>580</v>
      </c>
      <c r="D201" s="49">
        <f t="shared" si="51"/>
        <v>42600</v>
      </c>
      <c r="E201" s="49"/>
      <c r="F201" s="49">
        <f>+'Հավելված N 4'!I370</f>
        <v>42600</v>
      </c>
      <c r="G201" s="49"/>
      <c r="H201" s="49"/>
      <c r="I201" s="50"/>
      <c r="J201" s="50"/>
      <c r="K201" s="139"/>
    </row>
    <row r="202" spans="1:11" s="101" customFormat="1" ht="17.5" x14ac:dyDescent="0.45">
      <c r="A202" s="99"/>
      <c r="B202" s="99"/>
      <c r="C202" s="17" t="s">
        <v>226</v>
      </c>
      <c r="D202" s="110">
        <f>SUM(E202:H202)</f>
        <v>957369.3</v>
      </c>
      <c r="E202" s="110">
        <f>SUM(E203:E210)</f>
        <v>0</v>
      </c>
      <c r="F202" s="110">
        <f t="shared" ref="F202:H202" si="52">SUM(F203:F210)</f>
        <v>957369.3</v>
      </c>
      <c r="G202" s="110">
        <f t="shared" si="52"/>
        <v>0</v>
      </c>
      <c r="H202" s="110">
        <f t="shared" si="52"/>
        <v>0</v>
      </c>
      <c r="I202" s="100"/>
      <c r="J202" s="100"/>
    </row>
    <row r="203" spans="1:11" s="124" customFormat="1" ht="34" x14ac:dyDescent="0.45">
      <c r="A203" s="123"/>
      <c r="B203" s="123"/>
      <c r="C203" s="20" t="s">
        <v>227</v>
      </c>
      <c r="D203" s="114">
        <f t="shared" ref="D203:D209" si="53">+E203+F203+G203+H203</f>
        <v>342191.6</v>
      </c>
      <c r="E203" s="114"/>
      <c r="F203" s="114">
        <f>+'Հավելված N 4'!I170+'Հավելված N 4'!I278</f>
        <v>342191.6</v>
      </c>
      <c r="G203" s="114"/>
      <c r="H203" s="114"/>
      <c r="I203" s="104"/>
      <c r="J203" s="104"/>
    </row>
    <row r="204" spans="1:11" s="124" customFormat="1" ht="34" x14ac:dyDescent="0.45">
      <c r="A204" s="123"/>
      <c r="B204" s="123"/>
      <c r="C204" s="20" t="s">
        <v>228</v>
      </c>
      <c r="D204" s="114">
        <f t="shared" si="53"/>
        <v>282551.5</v>
      </c>
      <c r="E204" s="114"/>
      <c r="F204" s="114">
        <f>+'Հավելված N 4'!I171+'Հավելված N 4'!I279</f>
        <v>282551.5</v>
      </c>
      <c r="G204" s="114"/>
      <c r="H204" s="114"/>
      <c r="I204" s="104"/>
      <c r="J204" s="104"/>
    </row>
    <row r="205" spans="1:11" s="124" customFormat="1" x14ac:dyDescent="0.45">
      <c r="A205" s="123"/>
      <c r="B205" s="123"/>
      <c r="C205" s="20" t="s">
        <v>488</v>
      </c>
      <c r="D205" s="114">
        <f t="shared" si="53"/>
        <v>70484.3</v>
      </c>
      <c r="E205" s="114"/>
      <c r="F205" s="114">
        <f>+'Հավելված N 4'!I172+'Հավելված N 4'!I280</f>
        <v>70484.3</v>
      </c>
      <c r="G205" s="114"/>
      <c r="H205" s="114"/>
      <c r="I205" s="104"/>
      <c r="J205" s="104"/>
    </row>
    <row r="206" spans="1:11" s="124" customFormat="1" x14ac:dyDescent="0.45">
      <c r="A206" s="123"/>
      <c r="B206" s="123"/>
      <c r="C206" s="20" t="s">
        <v>489</v>
      </c>
      <c r="D206" s="114">
        <f t="shared" si="53"/>
        <v>80548</v>
      </c>
      <c r="E206" s="114"/>
      <c r="F206" s="114">
        <f>+'Հավելված N 4'!I173+'Հավելված N 4'!I281</f>
        <v>80548</v>
      </c>
      <c r="G206" s="114"/>
      <c r="H206" s="114"/>
      <c r="I206" s="104"/>
      <c r="J206" s="104"/>
    </row>
    <row r="207" spans="1:11" s="124" customFormat="1" x14ac:dyDescent="0.45">
      <c r="A207" s="123"/>
      <c r="B207" s="123"/>
      <c r="C207" s="20" t="s">
        <v>490</v>
      </c>
      <c r="D207" s="114">
        <f t="shared" si="53"/>
        <v>40262.6</v>
      </c>
      <c r="E207" s="114"/>
      <c r="F207" s="114">
        <f>+'Հավելված N 4'!I174+'Հավելված N 4'!I282</f>
        <v>40262.6</v>
      </c>
      <c r="G207" s="114"/>
      <c r="H207" s="114"/>
      <c r="I207" s="104"/>
      <c r="J207" s="104"/>
    </row>
    <row r="208" spans="1:11" s="124" customFormat="1" ht="34" x14ac:dyDescent="0.45">
      <c r="A208" s="123"/>
      <c r="B208" s="123"/>
      <c r="C208" s="20" t="s">
        <v>491</v>
      </c>
      <c r="D208" s="114">
        <f t="shared" si="53"/>
        <v>40281.599999999999</v>
      </c>
      <c r="E208" s="114"/>
      <c r="F208" s="114">
        <f>+'Հավելված N 4'!I175+'Հավելված N 4'!I283</f>
        <v>40281.599999999999</v>
      </c>
      <c r="G208" s="114"/>
      <c r="H208" s="114"/>
      <c r="I208" s="104"/>
      <c r="J208" s="104"/>
    </row>
    <row r="209" spans="1:11" s="124" customFormat="1" ht="34" x14ac:dyDescent="0.45">
      <c r="A209" s="123"/>
      <c r="B209" s="123"/>
      <c r="C209" s="20" t="s">
        <v>492</v>
      </c>
      <c r="D209" s="114">
        <f t="shared" si="53"/>
        <v>50346.9</v>
      </c>
      <c r="E209" s="114"/>
      <c r="F209" s="114">
        <f>+'Հավելված N 4'!I176+'Հավելված N 4'!I284</f>
        <v>50346.9</v>
      </c>
      <c r="G209" s="114"/>
      <c r="H209" s="114"/>
      <c r="I209" s="104"/>
      <c r="J209" s="104"/>
    </row>
    <row r="210" spans="1:11" s="51" customFormat="1" x14ac:dyDescent="0.45">
      <c r="A210" s="55"/>
      <c r="B210" s="55"/>
      <c r="C210" s="20" t="s">
        <v>581</v>
      </c>
      <c r="D210" s="49">
        <f t="shared" ref="D210" si="54">+E210+F210+G210+H210</f>
        <v>50702.8</v>
      </c>
      <c r="E210" s="49"/>
      <c r="F210" s="49">
        <f>+'Հավելված N 4'!I371</f>
        <v>50702.8</v>
      </c>
      <c r="G210" s="49"/>
      <c r="H210" s="49"/>
      <c r="I210" s="50"/>
      <c r="J210" s="50"/>
      <c r="K210" s="139"/>
    </row>
    <row r="211" spans="1:11" s="101" customFormat="1" ht="17" customHeight="1" x14ac:dyDescent="0.45">
      <c r="A211" s="99"/>
      <c r="B211" s="99"/>
      <c r="C211" s="17" t="s">
        <v>14</v>
      </c>
      <c r="D211" s="110">
        <f>SUM(E211:H211)</f>
        <v>1197654.1485979999</v>
      </c>
      <c r="E211" s="110">
        <f>SUM(E212:E218)</f>
        <v>0</v>
      </c>
      <c r="F211" s="110">
        <f>SUM(F212:F218)</f>
        <v>1197654.1485979999</v>
      </c>
      <c r="G211" s="110">
        <f t="shared" ref="G211:H211" si="55">SUM(G212:G218)</f>
        <v>0</v>
      </c>
      <c r="H211" s="110">
        <f t="shared" si="55"/>
        <v>0</v>
      </c>
      <c r="I211" s="100"/>
      <c r="J211" s="100"/>
    </row>
    <row r="212" spans="1:11" s="124" customFormat="1" ht="34" x14ac:dyDescent="0.45">
      <c r="A212" s="99"/>
      <c r="B212" s="99"/>
      <c r="C212" s="98" t="s">
        <v>231</v>
      </c>
      <c r="D212" s="114">
        <f t="shared" ref="D212:D213" si="56">+E212+F212+G212+H212</f>
        <v>64197.992599999998</v>
      </c>
      <c r="E212" s="114"/>
      <c r="F212" s="114">
        <f>+'Հավելված N 4'!I177+'Հավելված N 4'!I285</f>
        <v>64197.992599999998</v>
      </c>
      <c r="G212" s="114"/>
      <c r="H212" s="114"/>
      <c r="I212" s="104"/>
      <c r="J212" s="104"/>
    </row>
    <row r="213" spans="1:11" s="124" customFormat="1" ht="34" x14ac:dyDescent="0.45">
      <c r="A213" s="99"/>
      <c r="B213" s="99"/>
      <c r="C213" s="98" t="s">
        <v>232</v>
      </c>
      <c r="D213" s="114">
        <f t="shared" si="56"/>
        <v>29532.973997999998</v>
      </c>
      <c r="E213" s="114"/>
      <c r="F213" s="114">
        <f>+'Հավելված N 4'!I178+'Հավելված N 4'!I286</f>
        <v>29532.973997999998</v>
      </c>
      <c r="G213" s="114"/>
      <c r="H213" s="114"/>
      <c r="I213" s="104"/>
      <c r="J213" s="104"/>
    </row>
    <row r="214" spans="1:11" s="124" customFormat="1" x14ac:dyDescent="0.45">
      <c r="A214" s="123"/>
      <c r="B214" s="123"/>
      <c r="C214" s="20" t="s">
        <v>76</v>
      </c>
      <c r="D214" s="114">
        <f>+E214+F214+G214+H214</f>
        <v>205044</v>
      </c>
      <c r="E214" s="114"/>
      <c r="F214" s="114">
        <f>+'Հավելված N 4'!I179+'Հավելված N 4'!I287</f>
        <v>205044</v>
      </c>
      <c r="G214" s="114"/>
      <c r="H214" s="114"/>
      <c r="I214" s="104"/>
      <c r="J214" s="104"/>
    </row>
    <row r="215" spans="1:11" s="124" customFormat="1" x14ac:dyDescent="0.45">
      <c r="A215" s="123"/>
      <c r="B215" s="123"/>
      <c r="C215" s="20" t="s">
        <v>77</v>
      </c>
      <c r="D215" s="114">
        <f t="shared" ref="D215:D218" si="57">+E215+F215+G215+H215</f>
        <v>332575.56599999999</v>
      </c>
      <c r="E215" s="114"/>
      <c r="F215" s="114">
        <f>+'Հավելված N 4'!I180+'Հավելված N 4'!I288</f>
        <v>332575.56599999999</v>
      </c>
      <c r="G215" s="114"/>
      <c r="H215" s="114"/>
      <c r="I215" s="104"/>
      <c r="J215" s="104"/>
    </row>
    <row r="216" spans="1:11" s="124" customFormat="1" x14ac:dyDescent="0.45">
      <c r="A216" s="123"/>
      <c r="B216" s="123"/>
      <c r="C216" s="20" t="s">
        <v>78</v>
      </c>
      <c r="D216" s="114">
        <f t="shared" si="57"/>
        <v>186448.016</v>
      </c>
      <c r="E216" s="114"/>
      <c r="F216" s="114">
        <f>+'Հավելված N 4'!I181+'Հավելված N 4'!I289</f>
        <v>186448.016</v>
      </c>
      <c r="G216" s="114"/>
      <c r="H216" s="114"/>
      <c r="I216" s="104"/>
      <c r="J216" s="104"/>
    </row>
    <row r="217" spans="1:11" s="124" customFormat="1" x14ac:dyDescent="0.45">
      <c r="A217" s="125"/>
      <c r="B217" s="125"/>
      <c r="C217" s="98" t="s">
        <v>233</v>
      </c>
      <c r="D217" s="114">
        <f t="shared" si="57"/>
        <v>215461.2</v>
      </c>
      <c r="E217" s="114"/>
      <c r="F217" s="114">
        <f>+'Հավելված N 4'!I182+'Հավելված N 4'!I290</f>
        <v>215461.2</v>
      </c>
      <c r="G217" s="114"/>
      <c r="H217" s="114"/>
      <c r="I217" s="104"/>
      <c r="J217" s="104"/>
    </row>
    <row r="218" spans="1:11" s="124" customFormat="1" ht="34" x14ac:dyDescent="0.45">
      <c r="A218" s="125"/>
      <c r="B218" s="125"/>
      <c r="C218" s="98" t="s">
        <v>234</v>
      </c>
      <c r="D218" s="114">
        <f t="shared" si="57"/>
        <v>164394.4</v>
      </c>
      <c r="E218" s="114"/>
      <c r="F218" s="114">
        <f>+'Հավելված N 4'!I183+'Հավելված N 4'!I291</f>
        <v>164394.4</v>
      </c>
      <c r="G218" s="114"/>
      <c r="H218" s="114"/>
      <c r="I218" s="104"/>
      <c r="J218" s="104"/>
    </row>
    <row r="219" spans="1:11" s="118" customFormat="1" ht="17.5" x14ac:dyDescent="0.45">
      <c r="A219" s="52">
        <v>1236</v>
      </c>
      <c r="B219" s="52">
        <v>32005</v>
      </c>
      <c r="C219" s="19" t="s">
        <v>254</v>
      </c>
      <c r="D219" s="131">
        <f>SUM(E219:H219)</f>
        <v>-8.149072527885437E-10</v>
      </c>
      <c r="E219" s="132">
        <f>+E221+E222+E225+E228+E232+E237+E243+E247+E254</f>
        <v>-8.149072527885437E-10</v>
      </c>
      <c r="F219" s="132">
        <f t="shared" ref="F219:H219" si="58">+F221+F222+F225+F228+F232+F237+F243+F247+F254</f>
        <v>0</v>
      </c>
      <c r="G219" s="132">
        <f t="shared" si="58"/>
        <v>0</v>
      </c>
      <c r="H219" s="132">
        <f t="shared" si="58"/>
        <v>0</v>
      </c>
      <c r="I219" s="117"/>
      <c r="J219" s="117"/>
    </row>
    <row r="220" spans="1:11" s="121" customFormat="1" ht="17.5" x14ac:dyDescent="0.45">
      <c r="A220" s="52"/>
      <c r="B220" s="52"/>
      <c r="C220" s="119" t="s">
        <v>34</v>
      </c>
      <c r="D220" s="133"/>
      <c r="E220" s="134"/>
      <c r="F220" s="134"/>
      <c r="G220" s="134"/>
      <c r="H220" s="134"/>
      <c r="I220" s="117"/>
      <c r="J220" s="117"/>
    </row>
    <row r="221" spans="1:11" s="101" customFormat="1" ht="17.5" x14ac:dyDescent="0.45">
      <c r="A221" s="99"/>
      <c r="B221" s="99"/>
      <c r="C221" s="56" t="s">
        <v>254</v>
      </c>
      <c r="D221" s="135">
        <f>SUM(E221:H221)</f>
        <v>-4666500</v>
      </c>
      <c r="E221" s="135">
        <f>-700000-2466500-1500000</f>
        <v>-4666500</v>
      </c>
      <c r="F221" s="135">
        <v>0</v>
      </c>
      <c r="G221" s="135">
        <v>0</v>
      </c>
      <c r="H221" s="135">
        <v>0</v>
      </c>
      <c r="I221" s="100"/>
      <c r="J221" s="100"/>
    </row>
    <row r="222" spans="1:11" s="101" customFormat="1" ht="17" customHeight="1" x14ac:dyDescent="0.45">
      <c r="A222" s="99"/>
      <c r="B222" s="99"/>
      <c r="C222" s="17" t="s">
        <v>18</v>
      </c>
      <c r="D222" s="110">
        <f>SUM(E222:H222)</f>
        <v>167041.60000000001</v>
      </c>
      <c r="E222" s="110">
        <f>SUM(E223:E224)</f>
        <v>167041.60000000001</v>
      </c>
      <c r="F222" s="110">
        <f t="shared" ref="F222:H222" si="59">SUM(F223:F224)</f>
        <v>0</v>
      </c>
      <c r="G222" s="110">
        <f t="shared" si="59"/>
        <v>0</v>
      </c>
      <c r="H222" s="110">
        <f t="shared" si="59"/>
        <v>0</v>
      </c>
      <c r="I222" s="100"/>
      <c r="J222" s="100"/>
    </row>
    <row r="223" spans="1:11" s="124" customFormat="1" x14ac:dyDescent="0.45">
      <c r="A223" s="123"/>
      <c r="B223" s="123"/>
      <c r="C223" s="98" t="s">
        <v>255</v>
      </c>
      <c r="D223" s="114">
        <f t="shared" ref="D223:D224" si="60">+E223+F223+G223+H223</f>
        <v>78661</v>
      </c>
      <c r="E223" s="114">
        <f>'Հավելված N 4'!I294+'Հավելված N 4'!I319</f>
        <v>78661</v>
      </c>
      <c r="F223" s="114"/>
      <c r="G223" s="114"/>
      <c r="H223" s="114"/>
      <c r="I223" s="104"/>
      <c r="J223" s="104"/>
    </row>
    <row r="224" spans="1:11" s="124" customFormat="1" x14ac:dyDescent="0.45">
      <c r="A224" s="123"/>
      <c r="B224" s="123"/>
      <c r="C224" s="98" t="s">
        <v>256</v>
      </c>
      <c r="D224" s="114">
        <f t="shared" si="60"/>
        <v>88380.6</v>
      </c>
      <c r="E224" s="114">
        <f>'Հավելված N 4'!I295+'Հավելված N 4'!I320</f>
        <v>88380.6</v>
      </c>
      <c r="F224" s="114"/>
      <c r="G224" s="114"/>
      <c r="H224" s="114"/>
      <c r="I224" s="104"/>
      <c r="J224" s="104"/>
    </row>
    <row r="225" spans="1:10" s="101" customFormat="1" ht="17" customHeight="1" x14ac:dyDescent="0.45">
      <c r="A225" s="99"/>
      <c r="B225" s="99"/>
      <c r="C225" s="17" t="s">
        <v>12</v>
      </c>
      <c r="D225" s="110">
        <f>SUM(E225:H225)</f>
        <v>657349.80000000005</v>
      </c>
      <c r="E225" s="110">
        <f>SUM(E226:E227)</f>
        <v>657349.80000000005</v>
      </c>
      <c r="F225" s="110">
        <f t="shared" ref="F225:H225" si="61">SUM(F226:F227)</f>
        <v>0</v>
      </c>
      <c r="G225" s="110">
        <f t="shared" si="61"/>
        <v>0</v>
      </c>
      <c r="H225" s="110">
        <f t="shared" si="61"/>
        <v>0</v>
      </c>
      <c r="I225" s="100"/>
      <c r="J225" s="100"/>
    </row>
    <row r="226" spans="1:10" s="124" customFormat="1" x14ac:dyDescent="0.45">
      <c r="A226" s="123"/>
      <c r="B226" s="123"/>
      <c r="C226" s="98" t="s">
        <v>257</v>
      </c>
      <c r="D226" s="114">
        <f t="shared" ref="D226:D227" si="62">+E226+F226+G226+H226</f>
        <v>557349.80000000005</v>
      </c>
      <c r="E226" s="114">
        <f>'Հավելված N 4'!I296+'Հավելված N 4'!I321</f>
        <v>557349.80000000005</v>
      </c>
      <c r="F226" s="114"/>
      <c r="G226" s="114"/>
      <c r="H226" s="114"/>
      <c r="I226" s="104"/>
      <c r="J226" s="104"/>
    </row>
    <row r="227" spans="1:10" s="124" customFormat="1" x14ac:dyDescent="0.45">
      <c r="A227" s="123"/>
      <c r="B227" s="123"/>
      <c r="C227" s="98" t="s">
        <v>442</v>
      </c>
      <c r="D227" s="114">
        <f t="shared" si="62"/>
        <v>100000</v>
      </c>
      <c r="E227" s="114">
        <f>+'Հավելված N 4'!I297</f>
        <v>100000</v>
      </c>
      <c r="F227" s="114"/>
      <c r="G227" s="114"/>
      <c r="H227" s="114"/>
      <c r="I227" s="104"/>
      <c r="J227" s="104"/>
    </row>
    <row r="228" spans="1:10" s="101" customFormat="1" ht="17" customHeight="1" x14ac:dyDescent="0.45">
      <c r="A228" s="99"/>
      <c r="B228" s="99"/>
      <c r="C228" s="17" t="s">
        <v>22</v>
      </c>
      <c r="D228" s="110">
        <f>SUM(E228:H228)</f>
        <v>986102.8</v>
      </c>
      <c r="E228" s="110">
        <f>SUM(E229:E231)</f>
        <v>986102.8</v>
      </c>
      <c r="F228" s="110">
        <f t="shared" ref="F228:H228" si="63">SUM(F229:F231)</f>
        <v>0</v>
      </c>
      <c r="G228" s="110">
        <f t="shared" si="63"/>
        <v>0</v>
      </c>
      <c r="H228" s="110">
        <f t="shared" si="63"/>
        <v>0</v>
      </c>
      <c r="I228" s="100"/>
      <c r="J228" s="100"/>
    </row>
    <row r="229" spans="1:10" s="124" customFormat="1" x14ac:dyDescent="0.45">
      <c r="A229" s="123"/>
      <c r="B229" s="123"/>
      <c r="C229" s="98" t="s">
        <v>258</v>
      </c>
      <c r="D229" s="114">
        <f t="shared" ref="D229:D231" si="64">+E229+F229+G229+H229</f>
        <v>464791.4</v>
      </c>
      <c r="E229" s="114">
        <f>'Հավելված N 4'!I298+'Հավելված N 4'!I322</f>
        <v>464791.4</v>
      </c>
      <c r="F229" s="114"/>
      <c r="G229" s="114"/>
      <c r="H229" s="114"/>
      <c r="I229" s="104"/>
      <c r="J229" s="104"/>
    </row>
    <row r="230" spans="1:10" s="124" customFormat="1" x14ac:dyDescent="0.45">
      <c r="A230" s="123"/>
      <c r="B230" s="123"/>
      <c r="C230" s="98" t="s">
        <v>259</v>
      </c>
      <c r="D230" s="114">
        <f t="shared" si="64"/>
        <v>402401.4</v>
      </c>
      <c r="E230" s="114">
        <f>'Հավելված N 4'!I299+'Հավելված N 4'!I323</f>
        <v>402401.4</v>
      </c>
      <c r="F230" s="114"/>
      <c r="G230" s="114"/>
      <c r="H230" s="114"/>
      <c r="I230" s="104"/>
      <c r="J230" s="104"/>
    </row>
    <row r="231" spans="1:10" s="124" customFormat="1" x14ac:dyDescent="0.45">
      <c r="A231" s="125"/>
      <c r="B231" s="125"/>
      <c r="C231" s="98" t="s">
        <v>443</v>
      </c>
      <c r="D231" s="114">
        <f t="shared" si="64"/>
        <v>118910</v>
      </c>
      <c r="E231" s="114">
        <f>+'Հավելված N 4'!I300</f>
        <v>118910</v>
      </c>
      <c r="F231" s="114"/>
      <c r="G231" s="114"/>
      <c r="H231" s="114"/>
      <c r="I231" s="104"/>
      <c r="J231" s="104"/>
    </row>
    <row r="232" spans="1:10" s="101" customFormat="1" ht="17" customHeight="1" x14ac:dyDescent="0.45">
      <c r="A232" s="99"/>
      <c r="B232" s="99"/>
      <c r="C232" s="17" t="s">
        <v>16</v>
      </c>
      <c r="D232" s="110">
        <f>SUM(E232:H232)</f>
        <v>212999.90000000002</v>
      </c>
      <c r="E232" s="110">
        <f>SUM(E233:E236)</f>
        <v>212999.90000000002</v>
      </c>
      <c r="F232" s="110">
        <f t="shared" ref="F232:H232" si="65">SUM(F233:F236)</f>
        <v>0</v>
      </c>
      <c r="G232" s="110">
        <f t="shared" si="65"/>
        <v>0</v>
      </c>
      <c r="H232" s="110">
        <f t="shared" si="65"/>
        <v>0</v>
      </c>
      <c r="I232" s="100"/>
      <c r="J232" s="100"/>
    </row>
    <row r="233" spans="1:10" s="124" customFormat="1" x14ac:dyDescent="0.45">
      <c r="A233" s="123"/>
      <c r="B233" s="123"/>
      <c r="C233" s="98" t="s">
        <v>260</v>
      </c>
      <c r="D233" s="114">
        <f t="shared" ref="D233:D236" si="66">+E233+F233+G233+H233</f>
        <v>11749.7</v>
      </c>
      <c r="E233" s="114">
        <f>'Հավելված N 4'!I301+'Հավելված N 4'!I324</f>
        <v>11749.7</v>
      </c>
      <c r="F233" s="114"/>
      <c r="G233" s="114"/>
      <c r="H233" s="114"/>
      <c r="I233" s="104"/>
      <c r="J233" s="104"/>
    </row>
    <row r="234" spans="1:10" s="124" customFormat="1" x14ac:dyDescent="0.45">
      <c r="A234" s="123"/>
      <c r="B234" s="123"/>
      <c r="C234" s="98" t="s">
        <v>261</v>
      </c>
      <c r="D234" s="114">
        <f t="shared" si="66"/>
        <v>27080.9</v>
      </c>
      <c r="E234" s="114">
        <f>'Հավելված N 4'!I302+'Հավելված N 4'!I325</f>
        <v>27080.9</v>
      </c>
      <c r="F234" s="114"/>
      <c r="G234" s="114"/>
      <c r="H234" s="114"/>
      <c r="I234" s="104"/>
      <c r="J234" s="104"/>
    </row>
    <row r="235" spans="1:10" s="124" customFormat="1" x14ac:dyDescent="0.45">
      <c r="A235" s="123"/>
      <c r="B235" s="123"/>
      <c r="C235" s="98" t="s">
        <v>262</v>
      </c>
      <c r="D235" s="114">
        <f t="shared" si="66"/>
        <v>4009.3</v>
      </c>
      <c r="E235" s="114">
        <f>+'Հավելված N 4'!I326</f>
        <v>4009.3</v>
      </c>
      <c r="F235" s="114"/>
      <c r="G235" s="114"/>
      <c r="H235" s="114"/>
      <c r="I235" s="104"/>
      <c r="J235" s="104"/>
    </row>
    <row r="236" spans="1:10" s="124" customFormat="1" x14ac:dyDescent="0.45">
      <c r="A236" s="125"/>
      <c r="B236" s="125"/>
      <c r="C236" s="98" t="s">
        <v>515</v>
      </c>
      <c r="D236" s="114">
        <f t="shared" si="66"/>
        <v>170160</v>
      </c>
      <c r="E236" s="114">
        <f>+'Հավելված N 4'!I303</f>
        <v>170160</v>
      </c>
      <c r="F236" s="114"/>
      <c r="G236" s="114"/>
      <c r="H236" s="114"/>
      <c r="I236" s="104"/>
      <c r="J236" s="104"/>
    </row>
    <row r="237" spans="1:10" s="101" customFormat="1" ht="17" customHeight="1" x14ac:dyDescent="0.45">
      <c r="A237" s="99"/>
      <c r="B237" s="99"/>
      <c r="C237" s="17" t="s">
        <v>13</v>
      </c>
      <c r="D237" s="110">
        <f>SUM(E237:H237)</f>
        <v>912125.3</v>
      </c>
      <c r="E237" s="110">
        <f>SUM(E238:E242)</f>
        <v>912125.3</v>
      </c>
      <c r="F237" s="110">
        <f t="shared" ref="F237:H237" si="67">SUM(F238:F242)</f>
        <v>0</v>
      </c>
      <c r="G237" s="110">
        <f t="shared" si="67"/>
        <v>0</v>
      </c>
      <c r="H237" s="110">
        <f t="shared" si="67"/>
        <v>0</v>
      </c>
      <c r="I237" s="100"/>
      <c r="J237" s="100"/>
    </row>
    <row r="238" spans="1:10" s="124" customFormat="1" x14ac:dyDescent="0.45">
      <c r="A238" s="123"/>
      <c r="B238" s="123"/>
      <c r="C238" s="20" t="s">
        <v>263</v>
      </c>
      <c r="D238" s="114">
        <f t="shared" ref="D238:D242" si="68">+E238+F238+G238+H238</f>
        <v>370609.3</v>
      </c>
      <c r="E238" s="114">
        <f>'Հավելված N 4'!I304+'Հավելված N 4'!I327</f>
        <v>370609.3</v>
      </c>
      <c r="F238" s="114"/>
      <c r="G238" s="114"/>
      <c r="H238" s="114"/>
      <c r="I238" s="104"/>
      <c r="J238" s="104"/>
    </row>
    <row r="239" spans="1:10" s="124" customFormat="1" x14ac:dyDescent="0.45">
      <c r="A239" s="123"/>
      <c r="B239" s="123"/>
      <c r="C239" s="20" t="s">
        <v>444</v>
      </c>
      <c r="D239" s="114">
        <f t="shared" si="68"/>
        <v>50000</v>
      </c>
      <c r="E239" s="114">
        <f>+'Հավելված N 4'!I305</f>
        <v>50000</v>
      </c>
      <c r="F239" s="114"/>
      <c r="G239" s="114"/>
      <c r="H239" s="114"/>
      <c r="I239" s="104"/>
      <c r="J239" s="104"/>
    </row>
    <row r="240" spans="1:10" s="124" customFormat="1" x14ac:dyDescent="0.45">
      <c r="A240" s="123"/>
      <c r="B240" s="123"/>
      <c r="C240" s="20" t="s">
        <v>445</v>
      </c>
      <c r="D240" s="114">
        <f t="shared" si="68"/>
        <v>200000</v>
      </c>
      <c r="E240" s="114">
        <f>+'Հավելված N 4'!I306</f>
        <v>200000</v>
      </c>
      <c r="F240" s="114"/>
      <c r="G240" s="114"/>
      <c r="H240" s="114"/>
      <c r="I240" s="104"/>
      <c r="J240" s="104"/>
    </row>
    <row r="241" spans="1:10" s="124" customFormat="1" x14ac:dyDescent="0.45">
      <c r="A241" s="123"/>
      <c r="B241" s="123"/>
      <c r="C241" s="20" t="s">
        <v>264</v>
      </c>
      <c r="D241" s="114">
        <f t="shared" si="68"/>
        <v>250538.7</v>
      </c>
      <c r="E241" s="114">
        <f>'Հավելված N 4'!I307+'Հավելված N 4'!I328</f>
        <v>250538.7</v>
      </c>
      <c r="F241" s="114"/>
      <c r="G241" s="114"/>
      <c r="H241" s="114"/>
      <c r="I241" s="104"/>
      <c r="J241" s="104"/>
    </row>
    <row r="242" spans="1:10" s="124" customFormat="1" x14ac:dyDescent="0.45">
      <c r="A242" s="123"/>
      <c r="B242" s="123"/>
      <c r="C242" s="20" t="s">
        <v>265</v>
      </c>
      <c r="D242" s="114">
        <f t="shared" si="68"/>
        <v>40977.300000000003</v>
      </c>
      <c r="E242" s="114">
        <f>'Հավելված N 4'!I308+'Հավելված N 4'!I329</f>
        <v>40977.300000000003</v>
      </c>
      <c r="F242" s="114"/>
      <c r="G242" s="114"/>
      <c r="H242" s="114"/>
      <c r="I242" s="104"/>
      <c r="J242" s="104"/>
    </row>
    <row r="243" spans="1:10" s="101" customFormat="1" ht="17" customHeight="1" x14ac:dyDescent="0.45">
      <c r="A243" s="99"/>
      <c r="B243" s="99"/>
      <c r="C243" s="17" t="s">
        <v>17</v>
      </c>
      <c r="D243" s="110">
        <f>SUM(E243:H243)</f>
        <v>1058261</v>
      </c>
      <c r="E243" s="110">
        <f>SUM(E244:E246)</f>
        <v>1058261</v>
      </c>
      <c r="F243" s="110">
        <f t="shared" ref="F243:H243" si="69">SUM(F244:F246)</f>
        <v>0</v>
      </c>
      <c r="G243" s="110">
        <f t="shared" si="69"/>
        <v>0</v>
      </c>
      <c r="H243" s="110">
        <f t="shared" si="69"/>
        <v>0</v>
      </c>
      <c r="I243" s="100"/>
      <c r="J243" s="100"/>
    </row>
    <row r="244" spans="1:10" s="124" customFormat="1" x14ac:dyDescent="0.45">
      <c r="A244" s="123"/>
      <c r="B244" s="123"/>
      <c r="C244" s="98" t="s">
        <v>266</v>
      </c>
      <c r="D244" s="114">
        <f t="shared" ref="D244:D246" si="70">+E244+F244+G244+H244</f>
        <v>695616.6</v>
      </c>
      <c r="E244" s="114">
        <f>+'Հավելված N 4'!I309+'Հավելված N 4'!I330</f>
        <v>695616.6</v>
      </c>
      <c r="F244" s="114"/>
      <c r="G244" s="114"/>
      <c r="H244" s="114"/>
      <c r="I244" s="104"/>
      <c r="J244" s="104"/>
    </row>
    <row r="245" spans="1:10" s="124" customFormat="1" x14ac:dyDescent="0.45">
      <c r="A245" s="123"/>
      <c r="B245" s="123"/>
      <c r="C245" s="98" t="s">
        <v>267</v>
      </c>
      <c r="D245" s="114">
        <f t="shared" si="70"/>
        <v>312644.39999999997</v>
      </c>
      <c r="E245" s="114">
        <f>'Հավելված N 4'!I310+'Հավելված N 4'!I331</f>
        <v>312644.39999999997</v>
      </c>
      <c r="F245" s="114"/>
      <c r="G245" s="114"/>
      <c r="H245" s="114"/>
      <c r="I245" s="104"/>
      <c r="J245" s="104"/>
    </row>
    <row r="246" spans="1:10" s="124" customFormat="1" x14ac:dyDescent="0.45">
      <c r="A246" s="125"/>
      <c r="B246" s="125"/>
      <c r="C246" s="98" t="s">
        <v>448</v>
      </c>
      <c r="D246" s="114">
        <f t="shared" si="70"/>
        <v>50000</v>
      </c>
      <c r="E246" s="114">
        <f>+'Հավելված N 4'!I311</f>
        <v>50000</v>
      </c>
      <c r="F246" s="114"/>
      <c r="G246" s="114"/>
      <c r="H246" s="114"/>
      <c r="I246" s="104"/>
      <c r="J246" s="104"/>
    </row>
    <row r="247" spans="1:10" s="101" customFormat="1" ht="17" customHeight="1" x14ac:dyDescent="0.45">
      <c r="A247" s="99"/>
      <c r="B247" s="99"/>
      <c r="C247" s="17" t="s">
        <v>19</v>
      </c>
      <c r="D247" s="110">
        <f>SUM(E247:H247)</f>
        <v>312925.8</v>
      </c>
      <c r="E247" s="110">
        <f>SUM(E248:E253)</f>
        <v>312925.8</v>
      </c>
      <c r="F247" s="110">
        <f t="shared" ref="F247:H247" si="71">SUM(F248:F253)</f>
        <v>0</v>
      </c>
      <c r="G247" s="110">
        <f t="shared" si="71"/>
        <v>0</v>
      </c>
      <c r="H247" s="110">
        <f t="shared" si="71"/>
        <v>0</v>
      </c>
      <c r="I247" s="100"/>
      <c r="J247" s="100"/>
    </row>
    <row r="248" spans="1:10" s="124" customFormat="1" x14ac:dyDescent="0.45">
      <c r="A248" s="123"/>
      <c r="B248" s="123"/>
      <c r="C248" s="20" t="s">
        <v>268</v>
      </c>
      <c r="D248" s="114">
        <f t="shared" ref="D248:D253" si="72">+E248+F248+G248+H248</f>
        <v>1377</v>
      </c>
      <c r="E248" s="114">
        <f>+'Հավելված N 4'!I332</f>
        <v>1377</v>
      </c>
      <c r="F248" s="114"/>
      <c r="G248" s="114"/>
      <c r="H248" s="114"/>
      <c r="I248" s="104"/>
      <c r="J248" s="104"/>
    </row>
    <row r="249" spans="1:10" s="124" customFormat="1" x14ac:dyDescent="0.45">
      <c r="A249" s="123"/>
      <c r="B249" s="123"/>
      <c r="C249" s="20" t="s">
        <v>449</v>
      </c>
      <c r="D249" s="114">
        <f t="shared" si="72"/>
        <v>35000</v>
      </c>
      <c r="E249" s="114">
        <f>+'Հավելված N 4'!I312</f>
        <v>35000</v>
      </c>
      <c r="F249" s="114"/>
      <c r="G249" s="114"/>
      <c r="H249" s="114"/>
      <c r="I249" s="104"/>
      <c r="J249" s="104"/>
    </row>
    <row r="250" spans="1:10" s="124" customFormat="1" ht="34" x14ac:dyDescent="0.45">
      <c r="A250" s="123"/>
      <c r="B250" s="123"/>
      <c r="C250" s="20" t="s">
        <v>450</v>
      </c>
      <c r="D250" s="114">
        <f t="shared" si="72"/>
        <v>36500</v>
      </c>
      <c r="E250" s="114">
        <f>+'Հավելված N 4'!I313</f>
        <v>36500</v>
      </c>
      <c r="F250" s="114"/>
      <c r="G250" s="114"/>
      <c r="H250" s="114"/>
      <c r="I250" s="104"/>
      <c r="J250" s="104"/>
    </row>
    <row r="251" spans="1:10" s="124" customFormat="1" x14ac:dyDescent="0.45">
      <c r="A251" s="123"/>
      <c r="B251" s="123"/>
      <c r="C251" s="20" t="s">
        <v>451</v>
      </c>
      <c r="D251" s="114">
        <f t="shared" si="72"/>
        <v>150000</v>
      </c>
      <c r="E251" s="114">
        <f>+'Հավելված N 4'!I314</f>
        <v>150000</v>
      </c>
      <c r="F251" s="114"/>
      <c r="G251" s="114"/>
      <c r="H251" s="114"/>
      <c r="I251" s="104"/>
      <c r="J251" s="104"/>
    </row>
    <row r="252" spans="1:10" s="124" customFormat="1" x14ac:dyDescent="0.45">
      <c r="A252" s="123"/>
      <c r="B252" s="123"/>
      <c r="C252" s="20" t="s">
        <v>452</v>
      </c>
      <c r="D252" s="114">
        <f t="shared" si="72"/>
        <v>56258.8</v>
      </c>
      <c r="E252" s="114">
        <f>+'Հավելված N 4'!I315</f>
        <v>56258.8</v>
      </c>
      <c r="F252" s="114"/>
      <c r="G252" s="114"/>
      <c r="H252" s="114"/>
      <c r="I252" s="104"/>
      <c r="J252" s="104"/>
    </row>
    <row r="253" spans="1:10" s="124" customFormat="1" x14ac:dyDescent="0.45">
      <c r="A253" s="123"/>
      <c r="B253" s="123"/>
      <c r="C253" s="20" t="s">
        <v>518</v>
      </c>
      <c r="D253" s="114">
        <f t="shared" si="72"/>
        <v>33790</v>
      </c>
      <c r="E253" s="114">
        <f>+'Հավելված N 4'!I316</f>
        <v>33790</v>
      </c>
      <c r="F253" s="114"/>
      <c r="G253" s="114"/>
      <c r="H253" s="114"/>
      <c r="I253" s="104"/>
      <c r="J253" s="104"/>
    </row>
    <row r="254" spans="1:10" s="101" customFormat="1" ht="17" customHeight="1" x14ac:dyDescent="0.45">
      <c r="A254" s="99"/>
      <c r="B254" s="99"/>
      <c r="C254" s="17" t="s">
        <v>14</v>
      </c>
      <c r="D254" s="110">
        <f>SUM(E254:H254)</f>
        <v>359693.8</v>
      </c>
      <c r="E254" s="110">
        <f>SUM(E255:E256)</f>
        <v>359693.8</v>
      </c>
      <c r="F254" s="110">
        <f t="shared" ref="F254:H254" si="73">SUM(F255:F256)</f>
        <v>0</v>
      </c>
      <c r="G254" s="110">
        <f t="shared" si="73"/>
        <v>0</v>
      </c>
      <c r="H254" s="110">
        <f t="shared" si="73"/>
        <v>0</v>
      </c>
      <c r="I254" s="100"/>
      <c r="J254" s="100"/>
    </row>
    <row r="255" spans="1:10" s="124" customFormat="1" x14ac:dyDescent="0.45">
      <c r="A255" s="123"/>
      <c r="B255" s="123"/>
      <c r="C255" s="20" t="s">
        <v>269</v>
      </c>
      <c r="D255" s="114">
        <f t="shared" ref="D255:D256" si="74">+E255+F255+G255+H255</f>
        <v>357213.8</v>
      </c>
      <c r="E255" s="114">
        <f>'Հավելված N 4'!I317+'Հավելված N 4'!I333</f>
        <v>357213.8</v>
      </c>
      <c r="F255" s="114"/>
      <c r="G255" s="114"/>
      <c r="H255" s="114"/>
      <c r="I255" s="104"/>
      <c r="J255" s="104"/>
    </row>
    <row r="256" spans="1:10" s="124" customFormat="1" x14ac:dyDescent="0.45">
      <c r="A256" s="123"/>
      <c r="B256" s="123"/>
      <c r="C256" s="20" t="s">
        <v>270</v>
      </c>
      <c r="D256" s="114">
        <f t="shared" si="74"/>
        <v>2480</v>
      </c>
      <c r="E256" s="114">
        <f>+'Հավելված N 4'!I334</f>
        <v>2480</v>
      </c>
      <c r="F256" s="114"/>
      <c r="G256" s="114"/>
      <c r="H256" s="114"/>
      <c r="I256" s="104"/>
      <c r="J256" s="104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277"/>
  <sheetViews>
    <sheetView topLeftCell="A85" zoomScale="84" zoomScaleNormal="84" workbookViewId="0">
      <selection activeCell="E1" sqref="E1:E3"/>
    </sheetView>
  </sheetViews>
  <sheetFormatPr defaultColWidth="9.08984375" defaultRowHeight="17" x14ac:dyDescent="0.45"/>
  <cols>
    <col min="1" max="3" width="9.08984375" style="23"/>
    <col min="4" max="4" width="54.1796875" style="23" customWidth="1"/>
    <col min="5" max="5" width="31.1796875" style="27" customWidth="1"/>
    <col min="6" max="6" width="20" style="23" customWidth="1"/>
    <col min="7" max="16384" width="9.08984375" style="23"/>
  </cols>
  <sheetData>
    <row r="1" spans="1:8" s="31" customFormat="1" ht="26.5" customHeight="1" x14ac:dyDescent="0.35">
      <c r="A1" s="29"/>
      <c r="B1" s="30"/>
      <c r="C1" s="30"/>
      <c r="E1" s="86" t="s">
        <v>582</v>
      </c>
      <c r="F1" s="86"/>
    </row>
    <row r="2" spans="1:8" s="34" customFormat="1" ht="17.399999999999999" customHeight="1" x14ac:dyDescent="0.45">
      <c r="A2" s="32"/>
      <c r="B2" s="32"/>
      <c r="C2" s="32"/>
      <c r="E2" s="87" t="s">
        <v>23</v>
      </c>
      <c r="F2" s="87"/>
    </row>
    <row r="3" spans="1:8" s="34" customFormat="1" ht="17.399999999999999" customHeight="1" x14ac:dyDescent="0.45">
      <c r="A3" s="32"/>
      <c r="B3" s="32"/>
      <c r="C3" s="32"/>
      <c r="E3" s="87" t="s">
        <v>24</v>
      </c>
      <c r="F3" s="87"/>
    </row>
    <row r="4" spans="1:8" s="34" customFormat="1" ht="17.5" x14ac:dyDescent="0.45">
      <c r="A4" s="35"/>
      <c r="B4" s="35"/>
      <c r="C4" s="36"/>
      <c r="D4" s="33"/>
      <c r="E4" s="33"/>
      <c r="F4" s="33"/>
      <c r="G4" s="33"/>
      <c r="H4" s="33"/>
    </row>
    <row r="5" spans="1:8" s="1" customFormat="1" ht="85.65" customHeight="1" x14ac:dyDescent="0.45">
      <c r="B5" s="213" t="s">
        <v>0</v>
      </c>
      <c r="C5" s="213"/>
      <c r="D5" s="213"/>
      <c r="E5" s="213"/>
    </row>
    <row r="6" spans="1:8" s="1" customFormat="1" x14ac:dyDescent="0.45">
      <c r="E6" s="2"/>
    </row>
    <row r="7" spans="1:8" s="1" customFormat="1" x14ac:dyDescent="0.45">
      <c r="E7" s="3" t="s">
        <v>1</v>
      </c>
    </row>
    <row r="8" spans="1:8" s="1" customFormat="1" ht="105.65" customHeight="1" x14ac:dyDescent="0.45">
      <c r="B8" s="199" t="s">
        <v>2</v>
      </c>
      <c r="C8" s="200"/>
      <c r="D8" s="201" t="s">
        <v>3</v>
      </c>
      <c r="E8" s="90" t="s">
        <v>4</v>
      </c>
    </row>
    <row r="9" spans="1:8" s="1" customFormat="1" ht="88.5" customHeight="1" x14ac:dyDescent="0.45">
      <c r="B9" s="4" t="s">
        <v>5</v>
      </c>
      <c r="C9" s="4" t="s">
        <v>6</v>
      </c>
      <c r="D9" s="202"/>
      <c r="E9" s="5" t="s">
        <v>7</v>
      </c>
    </row>
    <row r="10" spans="1:8" s="1" customFormat="1" ht="35" x14ac:dyDescent="0.45">
      <c r="B10" s="4"/>
      <c r="C10" s="4"/>
      <c r="D10" s="6" t="s">
        <v>8</v>
      </c>
      <c r="E10" s="28">
        <f t="shared" ref="E10" si="0">+E91</f>
        <v>-9.7839995287358761E-3</v>
      </c>
    </row>
    <row r="11" spans="1:8" s="1" customFormat="1" ht="17.5" x14ac:dyDescent="0.45">
      <c r="B11" s="4"/>
      <c r="C11" s="4"/>
      <c r="D11" s="7" t="s">
        <v>9</v>
      </c>
      <c r="E11" s="8"/>
    </row>
    <row r="12" spans="1:8" ht="35" x14ac:dyDescent="0.45">
      <c r="B12" s="9">
        <v>1236</v>
      </c>
      <c r="C12" s="9">
        <v>32003</v>
      </c>
      <c r="D12" s="19" t="s">
        <v>316</v>
      </c>
      <c r="E12" s="28">
        <f>+E14+E74</f>
        <v>1.2223608791828156E-9</v>
      </c>
      <c r="F12" s="22"/>
    </row>
    <row r="13" spans="1:8" x14ac:dyDescent="0.45">
      <c r="B13" s="12"/>
      <c r="C13" s="12"/>
      <c r="D13" s="10" t="s">
        <v>10</v>
      </c>
      <c r="E13" s="11"/>
      <c r="F13" s="22"/>
    </row>
    <row r="14" spans="1:8" ht="35" x14ac:dyDescent="0.45">
      <c r="B14" s="12"/>
      <c r="C14" s="12"/>
      <c r="D14" s="13" t="s">
        <v>15</v>
      </c>
      <c r="E14" s="82">
        <f>+E16+E17+E23+E28+E36+E38+E46+E54+E60+E69+E71</f>
        <v>1.2223608791828156E-9</v>
      </c>
      <c r="F14" s="22"/>
    </row>
    <row r="15" spans="1:8" x14ac:dyDescent="0.45">
      <c r="B15" s="14"/>
      <c r="C15" s="14"/>
      <c r="D15" s="15" t="s">
        <v>11</v>
      </c>
      <c r="E15" s="16"/>
      <c r="F15" s="22"/>
    </row>
    <row r="16" spans="1:8" ht="35" x14ac:dyDescent="0.45">
      <c r="B16" s="12"/>
      <c r="C16" s="12"/>
      <c r="D16" s="17" t="s">
        <v>316</v>
      </c>
      <c r="E16" s="21">
        <v>-12635846.199999999</v>
      </c>
      <c r="F16" s="22"/>
    </row>
    <row r="17" spans="2:6" ht="17.5" x14ac:dyDescent="0.45">
      <c r="B17" s="12"/>
      <c r="C17" s="12"/>
      <c r="D17" s="17" t="s">
        <v>18</v>
      </c>
      <c r="E17" s="21">
        <f>SUM(E18:E22)</f>
        <v>1923066.1</v>
      </c>
      <c r="F17" s="22"/>
    </row>
    <row r="18" spans="2:6" s="26" customFormat="1" ht="34" x14ac:dyDescent="0.45">
      <c r="B18" s="12"/>
      <c r="C18" s="12"/>
      <c r="D18" s="20" t="str">
        <f>+'Հավելված N 1'!C19</f>
        <v>ք. Աշտարակի Վ.Պետրոսյան անվ. հիմնական դպրոց</v>
      </c>
      <c r="E18" s="18">
        <f>+'Հավելված N 1'!D19</f>
        <v>250000</v>
      </c>
      <c r="F18" s="25"/>
    </row>
    <row r="19" spans="2:6" s="26" customFormat="1" ht="51" x14ac:dyDescent="0.45">
      <c r="B19" s="24"/>
      <c r="C19" s="24"/>
      <c r="D19" s="20" t="str">
        <f>+'Հավելված N 1'!C20</f>
        <v>ք. Ապարանի միջնակարգ դպրոց (ք. Ապարանի Վ.Եղիազարյան անվ. թիվ 1 հիմնական դպրոցի տեղակայման վայրում)</v>
      </c>
      <c r="E19" s="18">
        <f>+'Հավելված N 1'!D20</f>
        <v>509859.3</v>
      </c>
      <c r="F19" s="25"/>
    </row>
    <row r="20" spans="2:6" s="26" customFormat="1" ht="34" x14ac:dyDescent="0.45">
      <c r="B20" s="24"/>
      <c r="C20" s="24"/>
      <c r="D20" s="20" t="str">
        <f>+'Հավելված N 1'!C21</f>
        <v>ք. Թալինի միջնակարգ դպրոց (ք. Թալինի թիվ 2 հիմնական դպրոցի տեղակայման վայրում)</v>
      </c>
      <c r="E20" s="18">
        <f>+'Հավելված N 1'!D21</f>
        <v>564003.4</v>
      </c>
      <c r="F20" s="25"/>
    </row>
    <row r="21" spans="2:6" s="26" customFormat="1" x14ac:dyDescent="0.45">
      <c r="B21" s="24"/>
      <c r="C21" s="24"/>
      <c r="D21" s="20" t="str">
        <f>+'Հավելված N 1'!C22</f>
        <v>գ. Արագածավանի թիվ 2 միջնակարգ դպրոց</v>
      </c>
      <c r="E21" s="18">
        <f>+'Հավելված N 1'!D22</f>
        <v>450000</v>
      </c>
      <c r="F21" s="25"/>
    </row>
    <row r="22" spans="2:6" s="26" customFormat="1" ht="34" x14ac:dyDescent="0.45">
      <c r="B22" s="89"/>
      <c r="C22" s="89"/>
      <c r="D22" s="20" t="str">
        <f>+'Հավելված N 1'!C23</f>
        <v>գ. Նոր Եդեսիայի Ն. Շնորհալու անվ. միջնակարգ դպրոց</v>
      </c>
      <c r="E22" s="18">
        <f>+'Հավելված N 1'!D23</f>
        <v>149203.4</v>
      </c>
      <c r="F22" s="25"/>
    </row>
    <row r="23" spans="2:6" ht="17.5" x14ac:dyDescent="0.45">
      <c r="B23" s="12"/>
      <c r="C23" s="12"/>
      <c r="D23" s="17" t="s">
        <v>12</v>
      </c>
      <c r="E23" s="21">
        <f>SUM(E24:E27)</f>
        <v>1518877.9000000001</v>
      </c>
      <c r="F23" s="22"/>
    </row>
    <row r="24" spans="2:6" s="26" customFormat="1" x14ac:dyDescent="0.45">
      <c r="B24" s="12"/>
      <c r="C24" s="12"/>
      <c r="D24" s="20" t="str">
        <f>+'Հավելված N 1'!C27</f>
        <v>«Վեդիի ավագ դպրոց» ՊՈԱԿ</v>
      </c>
      <c r="E24" s="18">
        <f>+'Հավելված N 1'!D27</f>
        <v>80000</v>
      </c>
      <c r="F24" s="25"/>
    </row>
    <row r="25" spans="2:6" s="26" customFormat="1" x14ac:dyDescent="0.45">
      <c r="B25" s="12"/>
      <c r="C25" s="12"/>
      <c r="D25" s="20" t="str">
        <f>+'Հավելված N 1'!C28</f>
        <v>Գետազատ բնակավայրի միջնակարգ դպրոց</v>
      </c>
      <c r="E25" s="18">
        <f>+'Հավելված N 1'!D28</f>
        <v>158000</v>
      </c>
      <c r="F25" s="25"/>
    </row>
    <row r="26" spans="2:6" s="26" customFormat="1" x14ac:dyDescent="0.45">
      <c r="B26" s="24"/>
      <c r="C26" s="24"/>
      <c r="D26" s="20" t="str">
        <f>+'Հավելված N 1'!C29</f>
        <v>Վերին Դվին բնակավայրի միջնակարգ դպրոց</v>
      </c>
      <c r="E26" s="18">
        <f>+'Հավելված N 1'!D29</f>
        <v>623329.60000000009</v>
      </c>
      <c r="F26" s="25"/>
    </row>
    <row r="27" spans="2:6" s="26" customFormat="1" x14ac:dyDescent="0.45">
      <c r="B27" s="24"/>
      <c r="C27" s="24"/>
      <c r="D27" s="20" t="str">
        <f>+'Հավելված N 1'!C30</f>
        <v>Այգեստան բնակավայրի միջնակարգ դպրոց</v>
      </c>
      <c r="E27" s="18">
        <f>+'Հավելված N 1'!D30</f>
        <v>657548.30000000005</v>
      </c>
      <c r="F27" s="25"/>
    </row>
    <row r="28" spans="2:6" ht="17.5" x14ac:dyDescent="0.45">
      <c r="B28" s="12"/>
      <c r="C28" s="12"/>
      <c r="D28" s="17" t="s">
        <v>22</v>
      </c>
      <c r="E28" s="21">
        <f>SUM(E29:E35)</f>
        <v>2974214.9</v>
      </c>
      <c r="F28" s="22"/>
    </row>
    <row r="29" spans="2:6" s="26" customFormat="1" ht="34" x14ac:dyDescent="0.45">
      <c r="B29" s="12"/>
      <c r="C29" s="12"/>
      <c r="D29" s="20" t="str">
        <f>+'Հավելված N 1'!C33</f>
        <v>«Վաղարշապատի Մովսես Խորենացու անվան N 10 ավագ դպրոց» ՊՈԱԿ</v>
      </c>
      <c r="E29" s="18">
        <f>+'Հավելված N 1'!D33</f>
        <v>312245.90000000002</v>
      </c>
      <c r="F29" s="25"/>
    </row>
    <row r="30" spans="2:6" s="26" customFormat="1" ht="34" x14ac:dyDescent="0.45">
      <c r="B30" s="24"/>
      <c r="C30" s="24"/>
      <c r="D30" s="20" t="str">
        <f>+'Հավելված N 1'!C34</f>
        <v>գ. Ջրառատի Թ.Խաչատրյանի անվ. միջնակարգ դպրոց</v>
      </c>
      <c r="E30" s="18">
        <f>+'Հավելված N 1'!D34</f>
        <v>499292</v>
      </c>
      <c r="F30" s="25"/>
    </row>
    <row r="31" spans="2:6" s="26" customFormat="1" x14ac:dyDescent="0.45">
      <c r="B31" s="24"/>
      <c r="C31" s="24"/>
      <c r="D31" s="20" t="str">
        <f>+'Հավելված N 1'!C35</f>
        <v xml:space="preserve">գ. Վանանդի միջնակարգ դպրոց            </v>
      </c>
      <c r="E31" s="18">
        <f>+'Հավելված N 1'!D35</f>
        <v>313084.39999999997</v>
      </c>
      <c r="F31" s="25"/>
    </row>
    <row r="32" spans="2:6" s="26" customFormat="1" x14ac:dyDescent="0.45">
      <c r="B32" s="24"/>
      <c r="C32" s="24"/>
      <c r="D32" s="20" t="str">
        <f>+'Հավելված N 1'!C36</f>
        <v>գ. Նոր Կեսարիայի միջնակարգ դպրոց</v>
      </c>
      <c r="E32" s="18">
        <f>+'Հավելված N 1'!D36</f>
        <v>1009478.3</v>
      </c>
      <c r="F32" s="25"/>
    </row>
    <row r="33" spans="2:6" s="26" customFormat="1" x14ac:dyDescent="0.45">
      <c r="B33" s="24"/>
      <c r="C33" s="24"/>
      <c r="D33" s="20" t="str">
        <f>+'Հավելված N 1'!C37</f>
        <v>գ. Գեղակերտի միջնակարգ դպրոց</v>
      </c>
      <c r="E33" s="18">
        <f>+'Հավելված N 1'!D37</f>
        <v>410114.3</v>
      </c>
      <c r="F33" s="25"/>
    </row>
    <row r="34" spans="2:6" s="26" customFormat="1" ht="34" x14ac:dyDescent="0.45">
      <c r="B34" s="89"/>
      <c r="C34" s="89"/>
      <c r="D34" s="20" t="str">
        <f>+'Հավելված N 1'!C38</f>
        <v xml:space="preserve">գ. Ամբերդի Հ. Նավասարդյանի անվ. միջնակարգ դպրոց  </v>
      </c>
      <c r="E34" s="18">
        <f>+'Հավելված N 1'!D38</f>
        <v>180000</v>
      </c>
      <c r="F34" s="25"/>
    </row>
    <row r="35" spans="2:6" s="26" customFormat="1" ht="34" x14ac:dyDescent="0.45">
      <c r="B35" s="89"/>
      <c r="C35" s="89"/>
      <c r="D35" s="20" t="str">
        <f>+'Հավելված N 1'!C39</f>
        <v>ք. Վաղարշապատի Վ.Ռշտունու անվ. թիվ 11 հիմնական դպրոց</v>
      </c>
      <c r="E35" s="18">
        <f>+'Հավելված N 1'!D39</f>
        <v>250000</v>
      </c>
      <c r="F35" s="25"/>
    </row>
    <row r="36" spans="2:6" ht="17.5" x14ac:dyDescent="0.45">
      <c r="B36" s="12"/>
      <c r="C36" s="12"/>
      <c r="D36" s="17" t="s">
        <v>16</v>
      </c>
      <c r="E36" s="21">
        <f>SUM(E37)</f>
        <v>70000</v>
      </c>
      <c r="F36" s="22"/>
    </row>
    <row r="37" spans="2:6" s="26" customFormat="1" ht="34" x14ac:dyDescent="0.45">
      <c r="B37" s="12"/>
      <c r="C37" s="12"/>
      <c r="D37" s="20" t="str">
        <f>+'Հավելված N 1'!C41</f>
        <v>գ. Ծովինարի Արծրուն Խաչատրյանի անվ. միջնակարգ դպրոց</v>
      </c>
      <c r="E37" s="18">
        <f>+'Հավելված N 1'!D41</f>
        <v>70000</v>
      </c>
      <c r="F37" s="25"/>
    </row>
    <row r="38" spans="2:6" ht="17.5" x14ac:dyDescent="0.45">
      <c r="B38" s="12"/>
      <c r="C38" s="12"/>
      <c r="D38" s="17" t="s">
        <v>13</v>
      </c>
      <c r="E38" s="21">
        <f>SUM(E39:E45)</f>
        <v>2185598</v>
      </c>
      <c r="F38" s="22"/>
    </row>
    <row r="39" spans="2:6" s="26" customFormat="1" ht="34" x14ac:dyDescent="0.45">
      <c r="B39" s="12"/>
      <c r="C39" s="12"/>
      <c r="D39" s="20" t="str">
        <f>+'Հավելված N 1'!C44</f>
        <v>գ. Արևածագի Կ․ Մելիքսեթյանի անվան միջնակարգ դպրոց</v>
      </c>
      <c r="E39" s="18">
        <f>+'Հավելված N 1'!D44</f>
        <v>100000</v>
      </c>
      <c r="F39" s="25"/>
    </row>
    <row r="40" spans="2:6" s="26" customFormat="1" x14ac:dyDescent="0.45">
      <c r="B40" s="24"/>
      <c r="C40" s="24"/>
      <c r="D40" s="20" t="str">
        <f>+'Հավելված N 1'!C45</f>
        <v>գ. Օձունի թիվ 2 միջնակարգ դպրոց</v>
      </c>
      <c r="E40" s="18">
        <f>+'Հավելված N 1'!D45</f>
        <v>350000</v>
      </c>
      <c r="F40" s="25"/>
    </row>
    <row r="41" spans="2:6" s="26" customFormat="1" x14ac:dyDescent="0.45">
      <c r="B41" s="24"/>
      <c r="C41" s="24"/>
      <c r="D41" s="20" t="str">
        <f>+'Հավելված N 1'!C46</f>
        <v>ք. Սպիտակի թիվ 8 միջնակարգ դպրոց</v>
      </c>
      <c r="E41" s="18">
        <f>+'Հավելված N 1'!D46</f>
        <v>620000</v>
      </c>
      <c r="F41" s="25"/>
    </row>
    <row r="42" spans="2:6" s="26" customFormat="1" x14ac:dyDescent="0.45">
      <c r="B42" s="24"/>
      <c r="C42" s="24"/>
      <c r="D42" s="20" t="str">
        <f>+'Հավելված N 1'!C47</f>
        <v>գ. Աքորու միջնակարգ դպրոց</v>
      </c>
      <c r="E42" s="18">
        <f>+'Հավելված N 1'!D47</f>
        <v>350000</v>
      </c>
      <c r="F42" s="25"/>
    </row>
    <row r="43" spans="2:6" s="26" customFormat="1" x14ac:dyDescent="0.45">
      <c r="B43" s="24"/>
      <c r="C43" s="24"/>
      <c r="D43" s="20" t="str">
        <f>+'Հավելված N 1'!C48</f>
        <v>գ. Շիրակամուտի թիվ 1 միջնակարգ դպրոց</v>
      </c>
      <c r="E43" s="18">
        <f>+'Հավելված N 1'!D48</f>
        <v>292000</v>
      </c>
      <c r="F43" s="25"/>
    </row>
    <row r="44" spans="2:6" s="26" customFormat="1" x14ac:dyDescent="0.45">
      <c r="B44" s="24"/>
      <c r="C44" s="24"/>
      <c r="D44" s="20" t="str">
        <f>+'Հավելված N 1'!C49</f>
        <v>գ. Ճոճկանի միջնակարգ դպրոց</v>
      </c>
      <c r="E44" s="18">
        <f>+'Հավելված N 1'!D49</f>
        <v>380000</v>
      </c>
      <c r="F44" s="25"/>
    </row>
    <row r="45" spans="2:6" s="26" customFormat="1" x14ac:dyDescent="0.45">
      <c r="B45" s="89"/>
      <c r="C45" s="89"/>
      <c r="D45" s="20" t="str">
        <f>+'Հավելված N 1'!C50</f>
        <v>գ. Մեծավանի թիվ 2 միջնակարգ դպրոց</v>
      </c>
      <c r="E45" s="18">
        <f>+'Հավելված N 1'!D50</f>
        <v>93598</v>
      </c>
      <c r="F45" s="25"/>
    </row>
    <row r="46" spans="2:6" ht="17.5" x14ac:dyDescent="0.45">
      <c r="B46" s="12"/>
      <c r="C46" s="12"/>
      <c r="D46" s="17" t="s">
        <v>20</v>
      </c>
      <c r="E46" s="21">
        <f>SUM(E47:E53)</f>
        <v>1568494.7</v>
      </c>
      <c r="F46" s="22"/>
    </row>
    <row r="47" spans="2:6" s="26" customFormat="1" x14ac:dyDescent="0.45">
      <c r="B47" s="24"/>
      <c r="C47" s="24"/>
      <c r="D47" s="20" t="str">
        <f>+'Հավելված N 1'!C52</f>
        <v>Գեղադիր բնակավայրի միջնակարգ դպրոց</v>
      </c>
      <c r="E47" s="18">
        <f>+'Հավելված N 1'!D52</f>
        <v>559762.19999999995</v>
      </c>
      <c r="F47" s="25"/>
    </row>
    <row r="48" spans="2:6" s="26" customFormat="1" x14ac:dyDescent="0.45">
      <c r="B48" s="24"/>
      <c r="C48" s="24"/>
      <c r="D48" s="20" t="str">
        <f>+'Հավելված N 1'!C53</f>
        <v>Մայակովսկի բնակավայրի միջնակարգ դպրոց</v>
      </c>
      <c r="E48" s="18">
        <f>+'Հավելված N 1'!D53</f>
        <v>50000</v>
      </c>
      <c r="F48" s="25"/>
    </row>
    <row r="49" spans="2:6" s="26" customFormat="1" x14ac:dyDescent="0.45">
      <c r="B49" s="24"/>
      <c r="C49" s="24"/>
      <c r="D49" s="20" t="str">
        <f>+'Հավելված N 1'!C54</f>
        <v>Արգել բնակավայրի միջնակարգ դպրոց</v>
      </c>
      <c r="E49" s="18">
        <f>+'Հավելված N 1'!D54</f>
        <v>50000</v>
      </c>
      <c r="F49" s="25"/>
    </row>
    <row r="50" spans="2:6" s="26" customFormat="1" x14ac:dyDescent="0.45">
      <c r="B50" s="24"/>
      <c r="C50" s="24"/>
      <c r="D50" s="20" t="str">
        <f>+'Հավելված N 1'!C55</f>
        <v>Գողթ բնակավայրի միջնակարգ դպրոց</v>
      </c>
      <c r="E50" s="18">
        <f>+'Հավելված N 1'!D55</f>
        <v>433611.7</v>
      </c>
      <c r="F50" s="25"/>
    </row>
    <row r="51" spans="2:6" s="26" customFormat="1" x14ac:dyDescent="0.45">
      <c r="B51" s="24"/>
      <c r="C51" s="24"/>
      <c r="D51" s="20" t="str">
        <f>+'Հավելված N 1'!C56</f>
        <v>Զառ բնակավայրի միջնակարգ դպրոց</v>
      </c>
      <c r="E51" s="18">
        <f>+'Հավելված N 1'!D56</f>
        <v>155000</v>
      </c>
      <c r="F51" s="25"/>
    </row>
    <row r="52" spans="2:6" s="26" customFormat="1" x14ac:dyDescent="0.45">
      <c r="B52" s="24"/>
      <c r="C52" s="24"/>
      <c r="D52" s="20" t="str">
        <f>+'Հավելված N 1'!C57</f>
        <v>Արագյուղ բնակավայրի միջնակարգ դպրոց</v>
      </c>
      <c r="E52" s="18">
        <f>+'Հավելված N 1'!D57</f>
        <v>225163.8</v>
      </c>
      <c r="F52" s="25"/>
    </row>
    <row r="53" spans="2:6" s="26" customFormat="1" x14ac:dyDescent="0.45">
      <c r="B53" s="24"/>
      <c r="C53" s="24"/>
      <c r="D53" s="20" t="str">
        <f>+'Հավելված N 1'!C58</f>
        <v>Լեռնանիստ բնակավայրի միջնակարգ դպրոց</v>
      </c>
      <c r="E53" s="18">
        <f>+'Հավելված N 1'!D58</f>
        <v>94957</v>
      </c>
      <c r="F53" s="25"/>
    </row>
    <row r="54" spans="2:6" ht="17.5" x14ac:dyDescent="0.45">
      <c r="B54" s="12"/>
      <c r="C54" s="12"/>
      <c r="D54" s="17" t="s">
        <v>17</v>
      </c>
      <c r="E54" s="21">
        <f>SUM(E55:E59)</f>
        <v>1137571.7</v>
      </c>
      <c r="F54" s="22"/>
    </row>
    <row r="55" spans="2:6" s="26" customFormat="1" x14ac:dyDescent="0.45">
      <c r="B55" s="24"/>
      <c r="C55" s="24"/>
      <c r="D55" s="20" t="str">
        <f>+'Հավելված N 1'!C60</f>
        <v>գ․ Սարատակի միջնակարգ դպրոց</v>
      </c>
      <c r="E55" s="18">
        <f>+'Հավելված N 1'!D60</f>
        <v>237767.7</v>
      </c>
      <c r="F55" s="25"/>
    </row>
    <row r="56" spans="2:6" s="26" customFormat="1" x14ac:dyDescent="0.45">
      <c r="B56" s="24"/>
      <c r="C56" s="24"/>
      <c r="D56" s="20" t="str">
        <f>+'Հավելված N 1'!C61</f>
        <v>գ․ Ջրափիի միջնակարգ դպրոց</v>
      </c>
      <c r="E56" s="18">
        <f>+'Հավելված N 1'!D61</f>
        <v>393001.6</v>
      </c>
      <c r="F56" s="25"/>
    </row>
    <row r="57" spans="2:6" s="26" customFormat="1" x14ac:dyDescent="0.45">
      <c r="B57" s="24"/>
      <c r="C57" s="24"/>
      <c r="D57" s="20" t="str">
        <f>+'Հավելված N 1'!C62</f>
        <v>գ․ Շիրակավանի միջնակարգ դպրոց</v>
      </c>
      <c r="E57" s="18">
        <f>+'Հավելված N 1'!D62</f>
        <v>342968</v>
      </c>
      <c r="F57" s="25"/>
    </row>
    <row r="58" spans="2:6" s="26" customFormat="1" x14ac:dyDescent="0.45">
      <c r="B58" s="24"/>
      <c r="C58" s="24"/>
      <c r="D58" s="20" t="str">
        <f>+'Հավելված N 1'!C63</f>
        <v>գ․ Մայիսյանի միջնակարգ դպրոց</v>
      </c>
      <c r="E58" s="18">
        <f>+'Հավելված N 1'!D63</f>
        <v>70000</v>
      </c>
      <c r="F58" s="25"/>
    </row>
    <row r="59" spans="2:6" s="26" customFormat="1" x14ac:dyDescent="0.45">
      <c r="B59" s="24"/>
      <c r="C59" s="24"/>
      <c r="D59" s="20" t="str">
        <f>+'Հավելված N 1'!C64</f>
        <v>գ․ Փոքր Մանթաշի միջնակարգ դպրոց</v>
      </c>
      <c r="E59" s="18">
        <f>+'Հավելված N 1'!D64</f>
        <v>93834.4</v>
      </c>
      <c r="F59" s="25"/>
    </row>
    <row r="60" spans="2:6" ht="17.5" x14ac:dyDescent="0.45">
      <c r="B60" s="12"/>
      <c r="C60" s="12"/>
      <c r="D60" s="17" t="s">
        <v>19</v>
      </c>
      <c r="E60" s="21">
        <f>SUM(E61:E68)</f>
        <v>794709.2</v>
      </c>
      <c r="F60" s="22"/>
    </row>
    <row r="61" spans="2:6" s="26" customFormat="1" x14ac:dyDescent="0.45">
      <c r="B61" s="24"/>
      <c r="C61" s="24"/>
      <c r="D61" s="20" t="str">
        <f>+'Հավելված N 1'!C66</f>
        <v xml:space="preserve">«գ. Խնձորեսկի միջնակարգ դպրոց» ՊՈԱԿ </v>
      </c>
      <c r="E61" s="18">
        <f>+'Հավելված N 1'!D66</f>
        <v>53405.7</v>
      </c>
      <c r="F61" s="25"/>
    </row>
    <row r="62" spans="2:6" s="26" customFormat="1" x14ac:dyDescent="0.45">
      <c r="B62" s="24"/>
      <c r="C62" s="24"/>
      <c r="D62" s="20" t="str">
        <f>+'Հավելված N 1'!C67</f>
        <v>«ք. Կապանի թիվ 6 հիմնական դպրոց» ՊՈԱԿ</v>
      </c>
      <c r="E62" s="18">
        <f>+'Հավելված N 1'!D67</f>
        <v>100000</v>
      </c>
      <c r="F62" s="25"/>
    </row>
    <row r="63" spans="2:6" s="26" customFormat="1" x14ac:dyDescent="0.45">
      <c r="B63" s="24"/>
      <c r="C63" s="24"/>
      <c r="D63" s="20" t="str">
        <f>+'Հավելված N 1'!C68</f>
        <v>ք. Ագարակի միջնակարգ դպրոց</v>
      </c>
      <c r="E63" s="18">
        <f>+'Հավելված N 1'!D68</f>
        <v>200000</v>
      </c>
      <c r="F63" s="25"/>
    </row>
    <row r="64" spans="2:6" s="26" customFormat="1" x14ac:dyDescent="0.45">
      <c r="B64" s="24"/>
      <c r="C64" s="24"/>
      <c r="D64" s="20" t="str">
        <f>+'Հավելված N 1'!C69</f>
        <v>գ․ Տաթևի միջնակարգ դպրոց</v>
      </c>
      <c r="E64" s="18">
        <f>+'Հավելված N 1'!D69</f>
        <v>100000</v>
      </c>
      <c r="F64" s="25"/>
    </row>
    <row r="65" spans="2:7" s="26" customFormat="1" ht="17.399999999999999" customHeight="1" x14ac:dyDescent="0.45">
      <c r="B65" s="89"/>
      <c r="C65" s="89"/>
      <c r="D65" s="20" t="str">
        <f>+'Հավելված N 1'!C70</f>
        <v xml:space="preserve">«ք. Գորիսի Ս. Խանզադյանի անվան թիվ 6 հիմնական դպրոց» ՊՈԱԿ </v>
      </c>
      <c r="E65" s="18">
        <f>+'Հավելված N 1'!D70</f>
        <v>62368</v>
      </c>
      <c r="F65" s="25"/>
    </row>
    <row r="66" spans="2:7" s="26" customFormat="1" x14ac:dyDescent="0.45">
      <c r="B66" s="89"/>
      <c r="C66" s="89"/>
      <c r="D66" s="20" t="str">
        <f>+'Հավելված N 1'!C71</f>
        <v xml:space="preserve">«գ. Վերիշենի միջնակարգ դպրոց» ՊՈԱԿ </v>
      </c>
      <c r="E66" s="18">
        <f>+'Հավելված N 1'!D71</f>
        <v>45508.5</v>
      </c>
      <c r="F66" s="25"/>
    </row>
    <row r="67" spans="2:7" s="26" customFormat="1" x14ac:dyDescent="0.45">
      <c r="B67" s="89"/>
      <c r="C67" s="89"/>
      <c r="D67" s="20" t="str">
        <f>+'Հավելված N 1'!C72</f>
        <v>գ. Շինուհայրի միջնակարգ դպրոց</v>
      </c>
      <c r="E67" s="18">
        <f>+'Հավելված N 1'!D72</f>
        <v>65442</v>
      </c>
      <c r="F67" s="25"/>
    </row>
    <row r="68" spans="2:7" s="26" customFormat="1" x14ac:dyDescent="0.45">
      <c r="B68" s="89"/>
      <c r="C68" s="89"/>
      <c r="D68" s="20" t="str">
        <f>+'Հավելված N 1'!C73</f>
        <v>գ. Խոտի միջնակարգ դպրոց</v>
      </c>
      <c r="E68" s="18">
        <f>+'Հավելված N 1'!D73</f>
        <v>167985</v>
      </c>
      <c r="F68" s="25"/>
    </row>
    <row r="69" spans="2:7" ht="17.5" x14ac:dyDescent="0.45">
      <c r="B69" s="12"/>
      <c r="C69" s="12"/>
      <c r="D69" s="17" t="s">
        <v>226</v>
      </c>
      <c r="E69" s="21">
        <f>SUM(E70)</f>
        <v>30231.200000000001</v>
      </c>
      <c r="F69" s="22"/>
    </row>
    <row r="70" spans="2:7" s="26" customFormat="1" ht="19.25" customHeight="1" x14ac:dyDescent="0.45">
      <c r="B70" s="89"/>
      <c r="C70" s="89"/>
      <c r="D70" s="20" t="str">
        <f>+'Հավելված N 1'!C76</f>
        <v>գ. Արենիի միջնակարգ դպրոց</v>
      </c>
      <c r="E70" s="18">
        <f>+'Հավելված N 1'!D76</f>
        <v>30231.200000000001</v>
      </c>
      <c r="F70" s="25"/>
    </row>
    <row r="71" spans="2:7" ht="17.5" x14ac:dyDescent="0.45">
      <c r="B71" s="12"/>
      <c r="C71" s="12"/>
      <c r="D71" s="17" t="s">
        <v>14</v>
      </c>
      <c r="E71" s="21">
        <f>SUM(E72:E73)</f>
        <v>433082.5</v>
      </c>
      <c r="F71" s="22"/>
    </row>
    <row r="72" spans="2:7" s="26" customFormat="1" ht="19.25" customHeight="1" x14ac:dyDescent="0.45">
      <c r="B72" s="24"/>
      <c r="C72" s="24"/>
      <c r="D72" s="20" t="str">
        <f>+'Հավելված N 1'!C79</f>
        <v xml:space="preserve">ք. Այրումի Հ.Մալինյանի անվան միջնակարգ դպրոց </v>
      </c>
      <c r="E72" s="18">
        <f>+'Հավելված N 1'!D79</f>
        <v>103082.5</v>
      </c>
      <c r="F72" s="25"/>
    </row>
    <row r="73" spans="2:7" s="26" customFormat="1" ht="34" x14ac:dyDescent="0.45">
      <c r="B73" s="24"/>
      <c r="C73" s="24"/>
      <c r="D73" s="20" t="str">
        <f>+'Հավելված N 1'!C80</f>
        <v>գ. Բագրատաշենի Մ․ Մագուլյանի անվան թիվ 1 միջնակարգ դպրոց</v>
      </c>
      <c r="E73" s="18">
        <f>+'Հավելված N 1'!D80</f>
        <v>330000</v>
      </c>
      <c r="F73" s="25"/>
    </row>
    <row r="74" spans="2:7" ht="17.5" x14ac:dyDescent="0.45">
      <c r="B74" s="12"/>
      <c r="C74" s="12"/>
      <c r="D74" s="13" t="s">
        <v>522</v>
      </c>
      <c r="E74" s="82">
        <f>+E76+E77+E80+E82+E84+E86+E88</f>
        <v>0</v>
      </c>
      <c r="F74" s="22"/>
      <c r="G74" s="22"/>
    </row>
    <row r="75" spans="2:7" x14ac:dyDescent="0.45">
      <c r="B75" s="14"/>
      <c r="C75" s="14"/>
      <c r="D75" s="15" t="s">
        <v>11</v>
      </c>
      <c r="E75" s="16"/>
      <c r="F75" s="22"/>
      <c r="G75" s="22"/>
    </row>
    <row r="76" spans="2:7" ht="35" x14ac:dyDescent="0.45">
      <c r="B76" s="12"/>
      <c r="C76" s="12"/>
      <c r="D76" s="17" t="s">
        <v>316</v>
      </c>
      <c r="E76" s="21">
        <f>-343732.915-656094-150000</f>
        <v>-1149826.915</v>
      </c>
      <c r="F76" s="22"/>
      <c r="G76" s="22"/>
    </row>
    <row r="77" spans="2:7" ht="17.5" x14ac:dyDescent="0.45">
      <c r="B77" s="12"/>
      <c r="C77" s="12"/>
      <c r="D77" s="17" t="s">
        <v>18</v>
      </c>
      <c r="E77" s="21">
        <f>SUM(E78:E79)</f>
        <v>248249</v>
      </c>
      <c r="F77" s="22"/>
      <c r="G77" s="22"/>
    </row>
    <row r="78" spans="2:7" s="26" customFormat="1" x14ac:dyDescent="0.45">
      <c r="B78" s="89"/>
      <c r="C78" s="89"/>
      <c r="D78" s="20" t="str">
        <f>+'Հավելված N 1'!C24</f>
        <v>գ. Ներքին Սասնաշենի միջնակարգ դպրոց</v>
      </c>
      <c r="E78" s="18">
        <f>+'Հավելված N 1'!D24</f>
        <v>180000</v>
      </c>
      <c r="F78" s="25"/>
      <c r="G78" s="25"/>
    </row>
    <row r="79" spans="2:7" s="26" customFormat="1" x14ac:dyDescent="0.45">
      <c r="B79" s="89"/>
      <c r="C79" s="89"/>
      <c r="D79" s="20" t="str">
        <f>+'Հավելված N 1'!C25</f>
        <v>«Լուսակնի միջնակարգ դպրոց» ՊՈԱԿ</v>
      </c>
      <c r="E79" s="18">
        <f>+'Հավելված N 1'!D25</f>
        <v>68249</v>
      </c>
      <c r="F79" s="25"/>
      <c r="G79" s="25"/>
    </row>
    <row r="80" spans="2:7" ht="17.5" x14ac:dyDescent="0.45">
      <c r="B80" s="12"/>
      <c r="C80" s="12"/>
      <c r="D80" s="17" t="s">
        <v>12</v>
      </c>
      <c r="E80" s="21">
        <f>+E81</f>
        <v>302900</v>
      </c>
      <c r="F80" s="22"/>
      <c r="G80" s="22"/>
    </row>
    <row r="81" spans="2:7" s="26" customFormat="1" x14ac:dyDescent="0.45">
      <c r="B81" s="89"/>
      <c r="C81" s="89"/>
      <c r="D81" s="20" t="str">
        <f>+'Հավելված N 1'!C31</f>
        <v>«Բարձրաշենի միջնակարգ դպրոց»ՊՈԱԿ</v>
      </c>
      <c r="E81" s="18">
        <f>+'Հավելված N 1'!D31</f>
        <v>302900</v>
      </c>
      <c r="F81" s="25"/>
      <c r="G81" s="25"/>
    </row>
    <row r="82" spans="2:7" ht="17.5" x14ac:dyDescent="0.45">
      <c r="B82" s="12"/>
      <c r="C82" s="12"/>
      <c r="D82" s="17" t="s">
        <v>16</v>
      </c>
      <c r="E82" s="21">
        <f>+E83</f>
        <v>54371</v>
      </c>
      <c r="F82" s="22"/>
      <c r="G82" s="22"/>
    </row>
    <row r="83" spans="2:7" s="26" customFormat="1" ht="34" x14ac:dyDescent="0.45">
      <c r="B83" s="89"/>
      <c r="C83" s="89"/>
      <c r="D83" s="20" t="str">
        <f>+'Հավելված N 1'!C42</f>
        <v>«Լեռնահովիտ գյուղի Վ. Բարեղամյանի անվան հիմնական դպրոց» ՊՈԱԿ</v>
      </c>
      <c r="E83" s="18">
        <f>+'Հավելված N 1'!D42</f>
        <v>54371</v>
      </c>
      <c r="F83" s="25"/>
      <c r="G83" s="25"/>
    </row>
    <row r="84" spans="2:7" ht="17.5" x14ac:dyDescent="0.45">
      <c r="B84" s="12"/>
      <c r="C84" s="12"/>
      <c r="D84" s="17" t="s">
        <v>19</v>
      </c>
      <c r="E84" s="21">
        <f>+E85</f>
        <v>242732.91499999998</v>
      </c>
      <c r="F84" s="22"/>
      <c r="G84" s="22"/>
    </row>
    <row r="85" spans="2:7" s="26" customFormat="1" ht="34" x14ac:dyDescent="0.45">
      <c r="B85" s="89"/>
      <c r="C85" s="89"/>
      <c r="D85" s="20" t="str">
        <f>+'Հավելված N 1'!C74</f>
        <v>«Հարժիսի Համլետ Մինասյանի անվան միջնակարգ դպրոց» ՊՈԱԿ</v>
      </c>
      <c r="E85" s="18">
        <f>+'Հավելված N 1'!D74</f>
        <v>242732.91499999998</v>
      </c>
      <c r="F85" s="25"/>
      <c r="G85" s="25"/>
    </row>
    <row r="86" spans="2:7" ht="17.5" x14ac:dyDescent="0.45">
      <c r="B86" s="12"/>
      <c r="C86" s="12"/>
      <c r="D86" s="17" t="s">
        <v>226</v>
      </c>
      <c r="E86" s="21">
        <f>+E87</f>
        <v>50000</v>
      </c>
      <c r="F86" s="22"/>
      <c r="G86" s="22"/>
    </row>
    <row r="87" spans="2:7" s="26" customFormat="1" x14ac:dyDescent="0.45">
      <c r="B87" s="89"/>
      <c r="C87" s="89"/>
      <c r="D87" s="20" t="str">
        <f>+'Հավելված N 1'!C77</f>
        <v>«Չիվայի միջնակարգ դպրոց» ՊՈԱԿ</v>
      </c>
      <c r="E87" s="18">
        <f>+'Հավելված N 1'!D77</f>
        <v>50000</v>
      </c>
      <c r="F87" s="25"/>
      <c r="G87" s="25"/>
    </row>
    <row r="88" spans="2:7" ht="17.5" x14ac:dyDescent="0.45">
      <c r="B88" s="12"/>
      <c r="C88" s="12"/>
      <c r="D88" s="17" t="s">
        <v>14</v>
      </c>
      <c r="E88" s="21">
        <f>SUM(E89:E90)</f>
        <v>251574</v>
      </c>
      <c r="F88" s="22"/>
      <c r="G88" s="22"/>
    </row>
    <row r="89" spans="2:7" s="26" customFormat="1" x14ac:dyDescent="0.45">
      <c r="B89" s="4"/>
      <c r="C89" s="4"/>
      <c r="D89" s="20" t="str">
        <f>+'Հավելված N 1'!C81</f>
        <v>«Դովեղի միջնակարգ դպրոց»ՊՈԱԿ</v>
      </c>
      <c r="E89" s="18">
        <f>+'Հավելված N 1'!D81</f>
        <v>150000</v>
      </c>
      <c r="F89" s="25"/>
      <c r="G89" s="25"/>
    </row>
    <row r="90" spans="2:7" s="26" customFormat="1" x14ac:dyDescent="0.45">
      <c r="B90" s="4"/>
      <c r="C90" s="4"/>
      <c r="D90" s="20" t="str">
        <f>+'Հավելված N 1'!C82</f>
        <v>«Նավուրի միջնակարգ դպրոց» ՊՈԱԿ</v>
      </c>
      <c r="E90" s="18">
        <f>+'Հավելված N 1'!D82</f>
        <v>101574</v>
      </c>
      <c r="F90" s="25"/>
      <c r="G90" s="25"/>
    </row>
    <row r="91" spans="2:7" ht="35" x14ac:dyDescent="0.45">
      <c r="B91" s="9">
        <v>1236</v>
      </c>
      <c r="C91" s="9">
        <v>32004</v>
      </c>
      <c r="D91" s="19" t="s">
        <v>21</v>
      </c>
      <c r="E91" s="28">
        <f>+E93+E214</f>
        <v>-9.7839995287358761E-3</v>
      </c>
      <c r="F91" s="22"/>
    </row>
    <row r="92" spans="2:7" x14ac:dyDescent="0.45">
      <c r="B92" s="12"/>
      <c r="C92" s="12"/>
      <c r="D92" s="10" t="s">
        <v>10</v>
      </c>
      <c r="E92" s="11"/>
      <c r="F92" s="22"/>
    </row>
    <row r="93" spans="2:7" ht="35" x14ac:dyDescent="0.45">
      <c r="B93" s="12"/>
      <c r="C93" s="12"/>
      <c r="D93" s="13" t="s">
        <v>15</v>
      </c>
      <c r="E93" s="82">
        <f>+E95+E96+E98+E103+E106+E118+E130+E152+E161+E188+E198+E206</f>
        <v>-9.7839995287358761E-3</v>
      </c>
      <c r="F93" s="22"/>
    </row>
    <row r="94" spans="2:7" x14ac:dyDescent="0.45">
      <c r="B94" s="14"/>
      <c r="C94" s="14"/>
      <c r="D94" s="15" t="s">
        <v>11</v>
      </c>
      <c r="E94" s="16"/>
      <c r="F94" s="22"/>
    </row>
    <row r="95" spans="2:7" ht="35" x14ac:dyDescent="0.45">
      <c r="B95" s="12"/>
      <c r="C95" s="12"/>
      <c r="D95" s="17" t="s">
        <v>21</v>
      </c>
      <c r="E95" s="21">
        <v>-19053883.313000001</v>
      </c>
      <c r="F95" s="22"/>
    </row>
    <row r="96" spans="2:7" ht="17.5" x14ac:dyDescent="0.45">
      <c r="B96" s="12"/>
      <c r="C96" s="12"/>
      <c r="D96" s="17" t="s">
        <v>129</v>
      </c>
      <c r="E96" s="21">
        <f>+E97</f>
        <v>140840</v>
      </c>
      <c r="F96" s="22"/>
    </row>
    <row r="97" spans="2:6" s="26" customFormat="1" x14ac:dyDescent="0.45">
      <c r="B97" s="12"/>
      <c r="C97" s="12"/>
      <c r="D97" s="20" t="str">
        <f>+'Հավելված N 1'!C87</f>
        <v>Երևանի հ. 101 միջնակարգ դպրոց</v>
      </c>
      <c r="E97" s="18">
        <f>+'Հավելված N 1'!D87</f>
        <v>140840</v>
      </c>
      <c r="F97" s="25"/>
    </row>
    <row r="98" spans="2:6" ht="17.5" x14ac:dyDescent="0.45">
      <c r="B98" s="12"/>
      <c r="C98" s="12"/>
      <c r="D98" s="17" t="s">
        <v>18</v>
      </c>
      <c r="E98" s="21">
        <f>SUM(E99:E102)</f>
        <v>809330.35</v>
      </c>
      <c r="F98" s="22"/>
    </row>
    <row r="99" spans="2:6" s="26" customFormat="1" x14ac:dyDescent="0.45">
      <c r="B99" s="24"/>
      <c r="C99" s="24"/>
      <c r="D99" s="20" t="str">
        <f>+'Հավելված N 1'!C91</f>
        <v>Մաստարայի միջնակարգ դպրոց</v>
      </c>
      <c r="E99" s="18">
        <f>+'Հավելված N 1'!D91</f>
        <v>250721.7</v>
      </c>
      <c r="F99" s="25"/>
    </row>
    <row r="100" spans="2:6" s="26" customFormat="1" x14ac:dyDescent="0.45">
      <c r="B100" s="24"/>
      <c r="C100" s="24"/>
      <c r="D100" s="20" t="str">
        <f>+'Հավելված N 1'!C92</f>
        <v>Թալինի ավագ դպրոց</v>
      </c>
      <c r="E100" s="18">
        <f>+'Հավելված N 1'!D92</f>
        <v>228616.4</v>
      </c>
      <c r="F100" s="25"/>
    </row>
    <row r="101" spans="2:6" s="26" customFormat="1" x14ac:dyDescent="0.45">
      <c r="B101" s="89"/>
      <c r="C101" s="89"/>
      <c r="D101" s="20" t="str">
        <f>+'Հավելված N 1'!C93</f>
        <v>Արագածի թիվ 2 միջնակարգ դպրոց</v>
      </c>
      <c r="E101" s="18">
        <f>+'Հավելված N 1'!D93</f>
        <v>169032.25</v>
      </c>
      <c r="F101" s="25"/>
    </row>
    <row r="102" spans="2:6" s="26" customFormat="1" x14ac:dyDescent="0.45">
      <c r="B102" s="89"/>
      <c r="C102" s="89"/>
      <c r="D102" s="20" t="str">
        <f>+'Հավելված N 1'!C94</f>
        <v>Բազմաղբյուրի միջնակարգ դպրոց</v>
      </c>
      <c r="E102" s="18">
        <f>+'Հավելված N 1'!D94</f>
        <v>160960</v>
      </c>
      <c r="F102" s="25"/>
    </row>
    <row r="103" spans="2:6" ht="17.5" x14ac:dyDescent="0.45">
      <c r="B103" s="12"/>
      <c r="C103" s="12"/>
      <c r="D103" s="17" t="s">
        <v>12</v>
      </c>
      <c r="E103" s="21">
        <f>SUM(E104:E105)</f>
        <v>274589.54889799998</v>
      </c>
      <c r="F103" s="22"/>
    </row>
    <row r="104" spans="2:6" s="26" customFormat="1" x14ac:dyDescent="0.45">
      <c r="B104" s="12"/>
      <c r="C104" s="12"/>
      <c r="D104" s="20" t="str">
        <f>+'Հավելված N 1'!C102</f>
        <v xml:space="preserve">«Հնաբերդի միջնակարգ դպրոց» ՊՈԱԿ </v>
      </c>
      <c r="E104" s="18">
        <f>+'Հավելված N 1'!D102</f>
        <v>14849.548898000001</v>
      </c>
      <c r="F104" s="25"/>
    </row>
    <row r="105" spans="2:6" s="26" customFormat="1" x14ac:dyDescent="0.45">
      <c r="B105" s="89"/>
      <c r="C105" s="89"/>
      <c r="D105" s="20" t="str">
        <f>+'Հավելված N 1'!C103</f>
        <v>Բաղրամյանի միջնակարգ դպրոց</v>
      </c>
      <c r="E105" s="18">
        <f>+'Հավելված N 1'!D103</f>
        <v>259740</v>
      </c>
      <c r="F105" s="25"/>
    </row>
    <row r="106" spans="2:6" ht="17.5" x14ac:dyDescent="0.45">
      <c r="B106" s="12"/>
      <c r="C106" s="12"/>
      <c r="D106" s="17" t="s">
        <v>22</v>
      </c>
      <c r="E106" s="21">
        <f>SUM(E107:E117)</f>
        <v>1954963.1296000001</v>
      </c>
      <c r="F106" s="22"/>
    </row>
    <row r="107" spans="2:6" s="26" customFormat="1" ht="34" x14ac:dyDescent="0.45">
      <c r="B107" s="12"/>
      <c r="C107" s="12"/>
      <c r="D107" s="20" t="str">
        <f>+'Հավելված N 1'!C105</f>
        <v>«Այգեկի Մուշեղ Մովսիսյանի անվան միջնակարգ դպրոց» ՊՈԱԿ</v>
      </c>
      <c r="E107" s="18">
        <f>+'Հավելված N 1'!D105</f>
        <v>145793.4296</v>
      </c>
      <c r="F107" s="25"/>
    </row>
    <row r="108" spans="2:6" s="26" customFormat="1" x14ac:dyDescent="0.45">
      <c r="B108" s="24"/>
      <c r="C108" s="24"/>
      <c r="D108" s="20" t="str">
        <f>+'Հավելված N 1'!C106</f>
        <v>Նորակերտի միջնակարգ դպրոց</v>
      </c>
      <c r="E108" s="18">
        <f>+'Հավելված N 1'!D106</f>
        <v>171443.09</v>
      </c>
      <c r="F108" s="25"/>
    </row>
    <row r="109" spans="2:6" s="26" customFormat="1" x14ac:dyDescent="0.45">
      <c r="B109" s="24"/>
      <c r="C109" s="24"/>
      <c r="D109" s="20" t="str">
        <f>+'Հավելված N 1'!C107</f>
        <v>Քարակերտի թիվ 2 միջնակարգ դպրոց</v>
      </c>
      <c r="E109" s="18">
        <f>+'Հավելված N 1'!D107</f>
        <v>362200.04000000004</v>
      </c>
      <c r="F109" s="25"/>
    </row>
    <row r="110" spans="2:6" s="26" customFormat="1" ht="34" x14ac:dyDescent="0.45">
      <c r="B110" s="89"/>
      <c r="C110" s="89"/>
      <c r="D110" s="20" t="str">
        <f>+'Հավելված N 1'!C108</f>
        <v>Արմավիրի Վ. Բախշյանի անվան թիվ 2 հիմնական դպրոց</v>
      </c>
      <c r="E110" s="18">
        <f>+'Հավելված N 1'!D108</f>
        <v>250900</v>
      </c>
      <c r="F110" s="25"/>
    </row>
    <row r="111" spans="2:6" s="26" customFormat="1" ht="34" x14ac:dyDescent="0.45">
      <c r="B111" s="89"/>
      <c r="C111" s="89"/>
      <c r="D111" s="20" t="str">
        <f>+'Հավելված N 1'!C109</f>
        <v>Խանջյանի Ա. Հակոբյանի անվան միջնակարգ դպրոց</v>
      </c>
      <c r="E111" s="18">
        <f>+'Հավելված N 1'!D109</f>
        <v>171020</v>
      </c>
      <c r="F111" s="25"/>
    </row>
    <row r="112" spans="2:6" s="26" customFormat="1" x14ac:dyDescent="0.45">
      <c r="B112" s="89"/>
      <c r="C112" s="89"/>
      <c r="D112" s="20" t="str">
        <f>+'Հավելված N 1'!C110</f>
        <v>Ալաշկերտի Հ. Քոչարի անվան միջնակարգ դպրոց</v>
      </c>
      <c r="E112" s="18">
        <f>+'Հավելված N 1'!D110</f>
        <v>243858.5</v>
      </c>
      <c r="F112" s="25"/>
    </row>
    <row r="113" spans="2:6" s="26" customFormat="1" x14ac:dyDescent="0.45">
      <c r="B113" s="89"/>
      <c r="C113" s="89"/>
      <c r="D113" s="20" t="str">
        <f>+'Հավելված N 1'!C111</f>
        <v>Նորավանի միջնակարգ դպրոց</v>
      </c>
      <c r="E113" s="18">
        <f>+'Հավելված N 1'!D111</f>
        <v>260960</v>
      </c>
      <c r="F113" s="25"/>
    </row>
    <row r="114" spans="2:6" s="26" customFormat="1" x14ac:dyDescent="0.45">
      <c r="B114" s="89"/>
      <c r="C114" s="89"/>
      <c r="D114" s="20" t="str">
        <f>+'Հավելված N 1'!C112</f>
        <v>Մեծամորի միջնակարգ դպրոց</v>
      </c>
      <c r="E114" s="18">
        <f>+'Հավելված N 1'!D112</f>
        <v>144569.07</v>
      </c>
      <c r="F114" s="25"/>
    </row>
    <row r="115" spans="2:6" s="26" customFormat="1" x14ac:dyDescent="0.45">
      <c r="B115" s="89"/>
      <c r="C115" s="89"/>
      <c r="D115" s="20" t="str">
        <f>+'Հավելված N 1'!C113</f>
        <v>Նորապատի միջնակարգ դպրոց</v>
      </c>
      <c r="E115" s="18">
        <f>+'Հավելված N 1'!D113</f>
        <v>70438.100000000006</v>
      </c>
      <c r="F115" s="25"/>
    </row>
    <row r="116" spans="2:6" s="26" customFormat="1" ht="17.399999999999999" customHeight="1" x14ac:dyDescent="0.45">
      <c r="B116" s="89"/>
      <c r="C116" s="89"/>
      <c r="D116" s="20" t="str">
        <f>+'Հավելված N 1'!C114</f>
        <v>Այգեվանի Մ. Խորենացու անվան միջնակարգ դպրոց</v>
      </c>
      <c r="E116" s="18">
        <f>+'Հավելված N 1'!D114</f>
        <v>70488.2</v>
      </c>
      <c r="F116" s="25"/>
    </row>
    <row r="117" spans="2:6" s="26" customFormat="1" x14ac:dyDescent="0.45">
      <c r="B117" s="89"/>
      <c r="C117" s="89"/>
      <c r="D117" s="20" t="str">
        <f>+'Հավելված N 1'!C115</f>
        <v>Ծիածանի միջնակարգ դպրոց</v>
      </c>
      <c r="E117" s="18">
        <f>+'Հավելված N 1'!D115</f>
        <v>63292.7</v>
      </c>
      <c r="F117" s="25"/>
    </row>
    <row r="118" spans="2:6" ht="17.5" x14ac:dyDescent="0.45">
      <c r="B118" s="12"/>
      <c r="C118" s="12"/>
      <c r="D118" s="17" t="s">
        <v>16</v>
      </c>
      <c r="E118" s="21">
        <f>SUM(E119:E129)</f>
        <v>1969927.4780000001</v>
      </c>
      <c r="F118" s="22"/>
    </row>
    <row r="119" spans="2:6" s="26" customFormat="1" x14ac:dyDescent="0.45">
      <c r="B119" s="24"/>
      <c r="C119" s="24"/>
      <c r="D119" s="20" t="str">
        <f>+'Հավելված N 1'!C119</f>
        <v xml:space="preserve">«Վաղաշենի միջնակարգ դպրոց» ՊՈԱԿ </v>
      </c>
      <c r="E119" s="18">
        <f>+'Հավելված N 1'!D119</f>
        <v>34087.777999999998</v>
      </c>
      <c r="F119" s="25"/>
    </row>
    <row r="120" spans="2:6" s="26" customFormat="1" x14ac:dyDescent="0.45">
      <c r="B120" s="24"/>
      <c r="C120" s="24"/>
      <c r="D120" s="20" t="str">
        <f>+'Հավելված N 1'!C120</f>
        <v>Ծակքարի միջնակարգ դպրոց</v>
      </c>
      <c r="E120" s="18">
        <f>+'Հավելված N 1'!D120</f>
        <v>248362.2</v>
      </c>
      <c r="F120" s="25"/>
    </row>
    <row r="121" spans="2:6" s="26" customFormat="1" x14ac:dyDescent="0.45">
      <c r="B121" s="24"/>
      <c r="C121" s="24"/>
      <c r="D121" s="20" t="str">
        <f>+'Հավելված N 1'!C121</f>
        <v>Նորատուսի թիվ 1 միջնակարգ դպրոց</v>
      </c>
      <c r="E121" s="18">
        <f>+'Հավելված N 1'!D121</f>
        <v>406969.7</v>
      </c>
      <c r="F121" s="25"/>
    </row>
    <row r="122" spans="2:6" s="26" customFormat="1" x14ac:dyDescent="0.45">
      <c r="B122" s="24"/>
      <c r="C122" s="24"/>
      <c r="D122" s="20" t="str">
        <f>+'Հավելված N 1'!C122</f>
        <v>Կարմիրգյուղի թիվ 2 միջնակարգ դպրոց</v>
      </c>
      <c r="E122" s="18">
        <f>+'Հավելված N 1'!D122</f>
        <v>264450.5</v>
      </c>
      <c r="F122" s="25"/>
    </row>
    <row r="123" spans="2:6" s="26" customFormat="1" x14ac:dyDescent="0.45">
      <c r="B123" s="24"/>
      <c r="C123" s="24"/>
      <c r="D123" s="20" t="str">
        <f>+'Հավելված N 1'!C123</f>
        <v>Ծովագյուղի միջնակարգ դպրոց</v>
      </c>
      <c r="E123" s="18">
        <f>+'Հավելված N 1'!D123</f>
        <v>130780</v>
      </c>
      <c r="F123" s="25"/>
    </row>
    <row r="124" spans="2:6" s="26" customFormat="1" x14ac:dyDescent="0.45">
      <c r="B124" s="24"/>
      <c r="C124" s="24"/>
      <c r="D124" s="20" t="str">
        <f>+'Հավելված N 1'!C124</f>
        <v>Ակունքի միջնակարգ դպրոց</v>
      </c>
      <c r="E124" s="18">
        <f>+'Հավելված N 1'!D124</f>
        <v>120720</v>
      </c>
      <c r="F124" s="25"/>
    </row>
    <row r="125" spans="2:6" s="26" customFormat="1" x14ac:dyDescent="0.45">
      <c r="B125" s="24"/>
      <c r="C125" s="24"/>
      <c r="D125" s="20" t="str">
        <f>+'Հավելված N 1'!C125</f>
        <v>Վարդաձորի միջնակարգ դպրոց</v>
      </c>
      <c r="E125" s="18">
        <f>+'Հավելված N 1'!D125</f>
        <v>200600</v>
      </c>
      <c r="F125" s="25"/>
    </row>
    <row r="126" spans="2:6" s="26" customFormat="1" x14ac:dyDescent="0.45">
      <c r="B126" s="24"/>
      <c r="C126" s="24"/>
      <c r="D126" s="20" t="str">
        <f>+'Հավելված N 1'!C126</f>
        <v>Սարուխանի թիվ 2 միջնակարգ դպրոց</v>
      </c>
      <c r="E126" s="18">
        <f>+'Հավելված N 1'!D126</f>
        <v>235426.4</v>
      </c>
      <c r="F126" s="25"/>
    </row>
    <row r="127" spans="2:6" s="26" customFormat="1" x14ac:dyDescent="0.45">
      <c r="B127" s="24"/>
      <c r="C127" s="24"/>
      <c r="D127" s="20" t="str">
        <f>+'Հավելված N 1'!C127</f>
        <v>Ձորագյուղի միջնակարգ դպրոց</v>
      </c>
      <c r="E127" s="18">
        <f>+'Հավելված N 1'!D127</f>
        <v>237449.1</v>
      </c>
      <c r="F127" s="25"/>
    </row>
    <row r="128" spans="2:6" s="26" customFormat="1" ht="17.399999999999999" customHeight="1" x14ac:dyDescent="0.45">
      <c r="B128" s="24"/>
      <c r="C128" s="24"/>
      <c r="D128" s="20" t="str">
        <f>+'Հավելված N 1'!C128</f>
        <v>Կարճաղբյուրի Ա. Գրիգորյանի անվան միջնակարգ դպրոց</v>
      </c>
      <c r="E128" s="18">
        <f>+'Հավելված N 1'!D128</f>
        <v>50830.1</v>
      </c>
      <c r="F128" s="25"/>
    </row>
    <row r="129" spans="2:6" s="26" customFormat="1" x14ac:dyDescent="0.45">
      <c r="B129" s="24"/>
      <c r="C129" s="24"/>
      <c r="D129" s="20" t="str">
        <f>+'Հավելված N 1'!C129</f>
        <v>Գավառի թիվ 4 հիմնական դպրոց</v>
      </c>
      <c r="E129" s="18">
        <f>+'Հավելված N 1'!D129</f>
        <v>40251.699999999997</v>
      </c>
      <c r="F129" s="25"/>
    </row>
    <row r="130" spans="2:6" ht="17.5" x14ac:dyDescent="0.45">
      <c r="B130" s="12"/>
      <c r="C130" s="12"/>
      <c r="D130" s="17" t="s">
        <v>13</v>
      </c>
      <c r="E130" s="21">
        <f>SUM(E131:E151)</f>
        <v>3923011.7337999996</v>
      </c>
      <c r="F130" s="22"/>
    </row>
    <row r="131" spans="2:6" s="26" customFormat="1" x14ac:dyDescent="0.45">
      <c r="B131" s="12"/>
      <c r="C131" s="12"/>
      <c r="D131" s="20" t="str">
        <f>+'Հավելված N 1'!C131</f>
        <v xml:space="preserve">«Ագարակի միջնակարգ դպրոց» ՊՈԱԿ </v>
      </c>
      <c r="E131" s="18">
        <f>+'Հավելված N 1'!D131</f>
        <v>104921.80739999999</v>
      </c>
      <c r="F131" s="25"/>
    </row>
    <row r="132" spans="2:6" s="26" customFormat="1" ht="34" x14ac:dyDescent="0.45">
      <c r="B132" s="12"/>
      <c r="C132" s="12"/>
      <c r="D132" s="20" t="str">
        <f>+'Հավելված N 1'!C132</f>
        <v xml:space="preserve">«ք. Վանաձորի Ա.Մաթևոսյանի անվան թիվ 8 հիմնական դպրոց» ՊՈԱԿ </v>
      </c>
      <c r="E132" s="18">
        <f>+'Հավելված N 1'!D132</f>
        <v>125520.69899999999</v>
      </c>
      <c r="F132" s="25"/>
    </row>
    <row r="133" spans="2:6" s="26" customFormat="1" ht="34" x14ac:dyDescent="0.45">
      <c r="B133" s="12"/>
      <c r="C133" s="12"/>
      <c r="D133" s="20" t="str">
        <f>+'Հավելված N 1'!C133</f>
        <v xml:space="preserve">«ք. Վանաձորի Խ.Աբովյանի անվան թիվ 9 հիմնական դպրոց» ՊՈԱԿ </v>
      </c>
      <c r="E133" s="18">
        <f>+'Հավելված N 1'!D133</f>
        <v>83448.102399999989</v>
      </c>
      <c r="F133" s="25"/>
    </row>
    <row r="134" spans="2:6" s="26" customFormat="1" ht="34" x14ac:dyDescent="0.45">
      <c r="B134" s="12"/>
      <c r="C134" s="12"/>
      <c r="D134" s="20" t="str">
        <f>+'Հավելված N 1'!C134</f>
        <v>«Վանաձորի ծովակալ Իսակովի անվան թիվ 23 հիմնական դպրոց» ՊՈԱԿ</v>
      </c>
      <c r="E134" s="18">
        <f>+'Հավելված N 1'!D134</f>
        <v>124648.11899999999</v>
      </c>
      <c r="F134" s="25"/>
    </row>
    <row r="135" spans="2:6" s="26" customFormat="1" ht="34" x14ac:dyDescent="0.45">
      <c r="B135" s="12"/>
      <c r="C135" s="12"/>
      <c r="D135" s="20" t="str">
        <f>+'Հավելված N 1'!C135</f>
        <v xml:space="preserve">«Ստեփանավանի Ստ․ Շահումյանի անվան թիվ 1 հիմնական դպրոց» ՊՈԱԿ </v>
      </c>
      <c r="E135" s="18">
        <f>+'Հավելված N 1'!D135</f>
        <v>83351.776799999992</v>
      </c>
      <c r="F135" s="25"/>
    </row>
    <row r="136" spans="2:6" s="26" customFormat="1" ht="34" x14ac:dyDescent="0.45">
      <c r="B136" s="12"/>
      <c r="C136" s="12"/>
      <c r="D136" s="20" t="str">
        <f>+'Հավելված N 1'!C136</f>
        <v xml:space="preserve">«Ստեփանավանի Սուրբ Գրիգոր Լուսավորիչի անվան թիվ 2 հիմնական դպրոց» ՊՈԱԿ </v>
      </c>
      <c r="E136" s="18">
        <f>+'Հավելված N 1'!D136</f>
        <v>263617.10599999997</v>
      </c>
      <c r="F136" s="25"/>
    </row>
    <row r="137" spans="2:6" s="26" customFormat="1" x14ac:dyDescent="0.45">
      <c r="B137" s="24"/>
      <c r="C137" s="24"/>
      <c r="D137" s="20" t="str">
        <f>+'Հավելված N 1'!C137</f>
        <v>Գյուլագարակի միջնակարգ դպրոց</v>
      </c>
      <c r="E137" s="18">
        <f>+'Հավելված N 1'!D137</f>
        <v>290362.2</v>
      </c>
      <c r="F137" s="25"/>
    </row>
    <row r="138" spans="2:6" s="26" customFormat="1" ht="34" x14ac:dyDescent="0.45">
      <c r="B138" s="24"/>
      <c r="C138" s="24"/>
      <c r="D138" s="20" t="str">
        <f>+'Հավելված N 1'!C138</f>
        <v>Սպիտակի Շ. Ազնավուրի անվան թիվ 3 հիմնական դպրոց</v>
      </c>
      <c r="E138" s="18">
        <f>+'Հավելված N 1'!D138</f>
        <v>172289</v>
      </c>
      <c r="F138" s="25"/>
    </row>
    <row r="139" spans="2:6" s="26" customFormat="1" ht="51" x14ac:dyDescent="0.45">
      <c r="B139" s="89"/>
      <c r="C139" s="89"/>
      <c r="D139" s="20" t="str">
        <f>+'Հավելված N 1'!C139</f>
        <v>ք. Վանաձորի Մաթեմատիկայի և բնագիտական առարկաների խորացված ուսուցմամբ հատուկ դպրոց</v>
      </c>
      <c r="E139" s="18">
        <f>+'Հավելված N 1'!D139</f>
        <v>380593.3</v>
      </c>
      <c r="F139" s="25"/>
    </row>
    <row r="140" spans="2:6" s="26" customFormat="1" x14ac:dyDescent="0.45">
      <c r="B140" s="89"/>
      <c r="C140" s="89"/>
      <c r="D140" s="20" t="str">
        <f>+'Հավելված N 1'!C140</f>
        <v>Լեռնավանի միջնակարգ դպրոց</v>
      </c>
      <c r="E140" s="18">
        <f>+'Հավելված N 1'!D140</f>
        <v>140194.81400000001</v>
      </c>
      <c r="F140" s="25"/>
    </row>
    <row r="141" spans="2:6" s="26" customFormat="1" x14ac:dyDescent="0.45">
      <c r="B141" s="89"/>
      <c r="C141" s="89"/>
      <c r="D141" s="20" t="str">
        <f>+'Հավելված N 1'!C141</f>
        <v>Արևաշողի միջնակարգ դպրոց</v>
      </c>
      <c r="E141" s="18">
        <f>+'Հավելված N 1'!D141</f>
        <v>305254.37599999999</v>
      </c>
      <c r="F141" s="25"/>
    </row>
    <row r="142" spans="2:6" s="26" customFormat="1" x14ac:dyDescent="0.45">
      <c r="B142" s="89"/>
      <c r="C142" s="89"/>
      <c r="D142" s="20" t="str">
        <f>+'Հավելված N 1'!C142</f>
        <v>Վարդաբլուրի միջնակարգ դպրոց</v>
      </c>
      <c r="E142" s="18">
        <f>+'Հավելված N 1'!D142</f>
        <v>257364.83919999999</v>
      </c>
      <c r="F142" s="25"/>
    </row>
    <row r="143" spans="2:6" s="26" customFormat="1" x14ac:dyDescent="0.45">
      <c r="B143" s="89"/>
      <c r="C143" s="89"/>
      <c r="D143" s="20" t="str">
        <f>+'Հավելված N 1'!C143</f>
        <v>Արջահովիտի Ղուրսալիի միջնակարգ դպրոց</v>
      </c>
      <c r="E143" s="18">
        <f>+'Հավելված N 1'!D143</f>
        <v>203414.5</v>
      </c>
      <c r="F143" s="25"/>
    </row>
    <row r="144" spans="2:6" s="26" customFormat="1" ht="34" x14ac:dyDescent="0.45">
      <c r="B144" s="89"/>
      <c r="C144" s="89"/>
      <c r="D144" s="20" t="str">
        <f>+'Հավելված N 1'!C144</f>
        <v>Լեռնապատի Ե. Դալլաքյանի անվան միջնակարգ դպրոց</v>
      </c>
      <c r="E144" s="18">
        <f>+'Հավելված N 1'!D144</f>
        <v>251719.49300000002</v>
      </c>
      <c r="F144" s="25"/>
    </row>
    <row r="145" spans="2:6" s="26" customFormat="1" x14ac:dyDescent="0.45">
      <c r="B145" s="89"/>
      <c r="C145" s="89"/>
      <c r="D145" s="20" t="str">
        <f>+'Հավելված N 1'!C145</f>
        <v>Լուսաղբյուրի միջնակարգ դպրոց</v>
      </c>
      <c r="E145" s="18">
        <f>+'Հավելված N 1'!D145</f>
        <v>124341.6</v>
      </c>
      <c r="F145" s="25"/>
    </row>
    <row r="146" spans="2:6" s="26" customFormat="1" ht="34" x14ac:dyDescent="0.45">
      <c r="B146" s="89"/>
      <c r="C146" s="89"/>
      <c r="D146" s="20" t="str">
        <f>+'Հավելված N 1'!C146</f>
        <v>Ծաղկաբերի Դ. Մարտիրոսյանի անվան միջնակարգ դպրոց</v>
      </c>
      <c r="E146" s="18">
        <f>+'Հավելված N 1'!D146</f>
        <v>197980.79999999999</v>
      </c>
      <c r="F146" s="25"/>
    </row>
    <row r="147" spans="2:6" s="26" customFormat="1" x14ac:dyDescent="0.45">
      <c r="B147" s="89"/>
      <c r="C147" s="89"/>
      <c r="D147" s="20" t="str">
        <f>+'Հավելված N 1'!C147</f>
        <v>Գոգարանի միջնակարգ դպրոց</v>
      </c>
      <c r="E147" s="18">
        <f>+'Հավելված N 1'!D147</f>
        <v>282528.88</v>
      </c>
      <c r="F147" s="25"/>
    </row>
    <row r="148" spans="2:6" s="26" customFormat="1" x14ac:dyDescent="0.45">
      <c r="B148" s="89"/>
      <c r="C148" s="89"/>
      <c r="D148" s="20" t="str">
        <f>+'Հավելված N 1'!C148</f>
        <v>Լեռնանցքի միջնակարգ դպրոց</v>
      </c>
      <c r="E148" s="18">
        <f>+'Հավելված N 1'!D148</f>
        <v>164273.82100000003</v>
      </c>
      <c r="F148" s="25"/>
    </row>
    <row r="149" spans="2:6" s="26" customFormat="1" ht="34" x14ac:dyDescent="0.45">
      <c r="B149" s="89"/>
      <c r="C149" s="89"/>
      <c r="D149" s="20" t="str">
        <f>+'Հավելված N 1'!C149</f>
        <v>Կաթնաջրի Ս. Սեյրանյանի անվան միջնակարգ դպրոց</v>
      </c>
      <c r="E149" s="18">
        <f>+'Հավելված N 1'!D149</f>
        <v>266449</v>
      </c>
      <c r="F149" s="25"/>
    </row>
    <row r="150" spans="2:6" s="26" customFormat="1" x14ac:dyDescent="0.45">
      <c r="B150" s="89"/>
      <c r="C150" s="89"/>
      <c r="D150" s="20" t="str">
        <f>+'Հավելված N 1'!C150</f>
        <v>Վանաձորի թիվ 22 միջնակարգ դպրոց</v>
      </c>
      <c r="E150" s="18">
        <f>+'Հավելված N 1'!D150</f>
        <v>50351.6</v>
      </c>
      <c r="F150" s="25"/>
    </row>
    <row r="151" spans="2:6" s="26" customFormat="1" x14ac:dyDescent="0.45">
      <c r="B151" s="89"/>
      <c r="C151" s="89"/>
      <c r="D151" s="20" t="str">
        <f>+'Հավելված N 1'!C151</f>
        <v>Ախթալայի թիվ 2 միջնակարգ դպրոց</v>
      </c>
      <c r="E151" s="18">
        <f>+'Հավելված N 1'!D151</f>
        <v>50385.9</v>
      </c>
      <c r="F151" s="25"/>
    </row>
    <row r="152" spans="2:6" ht="17.5" x14ac:dyDescent="0.45">
      <c r="B152" s="12"/>
      <c r="C152" s="12"/>
      <c r="D152" s="17" t="s">
        <v>20</v>
      </c>
      <c r="E152" s="21">
        <f>SUM(E153:E160)</f>
        <v>846717.70872000011</v>
      </c>
      <c r="F152" s="22"/>
    </row>
    <row r="153" spans="2:6" s="26" customFormat="1" x14ac:dyDescent="0.45">
      <c r="B153" s="24"/>
      <c r="C153" s="24"/>
      <c r="D153" s="20" t="str">
        <f>+'Հավելված N 1'!C153</f>
        <v>Գառնու թիվ 2 ավագ դպրոց</v>
      </c>
      <c r="E153" s="18">
        <f>+'Հավելված N 1'!D153</f>
        <v>80450.282399999996</v>
      </c>
      <c r="F153" s="25"/>
    </row>
    <row r="154" spans="2:6" s="26" customFormat="1" x14ac:dyDescent="0.45">
      <c r="B154" s="24"/>
      <c r="C154" s="24"/>
      <c r="D154" s="20" t="str">
        <f>+'Հավելված N 1'!C154</f>
        <v>Արզնիի միջնակարգ դպրոց</v>
      </c>
      <c r="E154" s="18">
        <f>+'Հավելված N 1'!D154</f>
        <v>198381.3</v>
      </c>
      <c r="F154" s="25"/>
    </row>
    <row r="155" spans="2:6" s="26" customFormat="1" ht="34" x14ac:dyDescent="0.45">
      <c r="B155" s="24"/>
      <c r="C155" s="24"/>
      <c r="D155" s="20" t="str">
        <f>+'Հավելված N 1'!C155</f>
        <v>Ձորաղբյուրի Վ. Կարապետյանի անվան միջնակարգ դպրոց</v>
      </c>
      <c r="E155" s="18">
        <f>+'Հավելված N 1'!D155</f>
        <v>182093.3</v>
      </c>
      <c r="F155" s="25"/>
    </row>
    <row r="156" spans="2:6" s="26" customFormat="1" x14ac:dyDescent="0.45">
      <c r="B156" s="24"/>
      <c r="C156" s="24"/>
      <c r="D156" s="20" t="str">
        <f>+'Հավելված N 1'!C156</f>
        <v>Մրգաշենի միջնակարգ դպրոց</v>
      </c>
      <c r="E156" s="18">
        <f>+'Հավելված N 1'!D156</f>
        <v>159164.82631999999</v>
      </c>
      <c r="F156" s="25"/>
    </row>
    <row r="157" spans="2:6" s="26" customFormat="1" x14ac:dyDescent="0.45">
      <c r="B157" s="24"/>
      <c r="C157" s="24"/>
      <c r="D157" s="20" t="str">
        <f>+'Հավելված N 1'!C157</f>
        <v>Ծաղկաձորի միջնակարգ դպրոց</v>
      </c>
      <c r="E157" s="18">
        <f>+'Հավելված N 1'!D157</f>
        <v>65471.4</v>
      </c>
      <c r="F157" s="25"/>
    </row>
    <row r="158" spans="2:6" s="26" customFormat="1" x14ac:dyDescent="0.45">
      <c r="B158" s="24"/>
      <c r="C158" s="24"/>
      <c r="D158" s="20" t="str">
        <f>+'Հավելված N 1'!C158</f>
        <v>Հրազդանի Խ․ Աբովյանի թիվ 1 ավագ դպրոց</v>
      </c>
      <c r="E158" s="18">
        <f>+'Հավելված N 1'!D158</f>
        <v>50361.4</v>
      </c>
      <c r="F158" s="25"/>
    </row>
    <row r="159" spans="2:6" s="26" customFormat="1" x14ac:dyDescent="0.45">
      <c r="B159" s="24"/>
      <c r="C159" s="24"/>
      <c r="D159" s="20" t="str">
        <f>+'Հավելված N 1'!C159</f>
        <v>Քաղսի միջնակարգ դպրոց</v>
      </c>
      <c r="E159" s="18">
        <f>+'Հավելված N 1'!D159</f>
        <v>80580.3</v>
      </c>
      <c r="F159" s="25"/>
    </row>
    <row r="160" spans="2:6" s="26" customFormat="1" ht="17.399999999999999" customHeight="1" x14ac:dyDescent="0.45">
      <c r="B160" s="24"/>
      <c r="C160" s="24"/>
      <c r="D160" s="20" t="str">
        <f>+'Հավելված N 1'!C160</f>
        <v>Մեղրաձորի Հ. Հակոբյանի անվան միջնակարգ դպրոց</v>
      </c>
      <c r="E160" s="18">
        <f>+'Հավելված N 1'!D160</f>
        <v>30214.9</v>
      </c>
      <c r="F160" s="25"/>
    </row>
    <row r="161" spans="2:6" ht="17.5" x14ac:dyDescent="0.45">
      <c r="B161" s="12"/>
      <c r="C161" s="12"/>
      <c r="D161" s="17" t="s">
        <v>17</v>
      </c>
      <c r="E161" s="21">
        <f>SUM(E162:E187)</f>
        <v>4945697.9216</v>
      </c>
      <c r="F161" s="22"/>
    </row>
    <row r="162" spans="2:6" s="26" customFormat="1" x14ac:dyDescent="0.45">
      <c r="B162" s="12"/>
      <c r="C162" s="12"/>
      <c r="D162" s="20" t="str">
        <f>+'Հավելված N 1'!C162</f>
        <v xml:space="preserve">«ք․ Գյումրու թիվ 32 հիմնական դպրոց» ՊՈԱԿ </v>
      </c>
      <c r="E162" s="18">
        <f>+'Հավելված N 1'!D162</f>
        <v>146613</v>
      </c>
      <c r="F162" s="25"/>
    </row>
    <row r="163" spans="2:6" s="26" customFormat="1" x14ac:dyDescent="0.45">
      <c r="B163" s="12"/>
      <c r="C163" s="12"/>
      <c r="D163" s="20" t="str">
        <f>+'Հավելված N 1'!C163</f>
        <v xml:space="preserve">«ք․ Գյումրու թիվ 38 հիմնական դպրոց» ՊՈԱԿ </v>
      </c>
      <c r="E163" s="18">
        <f>+'Հավելված N 1'!D163</f>
        <v>126501.40299999999</v>
      </c>
      <c r="F163" s="25"/>
    </row>
    <row r="164" spans="2:6" s="26" customFormat="1" x14ac:dyDescent="0.45">
      <c r="B164" s="12"/>
      <c r="C164" s="12"/>
      <c r="D164" s="20" t="str">
        <f>+'Հավելված N 1'!C164</f>
        <v>«ք․ Գյումրու թիվ 41 հիմնական դպրոց» ՊՈԱԿ</v>
      </c>
      <c r="E164" s="18">
        <f>+'Հավելված N 1'!D164</f>
        <v>182380.9</v>
      </c>
      <c r="F164" s="25"/>
    </row>
    <row r="165" spans="2:6" s="26" customFormat="1" x14ac:dyDescent="0.45">
      <c r="B165" s="12"/>
      <c r="C165" s="12"/>
      <c r="D165" s="20" t="str">
        <f>+'Հավելված N 1'!C165</f>
        <v xml:space="preserve">«ք․ Գյումրու թիվ 28 հիմնական դպրոց» ՊՈԱԿ </v>
      </c>
      <c r="E165" s="18">
        <f>+'Հավելված N 1'!D165</f>
        <v>52251.808199999999</v>
      </c>
      <c r="F165" s="25"/>
    </row>
    <row r="166" spans="2:6" s="26" customFormat="1" x14ac:dyDescent="0.45">
      <c r="B166" s="12"/>
      <c r="C166" s="12"/>
      <c r="D166" s="20" t="str">
        <f>+'Հավելված N 1'!C166</f>
        <v xml:space="preserve">«Փանիկի միջնակարգ դպրոց» ՊՈԱԿ </v>
      </c>
      <c r="E166" s="18">
        <f>+'Հավելված N 1'!D166</f>
        <v>149899.90000000002</v>
      </c>
      <c r="F166" s="25"/>
    </row>
    <row r="167" spans="2:6" s="26" customFormat="1" x14ac:dyDescent="0.45">
      <c r="B167" s="12"/>
      <c r="C167" s="12"/>
      <c r="D167" s="20" t="str">
        <f>+'Հավելված N 1'!C167</f>
        <v xml:space="preserve">«Ախուրյանի թիվ 2 հիմնական դպրոց» ՊՈԱԿ </v>
      </c>
      <c r="E167" s="18">
        <f>+'Հավելված N 1'!D167</f>
        <v>103310.47199999999</v>
      </c>
      <c r="F167" s="25"/>
    </row>
    <row r="168" spans="2:6" s="26" customFormat="1" x14ac:dyDescent="0.45">
      <c r="B168" s="12"/>
      <c r="C168" s="12"/>
      <c r="D168" s="20" t="str">
        <f>+'Հավելված N 1'!C168</f>
        <v>«Գյումրու թիվ 20 հիմնական դպրոց» ՊՈԱԿ</v>
      </c>
      <c r="E168" s="18">
        <f>+'Հավելված N 1'!D168</f>
        <v>51571.989000000001</v>
      </c>
      <c r="F168" s="25"/>
    </row>
    <row r="169" spans="2:6" s="26" customFormat="1" x14ac:dyDescent="0.45">
      <c r="B169" s="12"/>
      <c r="C169" s="12"/>
      <c r="D169" s="20" t="str">
        <f>+'Հավելված N 1'!C169</f>
        <v>«Գյումրու թիվ 23 միջնակարգ դպրոց» ՊՈԱԿ</v>
      </c>
      <c r="E169" s="18">
        <f>+'Հավելված N 1'!D169</f>
        <v>23735.664600000036</v>
      </c>
      <c r="F169" s="25"/>
    </row>
    <row r="170" spans="2:6" s="26" customFormat="1" x14ac:dyDescent="0.45">
      <c r="B170" s="24"/>
      <c r="C170" s="24"/>
      <c r="D170" s="20" t="str">
        <f>+'Հավելված N 1'!C170</f>
        <v>Աշոցքի միջնակարգ դպրոց</v>
      </c>
      <c r="E170" s="18">
        <f>+'Հավելված N 1'!D170</f>
        <v>108042.9798</v>
      </c>
      <c r="F170" s="25"/>
    </row>
    <row r="171" spans="2:6" s="26" customFormat="1" ht="15.65" customHeight="1" x14ac:dyDescent="0.45">
      <c r="B171" s="24"/>
      <c r="C171" s="24"/>
      <c r="D171" s="20" t="str">
        <f>+'Հավելված N 1'!C171</f>
        <v>Գյումրու Օյունջյանի միջնակարգ դպրոց-վարժարան</v>
      </c>
      <c r="E171" s="18">
        <f>+'Հավելված N 1'!D171</f>
        <v>232381.35</v>
      </c>
      <c r="F171" s="25"/>
    </row>
    <row r="172" spans="2:6" s="26" customFormat="1" x14ac:dyDescent="0.45">
      <c r="B172" s="24"/>
      <c r="C172" s="24"/>
      <c r="D172" s="20" t="str">
        <f>+'Հավելված N 1'!C172</f>
        <v>Գյումրու թիվ 9 հիմնական դպրոց</v>
      </c>
      <c r="E172" s="18">
        <f>+'Հավելված N 1'!D172</f>
        <v>184802.2</v>
      </c>
      <c r="F172" s="25"/>
    </row>
    <row r="173" spans="2:6" s="26" customFormat="1" x14ac:dyDescent="0.45">
      <c r="B173" s="24"/>
      <c r="C173" s="24"/>
      <c r="D173" s="20" t="str">
        <f>+'Հավելված N 1'!C173</f>
        <v>Գյումրու թիվ 19 հիմնական դպրոց</v>
      </c>
      <c r="E173" s="18">
        <f>+'Հավելված N 1'!D173</f>
        <v>417180.2</v>
      </c>
      <c r="F173" s="25"/>
    </row>
    <row r="174" spans="2:6" s="26" customFormat="1" x14ac:dyDescent="0.45">
      <c r="B174" s="24"/>
      <c r="C174" s="24"/>
      <c r="D174" s="20" t="str">
        <f>+'Հավելված N 1'!C174</f>
        <v>Հառիճի միջնակարգ դպրոց</v>
      </c>
      <c r="E174" s="18">
        <f>+'Հավելված N 1'!D174</f>
        <v>194693.984</v>
      </c>
      <c r="F174" s="25"/>
    </row>
    <row r="175" spans="2:6" s="26" customFormat="1" x14ac:dyDescent="0.45">
      <c r="B175" s="24"/>
      <c r="C175" s="24"/>
      <c r="D175" s="20" t="str">
        <f>+'Հավելված N 1'!C175</f>
        <v>Գյումրու թիվ 31 հիմնական դպրոց</v>
      </c>
      <c r="E175" s="18">
        <f>+'Հավելված N 1'!D175</f>
        <v>236547.92</v>
      </c>
      <c r="F175" s="25"/>
    </row>
    <row r="176" spans="2:6" s="26" customFormat="1" x14ac:dyDescent="0.45">
      <c r="B176" s="24"/>
      <c r="C176" s="24"/>
      <c r="D176" s="20" t="str">
        <f>+'Հավելված N 1'!C176</f>
        <v>Գյումրու թիվ 45 միջնակարգ դպրոց</v>
      </c>
      <c r="E176" s="18">
        <f>+'Հավելված N 1'!D176</f>
        <v>342252.9</v>
      </c>
      <c r="F176" s="25"/>
    </row>
    <row r="177" spans="2:6" s="26" customFormat="1" x14ac:dyDescent="0.45">
      <c r="B177" s="24"/>
      <c r="C177" s="24"/>
      <c r="D177" s="20" t="str">
        <f>+'Հավելված N 1'!C177</f>
        <v>Կառնուտի միջնակարգ դպրոց</v>
      </c>
      <c r="E177" s="18">
        <f>+'Հավելված N 1'!D177</f>
        <v>169561.4</v>
      </c>
      <c r="F177" s="25"/>
    </row>
    <row r="178" spans="2:6" s="26" customFormat="1" x14ac:dyDescent="0.45">
      <c r="B178" s="24"/>
      <c r="C178" s="24"/>
      <c r="D178" s="20" t="str">
        <f>+'Հավելված N 1'!C178</f>
        <v>Գյումրու թիվ 5 հիմնական դպրոց</v>
      </c>
      <c r="E178" s="18">
        <f>+'Հավելված N 1'!D178</f>
        <v>318602.5</v>
      </c>
      <c r="F178" s="25"/>
    </row>
    <row r="179" spans="2:6" s="26" customFormat="1" x14ac:dyDescent="0.45">
      <c r="B179" s="24"/>
      <c r="C179" s="24"/>
      <c r="D179" s="20" t="str">
        <f>+'Հավելված N 1'!C179</f>
        <v>Գյումրու թիվ 30 հիմնական դպրոց</v>
      </c>
      <c r="E179" s="18">
        <f>+'Հավելված N 1'!D179</f>
        <v>273813.09999999998</v>
      </c>
      <c r="F179" s="25"/>
    </row>
    <row r="180" spans="2:6" s="26" customFormat="1" x14ac:dyDescent="0.45">
      <c r="B180" s="24"/>
      <c r="C180" s="24"/>
      <c r="D180" s="20" t="str">
        <f>+'Հավելված N 1'!C180</f>
        <v>Նոր Կյանքի միջնակարգ դպրոց</v>
      </c>
      <c r="E180" s="18">
        <f>+'Հավելված N 1'!D180</f>
        <v>178218.99160000001</v>
      </c>
      <c r="F180" s="25"/>
    </row>
    <row r="181" spans="2:6" s="26" customFormat="1" x14ac:dyDescent="0.45">
      <c r="B181" s="24"/>
      <c r="C181" s="24"/>
      <c r="D181" s="20" t="str">
        <f>+'Հավելված N 1'!C181</f>
        <v>Արևշատի միջնակարգ դպրոց</v>
      </c>
      <c r="E181" s="18">
        <f>+'Հավելված N 1'!D181</f>
        <v>176149.4596</v>
      </c>
      <c r="F181" s="25"/>
    </row>
    <row r="182" spans="2:6" s="26" customFormat="1" x14ac:dyDescent="0.45">
      <c r="B182" s="24"/>
      <c r="C182" s="24"/>
      <c r="D182" s="20" t="str">
        <f>+'Հավելված N 1'!C182</f>
        <v>Գյումրու թիվ 7 հիմնական դպրոց</v>
      </c>
      <c r="E182" s="18">
        <f>+'Հավելված N 1'!D182</f>
        <v>382761.44</v>
      </c>
      <c r="F182" s="25"/>
    </row>
    <row r="183" spans="2:6" s="26" customFormat="1" x14ac:dyDescent="0.45">
      <c r="B183" s="24"/>
      <c r="C183" s="24"/>
      <c r="D183" s="20" t="str">
        <f>+'Հավելված N 1'!C183</f>
        <v>Լեռնակերտի միջնակարգ դպրոց</v>
      </c>
      <c r="E183" s="18">
        <f>+'Հավելված N 1'!D183</f>
        <v>176915.15979999999</v>
      </c>
      <c r="F183" s="25"/>
    </row>
    <row r="184" spans="2:6" s="26" customFormat="1" x14ac:dyDescent="0.45">
      <c r="B184" s="24"/>
      <c r="C184" s="24"/>
      <c r="D184" s="20" t="str">
        <f>+'Հավելված N 1'!C184</f>
        <v>Հայկավանի միջնակարգ դպրոց</v>
      </c>
      <c r="E184" s="18">
        <f>+'Հավելված N 1'!D184</f>
        <v>264080.40000000002</v>
      </c>
      <c r="F184" s="25"/>
    </row>
    <row r="185" spans="2:6" s="26" customFormat="1" ht="34" x14ac:dyDescent="0.45">
      <c r="B185" s="24"/>
      <c r="C185" s="24"/>
      <c r="D185" s="20" t="str">
        <f>+'Հավելված N 1'!C185</f>
        <v>Վահրամաբերդի Հ. Մկրտչյանի անվան միջնակարգ դպրոց</v>
      </c>
      <c r="E185" s="18">
        <f>+'Հավելված N 1'!D185</f>
        <v>233645.5</v>
      </c>
      <c r="F185" s="25"/>
    </row>
    <row r="186" spans="2:6" s="26" customFormat="1" x14ac:dyDescent="0.45">
      <c r="B186" s="24"/>
      <c r="C186" s="24"/>
      <c r="D186" s="20" t="str">
        <f>+'Հավելված N 1'!C186</f>
        <v>Մուսայելյանի միջնակարգ դպրոց</v>
      </c>
      <c r="E186" s="18">
        <f>+'Հավելված N 1'!D186</f>
        <v>179497.8</v>
      </c>
      <c r="F186" s="25"/>
    </row>
    <row r="187" spans="2:6" s="26" customFormat="1" x14ac:dyDescent="0.45">
      <c r="B187" s="89"/>
      <c r="C187" s="89"/>
      <c r="D187" s="20" t="str">
        <f>+'Հավելված N 1'!C187</f>
        <v>Այգաբացի միջնակարգ դպրոց</v>
      </c>
      <c r="E187" s="18">
        <f>+'Հավելված N 1'!D187</f>
        <v>40285.5</v>
      </c>
      <c r="F187" s="25"/>
    </row>
    <row r="188" spans="2:6" ht="17.5" x14ac:dyDescent="0.45">
      <c r="B188" s="12"/>
      <c r="C188" s="12"/>
      <c r="D188" s="17" t="s">
        <v>19</v>
      </c>
      <c r="E188" s="21">
        <f>SUM(E189:E197)</f>
        <v>2084484.784</v>
      </c>
      <c r="F188" s="22"/>
    </row>
    <row r="189" spans="2:6" s="26" customFormat="1" x14ac:dyDescent="0.45">
      <c r="B189" s="24"/>
      <c r="C189" s="24"/>
      <c r="D189" s="20" t="str">
        <f>+'Հավելված N 1'!C190</f>
        <v>Սիսիանի թիվ 4 հիմնական դպրոց</v>
      </c>
      <c r="E189" s="18">
        <f>+'Հավելված N 1'!D190</f>
        <v>285295.40000000002</v>
      </c>
      <c r="F189" s="25"/>
    </row>
    <row r="190" spans="2:6" s="26" customFormat="1" x14ac:dyDescent="0.45">
      <c r="B190" s="24"/>
      <c r="C190" s="24"/>
      <c r="D190" s="20" t="str">
        <f>+'Հավելված N 1'!C191</f>
        <v>Գորիսի թիվ 5 հիմնական դպրոց</v>
      </c>
      <c r="E190" s="18">
        <f>+'Հավելված N 1'!D191</f>
        <v>275422.8</v>
      </c>
      <c r="F190" s="25"/>
    </row>
    <row r="191" spans="2:6" s="26" customFormat="1" x14ac:dyDescent="0.45">
      <c r="B191" s="24"/>
      <c r="C191" s="24"/>
      <c r="D191" s="20" t="str">
        <f>+'Հավելված N 1'!C192</f>
        <v>Գորիսի թիվ 3 հիմնական դպրոց</v>
      </c>
      <c r="E191" s="18">
        <f>+'Հավելված N 1'!D192</f>
        <v>197340</v>
      </c>
      <c r="F191" s="25"/>
    </row>
    <row r="192" spans="2:6" s="26" customFormat="1" x14ac:dyDescent="0.45">
      <c r="B192" s="24"/>
      <c r="C192" s="24"/>
      <c r="D192" s="20" t="str">
        <f>+'Հավելված N 1'!C193</f>
        <v>Քաջարանի թիվ 2 միջնակարգ դպրոց</v>
      </c>
      <c r="E192" s="18">
        <f>+'Հավելված N 1'!D193</f>
        <v>245840</v>
      </c>
      <c r="F192" s="25"/>
    </row>
    <row r="193" spans="2:6" s="26" customFormat="1" x14ac:dyDescent="0.45">
      <c r="B193" s="24"/>
      <c r="C193" s="24"/>
      <c r="D193" s="20" t="str">
        <f>+'Հավելված N 1'!C194</f>
        <v>Ձագիկավանի միջնակարգ դպրոց</v>
      </c>
      <c r="E193" s="18">
        <f>+'Հավելված N 1'!D194</f>
        <v>138823.20000000001</v>
      </c>
      <c r="F193" s="25"/>
    </row>
    <row r="194" spans="2:6" s="26" customFormat="1" x14ac:dyDescent="0.45">
      <c r="B194" s="89"/>
      <c r="C194" s="89"/>
      <c r="D194" s="20" t="str">
        <f>+'Հավելված N 1'!C195</f>
        <v>Շվանիձորի միջնակարգ դպրոց</v>
      </c>
      <c r="E194" s="18">
        <f>+'Հավելված N 1'!D195</f>
        <v>164580.1</v>
      </c>
      <c r="F194" s="25"/>
    </row>
    <row r="195" spans="2:6" s="26" customFormat="1" x14ac:dyDescent="0.45">
      <c r="B195" s="89"/>
      <c r="C195" s="89"/>
      <c r="D195" s="20" t="str">
        <f>+'Հավելված N 1'!C196</f>
        <v>Աճանանի միջնակարգ դպրոց</v>
      </c>
      <c r="E195" s="18">
        <f>+'Հավելված N 1'!D196</f>
        <v>239429.67</v>
      </c>
      <c r="F195" s="25"/>
    </row>
    <row r="196" spans="2:6" s="26" customFormat="1" x14ac:dyDescent="0.45">
      <c r="B196" s="89"/>
      <c r="C196" s="89"/>
      <c r="D196" s="20" t="str">
        <f>+'Հավելված N 1'!C197</f>
        <v>Կապանի թիվ 8 միջնակարգ դպրոց</v>
      </c>
      <c r="E196" s="18">
        <f>+'Հավելված N 1'!D197</f>
        <v>383420.94900000002</v>
      </c>
      <c r="F196" s="25"/>
    </row>
    <row r="197" spans="2:6" s="26" customFormat="1" x14ac:dyDescent="0.45">
      <c r="B197" s="89"/>
      <c r="C197" s="89"/>
      <c r="D197" s="20" t="str">
        <f>+'Հավելված N 1'!C198</f>
        <v>Քարահունջի միջնակարգ դպրոց</v>
      </c>
      <c r="E197" s="18">
        <f>+'Հավելված N 1'!D198</f>
        <v>154332.66500000001</v>
      </c>
      <c r="F197" s="25"/>
    </row>
    <row r="198" spans="2:6" ht="17.5" x14ac:dyDescent="0.45">
      <c r="B198" s="12"/>
      <c r="C198" s="12"/>
      <c r="D198" s="17" t="s">
        <v>226</v>
      </c>
      <c r="E198" s="21">
        <f>SUM(E199:E205)</f>
        <v>906666.5</v>
      </c>
      <c r="F198" s="22"/>
    </row>
    <row r="199" spans="2:6" s="26" customFormat="1" ht="34" x14ac:dyDescent="0.45">
      <c r="B199" s="89"/>
      <c r="C199" s="89"/>
      <c r="D199" s="20" t="str">
        <f>+'Հավելված N 1'!C203</f>
        <v>Ջերմուկի Մ. Գորկու անվան թիվ 1 հիմնական դպրոց</v>
      </c>
      <c r="E199" s="18">
        <f>+'Հավելված N 1'!D203</f>
        <v>342191.6</v>
      </c>
      <c r="F199" s="25"/>
    </row>
    <row r="200" spans="2:6" s="26" customFormat="1" ht="34" x14ac:dyDescent="0.45">
      <c r="B200" s="89"/>
      <c r="C200" s="89"/>
      <c r="D200" s="20" t="str">
        <f>+'Հավելված N 1'!C204</f>
        <v>Մալիշկայի Մ. Լոմոնոսովի անվան միջնակարգ դպրոց</v>
      </c>
      <c r="E200" s="18">
        <f>+'Հավելված N 1'!D204</f>
        <v>282551.5</v>
      </c>
      <c r="F200" s="25"/>
    </row>
    <row r="201" spans="2:6" s="26" customFormat="1" x14ac:dyDescent="0.45">
      <c r="B201" s="89"/>
      <c r="C201" s="89"/>
      <c r="D201" s="20" t="str">
        <f>+'Հավելված N 1'!C205</f>
        <v>ք. Վայքի վարժարան</v>
      </c>
      <c r="E201" s="18">
        <f>+'Հավելված N 1'!D205</f>
        <v>70484.3</v>
      </c>
      <c r="F201" s="25"/>
    </row>
    <row r="202" spans="2:6" s="26" customFormat="1" x14ac:dyDescent="0.45">
      <c r="B202" s="89"/>
      <c r="C202" s="89"/>
      <c r="D202" s="20" t="str">
        <f>+'Հավելված N 1'!C206</f>
        <v>Ռինդի միջնակարգ դպրոց</v>
      </c>
      <c r="E202" s="18">
        <f>+'Հավելված N 1'!D206</f>
        <v>80548</v>
      </c>
      <c r="F202" s="25"/>
    </row>
    <row r="203" spans="2:6" s="26" customFormat="1" x14ac:dyDescent="0.45">
      <c r="B203" s="89"/>
      <c r="C203" s="89"/>
      <c r="D203" s="20" t="str">
        <f>+'Հավելված N 1'!C207</f>
        <v>Գլաձորի միջնակարգ դպրոց</v>
      </c>
      <c r="E203" s="18">
        <f>+'Հավելված N 1'!D207</f>
        <v>40262.6</v>
      </c>
      <c r="F203" s="25"/>
    </row>
    <row r="204" spans="2:6" s="26" customFormat="1" ht="34" x14ac:dyDescent="0.45">
      <c r="B204" s="89"/>
      <c r="C204" s="89"/>
      <c r="D204" s="20" t="str">
        <f>+'Հավելված N 1'!C208</f>
        <v>Եղեգնաձորի Հ. Հովհաննիսյանի անվան թիվ 2 հիմնական դպրոց</v>
      </c>
      <c r="E204" s="18">
        <f>+'Հավելված N 1'!D208</f>
        <v>40281.599999999999</v>
      </c>
      <c r="F204" s="25"/>
    </row>
    <row r="205" spans="2:6" s="26" customFormat="1" ht="34" x14ac:dyDescent="0.45">
      <c r="B205" s="89"/>
      <c r="C205" s="89"/>
      <c r="D205" s="20" t="str">
        <f>+'Հավելված N 1'!C209</f>
        <v>Զառիթափի Ա. Մելիքյանի անվան միջնակարգ դպրոց</v>
      </c>
      <c r="E205" s="18">
        <f>+'Հավելված N 1'!D209</f>
        <v>50346.9</v>
      </c>
      <c r="F205" s="25"/>
    </row>
    <row r="206" spans="2:6" ht="17.5" x14ac:dyDescent="0.45">
      <c r="B206" s="12"/>
      <c r="C206" s="12"/>
      <c r="D206" s="17" t="s">
        <v>14</v>
      </c>
      <c r="E206" s="21">
        <f>SUM(E207:E213)</f>
        <v>1197654.1485979999</v>
      </c>
      <c r="F206" s="22"/>
    </row>
    <row r="207" spans="2:6" s="26" customFormat="1" ht="34" x14ac:dyDescent="0.45">
      <c r="B207" s="12"/>
      <c r="C207" s="12"/>
      <c r="D207" s="20" t="str">
        <f>+'Հավելված N 1'!C212</f>
        <v>«Մ. Սաղումյանի անվան Բերդի ավագ դպրոց» ՊՈԱԿ</v>
      </c>
      <c r="E207" s="18">
        <f>+'Հավելված N 1'!D212</f>
        <v>64197.992599999998</v>
      </c>
      <c r="F207" s="25"/>
    </row>
    <row r="208" spans="2:6" s="26" customFormat="1" ht="34" x14ac:dyDescent="0.45">
      <c r="B208" s="12"/>
      <c r="C208" s="12"/>
      <c r="D208" s="20" t="str">
        <f>+'Հավելված N 1'!C213</f>
        <v>«Կայանի Հովհաննես Հինդլյանի անվան միջնակարգ դպրոց» ՊՈԱԿ</v>
      </c>
      <c r="E208" s="18">
        <f>+'Հավելված N 1'!D213</f>
        <v>29532.973997999998</v>
      </c>
      <c r="F208" s="25"/>
    </row>
    <row r="209" spans="2:8" s="26" customFormat="1" x14ac:dyDescent="0.45">
      <c r="B209" s="24"/>
      <c r="C209" s="24"/>
      <c r="D209" s="20" t="str">
        <f>+'Հավելված N 1'!C214</f>
        <v>Թեղուտի միջնակարգ դպրոց</v>
      </c>
      <c r="E209" s="18">
        <f>+'Հավելված N 1'!D214</f>
        <v>205044</v>
      </c>
      <c r="F209" s="25"/>
    </row>
    <row r="210" spans="2:8" s="26" customFormat="1" x14ac:dyDescent="0.45">
      <c r="B210" s="24"/>
      <c r="C210" s="24"/>
      <c r="D210" s="20" t="str">
        <f>+'Հավելված N 1'!C215</f>
        <v>Բերդավանի միջնակարգ դպրոց</v>
      </c>
      <c r="E210" s="18">
        <f>+'Հավելված N 1'!D215</f>
        <v>332575.56599999999</v>
      </c>
      <c r="F210" s="25"/>
    </row>
    <row r="211" spans="2:8" s="26" customFormat="1" x14ac:dyDescent="0.45">
      <c r="B211" s="24"/>
      <c r="C211" s="24"/>
      <c r="D211" s="20" t="str">
        <f>+'Հավելված N 1'!C216</f>
        <v>Տավուշի միջնակարգ դպրոց</v>
      </c>
      <c r="E211" s="18">
        <f>+'Հավելված N 1'!D216</f>
        <v>186448.016</v>
      </c>
      <c r="F211" s="25"/>
    </row>
    <row r="212" spans="2:8" s="26" customFormat="1" x14ac:dyDescent="0.45">
      <c r="B212" s="24"/>
      <c r="C212" s="24"/>
      <c r="D212" s="20" t="str">
        <f>+'Հավելված N 1'!C217</f>
        <v>Իջևանի թիվ 4 հիմնական դպրոց</v>
      </c>
      <c r="E212" s="18">
        <f>+'Հավելված N 1'!D217</f>
        <v>215461.2</v>
      </c>
      <c r="F212" s="25"/>
    </row>
    <row r="213" spans="2:8" s="26" customFormat="1" ht="34" x14ac:dyDescent="0.45">
      <c r="B213" s="24"/>
      <c r="C213" s="24"/>
      <c r="D213" s="20" t="str">
        <f>+'Հավելված N 1'!C218</f>
        <v>Բերդի Կ. Մարդանյանի անվան թիվ 3 հիմնական դպրոց</v>
      </c>
      <c r="E213" s="18">
        <f>+'Հավելված N 1'!D218</f>
        <v>164394.4</v>
      </c>
      <c r="F213" s="25"/>
    </row>
    <row r="214" spans="2:8" ht="17.5" x14ac:dyDescent="0.45">
      <c r="B214" s="12"/>
      <c r="C214" s="12"/>
      <c r="D214" s="13" t="s">
        <v>522</v>
      </c>
      <c r="E214" s="82">
        <f>+E216+E217+E220+E227+E230+E232+E236</f>
        <v>0</v>
      </c>
      <c r="F214" s="22"/>
      <c r="G214" s="22"/>
      <c r="H214" s="22"/>
    </row>
    <row r="215" spans="2:8" x14ac:dyDescent="0.45">
      <c r="B215" s="14"/>
      <c r="C215" s="14"/>
      <c r="D215" s="15" t="s">
        <v>11</v>
      </c>
      <c r="E215" s="16"/>
      <c r="F215" s="22"/>
      <c r="G215" s="22"/>
      <c r="H215" s="22"/>
    </row>
    <row r="216" spans="2:8" ht="35" x14ac:dyDescent="0.45">
      <c r="B216" s="12"/>
      <c r="C216" s="12"/>
      <c r="D216" s="17" t="s">
        <v>21</v>
      </c>
      <c r="E216" s="21">
        <f>-917697.2-209000-173302.8</f>
        <v>-1300000</v>
      </c>
      <c r="F216" s="22"/>
      <c r="G216" s="22"/>
      <c r="H216" s="22"/>
    </row>
    <row r="217" spans="2:8" ht="17.5" x14ac:dyDescent="0.45">
      <c r="B217" s="12"/>
      <c r="C217" s="12"/>
      <c r="D217" s="17" t="s">
        <v>129</v>
      </c>
      <c r="E217" s="21">
        <f>SUM(E218:E219)</f>
        <v>289000</v>
      </c>
      <c r="F217" s="22"/>
      <c r="G217" s="22"/>
      <c r="H217" s="22"/>
    </row>
    <row r="218" spans="2:8" s="26" customFormat="1" ht="34" x14ac:dyDescent="0.45">
      <c r="B218" s="89"/>
      <c r="C218" s="89"/>
      <c r="D218" s="20" t="str">
        <f>+'Հավելված N 1'!C88</f>
        <v>Երևանի Ա. Հովհաննիսյանի անվան հմ. 194 հիմնական դպրոց</v>
      </c>
      <c r="E218" s="18">
        <f>+'Հավելված N 1'!D88</f>
        <v>209000</v>
      </c>
      <c r="F218" s="25"/>
      <c r="G218" s="25"/>
      <c r="H218" s="25"/>
    </row>
    <row r="219" spans="2:8" s="26" customFormat="1" ht="34" x14ac:dyDescent="0.45">
      <c r="B219" s="89"/>
      <c r="C219" s="89"/>
      <c r="D219" s="20" t="str">
        <f>+'Հավելված N 1'!C89</f>
        <v>Երևանի Սիլվա Կապուտիկյանի անվան հ. 145 հիմնական դպրոց</v>
      </c>
      <c r="E219" s="18">
        <f>+'Հավելված N 1'!D89</f>
        <v>80000</v>
      </c>
      <c r="F219" s="25"/>
      <c r="G219" s="25"/>
      <c r="H219" s="25"/>
    </row>
    <row r="220" spans="2:8" ht="17.5" x14ac:dyDescent="0.45">
      <c r="B220" s="12"/>
      <c r="C220" s="12"/>
      <c r="D220" s="17" t="s">
        <v>18</v>
      </c>
      <c r="E220" s="21">
        <f>SUM(E221:E226)</f>
        <v>560000</v>
      </c>
      <c r="F220" s="22"/>
      <c r="G220" s="22"/>
      <c r="H220" s="22"/>
    </row>
    <row r="221" spans="2:8" s="26" customFormat="1" x14ac:dyDescent="0.45">
      <c r="B221" s="24"/>
      <c r="C221" s="24"/>
      <c r="D221" s="20" t="str">
        <f>+'Հավելված N 1'!C95</f>
        <v>Կաքավաձորի միջնակարգ դպրոց</v>
      </c>
      <c r="E221" s="18">
        <f>+'Հավելված N 1'!D95</f>
        <v>120000</v>
      </c>
      <c r="F221" s="25"/>
      <c r="G221" s="25"/>
      <c r="H221" s="25"/>
    </row>
    <row r="222" spans="2:8" s="26" customFormat="1" x14ac:dyDescent="0.45">
      <c r="B222" s="24"/>
      <c r="C222" s="24"/>
      <c r="D222" s="20" t="str">
        <f>+'Հավելված N 1'!C96</f>
        <v>Քուչակի միջնակարգ դպրոց</v>
      </c>
      <c r="E222" s="18">
        <f>+'Հավելված N 1'!D96</f>
        <v>120000</v>
      </c>
      <c r="F222" s="25"/>
      <c r="G222" s="25"/>
      <c r="H222" s="25"/>
    </row>
    <row r="223" spans="2:8" s="26" customFormat="1" ht="17.399999999999999" customHeight="1" x14ac:dyDescent="0.45">
      <c r="B223" s="24"/>
      <c r="C223" s="24"/>
      <c r="D223" s="20" t="str">
        <f>+'Հավելված N 1'!C97</f>
        <v>Ագարակի Տ. Թերլեմեզյանի անվան միջնակարգ դպրոց</v>
      </c>
      <c r="E223" s="18">
        <f>+'Հավելված N 1'!D97</f>
        <v>80000</v>
      </c>
      <c r="F223" s="25"/>
      <c r="G223" s="25"/>
      <c r="H223" s="25"/>
    </row>
    <row r="224" spans="2:8" s="26" customFormat="1" x14ac:dyDescent="0.45">
      <c r="B224" s="24"/>
      <c r="C224" s="24"/>
      <c r="D224" s="20" t="str">
        <f>+'Հավելված N 1'!C98</f>
        <v>Աղձքի միջնակարգ դպրոց</v>
      </c>
      <c r="E224" s="18">
        <f>+'Հավելված N 1'!D98</f>
        <v>80000</v>
      </c>
      <c r="F224" s="25"/>
      <c r="G224" s="25"/>
      <c r="H224" s="25"/>
    </row>
    <row r="225" spans="2:8" s="26" customFormat="1" ht="17.399999999999999" customHeight="1" x14ac:dyDescent="0.45">
      <c r="B225" s="24"/>
      <c r="C225" s="24"/>
      <c r="D225" s="20" t="str">
        <f>+'Հավելված N 1'!C99</f>
        <v>Երնջատափի Ե․ Չարենցի անվան միջնակարգ դպրոց</v>
      </c>
      <c r="E225" s="18">
        <f>+'Հավելված N 1'!D99</f>
        <v>80000</v>
      </c>
      <c r="F225" s="25"/>
      <c r="G225" s="25"/>
      <c r="H225" s="25"/>
    </row>
    <row r="226" spans="2:8" s="26" customFormat="1" x14ac:dyDescent="0.45">
      <c r="B226" s="24"/>
      <c r="C226" s="24"/>
      <c r="D226" s="20" t="str">
        <f>+'Հավելված N 1'!C100</f>
        <v>Մելիքգյուղի միջնակարգ դպրոց</v>
      </c>
      <c r="E226" s="18">
        <f>+'Հավելված N 1'!D100</f>
        <v>80000</v>
      </c>
      <c r="F226" s="25"/>
      <c r="G226" s="25"/>
      <c r="H226" s="25"/>
    </row>
    <row r="227" spans="2:8" ht="17.5" x14ac:dyDescent="0.45">
      <c r="B227" s="12"/>
      <c r="C227" s="12"/>
      <c r="D227" s="17" t="s">
        <v>22</v>
      </c>
      <c r="E227" s="21">
        <f>SUM(E228:E229)</f>
        <v>220000</v>
      </c>
      <c r="F227" s="22"/>
      <c r="G227" s="22"/>
      <c r="H227" s="22"/>
    </row>
    <row r="228" spans="2:8" s="26" customFormat="1" x14ac:dyDescent="0.45">
      <c r="B228" s="24"/>
      <c r="C228" s="24"/>
      <c r="D228" s="20" t="str">
        <f>+'Հավելված N 1'!C116</f>
        <v>Հովտամեջի միջնակարգ դպրոց</v>
      </c>
      <c r="E228" s="18">
        <f>+'Հավելված N 1'!D116</f>
        <v>70000</v>
      </c>
      <c r="F228" s="25"/>
      <c r="G228" s="25"/>
      <c r="H228" s="25"/>
    </row>
    <row r="229" spans="2:8" s="26" customFormat="1" x14ac:dyDescent="0.45">
      <c r="B229" s="24"/>
      <c r="C229" s="24"/>
      <c r="D229" s="20" t="str">
        <f>+'Հավելված N 1'!C117</f>
        <v>Սարդարապատի միջնակարգ դպրոց</v>
      </c>
      <c r="E229" s="18">
        <f>+'Հավելված N 1'!D117</f>
        <v>150000</v>
      </c>
      <c r="F229" s="25"/>
      <c r="G229" s="25"/>
      <c r="H229" s="25"/>
    </row>
    <row r="230" spans="2:8" ht="17.5" x14ac:dyDescent="0.45">
      <c r="B230" s="12"/>
      <c r="C230" s="12"/>
      <c r="D230" s="17" t="s">
        <v>17</v>
      </c>
      <c r="E230" s="21">
        <f>+E231</f>
        <v>57697.2</v>
      </c>
      <c r="F230" s="22"/>
      <c r="G230" s="22"/>
      <c r="H230" s="22"/>
    </row>
    <row r="231" spans="2:8" s="26" customFormat="1" x14ac:dyDescent="0.45">
      <c r="B231" s="24"/>
      <c r="C231" s="24"/>
      <c r="D231" s="20" t="str">
        <f>+'Հավելված N 1'!C188</f>
        <v>Ախուրյանի Ն․ Աղբալյանի ավագ դպրոց</v>
      </c>
      <c r="E231" s="18">
        <f>+'Հավելված N 1'!D188</f>
        <v>57697.2</v>
      </c>
      <c r="F231" s="25"/>
      <c r="G231" s="25"/>
      <c r="H231" s="25"/>
    </row>
    <row r="232" spans="2:8" ht="17.5" x14ac:dyDescent="0.45">
      <c r="B232" s="12"/>
      <c r="C232" s="12"/>
      <c r="D232" s="17" t="s">
        <v>19</v>
      </c>
      <c r="E232" s="21">
        <f>SUM(E233:E235)</f>
        <v>122600</v>
      </c>
      <c r="F232" s="22"/>
      <c r="G232" s="22"/>
      <c r="H232" s="22"/>
    </row>
    <row r="233" spans="2:8" s="26" customFormat="1" x14ac:dyDescent="0.45">
      <c r="B233" s="24"/>
      <c r="C233" s="24"/>
      <c r="D233" s="20" t="str">
        <f>+'Հավելված N 1'!C199</f>
        <v>գ․ Գորայքի միջնակարգ դպրոց</v>
      </c>
      <c r="E233" s="18">
        <f>+'Հավելված N 1'!D199</f>
        <v>40000</v>
      </c>
      <c r="F233" s="25"/>
      <c r="G233" s="25"/>
      <c r="H233" s="25"/>
    </row>
    <row r="234" spans="2:8" s="26" customFormat="1" x14ac:dyDescent="0.45">
      <c r="B234" s="24"/>
      <c r="C234" s="24"/>
      <c r="D234" s="20" t="str">
        <f>+'Հավելված N 1'!C200</f>
        <v>գ․ Ախլաթյանի միջնակարգ դպրոց</v>
      </c>
      <c r="E234" s="18">
        <f>+'Հավելված N 1'!D200</f>
        <v>40000</v>
      </c>
      <c r="F234" s="25"/>
      <c r="G234" s="25"/>
      <c r="H234" s="25"/>
    </row>
    <row r="235" spans="2:8" s="26" customFormat="1" x14ac:dyDescent="0.45">
      <c r="B235" s="24"/>
      <c r="C235" s="24"/>
      <c r="D235" s="20" t="str">
        <f>+'Հավելված N 1'!C201</f>
        <v>Քարաշենի միջնակարգ դպրոց</v>
      </c>
      <c r="E235" s="18">
        <f>+'Հավելված N 1'!D201</f>
        <v>42600</v>
      </c>
      <c r="F235" s="25"/>
      <c r="G235" s="25"/>
      <c r="H235" s="25"/>
    </row>
    <row r="236" spans="2:8" ht="17.5" x14ac:dyDescent="0.45">
      <c r="B236" s="12"/>
      <c r="C236" s="12"/>
      <c r="D236" s="17" t="s">
        <v>226</v>
      </c>
      <c r="E236" s="21">
        <f>+E237</f>
        <v>50702.8</v>
      </c>
      <c r="F236" s="22"/>
      <c r="G236" s="22"/>
      <c r="H236" s="22"/>
    </row>
    <row r="237" spans="2:8" s="26" customFormat="1" x14ac:dyDescent="0.45">
      <c r="B237" s="24"/>
      <c r="C237" s="24"/>
      <c r="D237" s="20" t="str">
        <f>+'Հավելված N 1'!C210</f>
        <v>Շատինի միջնակարգ դպրոց</v>
      </c>
      <c r="E237" s="18">
        <f>+'Հավելված N 1'!D210</f>
        <v>50702.8</v>
      </c>
      <c r="F237" s="25"/>
      <c r="G237" s="25"/>
      <c r="H237" s="25"/>
    </row>
    <row r="238" spans="2:8" ht="17.5" x14ac:dyDescent="0.45">
      <c r="B238" s="9">
        <v>1236</v>
      </c>
      <c r="C238" s="52">
        <v>32005</v>
      </c>
      <c r="D238" s="19" t="s">
        <v>254</v>
      </c>
      <c r="E238" s="28">
        <f t="shared" ref="E238" si="1">+E240</f>
        <v>-8.149072527885437E-10</v>
      </c>
      <c r="F238" s="22"/>
    </row>
    <row r="239" spans="2:8" x14ac:dyDescent="0.45">
      <c r="B239" s="12"/>
      <c r="C239" s="12"/>
      <c r="D239" s="10" t="s">
        <v>10</v>
      </c>
      <c r="E239" s="11"/>
      <c r="F239" s="22"/>
    </row>
    <row r="240" spans="2:8" ht="35" x14ac:dyDescent="0.45">
      <c r="B240" s="12"/>
      <c r="C240" s="12"/>
      <c r="D240" s="13" t="s">
        <v>15</v>
      </c>
      <c r="E240" s="82">
        <f>+E242+E243+E246+E249+E253+E258+E264+E268+E275</f>
        <v>-8.149072527885437E-10</v>
      </c>
      <c r="F240" s="22"/>
    </row>
    <row r="241" spans="2:6" x14ac:dyDescent="0.45">
      <c r="B241" s="14"/>
      <c r="C241" s="14"/>
      <c r="D241" s="15" t="s">
        <v>11</v>
      </c>
      <c r="E241" s="16"/>
      <c r="F241" s="22"/>
    </row>
    <row r="242" spans="2:6" ht="17.5" x14ac:dyDescent="0.45">
      <c r="B242" s="12"/>
      <c r="C242" s="12"/>
      <c r="D242" s="17" t="s">
        <v>254</v>
      </c>
      <c r="E242" s="21">
        <f>+'Հավելված N 1'!D221</f>
        <v>-4666500</v>
      </c>
      <c r="F242" s="22"/>
    </row>
    <row r="243" spans="2:6" ht="17.5" x14ac:dyDescent="0.45">
      <c r="B243" s="12"/>
      <c r="C243" s="12"/>
      <c r="D243" s="17" t="s">
        <v>18</v>
      </c>
      <c r="E243" s="21">
        <f>SUM(E244:E245)</f>
        <v>167041.60000000001</v>
      </c>
      <c r="F243" s="22"/>
    </row>
    <row r="244" spans="2:6" s="26" customFormat="1" x14ac:dyDescent="0.45">
      <c r="B244" s="24"/>
      <c r="C244" s="24"/>
      <c r="D244" s="98" t="str">
        <f>+'Հավելված N 1'!C223</f>
        <v>գ. Ճարճակիսի կրթահամալիր</v>
      </c>
      <c r="E244" s="18">
        <f>+'Հավելված N 1'!D223</f>
        <v>78661</v>
      </c>
      <c r="F244" s="25"/>
    </row>
    <row r="245" spans="2:6" s="26" customFormat="1" x14ac:dyDescent="0.45">
      <c r="B245" s="24"/>
      <c r="C245" s="24"/>
      <c r="D245" s="98" t="str">
        <f>+'Հավելված N 1'!C224</f>
        <v>գ. Զարինջայի կրթահամալիր</v>
      </c>
      <c r="E245" s="18">
        <f>+'Հավելված N 1'!D224</f>
        <v>88380.6</v>
      </c>
      <c r="F245" s="25"/>
    </row>
    <row r="246" spans="2:6" ht="17.5" x14ac:dyDescent="0.45">
      <c r="B246" s="12"/>
      <c r="C246" s="12"/>
      <c r="D246" s="17" t="s">
        <v>12</v>
      </c>
      <c r="E246" s="21">
        <f>SUM(E247:E248)</f>
        <v>657349.80000000005</v>
      </c>
      <c r="F246" s="22"/>
    </row>
    <row r="247" spans="2:6" s="26" customFormat="1" x14ac:dyDescent="0.45">
      <c r="B247" s="89"/>
      <c r="C247" s="89"/>
      <c r="D247" s="98" t="str">
        <f>+'Հավելված N 1'!C226</f>
        <v>գ. Պարույր Սևակի կրթահամալիր</v>
      </c>
      <c r="E247" s="18">
        <f>+'Հավելված N 1'!D226</f>
        <v>557349.80000000005</v>
      </c>
      <c r="F247" s="25"/>
    </row>
    <row r="248" spans="2:6" s="26" customFormat="1" x14ac:dyDescent="0.45">
      <c r="B248" s="89"/>
      <c r="C248" s="89"/>
      <c r="D248" s="98" t="str">
        <f>+'Հավելված N 1'!C227</f>
        <v>գ․ Արևաբույրի կրթահամալիր</v>
      </c>
      <c r="E248" s="18">
        <f>+'Հավելված N 1'!D227</f>
        <v>100000</v>
      </c>
      <c r="F248" s="25"/>
    </row>
    <row r="249" spans="2:6" ht="17.5" x14ac:dyDescent="0.45">
      <c r="B249" s="12"/>
      <c r="C249" s="12"/>
      <c r="D249" s="17" t="s">
        <v>22</v>
      </c>
      <c r="E249" s="21">
        <f>SUM(E250:E252)</f>
        <v>986102.8</v>
      </c>
      <c r="F249" s="22"/>
    </row>
    <row r="250" spans="2:6" s="26" customFormat="1" x14ac:dyDescent="0.45">
      <c r="B250" s="24"/>
      <c r="C250" s="24"/>
      <c r="D250" s="98" t="str">
        <f>+'Հավելված N 1'!C229</f>
        <v>գ. Երասխահունի կրթահամալիր</v>
      </c>
      <c r="E250" s="18">
        <f>+'Հավելված N 1'!D229</f>
        <v>464791.4</v>
      </c>
      <c r="F250" s="25"/>
    </row>
    <row r="251" spans="2:6" s="26" customFormat="1" x14ac:dyDescent="0.45">
      <c r="B251" s="24"/>
      <c r="C251" s="24"/>
      <c r="D251" s="98" t="str">
        <f>+'Հավելված N 1'!C230</f>
        <v>գ. Հայկավանի կրթահամալիր</v>
      </c>
      <c r="E251" s="18">
        <f>+'Հավելված N 1'!D230</f>
        <v>402401.4</v>
      </c>
      <c r="F251" s="25"/>
    </row>
    <row r="252" spans="2:6" s="26" customFormat="1" x14ac:dyDescent="0.45">
      <c r="B252" s="89"/>
      <c r="C252" s="89"/>
      <c r="D252" s="98" t="str">
        <f>+'Հավելված N 1'!C231</f>
        <v>գ. Նոր Արտագերսի կրթահամալիր</v>
      </c>
      <c r="E252" s="18">
        <f>+'Հավելված N 1'!D231</f>
        <v>118910</v>
      </c>
      <c r="F252" s="25"/>
    </row>
    <row r="253" spans="2:6" ht="17.5" x14ac:dyDescent="0.45">
      <c r="B253" s="12"/>
      <c r="C253" s="12"/>
      <c r="D253" s="17" t="s">
        <v>16</v>
      </c>
      <c r="E253" s="21">
        <f>SUM(E254:E257)</f>
        <v>212999.90000000002</v>
      </c>
      <c r="F253" s="22"/>
    </row>
    <row r="254" spans="2:6" s="26" customFormat="1" x14ac:dyDescent="0.45">
      <c r="B254" s="24"/>
      <c r="C254" s="24"/>
      <c r="D254" s="98" t="str">
        <f>+'Հավելված N 1'!C233</f>
        <v>գ. Կախակնի կրթահամալիր</v>
      </c>
      <c r="E254" s="18">
        <f>+'Հավելված N 1'!D233</f>
        <v>11749.7</v>
      </c>
      <c r="F254" s="25"/>
    </row>
    <row r="255" spans="2:6" s="26" customFormat="1" x14ac:dyDescent="0.45">
      <c r="B255" s="24"/>
      <c r="C255" s="24"/>
      <c r="D255" s="98" t="str">
        <f>+'Հավելված N 1'!C234</f>
        <v>գ. Արեգունու կրթահամալիր</v>
      </c>
      <c r="E255" s="18">
        <f>+'Հավելված N 1'!D234</f>
        <v>27080.9</v>
      </c>
      <c r="F255" s="25"/>
    </row>
    <row r="256" spans="2:6" s="26" customFormat="1" x14ac:dyDescent="0.45">
      <c r="B256" s="24"/>
      <c r="C256" s="24"/>
      <c r="D256" s="98" t="str">
        <f>+'Հավելված N 1'!C235</f>
        <v>գ. Փոքր Մասրիկի  կրթահամալիր</v>
      </c>
      <c r="E256" s="18">
        <f>+'Հավելված N 1'!D235</f>
        <v>4009.3</v>
      </c>
      <c r="F256" s="25"/>
    </row>
    <row r="257" spans="2:6" s="26" customFormat="1" x14ac:dyDescent="0.45">
      <c r="B257" s="89"/>
      <c r="C257" s="89"/>
      <c r="D257" s="98" t="str">
        <f>+'Հավելված N 1'!C236</f>
        <v>գ. Մադինայի  կրթահամալիր</v>
      </c>
      <c r="E257" s="18">
        <f>+'Հավելված N 1'!D236</f>
        <v>170160</v>
      </c>
      <c r="F257" s="25"/>
    </row>
    <row r="258" spans="2:6" ht="17.5" x14ac:dyDescent="0.45">
      <c r="B258" s="12"/>
      <c r="C258" s="12"/>
      <c r="D258" s="17" t="s">
        <v>13</v>
      </c>
      <c r="E258" s="21">
        <f>SUM(E259:E263)</f>
        <v>912125.3</v>
      </c>
      <c r="F258" s="22"/>
    </row>
    <row r="259" spans="2:6" s="26" customFormat="1" x14ac:dyDescent="0.45">
      <c r="B259" s="24"/>
      <c r="C259" s="24"/>
      <c r="D259" s="98" t="str">
        <f>+'Հավելված N 1'!C238</f>
        <v>գ. Կաթնաղբյուրի կրթահամալիր</v>
      </c>
      <c r="E259" s="18">
        <f>+'Հավելված N 1'!D238</f>
        <v>370609.3</v>
      </c>
      <c r="F259" s="25"/>
    </row>
    <row r="260" spans="2:6" s="26" customFormat="1" x14ac:dyDescent="0.45">
      <c r="B260" s="24"/>
      <c r="C260" s="24"/>
      <c r="D260" s="98" t="str">
        <f>+'Հավելված N 1'!C239</f>
        <v>գ. Նորաշենի կրթահամալիր</v>
      </c>
      <c r="E260" s="18">
        <f>+'Հավելված N 1'!D239</f>
        <v>50000</v>
      </c>
      <c r="F260" s="25"/>
    </row>
    <row r="261" spans="2:6" s="26" customFormat="1" x14ac:dyDescent="0.45">
      <c r="B261" s="24"/>
      <c r="C261" s="24"/>
      <c r="D261" s="98" t="str">
        <f>+'Հավելված N 1'!C240</f>
        <v>գ. Լորուտի կրթահամալիր</v>
      </c>
      <c r="E261" s="18">
        <f>+'Հավելված N 1'!D240</f>
        <v>200000</v>
      </c>
      <c r="F261" s="25"/>
    </row>
    <row r="262" spans="2:6" s="26" customFormat="1" x14ac:dyDescent="0.45">
      <c r="B262" s="24"/>
      <c r="C262" s="24"/>
      <c r="D262" s="98" t="str">
        <f>+'Հավելված N 1'!C241</f>
        <v>գ. Բազումի կրթահամալիր</v>
      </c>
      <c r="E262" s="18">
        <f>+'Հավելված N 1'!D241</f>
        <v>250538.7</v>
      </c>
      <c r="F262" s="25"/>
    </row>
    <row r="263" spans="2:6" s="26" customFormat="1" x14ac:dyDescent="0.45">
      <c r="B263" s="24"/>
      <c r="C263" s="24"/>
      <c r="D263" s="98" t="str">
        <f>+'Հավելված N 1'!C242</f>
        <v>գ. Գարգառի կրթահամալիր</v>
      </c>
      <c r="E263" s="18">
        <f>+'Հավելված N 1'!D242</f>
        <v>40977.300000000003</v>
      </c>
      <c r="F263" s="25"/>
    </row>
    <row r="264" spans="2:6" ht="17.5" x14ac:dyDescent="0.45">
      <c r="B264" s="12"/>
      <c r="C264" s="12"/>
      <c r="D264" s="17" t="s">
        <v>17</v>
      </c>
      <c r="E264" s="21">
        <f>SUM(E265:E267)</f>
        <v>1058261</v>
      </c>
      <c r="F264" s="22"/>
    </row>
    <row r="265" spans="2:6" s="26" customFormat="1" x14ac:dyDescent="0.45">
      <c r="B265" s="24"/>
      <c r="C265" s="24"/>
      <c r="D265" s="98" t="str">
        <f>+'Հավելված N 1'!C244</f>
        <v>գ. Քեթիի կրթահամալիր</v>
      </c>
      <c r="E265" s="18">
        <f>+'Հավելված N 1'!D244</f>
        <v>695616.6</v>
      </c>
      <c r="F265" s="25"/>
    </row>
    <row r="266" spans="2:6" s="26" customFormat="1" x14ac:dyDescent="0.45">
      <c r="B266" s="24"/>
      <c r="C266" s="24"/>
      <c r="D266" s="98" t="str">
        <f>+'Հավելված N 1'!C245</f>
        <v>գ․ Բյուրակնի կրթահամալիր</v>
      </c>
      <c r="E266" s="18">
        <f>+'Հավելված N 1'!D245</f>
        <v>312644.39999999997</v>
      </c>
      <c r="F266" s="25"/>
    </row>
    <row r="267" spans="2:6" s="26" customFormat="1" x14ac:dyDescent="0.45">
      <c r="B267" s="89"/>
      <c r="C267" s="89"/>
      <c r="D267" s="98" t="str">
        <f>+'Հավելված N 1'!C246</f>
        <v>գ․ Բավրայի կրթահամալիր</v>
      </c>
      <c r="E267" s="18">
        <f>+'Հավելված N 1'!D246</f>
        <v>50000</v>
      </c>
      <c r="F267" s="25"/>
    </row>
    <row r="268" spans="2:6" ht="17.5" x14ac:dyDescent="0.45">
      <c r="B268" s="12"/>
      <c r="C268" s="12"/>
      <c r="D268" s="17" t="s">
        <v>19</v>
      </c>
      <c r="E268" s="21">
        <f>SUM(E269:E274)</f>
        <v>312925.8</v>
      </c>
      <c r="F268" s="22"/>
    </row>
    <row r="269" spans="2:6" s="26" customFormat="1" x14ac:dyDescent="0.45">
      <c r="B269" s="89"/>
      <c r="C269" s="89"/>
      <c r="D269" s="98" t="str">
        <f>+'Հավելված N 1'!C248</f>
        <v>Կապան համայնքի Արծվանիկի կրթահամալիր</v>
      </c>
      <c r="E269" s="18">
        <f>+'Հավելված N 1'!D248</f>
        <v>1377</v>
      </c>
      <c r="F269" s="25"/>
    </row>
    <row r="270" spans="2:6" s="26" customFormat="1" x14ac:dyDescent="0.45">
      <c r="B270" s="89"/>
      <c r="C270" s="89"/>
      <c r="D270" s="98" t="str">
        <f>+'Հավելված N 1'!C249</f>
        <v>Կապան համայնքի Ծավի կրթահամալիր</v>
      </c>
      <c r="E270" s="18">
        <f>+'Հավելված N 1'!D249</f>
        <v>35000</v>
      </c>
      <c r="F270" s="25"/>
    </row>
    <row r="271" spans="2:6" s="26" customFormat="1" ht="34" x14ac:dyDescent="0.45">
      <c r="B271" s="89"/>
      <c r="C271" s="89"/>
      <c r="D271" s="98" t="str">
        <f>+'Հավելված N 1'!C250</f>
        <v>Կապան համայնքի Վերին Խոտանանի կրթահամալիր</v>
      </c>
      <c r="E271" s="18">
        <f>+'Հավելված N 1'!D250</f>
        <v>36500</v>
      </c>
      <c r="F271" s="25"/>
    </row>
    <row r="272" spans="2:6" s="26" customFormat="1" x14ac:dyDescent="0.45">
      <c r="B272" s="89"/>
      <c r="C272" s="89"/>
      <c r="D272" s="98" t="str">
        <f>+'Հավելված N 1'!C251</f>
        <v xml:space="preserve">գ. Ակների կրթահամալիր                                                     </v>
      </c>
      <c r="E272" s="18">
        <f>+'Հավելված N 1'!D251</f>
        <v>150000</v>
      </c>
      <c r="F272" s="25"/>
    </row>
    <row r="273" spans="2:6" s="26" customFormat="1" x14ac:dyDescent="0.45">
      <c r="B273" s="89"/>
      <c r="C273" s="89"/>
      <c r="D273" s="98" t="str">
        <f>+'Հավելված N 1'!C252</f>
        <v>գ. Խնածախի կրթահամալիր</v>
      </c>
      <c r="E273" s="18">
        <f>+'Հավելված N 1'!D252</f>
        <v>56258.8</v>
      </c>
      <c r="F273" s="25"/>
    </row>
    <row r="274" spans="2:6" s="26" customFormat="1" x14ac:dyDescent="0.45">
      <c r="B274" s="89"/>
      <c r="C274" s="89"/>
      <c r="D274" s="98" t="str">
        <f>+'Հավելված N 1'!C253</f>
        <v>Սիսիան համայնքի Շաքիի կրթահամալիր</v>
      </c>
      <c r="E274" s="18">
        <f>+'Հավելված N 1'!D253</f>
        <v>33790</v>
      </c>
      <c r="F274" s="25"/>
    </row>
    <row r="275" spans="2:6" ht="17.5" x14ac:dyDescent="0.45">
      <c r="B275" s="12"/>
      <c r="C275" s="12"/>
      <c r="D275" s="17" t="s">
        <v>14</v>
      </c>
      <c r="E275" s="21">
        <f>SUM(E276:E277)</f>
        <v>359693.8</v>
      </c>
      <c r="F275" s="22"/>
    </row>
    <row r="276" spans="2:6" s="26" customFormat="1" x14ac:dyDescent="0.45">
      <c r="B276" s="24"/>
      <c r="C276" s="24"/>
      <c r="D276" s="98" t="str">
        <f>+'Հավելված N 1'!C255</f>
        <v>գ. Լուսաձորի կրթահամալիր</v>
      </c>
      <c r="E276" s="18">
        <f>+'Հավելված N 1'!D255</f>
        <v>357213.8</v>
      </c>
      <c r="F276" s="25"/>
    </row>
    <row r="277" spans="2:6" s="26" customFormat="1" x14ac:dyDescent="0.45">
      <c r="B277" s="24"/>
      <c r="C277" s="24"/>
      <c r="D277" s="98" t="str">
        <f>+'Հավելված N 1'!C256</f>
        <v>գ. Պտղավանի կրթահամալիր</v>
      </c>
      <c r="E277" s="18">
        <f>+'Հավելված N 1'!D256</f>
        <v>2480</v>
      </c>
      <c r="F277" s="25"/>
    </row>
  </sheetData>
  <mergeCells count="3">
    <mergeCell ref="B5:E5"/>
    <mergeCell ref="B8:C8"/>
    <mergeCell ref="D8:D9"/>
  </mergeCells>
  <pageMargins left="0.25" right="0.25" top="0.75" bottom="0.75" header="0.3" footer="0.3"/>
  <pageSetup paperSize="9" scale="4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9"/>
  <sheetViews>
    <sheetView zoomScale="60" zoomScaleNormal="60" workbookViewId="0">
      <selection activeCell="L9" sqref="L9"/>
    </sheetView>
  </sheetViews>
  <sheetFormatPr defaultColWidth="8.90625" defaultRowHeight="17" x14ac:dyDescent="0.45"/>
  <cols>
    <col min="1" max="1" width="6.453125" style="142" bestFit="1" customWidth="1"/>
    <col min="2" max="2" width="9.6328125" style="142" customWidth="1"/>
    <col min="3" max="3" width="13.08984375" style="142" customWidth="1"/>
    <col min="4" max="4" width="16.6328125" style="142" customWidth="1"/>
    <col min="5" max="5" width="13.08984375" style="142" customWidth="1"/>
    <col min="6" max="6" width="15.453125" style="142" customWidth="1"/>
    <col min="7" max="7" width="10.453125" style="142" customWidth="1"/>
    <col min="8" max="8" width="22.54296875" style="142" customWidth="1"/>
    <col min="9" max="9" width="46.36328125" style="142" customWidth="1"/>
    <col min="10" max="10" width="32.1796875" style="142" customWidth="1"/>
    <col min="11" max="16384" width="8.90625" style="142"/>
  </cols>
  <sheetData>
    <row r="1" spans="1:10" x14ac:dyDescent="0.45">
      <c r="A1" s="143"/>
      <c r="B1" s="143"/>
      <c r="C1" s="143"/>
      <c r="D1" s="144"/>
      <c r="E1" s="144"/>
      <c r="F1" s="144"/>
      <c r="G1" s="221"/>
      <c r="H1" s="221"/>
      <c r="I1" s="208" t="s">
        <v>604</v>
      </c>
      <c r="J1" s="208"/>
    </row>
    <row r="2" spans="1:10" x14ac:dyDescent="0.45">
      <c r="A2" s="143"/>
      <c r="B2" s="143"/>
      <c r="C2" s="143"/>
      <c r="D2" s="26"/>
      <c r="E2" s="26"/>
      <c r="F2" s="145"/>
      <c r="G2" s="143"/>
      <c r="H2" s="146"/>
      <c r="I2" s="209" t="s">
        <v>23</v>
      </c>
      <c r="J2" s="209"/>
    </row>
    <row r="3" spans="1:10" x14ac:dyDescent="0.45">
      <c r="A3" s="143"/>
      <c r="B3" s="143"/>
      <c r="C3" s="143"/>
      <c r="D3" s="26"/>
      <c r="E3" s="26"/>
      <c r="F3" s="145"/>
      <c r="G3" s="222"/>
      <c r="H3" s="222"/>
      <c r="I3" s="209" t="s">
        <v>24</v>
      </c>
      <c r="J3" s="209"/>
    </row>
    <row r="4" spans="1:10" x14ac:dyDescent="0.45">
      <c r="A4" s="143"/>
      <c r="B4" s="143"/>
      <c r="C4" s="143"/>
      <c r="D4" s="26"/>
      <c r="E4" s="26"/>
      <c r="F4" s="145"/>
      <c r="G4" s="146"/>
      <c r="H4" s="146"/>
      <c r="I4" s="146"/>
      <c r="J4" s="143"/>
    </row>
    <row r="5" spans="1:10" x14ac:dyDescent="0.45">
      <c r="A5" s="143"/>
      <c r="B5" s="143"/>
      <c r="C5" s="143"/>
      <c r="D5" s="26"/>
      <c r="E5" s="26"/>
      <c r="F5" s="145"/>
      <c r="G5" s="146"/>
      <c r="H5" s="146"/>
      <c r="I5" s="146"/>
      <c r="J5" s="143"/>
    </row>
    <row r="6" spans="1:10" ht="48" customHeight="1" x14ac:dyDescent="0.45">
      <c r="A6" s="213" t="s">
        <v>605</v>
      </c>
      <c r="B6" s="213"/>
      <c r="C6" s="213"/>
      <c r="D6" s="213"/>
      <c r="E6" s="213"/>
      <c r="F6" s="213"/>
      <c r="G6" s="213"/>
      <c r="H6" s="213"/>
      <c r="I6" s="213"/>
      <c r="J6" s="213"/>
    </row>
    <row r="7" spans="1:10" x14ac:dyDescent="0.45">
      <c r="A7" s="143"/>
      <c r="B7" s="143"/>
      <c r="C7" s="143"/>
      <c r="D7" s="147"/>
      <c r="E7" s="143"/>
      <c r="F7" s="143"/>
      <c r="G7" s="143"/>
      <c r="H7" s="143"/>
      <c r="I7" s="143"/>
      <c r="J7" s="143"/>
    </row>
    <row r="8" spans="1:10" x14ac:dyDescent="0.45">
      <c r="A8" s="143"/>
      <c r="B8" s="143"/>
      <c r="C8" s="143"/>
      <c r="D8" s="147"/>
      <c r="E8" s="143"/>
      <c r="F8" s="143"/>
      <c r="G8" s="143"/>
      <c r="H8" s="143"/>
      <c r="I8" s="143"/>
      <c r="J8" s="3" t="s">
        <v>1</v>
      </c>
    </row>
    <row r="9" spans="1:10" ht="67.25" customHeight="1" x14ac:dyDescent="0.45">
      <c r="A9" s="220" t="s">
        <v>606</v>
      </c>
      <c r="B9" s="220" t="s">
        <v>584</v>
      </c>
      <c r="C9" s="220"/>
      <c r="D9" s="220" t="s">
        <v>585</v>
      </c>
      <c r="E9" s="220"/>
      <c r="F9" s="220"/>
      <c r="G9" s="220"/>
      <c r="H9" s="220" t="s">
        <v>586</v>
      </c>
      <c r="I9" s="220" t="s">
        <v>587</v>
      </c>
      <c r="J9" s="105" t="s">
        <v>588</v>
      </c>
    </row>
    <row r="10" spans="1:10" ht="35" x14ac:dyDescent="0.45">
      <c r="A10" s="220"/>
      <c r="B10" s="148" t="s">
        <v>589</v>
      </c>
      <c r="C10" s="148" t="s">
        <v>590</v>
      </c>
      <c r="D10" s="148" t="s">
        <v>591</v>
      </c>
      <c r="E10" s="148" t="s">
        <v>590</v>
      </c>
      <c r="F10" s="148" t="s">
        <v>592</v>
      </c>
      <c r="G10" s="148" t="s">
        <v>593</v>
      </c>
      <c r="H10" s="220"/>
      <c r="I10" s="220"/>
      <c r="J10" s="148" t="s">
        <v>594</v>
      </c>
    </row>
    <row r="11" spans="1:10" ht="17.5" x14ac:dyDescent="0.45">
      <c r="A11" s="214" t="s">
        <v>595</v>
      </c>
      <c r="B11" s="214"/>
      <c r="C11" s="214"/>
      <c r="D11" s="214"/>
      <c r="E11" s="214"/>
      <c r="F11" s="214"/>
      <c r="G11" s="214"/>
      <c r="H11" s="214"/>
      <c r="I11" s="214"/>
      <c r="J11" s="149">
        <f>+J13</f>
        <v>0</v>
      </c>
    </row>
    <row r="12" spans="1:10" ht="17.5" x14ac:dyDescent="0.45">
      <c r="A12" s="215" t="s">
        <v>596</v>
      </c>
      <c r="B12" s="215"/>
      <c r="C12" s="215"/>
      <c r="D12" s="215"/>
      <c r="E12" s="215"/>
      <c r="F12" s="215"/>
      <c r="G12" s="215"/>
      <c r="H12" s="215"/>
      <c r="I12" s="215"/>
      <c r="J12" s="40"/>
    </row>
    <row r="13" spans="1:10" ht="17.5" x14ac:dyDescent="0.45">
      <c r="A13" s="216" t="s">
        <v>597</v>
      </c>
      <c r="B13" s="216"/>
      <c r="C13" s="216"/>
      <c r="D13" s="216"/>
      <c r="E13" s="216"/>
      <c r="F13" s="216"/>
      <c r="G13" s="216"/>
      <c r="H13" s="216"/>
      <c r="I13" s="216"/>
      <c r="J13" s="150">
        <f t="shared" ref="J13" si="0">+J14</f>
        <v>0</v>
      </c>
    </row>
    <row r="14" spans="1:10" ht="17.5" x14ac:dyDescent="0.45">
      <c r="A14" s="217"/>
      <c r="B14" s="151">
        <v>1236</v>
      </c>
      <c r="C14" s="218" t="s">
        <v>598</v>
      </c>
      <c r="D14" s="218"/>
      <c r="E14" s="218"/>
      <c r="F14" s="218"/>
      <c r="G14" s="218"/>
      <c r="H14" s="218"/>
      <c r="I14" s="218"/>
      <c r="J14" s="40">
        <f>+J15</f>
        <v>0</v>
      </c>
    </row>
    <row r="15" spans="1:10" ht="17.5" x14ac:dyDescent="0.45">
      <c r="A15" s="217"/>
      <c r="B15" s="219"/>
      <c r="C15" s="219"/>
      <c r="D15" s="151" t="s">
        <v>599</v>
      </c>
      <c r="E15" s="218" t="s">
        <v>21</v>
      </c>
      <c r="F15" s="218"/>
      <c r="G15" s="218"/>
      <c r="H15" s="218"/>
      <c r="I15" s="218"/>
      <c r="J15" s="152">
        <f>+'Հավելված N 1'!D83</f>
        <v>0</v>
      </c>
    </row>
    <row r="16" spans="1:10" ht="17.5" x14ac:dyDescent="0.45">
      <c r="A16" s="217"/>
      <c r="B16" s="219"/>
      <c r="C16" s="219"/>
      <c r="D16" s="219"/>
      <c r="E16" s="219"/>
      <c r="F16" s="218" t="s">
        <v>600</v>
      </c>
      <c r="G16" s="218"/>
      <c r="H16" s="218"/>
      <c r="I16" s="218"/>
      <c r="J16" s="218"/>
    </row>
    <row r="17" spans="1:10" ht="17.5" x14ac:dyDescent="0.45">
      <c r="A17" s="217"/>
      <c r="B17" s="219"/>
      <c r="C17" s="219"/>
      <c r="D17" s="219"/>
      <c r="E17" s="219"/>
      <c r="F17" s="219"/>
      <c r="G17" s="218" t="s">
        <v>601</v>
      </c>
      <c r="H17" s="218"/>
      <c r="I17" s="218"/>
      <c r="J17" s="218"/>
    </row>
    <row r="18" spans="1:10" ht="17.5" x14ac:dyDescent="0.45">
      <c r="A18" s="217"/>
      <c r="B18" s="219"/>
      <c r="C18" s="219"/>
      <c r="D18" s="219"/>
      <c r="E18" s="219"/>
      <c r="F18" s="219"/>
      <c r="G18" s="219"/>
      <c r="H18" s="218" t="s">
        <v>602</v>
      </c>
      <c r="I18" s="218"/>
      <c r="J18" s="218"/>
    </row>
    <row r="19" spans="1:10" ht="85" x14ac:dyDescent="0.45">
      <c r="A19" s="217"/>
      <c r="B19" s="219"/>
      <c r="C19" s="219"/>
      <c r="D19" s="219"/>
      <c r="E19" s="219"/>
      <c r="F19" s="219"/>
      <c r="G19" s="219"/>
      <c r="H19" s="95"/>
      <c r="I19" s="153" t="s">
        <v>603</v>
      </c>
      <c r="J19" s="154">
        <v>27</v>
      </c>
    </row>
  </sheetData>
  <mergeCells count="26">
    <mergeCell ref="G1:H1"/>
    <mergeCell ref="G3:H3"/>
    <mergeCell ref="A6:J6"/>
    <mergeCell ref="I3:J3"/>
    <mergeCell ref="I2:J2"/>
    <mergeCell ref="I1:J1"/>
    <mergeCell ref="A9:A10"/>
    <mergeCell ref="B9:C9"/>
    <mergeCell ref="D9:G9"/>
    <mergeCell ref="H9:H10"/>
    <mergeCell ref="I9:I10"/>
    <mergeCell ref="A11:I11"/>
    <mergeCell ref="A12:I12"/>
    <mergeCell ref="A13:I13"/>
    <mergeCell ref="A14:A19"/>
    <mergeCell ref="C14:I14"/>
    <mergeCell ref="B15:B19"/>
    <mergeCell ref="C15:C19"/>
    <mergeCell ref="E15:I15"/>
    <mergeCell ref="D16:D19"/>
    <mergeCell ref="E16:E19"/>
    <mergeCell ref="F16:J16"/>
    <mergeCell ref="F17:F19"/>
    <mergeCell ref="G17:J17"/>
    <mergeCell ref="G18:G19"/>
    <mergeCell ref="H18:J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M372"/>
  <sheetViews>
    <sheetView tabSelected="1" topLeftCell="A355" zoomScale="80" zoomScaleNormal="80" workbookViewId="0">
      <selection activeCell="I379" sqref="I379"/>
    </sheetView>
  </sheetViews>
  <sheetFormatPr defaultColWidth="9.08984375" defaultRowHeight="17" x14ac:dyDescent="0.45"/>
  <cols>
    <col min="1" max="4" width="18.1796875" style="34" customWidth="1"/>
    <col min="5" max="6" width="14.453125" style="67" customWidth="1"/>
    <col min="7" max="7" width="17.6328125" style="81" customWidth="1"/>
    <col min="8" max="8" width="14.453125" style="81" customWidth="1"/>
    <col min="9" max="9" width="30.1796875" style="67" customWidth="1"/>
    <col min="10" max="10" width="26.08984375" style="83" customWidth="1"/>
    <col min="11" max="11" width="37.08984375" style="34" customWidth="1"/>
    <col min="12" max="12" width="20.1796875" style="34" customWidth="1"/>
    <col min="13" max="13" width="14" style="34" bestFit="1" customWidth="1"/>
    <col min="14" max="16384" width="9.08984375" style="34"/>
  </cols>
  <sheetData>
    <row r="1" spans="1:22" ht="33.5" customHeight="1" x14ac:dyDescent="0.45">
      <c r="A1" s="57"/>
      <c r="B1" s="57"/>
      <c r="C1" s="57"/>
      <c r="D1" s="57"/>
      <c r="E1" s="58"/>
      <c r="F1" s="58"/>
      <c r="G1" s="59"/>
      <c r="H1" s="237" t="s">
        <v>583</v>
      </c>
      <c r="I1" s="237"/>
    </row>
    <row r="2" spans="1:22" x14ac:dyDescent="0.45">
      <c r="A2" s="57"/>
      <c r="B2" s="57"/>
      <c r="C2" s="57"/>
      <c r="D2" s="57"/>
      <c r="E2" s="58"/>
      <c r="F2" s="58"/>
      <c r="G2" s="59"/>
      <c r="H2" s="238" t="s">
        <v>35</v>
      </c>
      <c r="I2" s="238"/>
    </row>
    <row r="3" spans="1:22" x14ac:dyDescent="0.45">
      <c r="A3" s="57"/>
      <c r="B3" s="57"/>
      <c r="C3" s="57"/>
      <c r="D3" s="57"/>
      <c r="E3" s="58"/>
      <c r="F3" s="58"/>
      <c r="G3" s="59"/>
      <c r="H3" s="238" t="s">
        <v>36</v>
      </c>
      <c r="I3" s="238"/>
    </row>
    <row r="4" spans="1:22" x14ac:dyDescent="0.45">
      <c r="A4" s="57"/>
      <c r="B4" s="57"/>
      <c r="C4" s="57"/>
      <c r="D4" s="57"/>
      <c r="E4" s="58"/>
      <c r="F4" s="58"/>
      <c r="G4" s="59"/>
      <c r="H4" s="59"/>
      <c r="I4" s="60"/>
      <c r="V4" s="155" t="s">
        <v>608</v>
      </c>
    </row>
    <row r="5" spans="1:22" x14ac:dyDescent="0.45">
      <c r="A5" s="57"/>
      <c r="B5" s="57"/>
      <c r="C5" s="57"/>
      <c r="D5" s="57"/>
      <c r="E5" s="58"/>
      <c r="F5" s="58"/>
      <c r="G5" s="59"/>
      <c r="H5" s="59"/>
      <c r="I5" s="60"/>
    </row>
    <row r="6" spans="1:22" ht="32.25" customHeight="1" x14ac:dyDescent="0.45">
      <c r="A6" s="239" t="s">
        <v>520</v>
      </c>
      <c r="B6" s="239"/>
      <c r="C6" s="239"/>
      <c r="D6" s="239"/>
      <c r="E6" s="239"/>
      <c r="F6" s="239"/>
      <c r="G6" s="239"/>
      <c r="H6" s="239"/>
      <c r="I6" s="239"/>
    </row>
    <row r="7" spans="1:22" ht="21" customHeight="1" x14ac:dyDescent="0.45">
      <c r="A7" s="239"/>
      <c r="B7" s="239"/>
      <c r="C7" s="239"/>
      <c r="D7" s="239"/>
      <c r="E7" s="239"/>
      <c r="F7" s="239"/>
      <c r="G7" s="239"/>
      <c r="H7" s="239"/>
      <c r="I7" s="239"/>
    </row>
    <row r="8" spans="1:22" ht="21" customHeight="1" x14ac:dyDescent="0.45">
      <c r="A8" s="61"/>
      <c r="B8" s="61"/>
      <c r="C8" s="61"/>
      <c r="D8" s="61"/>
      <c r="E8" s="61"/>
      <c r="F8" s="61"/>
      <c r="G8" s="61"/>
      <c r="H8" s="61"/>
      <c r="I8" s="61"/>
    </row>
    <row r="9" spans="1:22" ht="21" customHeight="1" x14ac:dyDescent="0.45">
      <c r="A9" s="61"/>
      <c r="B9" s="61"/>
      <c r="C9" s="61"/>
      <c r="D9" s="61"/>
      <c r="E9" s="61"/>
      <c r="F9" s="61"/>
      <c r="G9" s="61"/>
      <c r="H9" s="61"/>
      <c r="I9" s="61"/>
    </row>
    <row r="10" spans="1:22" ht="52.75" customHeight="1" x14ac:dyDescent="0.45">
      <c r="A10" s="240" t="s">
        <v>37</v>
      </c>
      <c r="B10" s="240" t="s">
        <v>38</v>
      </c>
      <c r="C10" s="240"/>
      <c r="D10" s="240"/>
      <c r="E10" s="240" t="s">
        <v>39</v>
      </c>
      <c r="F10" s="240" t="s">
        <v>40</v>
      </c>
      <c r="G10" s="240" t="s">
        <v>41</v>
      </c>
      <c r="H10" s="241" t="s">
        <v>521</v>
      </c>
      <c r="I10" s="241"/>
    </row>
    <row r="11" spans="1:22" ht="21" customHeight="1" x14ac:dyDescent="0.45">
      <c r="A11" s="240"/>
      <c r="B11" s="240"/>
      <c r="C11" s="240"/>
      <c r="D11" s="240"/>
      <c r="E11" s="240"/>
      <c r="F11" s="240"/>
      <c r="G11" s="240"/>
      <c r="H11" s="62" t="s">
        <v>42</v>
      </c>
      <c r="I11" s="63" t="s">
        <v>43</v>
      </c>
    </row>
    <row r="12" spans="1:22" x14ac:dyDescent="0.45">
      <c r="A12" s="64">
        <v>1</v>
      </c>
      <c r="B12" s="242">
        <v>2</v>
      </c>
      <c r="C12" s="243"/>
      <c r="D12" s="244"/>
      <c r="E12" s="62">
        <v>3</v>
      </c>
      <c r="F12" s="62">
        <v>4</v>
      </c>
      <c r="G12" s="62">
        <v>5</v>
      </c>
      <c r="H12" s="62">
        <v>6</v>
      </c>
      <c r="I12" s="62">
        <v>7</v>
      </c>
    </row>
    <row r="13" spans="1:22" ht="44.9" customHeight="1" x14ac:dyDescent="0.45">
      <c r="A13" s="245" t="s">
        <v>15</v>
      </c>
      <c r="B13" s="245"/>
      <c r="C13" s="245"/>
      <c r="D13" s="245"/>
      <c r="E13" s="245"/>
      <c r="F13" s="245"/>
      <c r="G13" s="245"/>
      <c r="H13" s="245"/>
      <c r="I13" s="85">
        <f>+I14</f>
        <v>36356229.503215998</v>
      </c>
      <c r="K13" s="141"/>
    </row>
    <row r="14" spans="1:22" s="67" customFormat="1" x14ac:dyDescent="0.35">
      <c r="A14" s="65" t="s">
        <v>44</v>
      </c>
      <c r="B14" s="65" t="s">
        <v>45</v>
      </c>
      <c r="C14" s="65" t="s">
        <v>46</v>
      </c>
      <c r="D14" s="246" t="s">
        <v>47</v>
      </c>
      <c r="E14" s="247"/>
      <c r="F14" s="247"/>
      <c r="G14" s="247"/>
      <c r="H14" s="248"/>
      <c r="I14" s="66">
        <f>+I15+I75+I292</f>
        <v>36356229.503215998</v>
      </c>
      <c r="J14" s="83"/>
    </row>
    <row r="15" spans="1:22" ht="54.75" customHeight="1" x14ac:dyDescent="0.45">
      <c r="A15" s="68" t="s">
        <v>291</v>
      </c>
      <c r="B15" s="228" t="s">
        <v>292</v>
      </c>
      <c r="C15" s="229"/>
      <c r="D15" s="229"/>
      <c r="E15" s="229"/>
      <c r="F15" s="229"/>
      <c r="G15" s="229"/>
      <c r="H15" s="230"/>
      <c r="I15" s="102">
        <f>+I16+I64</f>
        <v>12635846.199999997</v>
      </c>
    </row>
    <row r="16" spans="1:22" s="74" customFormat="1" ht="21" customHeight="1" x14ac:dyDescent="0.35">
      <c r="A16" s="70"/>
      <c r="B16" s="225" t="s">
        <v>51</v>
      </c>
      <c r="C16" s="226"/>
      <c r="D16" s="227"/>
      <c r="E16" s="71" t="s">
        <v>48</v>
      </c>
      <c r="F16" s="71" t="s">
        <v>48</v>
      </c>
      <c r="G16" s="71" t="s">
        <v>48</v>
      </c>
      <c r="H16" s="72"/>
      <c r="I16" s="103">
        <f>SUM(I17:I63)</f>
        <v>12568054.399999997</v>
      </c>
      <c r="J16" s="84"/>
    </row>
    <row r="17" spans="1:39" s="92" customFormat="1" ht="35" customHeight="1" x14ac:dyDescent="0.35">
      <c r="A17" s="75" t="s">
        <v>317</v>
      </c>
      <c r="B17" s="223" t="s">
        <v>82</v>
      </c>
      <c r="C17" s="223"/>
      <c r="D17" s="223"/>
      <c r="E17" s="76" t="s">
        <v>49</v>
      </c>
      <c r="F17" s="76" t="s">
        <v>50</v>
      </c>
      <c r="G17" s="91"/>
      <c r="H17" s="78"/>
      <c r="I17" s="96">
        <v>250000</v>
      </c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</row>
    <row r="18" spans="1:39" s="92" customFormat="1" ht="35" customHeight="1" x14ac:dyDescent="0.35">
      <c r="A18" s="75" t="s">
        <v>318</v>
      </c>
      <c r="B18" s="223" t="s">
        <v>82</v>
      </c>
      <c r="C18" s="223"/>
      <c r="D18" s="223"/>
      <c r="E18" s="76" t="s">
        <v>49</v>
      </c>
      <c r="F18" s="76" t="s">
        <v>50</v>
      </c>
      <c r="G18" s="91"/>
      <c r="H18" s="78"/>
      <c r="I18" s="96">
        <f>380000+128133</f>
        <v>508133</v>
      </c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</row>
    <row r="19" spans="1:39" s="92" customFormat="1" ht="35" customHeight="1" x14ac:dyDescent="0.35">
      <c r="A19" s="75" t="s">
        <v>319</v>
      </c>
      <c r="B19" s="223" t="s">
        <v>82</v>
      </c>
      <c r="C19" s="223"/>
      <c r="D19" s="223"/>
      <c r="E19" s="76" t="s">
        <v>49</v>
      </c>
      <c r="F19" s="76" t="s">
        <v>50</v>
      </c>
      <c r="G19" s="91"/>
      <c r="H19" s="78"/>
      <c r="I19" s="96">
        <f>400000+158890.6</f>
        <v>558890.6</v>
      </c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</row>
    <row r="20" spans="1:39" s="80" customFormat="1" ht="35" customHeight="1" x14ac:dyDescent="0.35">
      <c r="A20" s="75" t="s">
        <v>293</v>
      </c>
      <c r="B20" s="223" t="s">
        <v>82</v>
      </c>
      <c r="C20" s="223"/>
      <c r="D20" s="223"/>
      <c r="E20" s="76" t="s">
        <v>49</v>
      </c>
      <c r="F20" s="76" t="s">
        <v>50</v>
      </c>
      <c r="G20" s="77"/>
      <c r="H20" s="78"/>
      <c r="I20" s="96">
        <f>50000+400000</f>
        <v>450000</v>
      </c>
    </row>
    <row r="21" spans="1:39" s="92" customFormat="1" ht="35" customHeight="1" x14ac:dyDescent="0.35">
      <c r="A21" s="75" t="s">
        <v>320</v>
      </c>
      <c r="B21" s="223" t="s">
        <v>82</v>
      </c>
      <c r="C21" s="223"/>
      <c r="D21" s="223"/>
      <c r="E21" s="76" t="s">
        <v>49</v>
      </c>
      <c r="F21" s="76" t="s">
        <v>50</v>
      </c>
      <c r="G21" s="91"/>
      <c r="H21" s="78"/>
      <c r="I21" s="96">
        <f>90000+59203.4</f>
        <v>149203.4</v>
      </c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</row>
    <row r="22" spans="1:39" s="80" customFormat="1" ht="35" customHeight="1" x14ac:dyDescent="0.35">
      <c r="A22" s="75" t="s">
        <v>323</v>
      </c>
      <c r="B22" s="223" t="s">
        <v>82</v>
      </c>
      <c r="C22" s="223"/>
      <c r="D22" s="223"/>
      <c r="E22" s="76" t="s">
        <v>49</v>
      </c>
      <c r="F22" s="76" t="s">
        <v>50</v>
      </c>
      <c r="G22" s="77"/>
      <c r="H22" s="78"/>
      <c r="I22" s="96">
        <v>80000</v>
      </c>
    </row>
    <row r="23" spans="1:39" s="80" customFormat="1" ht="35" customHeight="1" x14ac:dyDescent="0.35">
      <c r="A23" s="75" t="s">
        <v>324</v>
      </c>
      <c r="B23" s="223" t="s">
        <v>82</v>
      </c>
      <c r="C23" s="223"/>
      <c r="D23" s="223"/>
      <c r="E23" s="76" t="s">
        <v>49</v>
      </c>
      <c r="F23" s="76" t="s">
        <v>50</v>
      </c>
      <c r="G23" s="77"/>
      <c r="H23" s="78"/>
      <c r="I23" s="96">
        <v>158000</v>
      </c>
    </row>
    <row r="24" spans="1:39" s="80" customFormat="1" ht="35" customHeight="1" x14ac:dyDescent="0.35">
      <c r="A24" s="75" t="s">
        <v>294</v>
      </c>
      <c r="B24" s="223" t="s">
        <v>82</v>
      </c>
      <c r="C24" s="223"/>
      <c r="D24" s="223"/>
      <c r="E24" s="76" t="s">
        <v>49</v>
      </c>
      <c r="F24" s="76" t="s">
        <v>50</v>
      </c>
      <c r="G24" s="77"/>
      <c r="H24" s="78"/>
      <c r="I24" s="96">
        <f>70000+400000+148892.8</f>
        <v>618892.80000000005</v>
      </c>
    </row>
    <row r="25" spans="1:39" s="80" customFormat="1" ht="35" customHeight="1" x14ac:dyDescent="0.35">
      <c r="A25" s="75" t="s">
        <v>295</v>
      </c>
      <c r="B25" s="223" t="s">
        <v>82</v>
      </c>
      <c r="C25" s="223"/>
      <c r="D25" s="223"/>
      <c r="E25" s="76" t="s">
        <v>49</v>
      </c>
      <c r="F25" s="76" t="s">
        <v>50</v>
      </c>
      <c r="G25" s="77"/>
      <c r="H25" s="78"/>
      <c r="I25" s="96">
        <f>150000+367000+134867.8</f>
        <v>651867.80000000005</v>
      </c>
    </row>
    <row r="26" spans="1:39" s="92" customFormat="1" ht="35" customHeight="1" x14ac:dyDescent="0.35">
      <c r="A26" s="75" t="s">
        <v>327</v>
      </c>
      <c r="B26" s="223" t="s">
        <v>82</v>
      </c>
      <c r="C26" s="223"/>
      <c r="D26" s="223"/>
      <c r="E26" s="76" t="s">
        <v>49</v>
      </c>
      <c r="F26" s="76" t="s">
        <v>50</v>
      </c>
      <c r="G26" s="91"/>
      <c r="H26" s="78"/>
      <c r="I26" s="96">
        <f>150000+162245.9</f>
        <v>312245.90000000002</v>
      </c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</row>
    <row r="27" spans="1:39" s="80" customFormat="1" ht="35" customHeight="1" x14ac:dyDescent="0.35">
      <c r="A27" s="75" t="s">
        <v>296</v>
      </c>
      <c r="B27" s="223" t="s">
        <v>82</v>
      </c>
      <c r="C27" s="223"/>
      <c r="D27" s="223"/>
      <c r="E27" s="76" t="s">
        <v>49</v>
      </c>
      <c r="F27" s="76" t="s">
        <v>50</v>
      </c>
      <c r="G27" s="77"/>
      <c r="H27" s="78"/>
      <c r="I27" s="96">
        <f>70000+350000+74960</f>
        <v>494960</v>
      </c>
    </row>
    <row r="28" spans="1:39" s="92" customFormat="1" ht="35" customHeight="1" x14ac:dyDescent="0.35">
      <c r="A28" s="75" t="s">
        <v>607</v>
      </c>
      <c r="B28" s="223" t="s">
        <v>82</v>
      </c>
      <c r="C28" s="223"/>
      <c r="D28" s="223"/>
      <c r="E28" s="76" t="s">
        <v>49</v>
      </c>
      <c r="F28" s="76" t="s">
        <v>50</v>
      </c>
      <c r="G28" s="91"/>
      <c r="H28" s="78"/>
      <c r="I28" s="96">
        <f>250000+48806.6</f>
        <v>298806.59999999998</v>
      </c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</row>
    <row r="29" spans="1:39" s="92" customFormat="1" ht="35" customHeight="1" x14ac:dyDescent="0.35">
      <c r="A29" s="75" t="s">
        <v>328</v>
      </c>
      <c r="B29" s="223" t="s">
        <v>82</v>
      </c>
      <c r="C29" s="223"/>
      <c r="D29" s="223"/>
      <c r="E29" s="76" t="s">
        <v>49</v>
      </c>
      <c r="F29" s="76" t="s">
        <v>50</v>
      </c>
      <c r="G29" s="91"/>
      <c r="H29" s="78"/>
      <c r="I29" s="96">
        <f>400000+606316</f>
        <v>1006316</v>
      </c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</row>
    <row r="30" spans="1:39" s="80" customFormat="1" ht="35" customHeight="1" x14ac:dyDescent="0.35">
      <c r="A30" s="75" t="s">
        <v>297</v>
      </c>
      <c r="B30" s="223" t="s">
        <v>82</v>
      </c>
      <c r="C30" s="223"/>
      <c r="D30" s="223"/>
      <c r="E30" s="76" t="s">
        <v>49</v>
      </c>
      <c r="F30" s="76" t="s">
        <v>50</v>
      </c>
      <c r="G30" s="77"/>
      <c r="H30" s="78"/>
      <c r="I30" s="96">
        <f>80000+250000+80114.3</f>
        <v>410114.3</v>
      </c>
    </row>
    <row r="31" spans="1:39" s="92" customFormat="1" ht="35" customHeight="1" x14ac:dyDescent="0.35">
      <c r="A31" s="75" t="s">
        <v>329</v>
      </c>
      <c r="B31" s="223" t="s">
        <v>82</v>
      </c>
      <c r="C31" s="223"/>
      <c r="D31" s="223"/>
      <c r="E31" s="76" t="s">
        <v>49</v>
      </c>
      <c r="F31" s="76" t="s">
        <v>50</v>
      </c>
      <c r="G31" s="91"/>
      <c r="H31" s="78"/>
      <c r="I31" s="96">
        <v>180000</v>
      </c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</row>
    <row r="32" spans="1:39" s="92" customFormat="1" ht="35" customHeight="1" x14ac:dyDescent="0.35">
      <c r="A32" s="75" t="s">
        <v>330</v>
      </c>
      <c r="B32" s="223" t="s">
        <v>82</v>
      </c>
      <c r="C32" s="223"/>
      <c r="D32" s="223"/>
      <c r="E32" s="76" t="s">
        <v>49</v>
      </c>
      <c r="F32" s="76" t="s">
        <v>50</v>
      </c>
      <c r="G32" s="91"/>
      <c r="H32" s="78"/>
      <c r="I32" s="96">
        <v>250000</v>
      </c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</row>
    <row r="33" spans="1:39" s="92" customFormat="1" ht="35" customHeight="1" x14ac:dyDescent="0.35">
      <c r="A33" s="75" t="s">
        <v>334</v>
      </c>
      <c r="B33" s="223" t="s">
        <v>82</v>
      </c>
      <c r="C33" s="223"/>
      <c r="D33" s="223"/>
      <c r="E33" s="76" t="s">
        <v>49</v>
      </c>
      <c r="F33" s="76" t="s">
        <v>50</v>
      </c>
      <c r="G33" s="91"/>
      <c r="H33" s="78"/>
      <c r="I33" s="96">
        <v>70000</v>
      </c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</row>
    <row r="34" spans="1:39" s="92" customFormat="1" ht="35" customHeight="1" x14ac:dyDescent="0.35">
      <c r="A34" s="75" t="s">
        <v>336</v>
      </c>
      <c r="B34" s="223" t="s">
        <v>82</v>
      </c>
      <c r="C34" s="223"/>
      <c r="D34" s="223"/>
      <c r="E34" s="76" t="s">
        <v>49</v>
      </c>
      <c r="F34" s="76" t="s">
        <v>50</v>
      </c>
      <c r="G34" s="91"/>
      <c r="H34" s="78"/>
      <c r="I34" s="96">
        <v>100000</v>
      </c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</row>
    <row r="35" spans="1:39" s="80" customFormat="1" ht="35" customHeight="1" x14ac:dyDescent="0.35">
      <c r="A35" s="75" t="s">
        <v>298</v>
      </c>
      <c r="B35" s="231" t="s">
        <v>82</v>
      </c>
      <c r="C35" s="232"/>
      <c r="D35" s="233"/>
      <c r="E35" s="76" t="s">
        <v>49</v>
      </c>
      <c r="F35" s="76" t="s">
        <v>50</v>
      </c>
      <c r="G35" s="77"/>
      <c r="H35" s="78"/>
      <c r="I35" s="96">
        <f>100000+250000</f>
        <v>350000</v>
      </c>
    </row>
    <row r="36" spans="1:39" s="92" customFormat="1" ht="35" customHeight="1" x14ac:dyDescent="0.35">
      <c r="A36" s="75" t="s">
        <v>299</v>
      </c>
      <c r="B36" s="223" t="s">
        <v>82</v>
      </c>
      <c r="C36" s="223"/>
      <c r="D36" s="223"/>
      <c r="E36" s="76" t="s">
        <v>49</v>
      </c>
      <c r="F36" s="76" t="s">
        <v>50</v>
      </c>
      <c r="G36" s="91"/>
      <c r="H36" s="78"/>
      <c r="I36" s="96">
        <f>120000+500000</f>
        <v>620000</v>
      </c>
    </row>
    <row r="37" spans="1:39" s="92" customFormat="1" ht="35" customHeight="1" x14ac:dyDescent="0.35">
      <c r="A37" s="75" t="s">
        <v>337</v>
      </c>
      <c r="B37" s="223" t="s">
        <v>82</v>
      </c>
      <c r="C37" s="223"/>
      <c r="D37" s="223"/>
      <c r="E37" s="76" t="s">
        <v>49</v>
      </c>
      <c r="F37" s="76" t="s">
        <v>50</v>
      </c>
      <c r="G37" s="91"/>
      <c r="H37" s="78"/>
      <c r="I37" s="96">
        <v>350000</v>
      </c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</row>
    <row r="38" spans="1:39" s="92" customFormat="1" ht="35" customHeight="1" x14ac:dyDescent="0.35">
      <c r="A38" s="75" t="s">
        <v>300</v>
      </c>
      <c r="B38" s="223" t="s">
        <v>82</v>
      </c>
      <c r="C38" s="223"/>
      <c r="D38" s="223"/>
      <c r="E38" s="76" t="s">
        <v>49</v>
      </c>
      <c r="F38" s="76" t="s">
        <v>50</v>
      </c>
      <c r="G38" s="91"/>
      <c r="H38" s="78"/>
      <c r="I38" s="96">
        <f>42000+250000</f>
        <v>292000</v>
      </c>
    </row>
    <row r="39" spans="1:39" s="92" customFormat="1" ht="35" customHeight="1" x14ac:dyDescent="0.35">
      <c r="A39" s="75" t="s">
        <v>301</v>
      </c>
      <c r="B39" s="223" t="s">
        <v>82</v>
      </c>
      <c r="C39" s="223"/>
      <c r="D39" s="223"/>
      <c r="E39" s="76" t="s">
        <v>49</v>
      </c>
      <c r="F39" s="76" t="s">
        <v>50</v>
      </c>
      <c r="G39" s="91"/>
      <c r="H39" s="78"/>
      <c r="I39" s="96">
        <f>80000+300000</f>
        <v>380000</v>
      </c>
    </row>
    <row r="40" spans="1:39" s="92" customFormat="1" ht="35" customHeight="1" x14ac:dyDescent="0.35">
      <c r="A40" s="75" t="s">
        <v>493</v>
      </c>
      <c r="B40" s="223" t="s">
        <v>82</v>
      </c>
      <c r="C40" s="223"/>
      <c r="D40" s="223"/>
      <c r="E40" s="76" t="s">
        <v>49</v>
      </c>
      <c r="F40" s="76" t="s">
        <v>50</v>
      </c>
      <c r="G40" s="91"/>
      <c r="H40" s="78"/>
      <c r="I40" s="96">
        <v>93598</v>
      </c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</row>
    <row r="41" spans="1:39" s="92" customFormat="1" ht="35" customHeight="1" x14ac:dyDescent="0.35">
      <c r="A41" s="75" t="s">
        <v>340</v>
      </c>
      <c r="B41" s="223" t="s">
        <v>82</v>
      </c>
      <c r="C41" s="223"/>
      <c r="D41" s="223"/>
      <c r="E41" s="76" t="s">
        <v>49</v>
      </c>
      <c r="F41" s="76" t="s">
        <v>50</v>
      </c>
      <c r="G41" s="91"/>
      <c r="H41" s="78"/>
      <c r="I41" s="96">
        <f>280000+279762.2</f>
        <v>559762.19999999995</v>
      </c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</row>
    <row r="42" spans="1:39" s="92" customFormat="1" ht="35" customHeight="1" x14ac:dyDescent="0.35">
      <c r="A42" s="75" t="s">
        <v>341</v>
      </c>
      <c r="B42" s="223" t="s">
        <v>82</v>
      </c>
      <c r="C42" s="223"/>
      <c r="D42" s="223"/>
      <c r="E42" s="76" t="s">
        <v>49</v>
      </c>
      <c r="F42" s="76" t="s">
        <v>50</v>
      </c>
      <c r="G42" s="91"/>
      <c r="H42" s="78"/>
      <c r="I42" s="96">
        <v>50000</v>
      </c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</row>
    <row r="43" spans="1:39" s="92" customFormat="1" ht="35" customHeight="1" x14ac:dyDescent="0.35">
      <c r="A43" s="75" t="s">
        <v>342</v>
      </c>
      <c r="B43" s="223" t="s">
        <v>82</v>
      </c>
      <c r="C43" s="223"/>
      <c r="D43" s="223"/>
      <c r="E43" s="76" t="s">
        <v>49</v>
      </c>
      <c r="F43" s="76" t="s">
        <v>50</v>
      </c>
      <c r="G43" s="91"/>
      <c r="H43" s="78"/>
      <c r="I43" s="96">
        <v>50000</v>
      </c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</row>
    <row r="44" spans="1:39" s="92" customFormat="1" ht="35" customHeight="1" x14ac:dyDescent="0.35">
      <c r="A44" s="75" t="s">
        <v>302</v>
      </c>
      <c r="B44" s="223" t="s">
        <v>82</v>
      </c>
      <c r="C44" s="223"/>
      <c r="D44" s="223"/>
      <c r="E44" s="76" t="s">
        <v>49</v>
      </c>
      <c r="F44" s="76" t="s">
        <v>50</v>
      </c>
      <c r="G44" s="91"/>
      <c r="H44" s="78"/>
      <c r="I44" s="96">
        <f>120208.2+285000+5828.4</f>
        <v>411036.60000000003</v>
      </c>
    </row>
    <row r="45" spans="1:39" s="92" customFormat="1" ht="35" customHeight="1" x14ac:dyDescent="0.35">
      <c r="A45" s="75" t="s">
        <v>453</v>
      </c>
      <c r="B45" s="223" t="s">
        <v>82</v>
      </c>
      <c r="C45" s="223"/>
      <c r="D45" s="223"/>
      <c r="E45" s="76" t="s">
        <v>49</v>
      </c>
      <c r="F45" s="76" t="s">
        <v>50</v>
      </c>
      <c r="G45" s="91"/>
      <c r="H45" s="78"/>
      <c r="I45" s="96">
        <v>155000</v>
      </c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</row>
    <row r="46" spans="1:39" s="92" customFormat="1" ht="35" customHeight="1" x14ac:dyDescent="0.35">
      <c r="A46" s="75" t="s">
        <v>454</v>
      </c>
      <c r="B46" s="223" t="s">
        <v>82</v>
      </c>
      <c r="C46" s="223"/>
      <c r="D46" s="223"/>
      <c r="E46" s="76" t="s">
        <v>49</v>
      </c>
      <c r="F46" s="76" t="s">
        <v>50</v>
      </c>
      <c r="G46" s="91"/>
      <c r="H46" s="78"/>
      <c r="I46" s="96">
        <f>120000+105163.8</f>
        <v>225163.8</v>
      </c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</row>
    <row r="47" spans="1:39" s="92" customFormat="1" ht="35" customHeight="1" x14ac:dyDescent="0.35">
      <c r="A47" s="75" t="s">
        <v>495</v>
      </c>
      <c r="B47" s="223" t="s">
        <v>82</v>
      </c>
      <c r="C47" s="223"/>
      <c r="D47" s="223"/>
      <c r="E47" s="76" t="s">
        <v>49</v>
      </c>
      <c r="F47" s="76" t="s">
        <v>50</v>
      </c>
      <c r="G47" s="91"/>
      <c r="H47" s="78"/>
      <c r="I47" s="96">
        <v>94957</v>
      </c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</row>
    <row r="48" spans="1:39" s="92" customFormat="1" ht="35" customHeight="1" x14ac:dyDescent="0.35">
      <c r="A48" s="75" t="s">
        <v>346</v>
      </c>
      <c r="B48" s="223" t="s">
        <v>82</v>
      </c>
      <c r="C48" s="223"/>
      <c r="D48" s="223"/>
      <c r="E48" s="76" t="s">
        <v>49</v>
      </c>
      <c r="F48" s="76" t="s">
        <v>50</v>
      </c>
      <c r="G48" s="91"/>
      <c r="H48" s="78"/>
      <c r="I48" s="96">
        <f>80000+157767.7</f>
        <v>237767.7</v>
      </c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</row>
    <row r="49" spans="1:39" s="92" customFormat="1" ht="35" customHeight="1" x14ac:dyDescent="0.35">
      <c r="A49" s="75" t="s">
        <v>347</v>
      </c>
      <c r="B49" s="223" t="s">
        <v>82</v>
      </c>
      <c r="C49" s="223"/>
      <c r="D49" s="223"/>
      <c r="E49" s="76" t="s">
        <v>49</v>
      </c>
      <c r="F49" s="76" t="s">
        <v>50</v>
      </c>
      <c r="G49" s="91"/>
      <c r="H49" s="78"/>
      <c r="I49" s="96">
        <f>50000+120000+223001.6</f>
        <v>393001.6</v>
      </c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</row>
    <row r="50" spans="1:39" s="92" customFormat="1" ht="35" customHeight="1" x14ac:dyDescent="0.35">
      <c r="A50" s="75" t="s">
        <v>457</v>
      </c>
      <c r="B50" s="223" t="s">
        <v>82</v>
      </c>
      <c r="C50" s="223"/>
      <c r="D50" s="223"/>
      <c r="E50" s="76" t="s">
        <v>49</v>
      </c>
      <c r="F50" s="76" t="s">
        <v>50</v>
      </c>
      <c r="G50" s="91"/>
      <c r="H50" s="78"/>
      <c r="I50" s="96">
        <f>155000+187968</f>
        <v>342968</v>
      </c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</row>
    <row r="51" spans="1:39" s="92" customFormat="1" ht="35" customHeight="1" x14ac:dyDescent="0.35">
      <c r="A51" s="75" t="s">
        <v>497</v>
      </c>
      <c r="B51" s="223" t="s">
        <v>82</v>
      </c>
      <c r="C51" s="223"/>
      <c r="D51" s="223"/>
      <c r="E51" s="76" t="s">
        <v>49</v>
      </c>
      <c r="F51" s="76" t="s">
        <v>50</v>
      </c>
      <c r="G51" s="91"/>
      <c r="H51" s="78"/>
      <c r="I51" s="96">
        <v>70000</v>
      </c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</row>
    <row r="52" spans="1:39" s="92" customFormat="1" ht="35" customHeight="1" x14ac:dyDescent="0.35">
      <c r="A52" s="75" t="s">
        <v>498</v>
      </c>
      <c r="B52" s="223" t="s">
        <v>82</v>
      </c>
      <c r="C52" s="223"/>
      <c r="D52" s="223"/>
      <c r="E52" s="76" t="s">
        <v>49</v>
      </c>
      <c r="F52" s="76" t="s">
        <v>50</v>
      </c>
      <c r="G52" s="91"/>
      <c r="H52" s="78"/>
      <c r="I52" s="96">
        <v>93834.4</v>
      </c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</row>
    <row r="53" spans="1:39" s="92" customFormat="1" ht="35" customHeight="1" x14ac:dyDescent="0.35">
      <c r="A53" s="75" t="s">
        <v>350</v>
      </c>
      <c r="B53" s="223" t="s">
        <v>82</v>
      </c>
      <c r="C53" s="223"/>
      <c r="D53" s="223"/>
      <c r="E53" s="76" t="s">
        <v>49</v>
      </c>
      <c r="F53" s="76" t="s">
        <v>50</v>
      </c>
      <c r="G53" s="91"/>
      <c r="H53" s="78"/>
      <c r="I53" s="96">
        <v>50000</v>
      </c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</row>
    <row r="54" spans="1:39" s="92" customFormat="1" ht="35" customHeight="1" x14ac:dyDescent="0.35">
      <c r="A54" s="75" t="s">
        <v>351</v>
      </c>
      <c r="B54" s="223" t="s">
        <v>82</v>
      </c>
      <c r="C54" s="223"/>
      <c r="D54" s="223"/>
      <c r="E54" s="76" t="s">
        <v>49</v>
      </c>
      <c r="F54" s="76" t="s">
        <v>50</v>
      </c>
      <c r="G54" s="91"/>
      <c r="H54" s="78"/>
      <c r="I54" s="96">
        <v>100000</v>
      </c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</row>
    <row r="55" spans="1:39" s="92" customFormat="1" ht="35" customHeight="1" x14ac:dyDescent="0.35">
      <c r="A55" s="75" t="s">
        <v>303</v>
      </c>
      <c r="B55" s="223" t="s">
        <v>82</v>
      </c>
      <c r="C55" s="223"/>
      <c r="D55" s="223"/>
      <c r="E55" s="76" t="s">
        <v>49</v>
      </c>
      <c r="F55" s="76" t="s">
        <v>50</v>
      </c>
      <c r="G55" s="91"/>
      <c r="H55" s="78"/>
      <c r="I55" s="96">
        <f>100000+100000</f>
        <v>200000</v>
      </c>
    </row>
    <row r="56" spans="1:39" s="92" customFormat="1" ht="35" customHeight="1" x14ac:dyDescent="0.35">
      <c r="A56" s="75" t="s">
        <v>304</v>
      </c>
      <c r="B56" s="223" t="s">
        <v>82</v>
      </c>
      <c r="C56" s="223"/>
      <c r="D56" s="223"/>
      <c r="E56" s="76" t="s">
        <v>49</v>
      </c>
      <c r="F56" s="76" t="s">
        <v>50</v>
      </c>
      <c r="G56" s="91"/>
      <c r="H56" s="78"/>
      <c r="I56" s="96">
        <v>100000</v>
      </c>
    </row>
    <row r="57" spans="1:39" s="92" customFormat="1" ht="35" customHeight="1" x14ac:dyDescent="0.35">
      <c r="A57" s="75" t="s">
        <v>501</v>
      </c>
      <c r="B57" s="223" t="s">
        <v>82</v>
      </c>
      <c r="C57" s="223"/>
      <c r="D57" s="223"/>
      <c r="E57" s="76" t="s">
        <v>49</v>
      </c>
      <c r="F57" s="76" t="s">
        <v>50</v>
      </c>
      <c r="G57" s="91"/>
      <c r="H57" s="78"/>
      <c r="I57" s="96">
        <v>62368</v>
      </c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</row>
    <row r="58" spans="1:39" s="92" customFormat="1" ht="35" customHeight="1" x14ac:dyDescent="0.35">
      <c r="A58" s="75" t="s">
        <v>502</v>
      </c>
      <c r="B58" s="223" t="s">
        <v>82</v>
      </c>
      <c r="C58" s="223"/>
      <c r="D58" s="223"/>
      <c r="E58" s="76" t="s">
        <v>49</v>
      </c>
      <c r="F58" s="76" t="s">
        <v>50</v>
      </c>
      <c r="G58" s="91"/>
      <c r="H58" s="78"/>
      <c r="I58" s="96">
        <v>45508.5</v>
      </c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</row>
    <row r="59" spans="1:39" s="92" customFormat="1" ht="35" customHeight="1" x14ac:dyDescent="0.35">
      <c r="A59" s="75" t="s">
        <v>503</v>
      </c>
      <c r="B59" s="223" t="s">
        <v>82</v>
      </c>
      <c r="C59" s="223"/>
      <c r="D59" s="223"/>
      <c r="E59" s="76" t="s">
        <v>49</v>
      </c>
      <c r="F59" s="76" t="s">
        <v>50</v>
      </c>
      <c r="G59" s="91"/>
      <c r="H59" s="78"/>
      <c r="I59" s="96">
        <v>65442</v>
      </c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</row>
    <row r="60" spans="1:39" s="92" customFormat="1" ht="35" customHeight="1" x14ac:dyDescent="0.35">
      <c r="A60" s="75" t="s">
        <v>504</v>
      </c>
      <c r="B60" s="223" t="s">
        <v>82</v>
      </c>
      <c r="C60" s="223"/>
      <c r="D60" s="223"/>
      <c r="E60" s="76" t="s">
        <v>49</v>
      </c>
      <c r="F60" s="76" t="s">
        <v>50</v>
      </c>
      <c r="G60" s="91"/>
      <c r="H60" s="78"/>
      <c r="I60" s="96">
        <v>167985</v>
      </c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</row>
    <row r="61" spans="1:39" s="92" customFormat="1" ht="35" customHeight="1" x14ac:dyDescent="0.35">
      <c r="A61" s="75" t="s">
        <v>509</v>
      </c>
      <c r="B61" s="223" t="s">
        <v>82</v>
      </c>
      <c r="C61" s="223"/>
      <c r="D61" s="223"/>
      <c r="E61" s="76" t="s">
        <v>49</v>
      </c>
      <c r="F61" s="76" t="s">
        <v>50</v>
      </c>
      <c r="G61" s="91"/>
      <c r="H61" s="78"/>
      <c r="I61" s="96">
        <v>30231.200000000001</v>
      </c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</row>
    <row r="62" spans="1:39" s="92" customFormat="1" ht="35" customHeight="1" x14ac:dyDescent="0.35">
      <c r="A62" s="75" t="s">
        <v>353</v>
      </c>
      <c r="B62" s="223" t="s">
        <v>82</v>
      </c>
      <c r="C62" s="223"/>
      <c r="D62" s="223"/>
      <c r="E62" s="76" t="s">
        <v>49</v>
      </c>
      <c r="F62" s="76" t="s">
        <v>50</v>
      </c>
      <c r="G62" s="91"/>
      <c r="H62" s="78"/>
      <c r="I62" s="96">
        <v>100000</v>
      </c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</row>
    <row r="63" spans="1:39" s="92" customFormat="1" ht="35" customHeight="1" x14ac:dyDescent="0.35">
      <c r="A63" s="75" t="s">
        <v>305</v>
      </c>
      <c r="B63" s="223" t="s">
        <v>82</v>
      </c>
      <c r="C63" s="223"/>
      <c r="D63" s="223"/>
      <c r="E63" s="76" t="s">
        <v>49</v>
      </c>
      <c r="F63" s="76" t="s">
        <v>50</v>
      </c>
      <c r="G63" s="91"/>
      <c r="H63" s="78"/>
      <c r="I63" s="96">
        <f>150000+180000</f>
        <v>330000</v>
      </c>
    </row>
    <row r="64" spans="1:39" s="74" customFormat="1" ht="21" customHeight="1" x14ac:dyDescent="0.35">
      <c r="A64" s="70"/>
      <c r="B64" s="225" t="s">
        <v>124</v>
      </c>
      <c r="C64" s="226"/>
      <c r="D64" s="227"/>
      <c r="E64" s="71" t="s">
        <v>48</v>
      </c>
      <c r="F64" s="71" t="s">
        <v>48</v>
      </c>
      <c r="G64" s="71" t="s">
        <v>48</v>
      </c>
      <c r="H64" s="72"/>
      <c r="I64" s="103">
        <f>SUM(I65:I74)</f>
        <v>67791.799999999988</v>
      </c>
    </row>
    <row r="65" spans="1:10" s="80" customFormat="1" x14ac:dyDescent="0.35">
      <c r="A65" s="97" t="s">
        <v>306</v>
      </c>
      <c r="B65" s="224" t="s">
        <v>275</v>
      </c>
      <c r="C65" s="224"/>
      <c r="D65" s="224"/>
      <c r="E65" s="76" t="s">
        <v>49</v>
      </c>
      <c r="F65" s="76" t="s">
        <v>50</v>
      </c>
      <c r="G65" s="77"/>
      <c r="H65" s="78"/>
      <c r="I65" s="96">
        <v>1726.3</v>
      </c>
    </row>
    <row r="66" spans="1:10" s="80" customFormat="1" x14ac:dyDescent="0.35">
      <c r="A66" s="97" t="s">
        <v>307</v>
      </c>
      <c r="B66" s="224" t="s">
        <v>275</v>
      </c>
      <c r="C66" s="224"/>
      <c r="D66" s="224"/>
      <c r="E66" s="76" t="s">
        <v>49</v>
      </c>
      <c r="F66" s="76" t="s">
        <v>50</v>
      </c>
      <c r="G66" s="77"/>
      <c r="H66" s="78"/>
      <c r="I66" s="96">
        <v>5112.8</v>
      </c>
    </row>
    <row r="67" spans="1:10" s="80" customFormat="1" x14ac:dyDescent="0.35">
      <c r="A67" s="97" t="s">
        <v>308</v>
      </c>
      <c r="B67" s="224" t="s">
        <v>275</v>
      </c>
      <c r="C67" s="224"/>
      <c r="D67" s="224"/>
      <c r="E67" s="76" t="s">
        <v>49</v>
      </c>
      <c r="F67" s="76" t="s">
        <v>50</v>
      </c>
      <c r="G67" s="77"/>
      <c r="H67" s="78"/>
      <c r="I67" s="96">
        <v>4436.8</v>
      </c>
    </row>
    <row r="68" spans="1:10" s="80" customFormat="1" x14ac:dyDescent="0.35">
      <c r="A68" s="97" t="s">
        <v>309</v>
      </c>
      <c r="B68" s="224" t="s">
        <v>275</v>
      </c>
      <c r="C68" s="224"/>
      <c r="D68" s="224"/>
      <c r="E68" s="76" t="s">
        <v>49</v>
      </c>
      <c r="F68" s="76" t="s">
        <v>50</v>
      </c>
      <c r="G68" s="77"/>
      <c r="H68" s="78"/>
      <c r="I68" s="96">
        <v>5680.5</v>
      </c>
    </row>
    <row r="69" spans="1:10" s="80" customFormat="1" x14ac:dyDescent="0.35">
      <c r="A69" s="97" t="s">
        <v>310</v>
      </c>
      <c r="B69" s="224" t="s">
        <v>275</v>
      </c>
      <c r="C69" s="224"/>
      <c r="D69" s="224"/>
      <c r="E69" s="76" t="s">
        <v>49</v>
      </c>
      <c r="F69" s="76" t="s">
        <v>50</v>
      </c>
      <c r="G69" s="77"/>
      <c r="H69" s="78"/>
      <c r="I69" s="96">
        <v>4332</v>
      </c>
    </row>
    <row r="70" spans="1:10" s="80" customFormat="1" x14ac:dyDescent="0.35">
      <c r="A70" s="97" t="s">
        <v>311</v>
      </c>
      <c r="B70" s="224" t="s">
        <v>275</v>
      </c>
      <c r="C70" s="224"/>
      <c r="D70" s="224"/>
      <c r="E70" s="76" t="s">
        <v>49</v>
      </c>
      <c r="F70" s="76" t="s">
        <v>50</v>
      </c>
      <c r="G70" s="77"/>
      <c r="H70" s="78"/>
      <c r="I70" s="96">
        <v>14277.8</v>
      </c>
    </row>
    <row r="71" spans="1:10" s="80" customFormat="1" x14ac:dyDescent="0.35">
      <c r="A71" s="97" t="s">
        <v>312</v>
      </c>
      <c r="B71" s="224" t="s">
        <v>275</v>
      </c>
      <c r="C71" s="224"/>
      <c r="D71" s="224"/>
      <c r="E71" s="76" t="s">
        <v>49</v>
      </c>
      <c r="F71" s="76" t="s">
        <v>50</v>
      </c>
      <c r="G71" s="77"/>
      <c r="H71" s="78"/>
      <c r="I71" s="96">
        <v>3162.3</v>
      </c>
    </row>
    <row r="72" spans="1:10" s="80" customFormat="1" x14ac:dyDescent="0.35">
      <c r="A72" s="97" t="s">
        <v>313</v>
      </c>
      <c r="B72" s="224" t="s">
        <v>275</v>
      </c>
      <c r="C72" s="224"/>
      <c r="D72" s="224"/>
      <c r="E72" s="76" t="s">
        <v>49</v>
      </c>
      <c r="F72" s="76" t="s">
        <v>50</v>
      </c>
      <c r="G72" s="77"/>
      <c r="H72" s="78"/>
      <c r="I72" s="96">
        <v>22575.1</v>
      </c>
    </row>
    <row r="73" spans="1:10" s="80" customFormat="1" x14ac:dyDescent="0.35">
      <c r="A73" s="97" t="s">
        <v>314</v>
      </c>
      <c r="B73" s="224" t="s">
        <v>275</v>
      </c>
      <c r="C73" s="224"/>
      <c r="D73" s="224"/>
      <c r="E73" s="76" t="s">
        <v>49</v>
      </c>
      <c r="F73" s="76" t="s">
        <v>50</v>
      </c>
      <c r="G73" s="77"/>
      <c r="H73" s="78"/>
      <c r="I73" s="96">
        <v>3405.7</v>
      </c>
    </row>
    <row r="74" spans="1:10" s="80" customFormat="1" x14ac:dyDescent="0.35">
      <c r="A74" s="97" t="s">
        <v>315</v>
      </c>
      <c r="B74" s="224" t="s">
        <v>275</v>
      </c>
      <c r="C74" s="224"/>
      <c r="D74" s="224"/>
      <c r="E74" s="76" t="s">
        <v>49</v>
      </c>
      <c r="F74" s="76" t="s">
        <v>50</v>
      </c>
      <c r="G74" s="77"/>
      <c r="H74" s="78"/>
      <c r="I74" s="96">
        <v>3082.5</v>
      </c>
    </row>
    <row r="75" spans="1:10" ht="54.75" customHeight="1" x14ac:dyDescent="0.45">
      <c r="A75" s="68" t="s">
        <v>79</v>
      </c>
      <c r="B75" s="228" t="s">
        <v>80</v>
      </c>
      <c r="C75" s="229"/>
      <c r="D75" s="229"/>
      <c r="E75" s="229"/>
      <c r="F75" s="229"/>
      <c r="G75" s="229"/>
      <c r="H75" s="230"/>
      <c r="I75" s="69">
        <f>+I76+I184</f>
        <v>19053883.303216003</v>
      </c>
      <c r="J75" s="34"/>
    </row>
    <row r="76" spans="1:10" s="74" customFormat="1" ht="21" customHeight="1" x14ac:dyDescent="0.35">
      <c r="A76" s="70"/>
      <c r="B76" s="225" t="s">
        <v>51</v>
      </c>
      <c r="C76" s="226"/>
      <c r="D76" s="227"/>
      <c r="E76" s="71" t="s">
        <v>48</v>
      </c>
      <c r="F76" s="71" t="s">
        <v>48</v>
      </c>
      <c r="G76" s="71" t="s">
        <v>48</v>
      </c>
      <c r="H76" s="72"/>
      <c r="I76" s="73">
        <f>SUM(I77:I183)</f>
        <v>18962385.898000002</v>
      </c>
    </row>
    <row r="77" spans="1:10" s="80" customFormat="1" ht="35" customHeight="1" x14ac:dyDescent="0.35">
      <c r="A77" s="75" t="s">
        <v>128</v>
      </c>
      <c r="B77" s="223" t="s">
        <v>82</v>
      </c>
      <c r="C77" s="223"/>
      <c r="D77" s="223"/>
      <c r="E77" s="76" t="s">
        <v>49</v>
      </c>
      <c r="F77" s="76" t="s">
        <v>50</v>
      </c>
      <c r="G77" s="77">
        <f>40000000+100000000</f>
        <v>140000000</v>
      </c>
      <c r="H77" s="78">
        <v>1</v>
      </c>
      <c r="I77" s="96">
        <f t="shared" ref="I77" si="0">H77*G77/1000</f>
        <v>140000</v>
      </c>
    </row>
    <row r="78" spans="1:10" s="80" customFormat="1" ht="35" customHeight="1" x14ac:dyDescent="0.35">
      <c r="A78" s="75" t="s">
        <v>83</v>
      </c>
      <c r="B78" s="223" t="s">
        <v>82</v>
      </c>
      <c r="C78" s="223"/>
      <c r="D78" s="223"/>
      <c r="E78" s="76" t="s">
        <v>49</v>
      </c>
      <c r="F78" s="76" t="s">
        <v>50</v>
      </c>
      <c r="G78" s="77">
        <f>110000000+40000000+40000000+59581700</f>
        <v>249581700</v>
      </c>
      <c r="H78" s="78">
        <v>1</v>
      </c>
      <c r="I78" s="79">
        <f t="shared" ref="I78" si="1">+ROUNDDOWN(H78*G78/1000,1)</f>
        <v>249581.7</v>
      </c>
    </row>
    <row r="79" spans="1:10" s="80" customFormat="1" ht="35" customHeight="1" x14ac:dyDescent="0.35">
      <c r="A79" s="75" t="s">
        <v>81</v>
      </c>
      <c r="B79" s="223" t="s">
        <v>82</v>
      </c>
      <c r="C79" s="223"/>
      <c r="D79" s="223"/>
      <c r="E79" s="76" t="s">
        <v>49</v>
      </c>
      <c r="F79" s="76" t="s">
        <v>50</v>
      </c>
      <c r="G79" s="77">
        <f>100000000+30000000+80000000+17356400</f>
        <v>227356400</v>
      </c>
      <c r="H79" s="78">
        <v>1</v>
      </c>
      <c r="I79" s="79">
        <f t="shared" ref="I79" si="2">+ROUNDDOWN(H79*G79/1000,1)</f>
        <v>227356.4</v>
      </c>
    </row>
    <row r="80" spans="1:10" s="80" customFormat="1" ht="35" customHeight="1" x14ac:dyDescent="0.35">
      <c r="A80" s="75" t="s">
        <v>131</v>
      </c>
      <c r="B80" s="223" t="s">
        <v>82</v>
      </c>
      <c r="C80" s="223"/>
      <c r="D80" s="223"/>
      <c r="E80" s="76" t="s">
        <v>49</v>
      </c>
      <c r="F80" s="76" t="s">
        <v>50</v>
      </c>
      <c r="G80" s="77">
        <f>50000000+102899000+15093600</f>
        <v>167992600</v>
      </c>
      <c r="H80" s="78">
        <v>1</v>
      </c>
      <c r="I80" s="96">
        <f t="shared" ref="I80:I81" si="3">H80*G80/1000</f>
        <v>167992.6</v>
      </c>
    </row>
    <row r="81" spans="1:39" s="80" customFormat="1" ht="35" customHeight="1" x14ac:dyDescent="0.35">
      <c r="A81" s="75" t="s">
        <v>132</v>
      </c>
      <c r="B81" s="223" t="s">
        <v>82</v>
      </c>
      <c r="C81" s="223"/>
      <c r="D81" s="223"/>
      <c r="E81" s="76" t="s">
        <v>49</v>
      </c>
      <c r="F81" s="76" t="s">
        <v>50</v>
      </c>
      <c r="G81" s="77">
        <f>60000000+100000000</f>
        <v>160000000</v>
      </c>
      <c r="H81" s="78">
        <v>1</v>
      </c>
      <c r="I81" s="96">
        <f t="shared" si="3"/>
        <v>160000</v>
      </c>
    </row>
    <row r="82" spans="1:39" s="80" customFormat="1" ht="35" customHeight="1" x14ac:dyDescent="0.35">
      <c r="A82" s="75" t="s">
        <v>135</v>
      </c>
      <c r="B82" s="223" t="s">
        <v>82</v>
      </c>
      <c r="C82" s="223"/>
      <c r="D82" s="223"/>
      <c r="E82" s="76" t="s">
        <v>49</v>
      </c>
      <c r="F82" s="76" t="s">
        <v>50</v>
      </c>
      <c r="G82" s="77"/>
      <c r="H82" s="78"/>
      <c r="I82" s="96">
        <v>14760.983</v>
      </c>
    </row>
    <row r="83" spans="1:39" s="80" customFormat="1" ht="35" customHeight="1" x14ac:dyDescent="0.35">
      <c r="A83" s="75" t="s">
        <v>84</v>
      </c>
      <c r="B83" s="223" t="s">
        <v>82</v>
      </c>
      <c r="C83" s="223"/>
      <c r="D83" s="223"/>
      <c r="E83" s="76" t="s">
        <v>49</v>
      </c>
      <c r="F83" s="76" t="s">
        <v>50</v>
      </c>
      <c r="G83" s="77">
        <f>60000000+100000000+30000000+68600000</f>
        <v>258600000</v>
      </c>
      <c r="H83" s="78">
        <v>1</v>
      </c>
      <c r="I83" s="79">
        <f t="shared" ref="I83:I145" si="4">+ROUNDDOWN(H83*G83/1000,1)</f>
        <v>258600</v>
      </c>
    </row>
    <row r="84" spans="1:39" s="80" customFormat="1" ht="35" customHeight="1" x14ac:dyDescent="0.35">
      <c r="A84" s="75" t="s">
        <v>136</v>
      </c>
      <c r="B84" s="223" t="s">
        <v>82</v>
      </c>
      <c r="C84" s="223"/>
      <c r="D84" s="223"/>
      <c r="E84" s="76" t="s">
        <v>49</v>
      </c>
      <c r="F84" s="76" t="s">
        <v>50</v>
      </c>
      <c r="G84" s="77"/>
      <c r="H84" s="78"/>
      <c r="I84" s="96">
        <f>144167.6+760.824</f>
        <v>144928.424</v>
      </c>
    </row>
    <row r="85" spans="1:39" s="80" customFormat="1" ht="35" customHeight="1" x14ac:dyDescent="0.35">
      <c r="A85" s="75" t="s">
        <v>85</v>
      </c>
      <c r="B85" s="223" t="s">
        <v>82</v>
      </c>
      <c r="C85" s="223"/>
      <c r="D85" s="223"/>
      <c r="E85" s="76" t="s">
        <v>49</v>
      </c>
      <c r="F85" s="76" t="s">
        <v>50</v>
      </c>
      <c r="G85" s="77">
        <f>60000000+32000000+62800000+15402600</f>
        <v>170202600</v>
      </c>
      <c r="H85" s="78">
        <v>1</v>
      </c>
      <c r="I85" s="79">
        <f t="shared" si="4"/>
        <v>170202.6</v>
      </c>
    </row>
    <row r="86" spans="1:39" s="80" customFormat="1" ht="35" customHeight="1" x14ac:dyDescent="0.35">
      <c r="A86" s="75" t="s">
        <v>86</v>
      </c>
      <c r="B86" s="223" t="s">
        <v>82</v>
      </c>
      <c r="C86" s="223"/>
      <c r="D86" s="223"/>
      <c r="E86" s="76" t="s">
        <v>49</v>
      </c>
      <c r="F86" s="76" t="s">
        <v>50</v>
      </c>
      <c r="G86" s="77">
        <f>41220000+119920000+80000000+119613200</f>
        <v>360753200</v>
      </c>
      <c r="H86" s="78">
        <v>1</v>
      </c>
      <c r="I86" s="79">
        <f t="shared" si="4"/>
        <v>360753.2</v>
      </c>
    </row>
    <row r="87" spans="1:39" s="92" customFormat="1" ht="35" customHeight="1" x14ac:dyDescent="0.35">
      <c r="A87" s="75" t="s">
        <v>137</v>
      </c>
      <c r="B87" s="223" t="s">
        <v>82</v>
      </c>
      <c r="C87" s="223"/>
      <c r="D87" s="223"/>
      <c r="E87" s="76" t="s">
        <v>49</v>
      </c>
      <c r="F87" s="76" t="s">
        <v>50</v>
      </c>
      <c r="G87" s="91">
        <f>70000000+80000000+100000000</f>
        <v>250000000</v>
      </c>
      <c r="H87" s="78">
        <v>1</v>
      </c>
      <c r="I87" s="96">
        <f t="shared" ref="I87:I91" si="5">H87*G87/1000</f>
        <v>250000</v>
      </c>
    </row>
    <row r="88" spans="1:39" s="92" customFormat="1" ht="35" customHeight="1" x14ac:dyDescent="0.35">
      <c r="A88" s="75" t="s">
        <v>138</v>
      </c>
      <c r="B88" s="223" t="s">
        <v>82</v>
      </c>
      <c r="C88" s="223"/>
      <c r="D88" s="223"/>
      <c r="E88" s="76" t="s">
        <v>49</v>
      </c>
      <c r="F88" s="76" t="s">
        <v>50</v>
      </c>
      <c r="G88" s="91">
        <f>100000000+70000000</f>
        <v>170000000</v>
      </c>
      <c r="H88" s="78">
        <v>1</v>
      </c>
      <c r="I88" s="96">
        <f t="shared" si="5"/>
        <v>170000</v>
      </c>
    </row>
    <row r="89" spans="1:39" s="92" customFormat="1" ht="35" customHeight="1" x14ac:dyDescent="0.35">
      <c r="A89" s="75" t="s">
        <v>139</v>
      </c>
      <c r="B89" s="223" t="s">
        <v>82</v>
      </c>
      <c r="C89" s="223"/>
      <c r="D89" s="223"/>
      <c r="E89" s="76" t="s">
        <v>49</v>
      </c>
      <c r="F89" s="76" t="s">
        <v>50</v>
      </c>
      <c r="G89" s="91">
        <f>60000000+80000000+103018500</f>
        <v>243018500</v>
      </c>
      <c r="H89" s="78">
        <v>1</v>
      </c>
      <c r="I89" s="96">
        <f t="shared" si="5"/>
        <v>243018.5</v>
      </c>
    </row>
    <row r="90" spans="1:39" s="92" customFormat="1" ht="35" customHeight="1" x14ac:dyDescent="0.35">
      <c r="A90" s="75" t="s">
        <v>140</v>
      </c>
      <c r="B90" s="223" t="s">
        <v>82</v>
      </c>
      <c r="C90" s="223"/>
      <c r="D90" s="223"/>
      <c r="E90" s="76" t="s">
        <v>49</v>
      </c>
      <c r="F90" s="76" t="s">
        <v>50</v>
      </c>
      <c r="G90" s="91">
        <f>60000000+100000000+100000000</f>
        <v>260000000</v>
      </c>
      <c r="H90" s="78">
        <v>1</v>
      </c>
      <c r="I90" s="96">
        <f t="shared" si="5"/>
        <v>260000</v>
      </c>
    </row>
    <row r="91" spans="1:39" s="92" customFormat="1" ht="35" customHeight="1" x14ac:dyDescent="0.35">
      <c r="A91" s="75" t="s">
        <v>141</v>
      </c>
      <c r="B91" s="223" t="s">
        <v>82</v>
      </c>
      <c r="C91" s="223"/>
      <c r="D91" s="223"/>
      <c r="E91" s="76" t="s">
        <v>49</v>
      </c>
      <c r="F91" s="76" t="s">
        <v>50</v>
      </c>
      <c r="G91" s="91">
        <f>42000000+88896000+12742200</f>
        <v>143638200</v>
      </c>
      <c r="H91" s="78">
        <v>1</v>
      </c>
      <c r="I91" s="96">
        <f t="shared" si="5"/>
        <v>143638.20000000001</v>
      </c>
    </row>
    <row r="92" spans="1:39" s="92" customFormat="1" ht="35" customHeight="1" x14ac:dyDescent="0.35">
      <c r="A92" s="75" t="s">
        <v>459</v>
      </c>
      <c r="B92" s="223" t="s">
        <v>82</v>
      </c>
      <c r="C92" s="223"/>
      <c r="D92" s="223"/>
      <c r="E92" s="76" t="s">
        <v>49</v>
      </c>
      <c r="F92" s="76" t="s">
        <v>50</v>
      </c>
      <c r="G92" s="91">
        <v>70000000</v>
      </c>
      <c r="H92" s="78">
        <v>1</v>
      </c>
      <c r="I92" s="96">
        <f>+ROUNDUP(H92*G92/1000,1)</f>
        <v>70000</v>
      </c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</row>
    <row r="93" spans="1:39" s="92" customFormat="1" ht="35" customHeight="1" x14ac:dyDescent="0.35">
      <c r="A93" s="75" t="s">
        <v>460</v>
      </c>
      <c r="B93" s="223" t="s">
        <v>82</v>
      </c>
      <c r="C93" s="223"/>
      <c r="D93" s="223"/>
      <c r="E93" s="76" t="s">
        <v>49</v>
      </c>
      <c r="F93" s="76" t="s">
        <v>50</v>
      </c>
      <c r="G93" s="91">
        <v>70000000</v>
      </c>
      <c r="H93" s="78">
        <v>1</v>
      </c>
      <c r="I93" s="96">
        <f>+ROUNDUP(H93*G93/1000,1)</f>
        <v>70000</v>
      </c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</row>
    <row r="94" spans="1:39" s="92" customFormat="1" ht="35" customHeight="1" x14ac:dyDescent="0.35">
      <c r="A94" s="75" t="s">
        <v>461</v>
      </c>
      <c r="B94" s="223" t="s">
        <v>82</v>
      </c>
      <c r="C94" s="223"/>
      <c r="D94" s="223"/>
      <c r="E94" s="76" t="s">
        <v>49</v>
      </c>
      <c r="F94" s="76" t="s">
        <v>50</v>
      </c>
      <c r="G94" s="91">
        <v>62900100</v>
      </c>
      <c r="H94" s="78">
        <v>1</v>
      </c>
      <c r="I94" s="96">
        <f>+ROUNDUP(H94*G94/1000,1)</f>
        <v>62900.1</v>
      </c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</row>
    <row r="95" spans="1:39" s="92" customFormat="1" ht="35" customHeight="1" x14ac:dyDescent="0.35">
      <c r="A95" s="75" t="s">
        <v>148</v>
      </c>
      <c r="B95" s="223" t="s">
        <v>82</v>
      </c>
      <c r="C95" s="223"/>
      <c r="D95" s="223"/>
      <c r="E95" s="76" t="s">
        <v>49</v>
      </c>
      <c r="F95" s="76" t="s">
        <v>50</v>
      </c>
      <c r="G95" s="91"/>
      <c r="H95" s="78"/>
      <c r="I95" s="96">
        <f>10000+24027.778</f>
        <v>34027.777999999998</v>
      </c>
    </row>
    <row r="96" spans="1:39" s="80" customFormat="1" ht="35" customHeight="1" x14ac:dyDescent="0.35">
      <c r="A96" s="75" t="s">
        <v>119</v>
      </c>
      <c r="B96" s="223" t="s">
        <v>82</v>
      </c>
      <c r="C96" s="223"/>
      <c r="D96" s="223"/>
      <c r="E96" s="76" t="s">
        <v>49</v>
      </c>
      <c r="F96" s="76" t="s">
        <v>50</v>
      </c>
      <c r="G96" s="77">
        <f>50000000+100000000+97762200</f>
        <v>247762200</v>
      </c>
      <c r="H96" s="78">
        <v>1</v>
      </c>
      <c r="I96" s="79">
        <f t="shared" si="4"/>
        <v>247762.2</v>
      </c>
    </row>
    <row r="97" spans="1:39" s="92" customFormat="1" ht="35" customHeight="1" x14ac:dyDescent="0.35">
      <c r="A97" s="75" t="s">
        <v>354</v>
      </c>
      <c r="B97" s="223" t="s">
        <v>82</v>
      </c>
      <c r="C97" s="223"/>
      <c r="D97" s="223"/>
      <c r="E97" s="76" t="s">
        <v>120</v>
      </c>
      <c r="F97" s="76" t="s">
        <v>50</v>
      </c>
      <c r="G97" s="91">
        <f>100000000+50000000+50000000+205769700</f>
        <v>405769700</v>
      </c>
      <c r="H97" s="78">
        <v>1</v>
      </c>
      <c r="I97" s="79">
        <f t="shared" si="4"/>
        <v>405769.7</v>
      </c>
    </row>
    <row r="98" spans="1:39" s="92" customFormat="1" ht="35" customHeight="1" x14ac:dyDescent="0.35">
      <c r="A98" s="75" t="s">
        <v>149</v>
      </c>
      <c r="B98" s="223" t="s">
        <v>82</v>
      </c>
      <c r="C98" s="223"/>
      <c r="D98" s="223"/>
      <c r="E98" s="76" t="s">
        <v>49</v>
      </c>
      <c r="F98" s="76" t="s">
        <v>50</v>
      </c>
      <c r="G98" s="91">
        <f>80000000+80000000+103490500</f>
        <v>263490500</v>
      </c>
      <c r="H98" s="78">
        <v>1</v>
      </c>
      <c r="I98" s="96">
        <f t="shared" ref="I98:I103" si="6">H98*G98/1000</f>
        <v>263490.5</v>
      </c>
    </row>
    <row r="99" spans="1:39" s="92" customFormat="1" ht="35" customHeight="1" x14ac:dyDescent="0.35">
      <c r="A99" s="75" t="s">
        <v>150</v>
      </c>
      <c r="B99" s="223" t="s">
        <v>82</v>
      </c>
      <c r="C99" s="223"/>
      <c r="D99" s="223"/>
      <c r="E99" s="76" t="s">
        <v>49</v>
      </c>
      <c r="F99" s="76" t="s">
        <v>50</v>
      </c>
      <c r="G99" s="91">
        <f>50000000+80000000</f>
        <v>130000000</v>
      </c>
      <c r="H99" s="78">
        <v>1</v>
      </c>
      <c r="I99" s="96">
        <f t="shared" si="6"/>
        <v>130000</v>
      </c>
    </row>
    <row r="100" spans="1:39" s="92" customFormat="1" ht="35" customHeight="1" x14ac:dyDescent="0.35">
      <c r="A100" s="75" t="s">
        <v>151</v>
      </c>
      <c r="B100" s="223" t="s">
        <v>82</v>
      </c>
      <c r="C100" s="223"/>
      <c r="D100" s="223"/>
      <c r="E100" s="76" t="s">
        <v>49</v>
      </c>
      <c r="F100" s="76" t="s">
        <v>50</v>
      </c>
      <c r="G100" s="91">
        <f>30000000+90000000</f>
        <v>120000000</v>
      </c>
      <c r="H100" s="78">
        <v>1</v>
      </c>
      <c r="I100" s="96">
        <f t="shared" si="6"/>
        <v>120000</v>
      </c>
    </row>
    <row r="101" spans="1:39" s="92" customFormat="1" ht="35" customHeight="1" x14ac:dyDescent="0.35">
      <c r="A101" s="75" t="s">
        <v>152</v>
      </c>
      <c r="B101" s="223" t="s">
        <v>82</v>
      </c>
      <c r="C101" s="223"/>
      <c r="D101" s="223"/>
      <c r="E101" s="76" t="s">
        <v>49</v>
      </c>
      <c r="F101" s="76" t="s">
        <v>50</v>
      </c>
      <c r="G101" s="91">
        <f>25000000+75000000+100000000</f>
        <v>200000000</v>
      </c>
      <c r="H101" s="78">
        <v>1</v>
      </c>
      <c r="I101" s="96">
        <f t="shared" si="6"/>
        <v>200000</v>
      </c>
    </row>
    <row r="102" spans="1:39" s="92" customFormat="1" ht="35" customHeight="1" x14ac:dyDescent="0.35">
      <c r="A102" s="75" t="s">
        <v>153</v>
      </c>
      <c r="B102" s="223" t="s">
        <v>82</v>
      </c>
      <c r="C102" s="223"/>
      <c r="D102" s="223"/>
      <c r="E102" s="76" t="s">
        <v>49</v>
      </c>
      <c r="F102" s="76" t="s">
        <v>50</v>
      </c>
      <c r="G102" s="91">
        <f>35000000+75000000+124766400</f>
        <v>234766400</v>
      </c>
      <c r="H102" s="78">
        <v>1</v>
      </c>
      <c r="I102" s="96">
        <f t="shared" si="6"/>
        <v>234766.4</v>
      </c>
    </row>
    <row r="103" spans="1:39" s="92" customFormat="1" ht="35" customHeight="1" x14ac:dyDescent="0.35">
      <c r="A103" s="75" t="s">
        <v>154</v>
      </c>
      <c r="B103" s="223" t="s">
        <v>82</v>
      </c>
      <c r="C103" s="223"/>
      <c r="D103" s="223"/>
      <c r="E103" s="76" t="s">
        <v>49</v>
      </c>
      <c r="F103" s="76" t="s">
        <v>50</v>
      </c>
      <c r="G103" s="91">
        <f>30000000+80000000+126789100</f>
        <v>236789100</v>
      </c>
      <c r="H103" s="78">
        <v>1</v>
      </c>
      <c r="I103" s="96">
        <f t="shared" si="6"/>
        <v>236789.1</v>
      </c>
    </row>
    <row r="104" spans="1:39" s="92" customFormat="1" ht="35" customHeight="1" x14ac:dyDescent="0.35">
      <c r="A104" s="75" t="s">
        <v>465</v>
      </c>
      <c r="B104" s="223" t="s">
        <v>82</v>
      </c>
      <c r="C104" s="223"/>
      <c r="D104" s="223"/>
      <c r="E104" s="76" t="s">
        <v>49</v>
      </c>
      <c r="F104" s="76" t="s">
        <v>50</v>
      </c>
      <c r="G104" s="91">
        <v>50500000</v>
      </c>
      <c r="H104" s="78">
        <v>1</v>
      </c>
      <c r="I104" s="96">
        <f>+ROUNDUP(H104*G104/1000,1)</f>
        <v>50500</v>
      </c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</row>
    <row r="105" spans="1:39" s="92" customFormat="1" ht="35" customHeight="1" x14ac:dyDescent="0.35">
      <c r="A105" s="75" t="s">
        <v>466</v>
      </c>
      <c r="B105" s="223" t="s">
        <v>82</v>
      </c>
      <c r="C105" s="223"/>
      <c r="D105" s="223"/>
      <c r="E105" s="76" t="s">
        <v>49</v>
      </c>
      <c r="F105" s="76" t="s">
        <v>50</v>
      </c>
      <c r="G105" s="91">
        <v>40000000</v>
      </c>
      <c r="H105" s="78">
        <v>1</v>
      </c>
      <c r="I105" s="96">
        <f>+ROUNDUP(H105*G105/1000,1)</f>
        <v>40000</v>
      </c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</row>
    <row r="106" spans="1:39" s="92" customFormat="1" ht="35" customHeight="1" x14ac:dyDescent="0.35">
      <c r="A106" s="75" t="s">
        <v>161</v>
      </c>
      <c r="B106" s="223" t="s">
        <v>82</v>
      </c>
      <c r="C106" s="223"/>
      <c r="D106" s="223"/>
      <c r="E106" s="76" t="s">
        <v>162</v>
      </c>
      <c r="F106" s="76" t="s">
        <v>50</v>
      </c>
      <c r="G106" s="91"/>
      <c r="H106" s="78"/>
      <c r="I106" s="96">
        <f>79312.9+355.43+24777.6</f>
        <v>104445.93</v>
      </c>
    </row>
    <row r="107" spans="1:39" s="92" customFormat="1" ht="35" customHeight="1" x14ac:dyDescent="0.35">
      <c r="A107" s="75" t="s">
        <v>163</v>
      </c>
      <c r="B107" s="223" t="s">
        <v>82</v>
      </c>
      <c r="C107" s="223"/>
      <c r="D107" s="223"/>
      <c r="E107" s="76" t="s">
        <v>49</v>
      </c>
      <c r="F107" s="76" t="s">
        <v>50</v>
      </c>
      <c r="G107" s="91"/>
      <c r="H107" s="78"/>
      <c r="I107" s="96">
        <f>90000+34980.699</f>
        <v>124980.69899999999</v>
      </c>
    </row>
    <row r="108" spans="1:39" s="92" customFormat="1" ht="35" customHeight="1" x14ac:dyDescent="0.35">
      <c r="A108" s="75" t="s">
        <v>164</v>
      </c>
      <c r="B108" s="223" t="s">
        <v>82</v>
      </c>
      <c r="C108" s="223"/>
      <c r="D108" s="223"/>
      <c r="E108" s="76" t="s">
        <v>162</v>
      </c>
      <c r="F108" s="76" t="s">
        <v>50</v>
      </c>
      <c r="G108" s="91"/>
      <c r="H108" s="78"/>
      <c r="I108" s="96">
        <v>82950.399999999994</v>
      </c>
    </row>
    <row r="109" spans="1:39" s="92" customFormat="1" ht="35" customHeight="1" x14ac:dyDescent="0.35">
      <c r="A109" s="75" t="s">
        <v>165</v>
      </c>
      <c r="B109" s="223" t="s">
        <v>82</v>
      </c>
      <c r="C109" s="223"/>
      <c r="D109" s="223"/>
      <c r="E109" s="76" t="s">
        <v>49</v>
      </c>
      <c r="F109" s="76" t="s">
        <v>50</v>
      </c>
      <c r="G109" s="91"/>
      <c r="H109" s="78"/>
      <c r="I109" s="96">
        <f>50000+59385.705+14752.4</f>
        <v>124138.105</v>
      </c>
    </row>
    <row r="110" spans="1:39" s="92" customFormat="1" ht="35" customHeight="1" x14ac:dyDescent="0.35">
      <c r="A110" s="75" t="s">
        <v>166</v>
      </c>
      <c r="B110" s="223" t="s">
        <v>82</v>
      </c>
      <c r="C110" s="223"/>
      <c r="D110" s="223"/>
      <c r="E110" s="76" t="s">
        <v>49</v>
      </c>
      <c r="F110" s="76" t="s">
        <v>50</v>
      </c>
      <c r="G110" s="91"/>
      <c r="H110" s="78"/>
      <c r="I110" s="96">
        <f>81957.3+902.733</f>
        <v>82860.032999999996</v>
      </c>
    </row>
    <row r="111" spans="1:39" s="92" customFormat="1" ht="35" customHeight="1" x14ac:dyDescent="0.35">
      <c r="A111" s="75" t="s">
        <v>167</v>
      </c>
      <c r="B111" s="223" t="s">
        <v>82</v>
      </c>
      <c r="C111" s="223"/>
      <c r="D111" s="223"/>
      <c r="E111" s="76" t="s">
        <v>49</v>
      </c>
      <c r="F111" s="76" t="s">
        <v>50</v>
      </c>
      <c r="G111" s="91"/>
      <c r="H111" s="78"/>
      <c r="I111" s="96">
        <f>120000+107005.806+35347.8</f>
        <v>262353.60599999997</v>
      </c>
    </row>
    <row r="112" spans="1:39" s="80" customFormat="1" ht="35" customHeight="1" x14ac:dyDescent="0.35">
      <c r="A112" s="75" t="s">
        <v>87</v>
      </c>
      <c r="B112" s="223" t="s">
        <v>82</v>
      </c>
      <c r="C112" s="223"/>
      <c r="D112" s="223"/>
      <c r="E112" s="76" t="s">
        <v>49</v>
      </c>
      <c r="F112" s="76" t="s">
        <v>50</v>
      </c>
      <c r="G112" s="77">
        <f>20000000+80000000+163700000+25080000</f>
        <v>288780000</v>
      </c>
      <c r="H112" s="78">
        <v>1</v>
      </c>
      <c r="I112" s="79">
        <f t="shared" si="4"/>
        <v>288780</v>
      </c>
    </row>
    <row r="113" spans="1:39" s="92" customFormat="1" ht="35" customHeight="1" x14ac:dyDescent="0.35">
      <c r="A113" s="75" t="s">
        <v>355</v>
      </c>
      <c r="B113" s="223" t="s">
        <v>82</v>
      </c>
      <c r="C113" s="223"/>
      <c r="D113" s="223"/>
      <c r="E113" s="76" t="s">
        <v>120</v>
      </c>
      <c r="F113" s="76" t="s">
        <v>50</v>
      </c>
      <c r="G113" s="77">
        <f>110000000+30000000+31449000</f>
        <v>171449000</v>
      </c>
      <c r="H113" s="78">
        <v>1</v>
      </c>
      <c r="I113" s="79">
        <f t="shared" si="4"/>
        <v>171449</v>
      </c>
    </row>
    <row r="114" spans="1:39" s="92" customFormat="1" ht="35" customHeight="1" x14ac:dyDescent="0.35">
      <c r="A114" s="75" t="s">
        <v>170</v>
      </c>
      <c r="B114" s="223" t="s">
        <v>82</v>
      </c>
      <c r="C114" s="223"/>
      <c r="D114" s="223"/>
      <c r="E114" s="76" t="s">
        <v>49</v>
      </c>
      <c r="F114" s="76" t="s">
        <v>50</v>
      </c>
      <c r="G114" s="91">
        <f>20000000+250000000+108973300</f>
        <v>378973300</v>
      </c>
      <c r="H114" s="78">
        <v>1</v>
      </c>
      <c r="I114" s="96">
        <f t="shared" ref="I114:I124" si="7">H114*G114/1000</f>
        <v>378973.3</v>
      </c>
    </row>
    <row r="115" spans="1:39" s="92" customFormat="1" ht="35" customHeight="1" x14ac:dyDescent="0.35">
      <c r="A115" s="75" t="s">
        <v>171</v>
      </c>
      <c r="B115" s="223" t="s">
        <v>82</v>
      </c>
      <c r="C115" s="223"/>
      <c r="D115" s="223"/>
      <c r="E115" s="76" t="s">
        <v>49</v>
      </c>
      <c r="F115" s="76" t="s">
        <v>50</v>
      </c>
      <c r="G115" s="91">
        <f>37000000+89885600+12547900</f>
        <v>139433500</v>
      </c>
      <c r="H115" s="78">
        <v>1</v>
      </c>
      <c r="I115" s="96">
        <f t="shared" si="7"/>
        <v>139433.5</v>
      </c>
    </row>
    <row r="116" spans="1:39" s="92" customFormat="1" ht="35" customHeight="1" x14ac:dyDescent="0.35">
      <c r="A116" s="75" t="s">
        <v>172</v>
      </c>
      <c r="B116" s="223" t="s">
        <v>82</v>
      </c>
      <c r="C116" s="223"/>
      <c r="D116" s="223"/>
      <c r="E116" s="76" t="s">
        <v>49</v>
      </c>
      <c r="F116" s="76" t="s">
        <v>50</v>
      </c>
      <c r="G116" s="91">
        <f>80000000+150000000+73572600</f>
        <v>303572600</v>
      </c>
      <c r="H116" s="78">
        <v>1</v>
      </c>
      <c r="I116" s="96">
        <f t="shared" si="7"/>
        <v>303572.59999999998</v>
      </c>
    </row>
    <row r="117" spans="1:39" s="92" customFormat="1" ht="35" customHeight="1" x14ac:dyDescent="0.35">
      <c r="A117" s="75" t="s">
        <v>173</v>
      </c>
      <c r="B117" s="223" t="s">
        <v>82</v>
      </c>
      <c r="C117" s="223"/>
      <c r="D117" s="223"/>
      <c r="E117" s="76" t="s">
        <v>49</v>
      </c>
      <c r="F117" s="76" t="s">
        <v>50</v>
      </c>
      <c r="G117" s="91">
        <f>21000000+100000000+134964000</f>
        <v>255964000</v>
      </c>
      <c r="H117" s="78">
        <v>1</v>
      </c>
      <c r="I117" s="96">
        <f t="shared" si="7"/>
        <v>255964</v>
      </c>
    </row>
    <row r="118" spans="1:39" s="92" customFormat="1" ht="35" customHeight="1" x14ac:dyDescent="0.35">
      <c r="A118" s="75" t="s">
        <v>174</v>
      </c>
      <c r="B118" s="223" t="s">
        <v>82</v>
      </c>
      <c r="C118" s="223"/>
      <c r="D118" s="223"/>
      <c r="E118" s="76" t="s">
        <v>49</v>
      </c>
      <c r="F118" s="76" t="s">
        <v>50</v>
      </c>
      <c r="G118" s="91">
        <f>32000000+152500000+17807500</f>
        <v>202307500</v>
      </c>
      <c r="H118" s="78">
        <v>1</v>
      </c>
      <c r="I118" s="96">
        <f t="shared" si="7"/>
        <v>202307.5</v>
      </c>
    </row>
    <row r="119" spans="1:39" s="92" customFormat="1" ht="35" customHeight="1" x14ac:dyDescent="0.35">
      <c r="A119" s="75" t="s">
        <v>175</v>
      </c>
      <c r="B119" s="223" t="s">
        <v>82</v>
      </c>
      <c r="C119" s="223"/>
      <c r="D119" s="223"/>
      <c r="E119" s="76" t="s">
        <v>49</v>
      </c>
      <c r="F119" s="76" t="s">
        <v>50</v>
      </c>
      <c r="G119" s="91">
        <f>70000000+158332796+22016700</f>
        <v>250349496</v>
      </c>
      <c r="H119" s="78">
        <v>1</v>
      </c>
      <c r="I119" s="96">
        <f t="shared" si="7"/>
        <v>250349.49600000001</v>
      </c>
    </row>
    <row r="120" spans="1:39" s="92" customFormat="1" ht="35" customHeight="1" x14ac:dyDescent="0.35">
      <c r="A120" s="75" t="s">
        <v>176</v>
      </c>
      <c r="B120" s="223" t="s">
        <v>82</v>
      </c>
      <c r="C120" s="223"/>
      <c r="D120" s="223"/>
      <c r="E120" s="76" t="s">
        <v>49</v>
      </c>
      <c r="F120" s="76" t="s">
        <v>50</v>
      </c>
      <c r="G120" s="91">
        <f>30000000+93600000</f>
        <v>123600000</v>
      </c>
      <c r="H120" s="78">
        <v>1</v>
      </c>
      <c r="I120" s="96">
        <f t="shared" si="7"/>
        <v>123600</v>
      </c>
    </row>
    <row r="121" spans="1:39" s="92" customFormat="1" ht="35" customHeight="1" x14ac:dyDescent="0.35">
      <c r="A121" s="75" t="s">
        <v>177</v>
      </c>
      <c r="B121" s="223" t="s">
        <v>82</v>
      </c>
      <c r="C121" s="223"/>
      <c r="D121" s="223"/>
      <c r="E121" s="76" t="s">
        <v>49</v>
      </c>
      <c r="F121" s="76" t="s">
        <v>50</v>
      </c>
      <c r="G121" s="91">
        <f>50000000+146800000</f>
        <v>196800000</v>
      </c>
      <c r="H121" s="78">
        <v>1</v>
      </c>
      <c r="I121" s="96">
        <f t="shared" si="7"/>
        <v>196800</v>
      </c>
    </row>
    <row r="122" spans="1:39" s="92" customFormat="1" ht="35" customHeight="1" x14ac:dyDescent="0.35">
      <c r="A122" s="75" t="s">
        <v>178</v>
      </c>
      <c r="B122" s="223" t="s">
        <v>82</v>
      </c>
      <c r="C122" s="223"/>
      <c r="D122" s="223"/>
      <c r="E122" s="76" t="s">
        <v>49</v>
      </c>
      <c r="F122" s="76" t="s">
        <v>50</v>
      </c>
      <c r="G122" s="91">
        <f>70000000+150000000+60987000</f>
        <v>280987000</v>
      </c>
      <c r="H122" s="78">
        <v>1</v>
      </c>
      <c r="I122" s="96">
        <f t="shared" si="7"/>
        <v>280987</v>
      </c>
    </row>
    <row r="123" spans="1:39" s="92" customFormat="1" ht="35" customHeight="1" x14ac:dyDescent="0.35">
      <c r="A123" s="75" t="s">
        <v>179</v>
      </c>
      <c r="B123" s="223" t="s">
        <v>82</v>
      </c>
      <c r="C123" s="223"/>
      <c r="D123" s="223"/>
      <c r="E123" s="76" t="s">
        <v>49</v>
      </c>
      <c r="F123" s="76" t="s">
        <v>50</v>
      </c>
      <c r="G123" s="91">
        <f>30000000+118888888+14491600</f>
        <v>163380488</v>
      </c>
      <c r="H123" s="78">
        <v>1</v>
      </c>
      <c r="I123" s="96">
        <f t="shared" si="7"/>
        <v>163380.48800000001</v>
      </c>
    </row>
    <row r="124" spans="1:39" s="92" customFormat="1" ht="35" customHeight="1" x14ac:dyDescent="0.35">
      <c r="A124" s="75" t="s">
        <v>180</v>
      </c>
      <c r="B124" s="223" t="s">
        <v>82</v>
      </c>
      <c r="C124" s="223"/>
      <c r="D124" s="223"/>
      <c r="E124" s="76" t="s">
        <v>49</v>
      </c>
      <c r="F124" s="76" t="s">
        <v>50</v>
      </c>
      <c r="G124" s="91">
        <f>50000000+150000000+65249000</f>
        <v>265249000</v>
      </c>
      <c r="H124" s="78">
        <v>1</v>
      </c>
      <c r="I124" s="96">
        <f t="shared" si="7"/>
        <v>265249</v>
      </c>
    </row>
    <row r="125" spans="1:39" s="92" customFormat="1" ht="35" customHeight="1" x14ac:dyDescent="0.35">
      <c r="A125" s="75" t="s">
        <v>469</v>
      </c>
      <c r="B125" s="223" t="s">
        <v>82</v>
      </c>
      <c r="C125" s="223"/>
      <c r="D125" s="223"/>
      <c r="E125" s="76" t="s">
        <v>49</v>
      </c>
      <c r="F125" s="76" t="s">
        <v>50</v>
      </c>
      <c r="G125" s="91">
        <v>50000000</v>
      </c>
      <c r="H125" s="78">
        <v>1</v>
      </c>
      <c r="I125" s="96">
        <f t="shared" ref="I125:I126" si="8">+ROUNDUP(H125*G125/1000,1)</f>
        <v>50000</v>
      </c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</row>
    <row r="126" spans="1:39" s="92" customFormat="1" ht="35" customHeight="1" x14ac:dyDescent="0.35">
      <c r="A126" s="75" t="s">
        <v>470</v>
      </c>
      <c r="B126" s="223" t="s">
        <v>82</v>
      </c>
      <c r="C126" s="223"/>
      <c r="D126" s="223"/>
      <c r="E126" s="76" t="s">
        <v>49</v>
      </c>
      <c r="F126" s="76" t="s">
        <v>50</v>
      </c>
      <c r="G126" s="91">
        <v>50000000</v>
      </c>
      <c r="H126" s="78">
        <v>1</v>
      </c>
      <c r="I126" s="96">
        <f t="shared" si="8"/>
        <v>50000</v>
      </c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</row>
    <row r="127" spans="1:39" s="80" customFormat="1" ht="35" customHeight="1" x14ac:dyDescent="0.35">
      <c r="A127" s="75" t="s">
        <v>88</v>
      </c>
      <c r="B127" s="223" t="s">
        <v>82</v>
      </c>
      <c r="C127" s="223"/>
      <c r="D127" s="223"/>
      <c r="E127" s="76" t="s">
        <v>49</v>
      </c>
      <c r="F127" s="76" t="s">
        <v>50</v>
      </c>
      <c r="G127" s="77">
        <f>70000000+8380400+1599600</f>
        <v>79980000</v>
      </c>
      <c r="H127" s="78">
        <v>1</v>
      </c>
      <c r="I127" s="79">
        <f t="shared" si="4"/>
        <v>79980</v>
      </c>
    </row>
    <row r="128" spans="1:39" s="92" customFormat="1" ht="35" customHeight="1" x14ac:dyDescent="0.35">
      <c r="A128" s="75" t="s">
        <v>192</v>
      </c>
      <c r="B128" s="223" t="s">
        <v>82</v>
      </c>
      <c r="C128" s="223"/>
      <c r="D128" s="223"/>
      <c r="E128" s="76" t="s">
        <v>49</v>
      </c>
      <c r="F128" s="76" t="s">
        <v>50</v>
      </c>
      <c r="G128" s="91">
        <f>50000000+130000000+17301300</f>
        <v>197301300</v>
      </c>
      <c r="H128" s="78">
        <v>1</v>
      </c>
      <c r="I128" s="96">
        <f t="shared" ref="I128:I130" si="9">H128*G128/1000</f>
        <v>197301.3</v>
      </c>
    </row>
    <row r="129" spans="1:39" s="92" customFormat="1" ht="35" customHeight="1" x14ac:dyDescent="0.35">
      <c r="A129" s="75" t="s">
        <v>193</v>
      </c>
      <c r="B129" s="223" t="s">
        <v>82</v>
      </c>
      <c r="C129" s="223"/>
      <c r="D129" s="223"/>
      <c r="E129" s="76" t="s">
        <v>49</v>
      </c>
      <c r="F129" s="76" t="s">
        <v>50</v>
      </c>
      <c r="G129" s="91">
        <f>35000000+95000000+51313300</f>
        <v>181313300</v>
      </c>
      <c r="H129" s="78">
        <v>1</v>
      </c>
      <c r="I129" s="96">
        <f t="shared" si="9"/>
        <v>181313.3</v>
      </c>
    </row>
    <row r="130" spans="1:39" s="92" customFormat="1" ht="35" customHeight="1" x14ac:dyDescent="0.35">
      <c r="A130" s="75" t="s">
        <v>194</v>
      </c>
      <c r="B130" s="223" t="s">
        <v>82</v>
      </c>
      <c r="C130" s="223"/>
      <c r="D130" s="223"/>
      <c r="E130" s="76" t="s">
        <v>49</v>
      </c>
      <c r="F130" s="76" t="s">
        <v>50</v>
      </c>
      <c r="G130" s="91">
        <f>35000000+85000000+38028500</f>
        <v>158028500</v>
      </c>
      <c r="H130" s="78">
        <v>1</v>
      </c>
      <c r="I130" s="96">
        <f t="shared" si="9"/>
        <v>158028.5</v>
      </c>
    </row>
    <row r="131" spans="1:39" s="92" customFormat="1" ht="35" customHeight="1" x14ac:dyDescent="0.35">
      <c r="A131" s="75" t="s">
        <v>473</v>
      </c>
      <c r="B131" s="223" t="s">
        <v>82</v>
      </c>
      <c r="C131" s="223"/>
      <c r="D131" s="223"/>
      <c r="E131" s="76" t="s">
        <v>49</v>
      </c>
      <c r="F131" s="76" t="s">
        <v>50</v>
      </c>
      <c r="G131" s="91">
        <v>65000000</v>
      </c>
      <c r="H131" s="78">
        <v>1</v>
      </c>
      <c r="I131" s="96">
        <f t="shared" ref="I131:I134" si="10">+ROUNDUP(H131*G131/1000,1)</f>
        <v>65000</v>
      </c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</row>
    <row r="132" spans="1:39" s="92" customFormat="1" ht="35" customHeight="1" x14ac:dyDescent="0.35">
      <c r="A132" s="75" t="s">
        <v>474</v>
      </c>
      <c r="B132" s="223" t="s">
        <v>82</v>
      </c>
      <c r="C132" s="223"/>
      <c r="D132" s="223"/>
      <c r="E132" s="76" t="s">
        <v>49</v>
      </c>
      <c r="F132" s="76" t="s">
        <v>50</v>
      </c>
      <c r="G132" s="91">
        <v>50000000</v>
      </c>
      <c r="H132" s="78">
        <v>1</v>
      </c>
      <c r="I132" s="96">
        <f t="shared" si="10"/>
        <v>50000</v>
      </c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</row>
    <row r="133" spans="1:39" s="92" customFormat="1" ht="35" customHeight="1" x14ac:dyDescent="0.35">
      <c r="A133" s="75" t="s">
        <v>475</v>
      </c>
      <c r="B133" s="223" t="s">
        <v>82</v>
      </c>
      <c r="C133" s="223"/>
      <c r="D133" s="223"/>
      <c r="E133" s="76" t="s">
        <v>49</v>
      </c>
      <c r="F133" s="76" t="s">
        <v>50</v>
      </c>
      <c r="G133" s="91">
        <v>80000000</v>
      </c>
      <c r="H133" s="78">
        <v>1</v>
      </c>
      <c r="I133" s="96">
        <f t="shared" si="10"/>
        <v>80000</v>
      </c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</row>
    <row r="134" spans="1:39" s="92" customFormat="1" ht="35" customHeight="1" x14ac:dyDescent="0.35">
      <c r="A134" s="75" t="s">
        <v>476</v>
      </c>
      <c r="B134" s="223" t="s">
        <v>82</v>
      </c>
      <c r="C134" s="223"/>
      <c r="D134" s="223"/>
      <c r="E134" s="76" t="s">
        <v>49</v>
      </c>
      <c r="F134" s="76" t="s">
        <v>50</v>
      </c>
      <c r="G134" s="91">
        <v>30000000</v>
      </c>
      <c r="H134" s="78">
        <v>1</v>
      </c>
      <c r="I134" s="96">
        <f t="shared" si="10"/>
        <v>30000</v>
      </c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</row>
    <row r="135" spans="1:39" s="92" customFormat="1" ht="35" customHeight="1" x14ac:dyDescent="0.35">
      <c r="A135" s="75" t="s">
        <v>198</v>
      </c>
      <c r="B135" s="223" t="s">
        <v>82</v>
      </c>
      <c r="C135" s="223"/>
      <c r="D135" s="223"/>
      <c r="E135" s="76" t="s">
        <v>49</v>
      </c>
      <c r="F135" s="76" t="s">
        <v>50</v>
      </c>
      <c r="G135" s="91"/>
      <c r="H135" s="78"/>
      <c r="I135" s="96">
        <f>50000+60000+35953</f>
        <v>145953</v>
      </c>
    </row>
    <row r="136" spans="1:39" s="92" customFormat="1" ht="35" customHeight="1" x14ac:dyDescent="0.35">
      <c r="A136" s="75" t="s">
        <v>199</v>
      </c>
      <c r="B136" s="223" t="s">
        <v>82</v>
      </c>
      <c r="C136" s="223"/>
      <c r="D136" s="223"/>
      <c r="E136" s="76" t="s">
        <v>49</v>
      </c>
      <c r="F136" s="76" t="s">
        <v>50</v>
      </c>
      <c r="G136" s="91"/>
      <c r="H136" s="78"/>
      <c r="I136" s="96">
        <f>100000+20848.527+4976.4</f>
        <v>125824.927</v>
      </c>
    </row>
    <row r="137" spans="1:39" s="92" customFormat="1" ht="35" customHeight="1" x14ac:dyDescent="0.35">
      <c r="A137" s="75" t="s">
        <v>356</v>
      </c>
      <c r="B137" s="223" t="s">
        <v>82</v>
      </c>
      <c r="C137" s="223"/>
      <c r="D137" s="223"/>
      <c r="E137" s="76" t="s">
        <v>49</v>
      </c>
      <c r="F137" s="76" t="s">
        <v>50</v>
      </c>
      <c r="G137" s="91"/>
      <c r="H137" s="78"/>
      <c r="I137" s="96">
        <f>20000+162260.9</f>
        <v>182260.9</v>
      </c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</row>
    <row r="138" spans="1:39" s="92" customFormat="1" ht="35" customHeight="1" x14ac:dyDescent="0.35">
      <c r="A138" s="75" t="s">
        <v>200</v>
      </c>
      <c r="B138" s="223" t="s">
        <v>82</v>
      </c>
      <c r="C138" s="223"/>
      <c r="D138" s="223"/>
      <c r="E138" s="76" t="s">
        <v>49</v>
      </c>
      <c r="F138" s="76" t="s">
        <v>50</v>
      </c>
      <c r="G138" s="91"/>
      <c r="H138" s="78"/>
      <c r="I138" s="96">
        <f>51034.7+910.9</f>
        <v>51945.599999999999</v>
      </c>
    </row>
    <row r="139" spans="1:39" s="92" customFormat="1" ht="35" customHeight="1" x14ac:dyDescent="0.35">
      <c r="A139" s="75" t="s">
        <v>201</v>
      </c>
      <c r="B139" s="223" t="s">
        <v>82</v>
      </c>
      <c r="C139" s="223"/>
      <c r="D139" s="223"/>
      <c r="E139" s="76" t="s">
        <v>49</v>
      </c>
      <c r="F139" s="76" t="s">
        <v>50</v>
      </c>
      <c r="G139" s="91"/>
      <c r="H139" s="78"/>
      <c r="I139" s="96">
        <f>80000+68964.863</f>
        <v>148964.86300000001</v>
      </c>
    </row>
    <row r="140" spans="1:39" s="92" customFormat="1" ht="35" customHeight="1" x14ac:dyDescent="0.35">
      <c r="A140" s="75" t="s">
        <v>202</v>
      </c>
      <c r="B140" s="223" t="s">
        <v>82</v>
      </c>
      <c r="C140" s="223"/>
      <c r="D140" s="223"/>
      <c r="E140" s="76" t="s">
        <v>49</v>
      </c>
      <c r="F140" s="76" t="s">
        <v>50</v>
      </c>
      <c r="G140" s="91"/>
      <c r="H140" s="78"/>
      <c r="I140" s="96">
        <f>60000+42705.014</f>
        <v>102705.014</v>
      </c>
    </row>
    <row r="141" spans="1:39" s="92" customFormat="1" ht="35" customHeight="1" x14ac:dyDescent="0.35">
      <c r="A141" s="75" t="s">
        <v>203</v>
      </c>
      <c r="B141" s="223" t="s">
        <v>82</v>
      </c>
      <c r="C141" s="223"/>
      <c r="D141" s="223"/>
      <c r="E141" s="76" t="s">
        <v>49</v>
      </c>
      <c r="F141" s="76" t="s">
        <v>50</v>
      </c>
      <c r="G141" s="91"/>
      <c r="H141" s="78"/>
      <c r="I141" s="96">
        <f>49687.5+1586.364</f>
        <v>51273.864000000001</v>
      </c>
    </row>
    <row r="142" spans="1:39" s="92" customFormat="1" ht="35" customHeight="1" x14ac:dyDescent="0.35">
      <c r="A142" s="75" t="s">
        <v>204</v>
      </c>
      <c r="B142" s="223" t="s">
        <v>82</v>
      </c>
      <c r="C142" s="223"/>
      <c r="D142" s="223"/>
      <c r="E142" s="76" t="s">
        <v>49</v>
      </c>
      <c r="F142" s="76" t="s">
        <v>50</v>
      </c>
      <c r="G142" s="91"/>
      <c r="H142" s="78"/>
      <c r="I142" s="96">
        <v>23594.100000000035</v>
      </c>
    </row>
    <row r="143" spans="1:39" s="80" customFormat="1" ht="35" customHeight="1" x14ac:dyDescent="0.35">
      <c r="A143" s="75" t="s">
        <v>89</v>
      </c>
      <c r="B143" s="223" t="s">
        <v>82</v>
      </c>
      <c r="C143" s="223"/>
      <c r="D143" s="223"/>
      <c r="E143" s="76" t="s">
        <v>49</v>
      </c>
      <c r="F143" s="76" t="s">
        <v>50</v>
      </c>
      <c r="G143" s="77">
        <f>29604000+10854800+58221200+8770900</f>
        <v>107450900</v>
      </c>
      <c r="H143" s="78">
        <v>1</v>
      </c>
      <c r="I143" s="79">
        <f t="shared" si="4"/>
        <v>107450.9</v>
      </c>
    </row>
    <row r="144" spans="1:39" s="80" customFormat="1" ht="35" customHeight="1" x14ac:dyDescent="0.35">
      <c r="A144" s="75" t="s">
        <v>90</v>
      </c>
      <c r="B144" s="223" t="s">
        <v>82</v>
      </c>
      <c r="C144" s="223"/>
      <c r="D144" s="223"/>
      <c r="E144" s="76" t="s">
        <v>49</v>
      </c>
      <c r="F144" s="76" t="s">
        <v>50</v>
      </c>
      <c r="G144" s="77">
        <f>40000000+30075000+100000000+61285921</f>
        <v>231360921</v>
      </c>
      <c r="H144" s="78">
        <v>1</v>
      </c>
      <c r="I144" s="79">
        <f t="shared" si="4"/>
        <v>231360.9</v>
      </c>
    </row>
    <row r="145" spans="1:39" s="80" customFormat="1" ht="35" customHeight="1" x14ac:dyDescent="0.35">
      <c r="A145" s="75" t="s">
        <v>91</v>
      </c>
      <c r="B145" s="223" t="s">
        <v>82</v>
      </c>
      <c r="C145" s="223"/>
      <c r="D145" s="223"/>
      <c r="E145" s="76" t="s">
        <v>49</v>
      </c>
      <c r="F145" s="76" t="s">
        <v>50</v>
      </c>
      <c r="G145" s="77">
        <f>40000000+9599000+134101000</f>
        <v>183700000</v>
      </c>
      <c r="H145" s="78">
        <v>1</v>
      </c>
      <c r="I145" s="79">
        <f t="shared" si="4"/>
        <v>183700</v>
      </c>
    </row>
    <row r="146" spans="1:39" s="80" customFormat="1" ht="35" customHeight="1" x14ac:dyDescent="0.35">
      <c r="A146" s="75" t="s">
        <v>94</v>
      </c>
      <c r="B146" s="223" t="s">
        <v>82</v>
      </c>
      <c r="C146" s="223"/>
      <c r="D146" s="223"/>
      <c r="E146" s="76" t="s">
        <v>49</v>
      </c>
      <c r="F146" s="76" t="s">
        <v>50</v>
      </c>
      <c r="G146" s="77">
        <f>150000000+67000000+60000000+138518200</f>
        <v>415518200</v>
      </c>
      <c r="H146" s="78">
        <v>1</v>
      </c>
      <c r="I146" s="79">
        <f t="shared" ref="I146:I152" si="11">+ROUNDDOWN(H146*G146/1000,1)</f>
        <v>415518.2</v>
      </c>
    </row>
    <row r="147" spans="1:39" s="80" customFormat="1" ht="35" customHeight="1" x14ac:dyDescent="0.35">
      <c r="A147" s="75" t="s">
        <v>92</v>
      </c>
      <c r="B147" s="223" t="s">
        <v>82</v>
      </c>
      <c r="C147" s="223"/>
      <c r="D147" s="223"/>
      <c r="E147" s="76" t="s">
        <v>49</v>
      </c>
      <c r="F147" s="76" t="s">
        <v>50</v>
      </c>
      <c r="G147" s="77">
        <f>90000000+20000000+51364000+32361800</f>
        <v>193725800</v>
      </c>
      <c r="H147" s="78">
        <v>1</v>
      </c>
      <c r="I147" s="79">
        <f t="shared" si="11"/>
        <v>193725.8</v>
      </c>
    </row>
    <row r="148" spans="1:39" s="80" customFormat="1" ht="35" customHeight="1" x14ac:dyDescent="0.35">
      <c r="A148" s="75" t="s">
        <v>95</v>
      </c>
      <c r="B148" s="223" t="s">
        <v>82</v>
      </c>
      <c r="C148" s="223"/>
      <c r="D148" s="223"/>
      <c r="E148" s="76" t="s">
        <v>49</v>
      </c>
      <c r="F148" s="76" t="s">
        <v>50</v>
      </c>
      <c r="G148" s="77">
        <f>64386000+20000000+130234000+20640200</f>
        <v>235260200</v>
      </c>
      <c r="H148" s="78">
        <v>1</v>
      </c>
      <c r="I148" s="79">
        <f t="shared" si="11"/>
        <v>235260.2</v>
      </c>
    </row>
    <row r="149" spans="1:39" s="80" customFormat="1" ht="35" customHeight="1" x14ac:dyDescent="0.35">
      <c r="A149" s="75" t="s">
        <v>96</v>
      </c>
      <c r="B149" s="223" t="s">
        <v>82</v>
      </c>
      <c r="C149" s="223"/>
      <c r="D149" s="223"/>
      <c r="E149" s="76" t="s">
        <v>49</v>
      </c>
      <c r="F149" s="76" t="s">
        <v>50</v>
      </c>
      <c r="G149" s="77">
        <f>55000000+55000000+130000000+100812900</f>
        <v>340812900</v>
      </c>
      <c r="H149" s="78">
        <v>1</v>
      </c>
      <c r="I149" s="79">
        <f t="shared" si="11"/>
        <v>340812.9</v>
      </c>
    </row>
    <row r="150" spans="1:39" s="80" customFormat="1" ht="35" customHeight="1" x14ac:dyDescent="0.35">
      <c r="A150" s="75" t="s">
        <v>93</v>
      </c>
      <c r="B150" s="223" t="s">
        <v>82</v>
      </c>
      <c r="C150" s="223"/>
      <c r="D150" s="223"/>
      <c r="E150" s="76" t="s">
        <v>49</v>
      </c>
      <c r="F150" s="76" t="s">
        <v>50</v>
      </c>
      <c r="G150" s="77">
        <f>40000000+10820000+103180000+14637400</f>
        <v>168637400</v>
      </c>
      <c r="H150" s="78">
        <v>1</v>
      </c>
      <c r="I150" s="79">
        <f t="shared" si="11"/>
        <v>168637.4</v>
      </c>
    </row>
    <row r="151" spans="1:39" s="80" customFormat="1" ht="35" customHeight="1" x14ac:dyDescent="0.35">
      <c r="A151" s="75" t="s">
        <v>97</v>
      </c>
      <c r="B151" s="223" t="s">
        <v>82</v>
      </c>
      <c r="C151" s="223"/>
      <c r="D151" s="223"/>
      <c r="E151" s="76" t="s">
        <v>49</v>
      </c>
      <c r="F151" s="76" t="s">
        <v>50</v>
      </c>
      <c r="G151" s="77">
        <f>60000000+20000000+150000000+87222500</f>
        <v>317222500</v>
      </c>
      <c r="H151" s="78">
        <v>1</v>
      </c>
      <c r="I151" s="79">
        <f t="shared" si="11"/>
        <v>317222.5</v>
      </c>
    </row>
    <row r="152" spans="1:39" s="80" customFormat="1" ht="35" customHeight="1" x14ac:dyDescent="0.35">
      <c r="A152" s="75" t="s">
        <v>108</v>
      </c>
      <c r="B152" s="223" t="s">
        <v>82</v>
      </c>
      <c r="C152" s="223"/>
      <c r="D152" s="223"/>
      <c r="E152" s="76" t="s">
        <v>49</v>
      </c>
      <c r="F152" s="76" t="s">
        <v>50</v>
      </c>
      <c r="G152" s="77">
        <f>10000000+40000000+150000000+72613100</f>
        <v>272613100</v>
      </c>
      <c r="H152" s="78">
        <v>1</v>
      </c>
      <c r="I152" s="79">
        <f t="shared" si="11"/>
        <v>272613.09999999998</v>
      </c>
    </row>
    <row r="153" spans="1:39" s="80" customFormat="1" ht="35" customHeight="1" x14ac:dyDescent="0.35">
      <c r="A153" s="75" t="s">
        <v>98</v>
      </c>
      <c r="B153" s="223" t="s">
        <v>82</v>
      </c>
      <c r="C153" s="223"/>
      <c r="D153" s="223"/>
      <c r="E153" s="76" t="s">
        <v>49</v>
      </c>
      <c r="F153" s="76" t="s">
        <v>50</v>
      </c>
      <c r="G153" s="77">
        <f>10000000+39674600+115907400+11643500</f>
        <v>177225500</v>
      </c>
      <c r="H153" s="78">
        <v>1</v>
      </c>
      <c r="I153" s="79">
        <f t="shared" ref="I153:I181" si="12">+ROUNDDOWN(H153*G153/1000,1)</f>
        <v>177225.5</v>
      </c>
    </row>
    <row r="154" spans="1:39" s="80" customFormat="1" ht="35" customHeight="1" x14ac:dyDescent="0.35">
      <c r="A154" s="75" t="s">
        <v>99</v>
      </c>
      <c r="B154" s="223" t="s">
        <v>82</v>
      </c>
      <c r="C154" s="223"/>
      <c r="D154" s="223"/>
      <c r="E154" s="76" t="s">
        <v>49</v>
      </c>
      <c r="F154" s="76" t="s">
        <v>50</v>
      </c>
      <c r="G154" s="77">
        <f>10000000+39587600+110372400+15229700</f>
        <v>175189700</v>
      </c>
      <c r="H154" s="78">
        <v>1</v>
      </c>
      <c r="I154" s="79">
        <f t="shared" si="12"/>
        <v>175189.7</v>
      </c>
    </row>
    <row r="155" spans="1:39" s="92" customFormat="1" ht="35" customHeight="1" x14ac:dyDescent="0.35">
      <c r="A155" s="75" t="s">
        <v>208</v>
      </c>
      <c r="B155" s="223" t="s">
        <v>82</v>
      </c>
      <c r="C155" s="223"/>
      <c r="D155" s="223"/>
      <c r="E155" s="76" t="s">
        <v>49</v>
      </c>
      <c r="F155" s="76" t="s">
        <v>50</v>
      </c>
      <c r="G155" s="91">
        <f>50000000+180000000+150240000</f>
        <v>380240000</v>
      </c>
      <c r="H155" s="78">
        <v>1</v>
      </c>
      <c r="I155" s="96">
        <f t="shared" ref="I155:I159" si="13">H155*G155/1000</f>
        <v>380240</v>
      </c>
    </row>
    <row r="156" spans="1:39" s="92" customFormat="1" ht="35" customHeight="1" x14ac:dyDescent="0.35">
      <c r="A156" s="75" t="s">
        <v>209</v>
      </c>
      <c r="B156" s="223" t="s">
        <v>82</v>
      </c>
      <c r="C156" s="223"/>
      <c r="D156" s="223"/>
      <c r="E156" s="76" t="s">
        <v>49</v>
      </c>
      <c r="F156" s="76" t="s">
        <v>50</v>
      </c>
      <c r="G156" s="91">
        <f>49240800+126619200</f>
        <v>175860000</v>
      </c>
      <c r="H156" s="78">
        <v>1</v>
      </c>
      <c r="I156" s="96">
        <f t="shared" si="13"/>
        <v>175860</v>
      </c>
    </row>
    <row r="157" spans="1:39" s="92" customFormat="1" ht="35" customHeight="1" x14ac:dyDescent="0.35">
      <c r="A157" s="75" t="s">
        <v>210</v>
      </c>
      <c r="B157" s="223" t="s">
        <v>82</v>
      </c>
      <c r="C157" s="223"/>
      <c r="D157" s="223"/>
      <c r="E157" s="76" t="s">
        <v>49</v>
      </c>
      <c r="F157" s="76" t="s">
        <v>50</v>
      </c>
      <c r="G157" s="91">
        <f>50000000+130000000+83000400</f>
        <v>263000400</v>
      </c>
      <c r="H157" s="78">
        <v>1</v>
      </c>
      <c r="I157" s="96">
        <f t="shared" si="13"/>
        <v>263000.40000000002</v>
      </c>
    </row>
    <row r="158" spans="1:39" s="92" customFormat="1" ht="35" customHeight="1" x14ac:dyDescent="0.35">
      <c r="A158" s="75" t="s">
        <v>211</v>
      </c>
      <c r="B158" s="223" t="s">
        <v>82</v>
      </c>
      <c r="C158" s="223"/>
      <c r="D158" s="223"/>
      <c r="E158" s="76" t="s">
        <v>49</v>
      </c>
      <c r="F158" s="76" t="s">
        <v>50</v>
      </c>
      <c r="G158" s="91">
        <f>17000000+150000000+65643500</f>
        <v>232643500</v>
      </c>
      <c r="H158" s="78">
        <v>1</v>
      </c>
      <c r="I158" s="96">
        <f t="shared" si="13"/>
        <v>232643.5</v>
      </c>
    </row>
    <row r="159" spans="1:39" s="92" customFormat="1" ht="35" customHeight="1" x14ac:dyDescent="0.35">
      <c r="A159" s="75" t="s">
        <v>212</v>
      </c>
      <c r="B159" s="223" t="s">
        <v>82</v>
      </c>
      <c r="C159" s="223"/>
      <c r="D159" s="223"/>
      <c r="E159" s="76" t="s">
        <v>49</v>
      </c>
      <c r="F159" s="76" t="s">
        <v>50</v>
      </c>
      <c r="G159" s="91">
        <f>50000000+114000000+14513800</f>
        <v>178513800</v>
      </c>
      <c r="H159" s="78">
        <v>1</v>
      </c>
      <c r="I159" s="96">
        <f t="shared" si="13"/>
        <v>178513.8</v>
      </c>
    </row>
    <row r="160" spans="1:39" s="92" customFormat="1" ht="35" customHeight="1" x14ac:dyDescent="0.35">
      <c r="A160" s="75" t="s">
        <v>481</v>
      </c>
      <c r="B160" s="223" t="s">
        <v>82</v>
      </c>
      <c r="C160" s="223"/>
      <c r="D160" s="223"/>
      <c r="E160" s="76" t="s">
        <v>49</v>
      </c>
      <c r="F160" s="76" t="s">
        <v>50</v>
      </c>
      <c r="G160" s="91">
        <v>40000000</v>
      </c>
      <c r="H160" s="78">
        <v>1</v>
      </c>
      <c r="I160" s="96">
        <f t="shared" ref="I160" si="14">+ROUNDUP(H160*G160/1000,1)</f>
        <v>40000</v>
      </c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</row>
    <row r="161" spans="1:39" s="80" customFormat="1" ht="35" customHeight="1" x14ac:dyDescent="0.35">
      <c r="A161" s="75" t="s">
        <v>100</v>
      </c>
      <c r="B161" s="223" t="s">
        <v>82</v>
      </c>
      <c r="C161" s="223"/>
      <c r="D161" s="223"/>
      <c r="E161" s="76" t="s">
        <v>49</v>
      </c>
      <c r="F161" s="76" t="s">
        <v>50</v>
      </c>
      <c r="G161" s="77">
        <f>100000000+33000000+110000000+40837400</f>
        <v>283837400</v>
      </c>
      <c r="H161" s="78">
        <v>1</v>
      </c>
      <c r="I161" s="79">
        <f t="shared" si="12"/>
        <v>283837.40000000002</v>
      </c>
    </row>
    <row r="162" spans="1:39" s="80" customFormat="1" ht="35" customHeight="1" x14ac:dyDescent="0.35">
      <c r="A162" s="75" t="s">
        <v>101</v>
      </c>
      <c r="B162" s="223" t="s">
        <v>82</v>
      </c>
      <c r="C162" s="223"/>
      <c r="D162" s="223"/>
      <c r="E162" s="76" t="s">
        <v>49</v>
      </c>
      <c r="F162" s="76" t="s">
        <v>50</v>
      </c>
      <c r="G162" s="77">
        <f>5000000+38000000+100000000+131564884</f>
        <v>274564884</v>
      </c>
      <c r="H162" s="78">
        <v>1</v>
      </c>
      <c r="I162" s="79">
        <f t="shared" si="12"/>
        <v>274564.8</v>
      </c>
    </row>
    <row r="163" spans="1:39" s="80" customFormat="1" ht="35" customHeight="1" x14ac:dyDescent="0.35">
      <c r="A163" s="75" t="s">
        <v>102</v>
      </c>
      <c r="B163" s="223" t="s">
        <v>82</v>
      </c>
      <c r="C163" s="223"/>
      <c r="D163" s="223"/>
      <c r="E163" s="76" t="s">
        <v>49</v>
      </c>
      <c r="F163" s="76" t="s">
        <v>50</v>
      </c>
      <c r="G163" s="77">
        <f>15000000+60000000+120000000+1170000</f>
        <v>196170000</v>
      </c>
      <c r="H163" s="78">
        <v>1</v>
      </c>
      <c r="I163" s="79">
        <f t="shared" si="12"/>
        <v>196170</v>
      </c>
    </row>
    <row r="164" spans="1:39" s="80" customFormat="1" ht="35" customHeight="1" x14ac:dyDescent="0.35">
      <c r="A164" s="75" t="s">
        <v>103</v>
      </c>
      <c r="B164" s="223" t="s">
        <v>82</v>
      </c>
      <c r="C164" s="223"/>
      <c r="D164" s="223"/>
      <c r="E164" s="76" t="s">
        <v>49</v>
      </c>
      <c r="F164" s="76" t="s">
        <v>50</v>
      </c>
      <c r="G164" s="77">
        <f>15000000+45000000+120000000+64760000</f>
        <v>244760000</v>
      </c>
      <c r="H164" s="78">
        <v>1</v>
      </c>
      <c r="I164" s="79">
        <f t="shared" si="12"/>
        <v>244760</v>
      </c>
    </row>
    <row r="165" spans="1:39" s="80" customFormat="1" ht="35" customHeight="1" x14ac:dyDescent="0.35">
      <c r="A165" s="75" t="s">
        <v>104</v>
      </c>
      <c r="B165" s="223" t="s">
        <v>82</v>
      </c>
      <c r="C165" s="223"/>
      <c r="D165" s="223"/>
      <c r="E165" s="76" t="s">
        <v>49</v>
      </c>
      <c r="F165" s="76" t="s">
        <v>50</v>
      </c>
      <c r="G165" s="77">
        <f>40000000+20123000+62577000+15387000</f>
        <v>138087000</v>
      </c>
      <c r="H165" s="78">
        <v>1</v>
      </c>
      <c r="I165" s="79">
        <f t="shared" si="12"/>
        <v>138087</v>
      </c>
    </row>
    <row r="166" spans="1:39" s="92" customFormat="1" ht="35" customHeight="1" x14ac:dyDescent="0.35">
      <c r="A166" s="75" t="s">
        <v>358</v>
      </c>
      <c r="B166" s="223" t="s">
        <v>82</v>
      </c>
      <c r="C166" s="223"/>
      <c r="D166" s="223"/>
      <c r="E166" s="76" t="s">
        <v>120</v>
      </c>
      <c r="F166" s="76" t="s">
        <v>50</v>
      </c>
      <c r="G166" s="91">
        <f>90000000+19900600+54020000</f>
        <v>163920600</v>
      </c>
      <c r="H166" s="78">
        <v>1</v>
      </c>
      <c r="I166" s="79">
        <f t="shared" si="12"/>
        <v>163920.6</v>
      </c>
    </row>
    <row r="167" spans="1:39" s="92" customFormat="1" ht="35" customHeight="1" x14ac:dyDescent="0.35">
      <c r="A167" s="75" t="s">
        <v>218</v>
      </c>
      <c r="B167" s="223" t="s">
        <v>82</v>
      </c>
      <c r="C167" s="223"/>
      <c r="D167" s="223"/>
      <c r="E167" s="76" t="s">
        <v>49</v>
      </c>
      <c r="F167" s="76" t="s">
        <v>50</v>
      </c>
      <c r="G167" s="91">
        <f>33000000+130000000+75451670</f>
        <v>238451670</v>
      </c>
      <c r="H167" s="78">
        <v>1</v>
      </c>
      <c r="I167" s="96">
        <f t="shared" ref="I167:I171" si="15">H167*G167/1000</f>
        <v>238451.67</v>
      </c>
    </row>
    <row r="168" spans="1:39" s="92" customFormat="1" ht="35" customHeight="1" x14ac:dyDescent="0.35">
      <c r="A168" s="75" t="s">
        <v>219</v>
      </c>
      <c r="B168" s="223" t="s">
        <v>82</v>
      </c>
      <c r="C168" s="223"/>
      <c r="D168" s="223"/>
      <c r="E168" s="76" t="s">
        <v>49</v>
      </c>
      <c r="F168" s="76" t="s">
        <v>50</v>
      </c>
      <c r="G168" s="91">
        <f>50000000+130000000+202340949</f>
        <v>382340949</v>
      </c>
      <c r="H168" s="78">
        <v>1</v>
      </c>
      <c r="I168" s="96">
        <f t="shared" si="15"/>
        <v>382340.94900000002</v>
      </c>
    </row>
    <row r="169" spans="1:39" s="92" customFormat="1" ht="35" customHeight="1" x14ac:dyDescent="0.35">
      <c r="A169" s="75" t="s">
        <v>220</v>
      </c>
      <c r="B169" s="223" t="s">
        <v>82</v>
      </c>
      <c r="C169" s="223"/>
      <c r="D169" s="223"/>
      <c r="E169" s="76" t="s">
        <v>49</v>
      </c>
      <c r="F169" s="76" t="s">
        <v>50</v>
      </c>
      <c r="G169" s="91">
        <f>40027500+80000000+33585000</f>
        <v>153612500</v>
      </c>
      <c r="H169" s="78">
        <v>1</v>
      </c>
      <c r="I169" s="96">
        <f t="shared" si="15"/>
        <v>153612.5</v>
      </c>
    </row>
    <row r="170" spans="1:39" s="92" customFormat="1" ht="35" customHeight="1" x14ac:dyDescent="0.35">
      <c r="A170" s="75" t="s">
        <v>224</v>
      </c>
      <c r="B170" s="223" t="s">
        <v>82</v>
      </c>
      <c r="C170" s="223"/>
      <c r="D170" s="223"/>
      <c r="E170" s="76" t="s">
        <v>49</v>
      </c>
      <c r="F170" s="76" t="s">
        <v>50</v>
      </c>
      <c r="G170" s="91">
        <f>50000000+140000000+151051600</f>
        <v>341051600</v>
      </c>
      <c r="H170" s="78">
        <v>1</v>
      </c>
      <c r="I170" s="96">
        <f t="shared" si="15"/>
        <v>341051.6</v>
      </c>
    </row>
    <row r="171" spans="1:39" s="92" customFormat="1" ht="35" customHeight="1" x14ac:dyDescent="0.35">
      <c r="A171" s="75" t="s">
        <v>225</v>
      </c>
      <c r="B171" s="223" t="s">
        <v>82</v>
      </c>
      <c r="C171" s="223"/>
      <c r="D171" s="223"/>
      <c r="E171" s="76" t="s">
        <v>49</v>
      </c>
      <c r="F171" s="76" t="s">
        <v>50</v>
      </c>
      <c r="G171" s="91">
        <f>50000000+120000000+111531500</f>
        <v>281531500</v>
      </c>
      <c r="H171" s="78">
        <v>1</v>
      </c>
      <c r="I171" s="96">
        <f t="shared" si="15"/>
        <v>281531.5</v>
      </c>
    </row>
    <row r="172" spans="1:39" s="92" customFormat="1" ht="35" customHeight="1" x14ac:dyDescent="0.35">
      <c r="A172" s="75" t="s">
        <v>483</v>
      </c>
      <c r="B172" s="223" t="s">
        <v>82</v>
      </c>
      <c r="C172" s="223"/>
      <c r="D172" s="223"/>
      <c r="E172" s="76" t="s">
        <v>49</v>
      </c>
      <c r="F172" s="76" t="s">
        <v>50</v>
      </c>
      <c r="G172" s="91">
        <v>70000000</v>
      </c>
      <c r="H172" s="78">
        <v>1</v>
      </c>
      <c r="I172" s="96">
        <f t="shared" ref="I172:I176" si="16">+ROUNDUP(H172*G172/1000,1)</f>
        <v>70000</v>
      </c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</row>
    <row r="173" spans="1:39" s="92" customFormat="1" ht="35" customHeight="1" x14ac:dyDescent="0.35">
      <c r="A173" s="75" t="s">
        <v>484</v>
      </c>
      <c r="B173" s="223" t="s">
        <v>82</v>
      </c>
      <c r="C173" s="223"/>
      <c r="D173" s="223"/>
      <c r="E173" s="76" t="s">
        <v>49</v>
      </c>
      <c r="F173" s="76" t="s">
        <v>50</v>
      </c>
      <c r="G173" s="91">
        <v>80000000</v>
      </c>
      <c r="H173" s="78">
        <v>1</v>
      </c>
      <c r="I173" s="96">
        <f t="shared" si="16"/>
        <v>80000</v>
      </c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</row>
    <row r="174" spans="1:39" s="92" customFormat="1" ht="35" customHeight="1" x14ac:dyDescent="0.35">
      <c r="A174" s="75" t="s">
        <v>485</v>
      </c>
      <c r="B174" s="223" t="s">
        <v>82</v>
      </c>
      <c r="C174" s="223"/>
      <c r="D174" s="223"/>
      <c r="E174" s="76" t="s">
        <v>49</v>
      </c>
      <c r="F174" s="76" t="s">
        <v>50</v>
      </c>
      <c r="G174" s="91">
        <v>40000000</v>
      </c>
      <c r="H174" s="78">
        <v>1</v>
      </c>
      <c r="I174" s="96">
        <f t="shared" si="16"/>
        <v>40000</v>
      </c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</row>
    <row r="175" spans="1:39" s="92" customFormat="1" ht="35" customHeight="1" x14ac:dyDescent="0.35">
      <c r="A175" s="75" t="s">
        <v>486</v>
      </c>
      <c r="B175" s="223" t="s">
        <v>82</v>
      </c>
      <c r="C175" s="223"/>
      <c r="D175" s="223"/>
      <c r="E175" s="76" t="s">
        <v>49</v>
      </c>
      <c r="F175" s="76" t="s">
        <v>50</v>
      </c>
      <c r="G175" s="91">
        <v>40000000</v>
      </c>
      <c r="H175" s="78">
        <v>1</v>
      </c>
      <c r="I175" s="96">
        <f t="shared" si="16"/>
        <v>40000</v>
      </c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</row>
    <row r="176" spans="1:39" s="92" customFormat="1" ht="35" customHeight="1" x14ac:dyDescent="0.35">
      <c r="A176" s="75" t="s">
        <v>487</v>
      </c>
      <c r="B176" s="223" t="s">
        <v>82</v>
      </c>
      <c r="C176" s="223"/>
      <c r="D176" s="223"/>
      <c r="E176" s="76" t="s">
        <v>49</v>
      </c>
      <c r="F176" s="76" t="s">
        <v>50</v>
      </c>
      <c r="G176" s="91">
        <v>50000000</v>
      </c>
      <c r="H176" s="78">
        <v>1</v>
      </c>
      <c r="I176" s="96">
        <f t="shared" si="16"/>
        <v>50000</v>
      </c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</row>
    <row r="177" spans="1:9" s="92" customFormat="1" ht="35" customHeight="1" x14ac:dyDescent="0.35">
      <c r="A177" s="75" t="s">
        <v>229</v>
      </c>
      <c r="B177" s="223" t="s">
        <v>82</v>
      </c>
      <c r="C177" s="223"/>
      <c r="D177" s="223"/>
      <c r="E177" s="76" t="s">
        <v>49</v>
      </c>
      <c r="F177" s="76" t="s">
        <v>50</v>
      </c>
      <c r="G177" s="91"/>
      <c r="H177" s="78"/>
      <c r="I177" s="96">
        <f>63626.1+190.136</f>
        <v>63816.235999999997</v>
      </c>
    </row>
    <row r="178" spans="1:9" s="92" customFormat="1" ht="35" customHeight="1" x14ac:dyDescent="0.35">
      <c r="A178" s="75" t="s">
        <v>230</v>
      </c>
      <c r="B178" s="223" t="s">
        <v>82</v>
      </c>
      <c r="C178" s="223"/>
      <c r="D178" s="223"/>
      <c r="E178" s="76" t="s">
        <v>49</v>
      </c>
      <c r="F178" s="76" t="s">
        <v>50</v>
      </c>
      <c r="G178" s="91"/>
      <c r="H178" s="78"/>
      <c r="I178" s="96">
        <v>29356.832999999999</v>
      </c>
    </row>
    <row r="179" spans="1:9" s="80" customFormat="1" ht="35" customHeight="1" x14ac:dyDescent="0.35">
      <c r="A179" s="75" t="s">
        <v>105</v>
      </c>
      <c r="B179" s="223" t="s">
        <v>82</v>
      </c>
      <c r="C179" s="223"/>
      <c r="D179" s="223"/>
      <c r="E179" s="76" t="s">
        <v>49</v>
      </c>
      <c r="F179" s="76" t="s">
        <v>50</v>
      </c>
      <c r="G179" s="77">
        <f>30000000+24000000+120000000+30000000</f>
        <v>204000000</v>
      </c>
      <c r="H179" s="78">
        <v>1</v>
      </c>
      <c r="I179" s="79">
        <f t="shared" si="12"/>
        <v>204000</v>
      </c>
    </row>
    <row r="180" spans="1:9" s="80" customFormat="1" ht="35" customHeight="1" x14ac:dyDescent="0.35">
      <c r="A180" s="75" t="s">
        <v>106</v>
      </c>
      <c r="B180" s="223" t="s">
        <v>82</v>
      </c>
      <c r="C180" s="223"/>
      <c r="D180" s="223"/>
      <c r="E180" s="76" t="s">
        <v>49</v>
      </c>
      <c r="F180" s="76" t="s">
        <v>50</v>
      </c>
      <c r="G180" s="77">
        <f>120000000+32261000+110000000+68741000</f>
        <v>331002000</v>
      </c>
      <c r="H180" s="78">
        <v>1</v>
      </c>
      <c r="I180" s="79">
        <f t="shared" si="12"/>
        <v>331002</v>
      </c>
    </row>
    <row r="181" spans="1:9" s="80" customFormat="1" ht="35" customHeight="1" x14ac:dyDescent="0.35">
      <c r="A181" s="75" t="s">
        <v>107</v>
      </c>
      <c r="B181" s="223" t="s">
        <v>82</v>
      </c>
      <c r="C181" s="223"/>
      <c r="D181" s="223"/>
      <c r="E181" s="76" t="s">
        <v>49</v>
      </c>
      <c r="F181" s="76" t="s">
        <v>50</v>
      </c>
      <c r="G181" s="77">
        <f>32336000+23000000+130000000</f>
        <v>185336000</v>
      </c>
      <c r="H181" s="78">
        <v>1</v>
      </c>
      <c r="I181" s="79">
        <f t="shared" si="12"/>
        <v>185336</v>
      </c>
    </row>
    <row r="182" spans="1:9" s="92" customFormat="1" ht="35" customHeight="1" x14ac:dyDescent="0.35">
      <c r="A182" s="75" t="s">
        <v>230</v>
      </c>
      <c r="B182" s="223" t="s">
        <v>82</v>
      </c>
      <c r="C182" s="223"/>
      <c r="D182" s="223"/>
      <c r="E182" s="76" t="s">
        <v>49</v>
      </c>
      <c r="F182" s="76" t="s">
        <v>50</v>
      </c>
      <c r="G182" s="91">
        <f>40000000+120000000+54501200</f>
        <v>214501200</v>
      </c>
      <c r="H182" s="78">
        <v>1</v>
      </c>
      <c r="I182" s="96">
        <f t="shared" ref="I182:I183" si="17">H182*G182/1000</f>
        <v>214501.2</v>
      </c>
    </row>
    <row r="183" spans="1:9" s="92" customFormat="1" ht="35" customHeight="1" x14ac:dyDescent="0.35">
      <c r="A183" s="75" t="s">
        <v>230</v>
      </c>
      <c r="B183" s="223" t="s">
        <v>82</v>
      </c>
      <c r="C183" s="223"/>
      <c r="D183" s="223"/>
      <c r="E183" s="76" t="s">
        <v>49</v>
      </c>
      <c r="F183" s="76" t="s">
        <v>50</v>
      </c>
      <c r="G183" s="91">
        <f>27000000+120000000+16512400</f>
        <v>163512400</v>
      </c>
      <c r="H183" s="78">
        <v>1</v>
      </c>
      <c r="I183" s="96">
        <f t="shared" si="17"/>
        <v>163512.4</v>
      </c>
    </row>
    <row r="184" spans="1:9" s="74" customFormat="1" ht="21" customHeight="1" x14ac:dyDescent="0.35">
      <c r="A184" s="70"/>
      <c r="B184" s="225" t="s">
        <v>124</v>
      </c>
      <c r="C184" s="226"/>
      <c r="D184" s="227"/>
      <c r="E184" s="71" t="s">
        <v>48</v>
      </c>
      <c r="F184" s="71" t="s">
        <v>48</v>
      </c>
      <c r="G184" s="71" t="s">
        <v>48</v>
      </c>
      <c r="H184" s="72"/>
      <c r="I184" s="73">
        <f>SUM(I185:I291)</f>
        <v>91497.405215999999</v>
      </c>
    </row>
    <row r="185" spans="1:9" s="92" customFormat="1" x14ac:dyDescent="0.35">
      <c r="A185" s="97">
        <v>98111140</v>
      </c>
      <c r="B185" s="224" t="s">
        <v>125</v>
      </c>
      <c r="C185" s="224"/>
      <c r="D185" s="224"/>
      <c r="E185" s="76" t="s">
        <v>126</v>
      </c>
      <c r="F185" s="76" t="s">
        <v>50</v>
      </c>
      <c r="G185" s="91">
        <f>240000+600000</f>
        <v>840000</v>
      </c>
      <c r="H185" s="78">
        <v>1</v>
      </c>
      <c r="I185" s="96">
        <f t="shared" ref="I185:I191" si="18">H185*G185/1000</f>
        <v>840</v>
      </c>
    </row>
    <row r="186" spans="1:9" s="92" customFormat="1" x14ac:dyDescent="0.35">
      <c r="A186" s="97" t="s">
        <v>359</v>
      </c>
      <c r="B186" s="224" t="s">
        <v>125</v>
      </c>
      <c r="C186" s="224"/>
      <c r="D186" s="224"/>
      <c r="E186" s="76" t="s">
        <v>126</v>
      </c>
      <c r="F186" s="76" t="s">
        <v>50</v>
      </c>
      <c r="G186" s="91">
        <f>900000+240000</f>
        <v>1140000</v>
      </c>
      <c r="H186" s="78">
        <v>1</v>
      </c>
      <c r="I186" s="96">
        <f t="shared" si="18"/>
        <v>1140</v>
      </c>
    </row>
    <row r="187" spans="1:9" s="92" customFormat="1" x14ac:dyDescent="0.35">
      <c r="A187" s="97" t="s">
        <v>360</v>
      </c>
      <c r="B187" s="224" t="s">
        <v>125</v>
      </c>
      <c r="C187" s="224"/>
      <c r="D187" s="224"/>
      <c r="E187" s="76" t="s">
        <v>126</v>
      </c>
      <c r="F187" s="76" t="s">
        <v>50</v>
      </c>
      <c r="G187" s="91">
        <f>780000+480000</f>
        <v>1260000</v>
      </c>
      <c r="H187" s="78">
        <v>1</v>
      </c>
      <c r="I187" s="96">
        <f t="shared" si="18"/>
        <v>1260</v>
      </c>
    </row>
    <row r="188" spans="1:9" s="92" customFormat="1" x14ac:dyDescent="0.35">
      <c r="A188" s="97">
        <v>98111140</v>
      </c>
      <c r="B188" s="224" t="s">
        <v>125</v>
      </c>
      <c r="C188" s="224"/>
      <c r="D188" s="224"/>
      <c r="E188" s="76" t="s">
        <v>126</v>
      </c>
      <c r="F188" s="76" t="s">
        <v>50</v>
      </c>
      <c r="G188" s="91">
        <f>300000+739650</f>
        <v>1039650</v>
      </c>
      <c r="H188" s="78">
        <v>1</v>
      </c>
      <c r="I188" s="96">
        <f t="shared" si="18"/>
        <v>1039.6500000000001</v>
      </c>
    </row>
    <row r="189" spans="1:9" s="92" customFormat="1" x14ac:dyDescent="0.35">
      <c r="A189" s="97" t="s">
        <v>361</v>
      </c>
      <c r="B189" s="224" t="s">
        <v>125</v>
      </c>
      <c r="C189" s="224"/>
      <c r="D189" s="224"/>
      <c r="E189" s="76" t="s">
        <v>126</v>
      </c>
      <c r="F189" s="76" t="s">
        <v>50</v>
      </c>
      <c r="G189" s="91">
        <f>360000+600000</f>
        <v>960000</v>
      </c>
      <c r="H189" s="78">
        <v>1</v>
      </c>
      <c r="I189" s="96">
        <f t="shared" si="18"/>
        <v>960</v>
      </c>
    </row>
    <row r="190" spans="1:9" s="92" customFormat="1" x14ac:dyDescent="0.35">
      <c r="A190" s="97">
        <v>98111140</v>
      </c>
      <c r="B190" s="224" t="s">
        <v>125</v>
      </c>
      <c r="C190" s="224"/>
      <c r="D190" s="224"/>
      <c r="E190" s="76" t="s">
        <v>126</v>
      </c>
      <c r="F190" s="76" t="s">
        <v>50</v>
      </c>
      <c r="G190" s="91">
        <v>88565.898000000001</v>
      </c>
      <c r="H190" s="78">
        <v>1</v>
      </c>
      <c r="I190" s="96">
        <f t="shared" si="18"/>
        <v>88.565898000000004</v>
      </c>
    </row>
    <row r="191" spans="1:9" s="92" customFormat="1" x14ac:dyDescent="0.35">
      <c r="A191" s="97" t="s">
        <v>362</v>
      </c>
      <c r="B191" s="224" t="s">
        <v>125</v>
      </c>
      <c r="C191" s="224"/>
      <c r="D191" s="224"/>
      <c r="E191" s="76" t="s">
        <v>126</v>
      </c>
      <c r="F191" s="76" t="s">
        <v>50</v>
      </c>
      <c r="G191" s="91">
        <f>540000+600000</f>
        <v>1140000</v>
      </c>
      <c r="H191" s="78">
        <v>1</v>
      </c>
      <c r="I191" s="96">
        <f t="shared" si="18"/>
        <v>1140</v>
      </c>
    </row>
    <row r="192" spans="1:9" s="92" customFormat="1" x14ac:dyDescent="0.35">
      <c r="A192" s="97">
        <v>98111140</v>
      </c>
      <c r="B192" s="224" t="s">
        <v>125</v>
      </c>
      <c r="C192" s="224"/>
      <c r="D192" s="224"/>
      <c r="E192" s="76" t="s">
        <v>126</v>
      </c>
      <c r="F192" s="76" t="s">
        <v>50</v>
      </c>
      <c r="G192" s="91">
        <v>865005.6</v>
      </c>
      <c r="H192" s="78">
        <v>1</v>
      </c>
      <c r="I192" s="96">
        <f>H192*G192/1000</f>
        <v>865.00559999999996</v>
      </c>
    </row>
    <row r="193" spans="1:9" s="92" customFormat="1" x14ac:dyDescent="0.35">
      <c r="A193" s="97" t="s">
        <v>363</v>
      </c>
      <c r="B193" s="224" t="s">
        <v>125</v>
      </c>
      <c r="C193" s="224"/>
      <c r="D193" s="224"/>
      <c r="E193" s="76" t="s">
        <v>126</v>
      </c>
      <c r="F193" s="76" t="s">
        <v>50</v>
      </c>
      <c r="G193" s="91">
        <f>552000+688490</f>
        <v>1240490</v>
      </c>
      <c r="H193" s="78">
        <v>1</v>
      </c>
      <c r="I193" s="96">
        <f>H193*G193/1000</f>
        <v>1240.49</v>
      </c>
    </row>
    <row r="194" spans="1:9" s="92" customFormat="1" x14ac:dyDescent="0.35">
      <c r="A194" s="97" t="s">
        <v>364</v>
      </c>
      <c r="B194" s="224" t="s">
        <v>125</v>
      </c>
      <c r="C194" s="224"/>
      <c r="D194" s="224"/>
      <c r="E194" s="76" t="s">
        <v>126</v>
      </c>
      <c r="F194" s="76" t="s">
        <v>50</v>
      </c>
      <c r="G194" s="91">
        <f>966840+480000</f>
        <v>1446840</v>
      </c>
      <c r="H194" s="78">
        <v>1</v>
      </c>
      <c r="I194" s="96">
        <f>H194*G194/1000</f>
        <v>1446.84</v>
      </c>
    </row>
    <row r="195" spans="1:9" s="92" customFormat="1" x14ac:dyDescent="0.35">
      <c r="A195" s="97" t="s">
        <v>365</v>
      </c>
      <c r="B195" s="224" t="s">
        <v>125</v>
      </c>
      <c r="C195" s="224"/>
      <c r="D195" s="224"/>
      <c r="E195" s="76" t="s">
        <v>126</v>
      </c>
      <c r="F195" s="76" t="s">
        <v>50</v>
      </c>
      <c r="G195" s="91">
        <f>420000+480000</f>
        <v>900000</v>
      </c>
      <c r="H195" s="78">
        <v>1</v>
      </c>
      <c r="I195" s="96">
        <f t="shared" ref="I195:I204" si="19">H195*G195/1000</f>
        <v>900</v>
      </c>
    </row>
    <row r="196" spans="1:9" s="92" customFormat="1" x14ac:dyDescent="0.35">
      <c r="A196" s="97" t="s">
        <v>366</v>
      </c>
      <c r="B196" s="224" t="s">
        <v>125</v>
      </c>
      <c r="C196" s="224"/>
      <c r="D196" s="224"/>
      <c r="E196" s="76" t="s">
        <v>126</v>
      </c>
      <c r="F196" s="76" t="s">
        <v>50</v>
      </c>
      <c r="G196" s="91">
        <f>600000+420000</f>
        <v>1020000</v>
      </c>
      <c r="H196" s="78">
        <v>1</v>
      </c>
      <c r="I196" s="96">
        <f t="shared" si="19"/>
        <v>1020</v>
      </c>
    </row>
    <row r="197" spans="1:9" s="92" customFormat="1" x14ac:dyDescent="0.35">
      <c r="A197" s="97" t="s">
        <v>367</v>
      </c>
      <c r="B197" s="224" t="s">
        <v>125</v>
      </c>
      <c r="C197" s="224"/>
      <c r="D197" s="224"/>
      <c r="E197" s="76" t="s">
        <v>126</v>
      </c>
      <c r="F197" s="76" t="s">
        <v>50</v>
      </c>
      <c r="G197" s="91">
        <f>360000+480000</f>
        <v>840000</v>
      </c>
      <c r="H197" s="78">
        <v>1</v>
      </c>
      <c r="I197" s="96">
        <f t="shared" si="19"/>
        <v>840</v>
      </c>
    </row>
    <row r="198" spans="1:9" s="92" customFormat="1" x14ac:dyDescent="0.35">
      <c r="A198" s="97" t="s">
        <v>368</v>
      </c>
      <c r="B198" s="224" t="s">
        <v>125</v>
      </c>
      <c r="C198" s="224"/>
      <c r="D198" s="224"/>
      <c r="E198" s="76" t="s">
        <v>126</v>
      </c>
      <c r="F198" s="76" t="s">
        <v>50</v>
      </c>
      <c r="G198" s="91">
        <f>360000+600000</f>
        <v>960000</v>
      </c>
      <c r="H198" s="78">
        <v>1</v>
      </c>
      <c r="I198" s="96">
        <f t="shared" si="19"/>
        <v>960</v>
      </c>
    </row>
    <row r="199" spans="1:9" s="92" customFormat="1" x14ac:dyDescent="0.35">
      <c r="A199" s="97" t="s">
        <v>369</v>
      </c>
      <c r="B199" s="224" t="s">
        <v>125</v>
      </c>
      <c r="C199" s="224"/>
      <c r="D199" s="224"/>
      <c r="E199" s="76" t="s">
        <v>126</v>
      </c>
      <c r="F199" s="76" t="s">
        <v>50</v>
      </c>
      <c r="G199" s="91">
        <f>252000+678870</f>
        <v>930870</v>
      </c>
      <c r="H199" s="78">
        <v>1</v>
      </c>
      <c r="I199" s="96">
        <f t="shared" si="19"/>
        <v>930.87</v>
      </c>
    </row>
    <row r="200" spans="1:9" s="92" customFormat="1" x14ac:dyDescent="0.35">
      <c r="A200" s="97">
        <v>98111140</v>
      </c>
      <c r="B200" s="224" t="s">
        <v>125</v>
      </c>
      <c r="C200" s="224"/>
      <c r="D200" s="224"/>
      <c r="E200" s="76" t="s">
        <v>126</v>
      </c>
      <c r="F200" s="76" t="s">
        <v>50</v>
      </c>
      <c r="G200" s="91">
        <v>438089</v>
      </c>
      <c r="H200" s="78">
        <v>1</v>
      </c>
      <c r="I200" s="96">
        <f>+ROUNDUP(H200*G200/1000,1)</f>
        <v>438.1</v>
      </c>
    </row>
    <row r="201" spans="1:9" s="92" customFormat="1" x14ac:dyDescent="0.35">
      <c r="A201" s="97">
        <v>98111140</v>
      </c>
      <c r="B201" s="224" t="s">
        <v>125</v>
      </c>
      <c r="C201" s="224"/>
      <c r="D201" s="224"/>
      <c r="E201" s="76" t="s">
        <v>126</v>
      </c>
      <c r="F201" s="76" t="s">
        <v>50</v>
      </c>
      <c r="G201" s="91">
        <v>488139</v>
      </c>
      <c r="H201" s="78">
        <v>1</v>
      </c>
      <c r="I201" s="96">
        <f t="shared" ref="I201:I202" si="20">+ROUNDUP(H201*G201/1000,1)</f>
        <v>488.20000000000005</v>
      </c>
    </row>
    <row r="202" spans="1:9" s="92" customFormat="1" x14ac:dyDescent="0.35">
      <c r="A202" s="97">
        <v>98111140</v>
      </c>
      <c r="B202" s="224" t="s">
        <v>125</v>
      </c>
      <c r="C202" s="224"/>
      <c r="D202" s="224"/>
      <c r="E202" s="76" t="s">
        <v>126</v>
      </c>
      <c r="F202" s="76" t="s">
        <v>50</v>
      </c>
      <c r="G202" s="91">
        <v>392533</v>
      </c>
      <c r="H202" s="78">
        <v>1</v>
      </c>
      <c r="I202" s="96">
        <f t="shared" si="20"/>
        <v>392.6</v>
      </c>
    </row>
    <row r="203" spans="1:9" s="92" customFormat="1" x14ac:dyDescent="0.35">
      <c r="A203" s="97">
        <v>98111140</v>
      </c>
      <c r="B203" s="224" t="s">
        <v>125</v>
      </c>
      <c r="C203" s="224"/>
      <c r="D203" s="224"/>
      <c r="E203" s="76" t="s">
        <v>126</v>
      </c>
      <c r="F203" s="76" t="s">
        <v>50</v>
      </c>
      <c r="G203" s="91">
        <v>60000</v>
      </c>
      <c r="H203" s="78">
        <v>1</v>
      </c>
      <c r="I203" s="96">
        <f t="shared" si="19"/>
        <v>60</v>
      </c>
    </row>
    <row r="204" spans="1:9" s="92" customFormat="1" x14ac:dyDescent="0.35">
      <c r="A204" s="97">
        <v>98111140</v>
      </c>
      <c r="B204" s="224" t="s">
        <v>125</v>
      </c>
      <c r="C204" s="224"/>
      <c r="D204" s="224"/>
      <c r="E204" s="76" t="s">
        <v>126</v>
      </c>
      <c r="F204" s="76" t="s">
        <v>50</v>
      </c>
      <c r="G204" s="91">
        <v>600000</v>
      </c>
      <c r="H204" s="78">
        <v>1</v>
      </c>
      <c r="I204" s="96">
        <f t="shared" si="19"/>
        <v>600</v>
      </c>
    </row>
    <row r="205" spans="1:9" s="92" customFormat="1" x14ac:dyDescent="0.35">
      <c r="A205" s="97" t="s">
        <v>376</v>
      </c>
      <c r="B205" s="224" t="s">
        <v>125</v>
      </c>
      <c r="C205" s="224"/>
      <c r="D205" s="224"/>
      <c r="E205" s="105" t="s">
        <v>126</v>
      </c>
      <c r="F205" s="76" t="s">
        <v>50</v>
      </c>
      <c r="G205" s="91">
        <f>600000+300000+300000</f>
        <v>1200000</v>
      </c>
      <c r="H205" s="78">
        <v>1</v>
      </c>
      <c r="I205" s="79">
        <f>+ROUNDUP(H205*G205/1000,1)</f>
        <v>1200</v>
      </c>
    </row>
    <row r="206" spans="1:9" s="92" customFormat="1" x14ac:dyDescent="0.35">
      <c r="A206" s="97" t="s">
        <v>370</v>
      </c>
      <c r="B206" s="224" t="s">
        <v>125</v>
      </c>
      <c r="C206" s="224"/>
      <c r="D206" s="224"/>
      <c r="E206" s="76" t="s">
        <v>126</v>
      </c>
      <c r="F206" s="76" t="s">
        <v>50</v>
      </c>
      <c r="G206" s="91">
        <f>480000+480000</f>
        <v>960000</v>
      </c>
      <c r="H206" s="78">
        <v>1</v>
      </c>
      <c r="I206" s="96">
        <f t="shared" ref="I206:I211" si="21">H206*G206/1000</f>
        <v>960</v>
      </c>
    </row>
    <row r="207" spans="1:9" s="92" customFormat="1" x14ac:dyDescent="0.35">
      <c r="A207" s="97" t="s">
        <v>371</v>
      </c>
      <c r="B207" s="224" t="s">
        <v>125</v>
      </c>
      <c r="C207" s="224"/>
      <c r="D207" s="224"/>
      <c r="E207" s="76" t="s">
        <v>126</v>
      </c>
      <c r="F207" s="76" t="s">
        <v>50</v>
      </c>
      <c r="G207" s="91">
        <f>300000+480000</f>
        <v>780000</v>
      </c>
      <c r="H207" s="78">
        <v>1</v>
      </c>
      <c r="I207" s="96">
        <f t="shared" si="21"/>
        <v>780</v>
      </c>
    </row>
    <row r="208" spans="1:9" s="92" customFormat="1" x14ac:dyDescent="0.35">
      <c r="A208" s="97" t="s">
        <v>372</v>
      </c>
      <c r="B208" s="224" t="s">
        <v>125</v>
      </c>
      <c r="C208" s="224"/>
      <c r="D208" s="224"/>
      <c r="E208" s="76" t="s">
        <v>126</v>
      </c>
      <c r="F208" s="76" t="s">
        <v>50</v>
      </c>
      <c r="G208" s="91">
        <f>180000+540000</f>
        <v>720000</v>
      </c>
      <c r="H208" s="78">
        <v>1</v>
      </c>
      <c r="I208" s="96">
        <f t="shared" si="21"/>
        <v>720</v>
      </c>
    </row>
    <row r="209" spans="1:9" s="92" customFormat="1" x14ac:dyDescent="0.35">
      <c r="A209" s="97" t="s">
        <v>373</v>
      </c>
      <c r="B209" s="224" t="s">
        <v>125</v>
      </c>
      <c r="C209" s="224"/>
      <c r="D209" s="224"/>
      <c r="E209" s="76" t="s">
        <v>126</v>
      </c>
      <c r="F209" s="76" t="s">
        <v>50</v>
      </c>
      <c r="G209" s="91">
        <f>150000+450000</f>
        <v>600000</v>
      </c>
      <c r="H209" s="78">
        <v>1</v>
      </c>
      <c r="I209" s="96">
        <f t="shared" si="21"/>
        <v>600</v>
      </c>
    </row>
    <row r="210" spans="1:9" s="92" customFormat="1" x14ac:dyDescent="0.35">
      <c r="A210" s="97" t="s">
        <v>374</v>
      </c>
      <c r="B210" s="224" t="s">
        <v>125</v>
      </c>
      <c r="C210" s="224"/>
      <c r="D210" s="224"/>
      <c r="E210" s="76" t="s">
        <v>126</v>
      </c>
      <c r="F210" s="76" t="s">
        <v>50</v>
      </c>
      <c r="G210" s="91">
        <f>210000+450000</f>
        <v>660000</v>
      </c>
      <c r="H210" s="78">
        <v>1</v>
      </c>
      <c r="I210" s="96">
        <f t="shared" si="21"/>
        <v>660</v>
      </c>
    </row>
    <row r="211" spans="1:9" s="92" customFormat="1" x14ac:dyDescent="0.35">
      <c r="A211" s="97" t="s">
        <v>375</v>
      </c>
      <c r="B211" s="224" t="s">
        <v>125</v>
      </c>
      <c r="C211" s="224"/>
      <c r="D211" s="224"/>
      <c r="E211" s="76" t="s">
        <v>126</v>
      </c>
      <c r="F211" s="76" t="s">
        <v>50</v>
      </c>
      <c r="G211" s="91">
        <f>180000+480000</f>
        <v>660000</v>
      </c>
      <c r="H211" s="78">
        <v>1</v>
      </c>
      <c r="I211" s="96">
        <f t="shared" si="21"/>
        <v>660</v>
      </c>
    </row>
    <row r="212" spans="1:9" s="92" customFormat="1" x14ac:dyDescent="0.35">
      <c r="A212" s="97">
        <v>98111140</v>
      </c>
      <c r="B212" s="224" t="s">
        <v>125</v>
      </c>
      <c r="C212" s="224"/>
      <c r="D212" s="224"/>
      <c r="E212" s="76" t="s">
        <v>126</v>
      </c>
      <c r="F212" s="76" t="s">
        <v>50</v>
      </c>
      <c r="G212" s="91">
        <v>330005</v>
      </c>
      <c r="H212" s="78">
        <v>1</v>
      </c>
      <c r="I212" s="96">
        <f t="shared" ref="I212:I213" si="22">+ROUNDUP(H212*G212/1000,1)</f>
        <v>330.1</v>
      </c>
    </row>
    <row r="213" spans="1:9" s="92" customFormat="1" x14ac:dyDescent="0.35">
      <c r="A213" s="97">
        <v>98111140</v>
      </c>
      <c r="B213" s="224" t="s">
        <v>125</v>
      </c>
      <c r="C213" s="224"/>
      <c r="D213" s="224"/>
      <c r="E213" s="76" t="s">
        <v>126</v>
      </c>
      <c r="F213" s="76" t="s">
        <v>50</v>
      </c>
      <c r="G213" s="91">
        <v>251697</v>
      </c>
      <c r="H213" s="78">
        <v>1</v>
      </c>
      <c r="I213" s="96">
        <f t="shared" si="22"/>
        <v>251.7</v>
      </c>
    </row>
    <row r="214" spans="1:9" s="92" customFormat="1" x14ac:dyDescent="0.35">
      <c r="A214" s="97" t="s">
        <v>389</v>
      </c>
      <c r="B214" s="224" t="s">
        <v>125</v>
      </c>
      <c r="C214" s="224"/>
      <c r="D214" s="224"/>
      <c r="E214" s="105" t="s">
        <v>126</v>
      </c>
      <c r="F214" s="76" t="s">
        <v>50</v>
      </c>
      <c r="G214" s="91">
        <f>660000+180000</f>
        <v>840000</v>
      </c>
      <c r="H214" s="78">
        <v>1</v>
      </c>
      <c r="I214" s="79">
        <f t="shared" ref="I214" si="23">+ROUNDUP(H214*G214/1000,1)</f>
        <v>840</v>
      </c>
    </row>
    <row r="215" spans="1:9" s="92" customFormat="1" x14ac:dyDescent="0.35">
      <c r="A215" s="97" t="s">
        <v>377</v>
      </c>
      <c r="B215" s="234" t="s">
        <v>125</v>
      </c>
      <c r="C215" s="235"/>
      <c r="D215" s="236"/>
      <c r="E215" s="76" t="s">
        <v>126</v>
      </c>
      <c r="F215" s="76" t="s">
        <v>50</v>
      </c>
      <c r="G215" s="91">
        <f>480000+1102200</f>
        <v>1582200</v>
      </c>
      <c r="H215" s="78">
        <v>1</v>
      </c>
      <c r="I215" s="96">
        <f t="shared" ref="I215:I267" si="24">H215*G215/1000</f>
        <v>1582.2</v>
      </c>
    </row>
    <row r="216" spans="1:9" s="92" customFormat="1" x14ac:dyDescent="0.35">
      <c r="A216" s="97">
        <v>98111140</v>
      </c>
      <c r="B216" s="234" t="s">
        <v>125</v>
      </c>
      <c r="C216" s="235"/>
      <c r="D216" s="236"/>
      <c r="E216" s="76" t="s">
        <v>126</v>
      </c>
      <c r="F216" s="76" t="s">
        <v>50</v>
      </c>
      <c r="G216" s="91">
        <v>475877.4</v>
      </c>
      <c r="H216" s="78">
        <v>1</v>
      </c>
      <c r="I216" s="96">
        <f t="shared" si="24"/>
        <v>475.87740000000002</v>
      </c>
    </row>
    <row r="217" spans="1:9" s="92" customFormat="1" x14ac:dyDescent="0.35">
      <c r="A217" s="97">
        <v>98111140</v>
      </c>
      <c r="B217" s="234" t="s">
        <v>125</v>
      </c>
      <c r="C217" s="235"/>
      <c r="D217" s="236"/>
      <c r="E217" s="76" t="s">
        <v>126</v>
      </c>
      <c r="F217" s="76" t="s">
        <v>50</v>
      </c>
      <c r="G217" s="91">
        <v>540000</v>
      </c>
      <c r="H217" s="78">
        <v>1</v>
      </c>
      <c r="I217" s="96">
        <f t="shared" si="24"/>
        <v>540</v>
      </c>
    </row>
    <row r="218" spans="1:9" s="92" customFormat="1" x14ac:dyDescent="0.35">
      <c r="A218" s="97">
        <v>98111140</v>
      </c>
      <c r="B218" s="234" t="s">
        <v>125</v>
      </c>
      <c r="C218" s="235"/>
      <c r="D218" s="236"/>
      <c r="E218" s="76" t="s">
        <v>126</v>
      </c>
      <c r="F218" s="76" t="s">
        <v>50</v>
      </c>
      <c r="G218" s="91">
        <v>497702.40000000002</v>
      </c>
      <c r="H218" s="78">
        <v>1</v>
      </c>
      <c r="I218" s="96">
        <f t="shared" si="24"/>
        <v>497.70240000000001</v>
      </c>
    </row>
    <row r="219" spans="1:9" s="92" customFormat="1" x14ac:dyDescent="0.35">
      <c r="A219" s="97">
        <v>98111140</v>
      </c>
      <c r="B219" s="234" t="s">
        <v>125</v>
      </c>
      <c r="C219" s="235"/>
      <c r="D219" s="236"/>
      <c r="E219" s="76" t="s">
        <v>126</v>
      </c>
      <c r="F219" s="76" t="s">
        <v>50</v>
      </c>
      <c r="G219" s="91">
        <f>300000+210014</f>
        <v>510014</v>
      </c>
      <c r="H219" s="78">
        <v>1</v>
      </c>
      <c r="I219" s="96">
        <f t="shared" si="24"/>
        <v>510.01400000000001</v>
      </c>
    </row>
    <row r="220" spans="1:9" s="92" customFormat="1" x14ac:dyDescent="0.35">
      <c r="A220" s="97">
        <v>98111140</v>
      </c>
      <c r="B220" s="234" t="s">
        <v>125</v>
      </c>
      <c r="C220" s="235"/>
      <c r="D220" s="236"/>
      <c r="E220" s="76" t="s">
        <v>126</v>
      </c>
      <c r="F220" s="76" t="s">
        <v>50</v>
      </c>
      <c r="G220" s="91">
        <v>491743.8</v>
      </c>
      <c r="H220" s="78">
        <v>1</v>
      </c>
      <c r="I220" s="96">
        <f t="shared" si="24"/>
        <v>491.74379999999996</v>
      </c>
    </row>
    <row r="221" spans="1:9" s="92" customFormat="1" x14ac:dyDescent="0.35">
      <c r="A221" s="97">
        <v>98111140</v>
      </c>
      <c r="B221" s="234" t="s">
        <v>125</v>
      </c>
      <c r="C221" s="235"/>
      <c r="D221" s="236"/>
      <c r="E221" s="76" t="s">
        <v>126</v>
      </c>
      <c r="F221" s="76" t="s">
        <v>50</v>
      </c>
      <c r="G221" s="91">
        <f>720000+543500</f>
        <v>1263500</v>
      </c>
      <c r="H221" s="78">
        <v>1</v>
      </c>
      <c r="I221" s="96">
        <f t="shared" si="24"/>
        <v>1263.5</v>
      </c>
    </row>
    <row r="222" spans="1:9" s="92" customFormat="1" x14ac:dyDescent="0.35">
      <c r="A222" s="97" t="s">
        <v>378</v>
      </c>
      <c r="B222" s="234" t="s">
        <v>125</v>
      </c>
      <c r="C222" s="235"/>
      <c r="D222" s="236"/>
      <c r="E222" s="76" t="s">
        <v>126</v>
      </c>
      <c r="F222" s="76" t="s">
        <v>50</v>
      </c>
      <c r="G222" s="91">
        <f>120000+1500000</f>
        <v>1620000</v>
      </c>
      <c r="H222" s="78">
        <v>1</v>
      </c>
      <c r="I222" s="96">
        <f t="shared" si="24"/>
        <v>1620</v>
      </c>
    </row>
    <row r="223" spans="1:9" s="92" customFormat="1" x14ac:dyDescent="0.35">
      <c r="A223" s="97" t="s">
        <v>379</v>
      </c>
      <c r="B223" s="234" t="s">
        <v>125</v>
      </c>
      <c r="C223" s="235"/>
      <c r="D223" s="236"/>
      <c r="E223" s="76" t="s">
        <v>126</v>
      </c>
      <c r="F223" s="76" t="s">
        <v>50</v>
      </c>
      <c r="G223" s="91">
        <f>222000+539314</f>
        <v>761314</v>
      </c>
      <c r="H223" s="78">
        <v>1</v>
      </c>
      <c r="I223" s="96">
        <f t="shared" si="24"/>
        <v>761.31399999999996</v>
      </c>
    </row>
    <row r="224" spans="1:9" s="92" customFormat="1" x14ac:dyDescent="0.35">
      <c r="A224" s="97" t="s">
        <v>380</v>
      </c>
      <c r="B224" s="234" t="s">
        <v>125</v>
      </c>
      <c r="C224" s="235"/>
      <c r="D224" s="236"/>
      <c r="E224" s="76" t="s">
        <v>126</v>
      </c>
      <c r="F224" s="76" t="s">
        <v>50</v>
      </c>
      <c r="G224" s="91">
        <f>480000+1201776</f>
        <v>1681776</v>
      </c>
      <c r="H224" s="78">
        <v>1</v>
      </c>
      <c r="I224" s="96">
        <f t="shared" si="24"/>
        <v>1681.7760000000001</v>
      </c>
    </row>
    <row r="225" spans="1:9" s="92" customFormat="1" x14ac:dyDescent="0.35">
      <c r="A225" s="97" t="s">
        <v>381</v>
      </c>
      <c r="B225" s="234" t="s">
        <v>125</v>
      </c>
      <c r="C225" s="235"/>
      <c r="D225" s="236"/>
      <c r="E225" s="76" t="s">
        <v>126</v>
      </c>
      <c r="F225" s="76" t="s">
        <v>50</v>
      </c>
      <c r="G225" s="91">
        <f>126000+1274839.2</f>
        <v>1400839.2</v>
      </c>
      <c r="H225" s="78">
        <v>1</v>
      </c>
      <c r="I225" s="96">
        <f t="shared" si="24"/>
        <v>1400.8391999999999</v>
      </c>
    </row>
    <row r="226" spans="1:9" s="92" customFormat="1" x14ac:dyDescent="0.35">
      <c r="A226" s="97" t="s">
        <v>382</v>
      </c>
      <c r="B226" s="234" t="s">
        <v>125</v>
      </c>
      <c r="C226" s="235"/>
      <c r="D226" s="236"/>
      <c r="E226" s="76" t="s">
        <v>126</v>
      </c>
      <c r="F226" s="76" t="s">
        <v>50</v>
      </c>
      <c r="G226" s="91">
        <f>192000+915000</f>
        <v>1107000</v>
      </c>
      <c r="H226" s="78">
        <v>1</v>
      </c>
      <c r="I226" s="96">
        <f t="shared" si="24"/>
        <v>1107</v>
      </c>
    </row>
    <row r="227" spans="1:9" s="92" customFormat="1" x14ac:dyDescent="0.35">
      <c r="A227" s="97" t="s">
        <v>383</v>
      </c>
      <c r="B227" s="234" t="s">
        <v>125</v>
      </c>
      <c r="C227" s="235"/>
      <c r="D227" s="236"/>
      <c r="E227" s="76" t="s">
        <v>126</v>
      </c>
      <c r="F227" s="76" t="s">
        <v>50</v>
      </c>
      <c r="G227" s="91">
        <f>420000+949997</f>
        <v>1369997</v>
      </c>
      <c r="H227" s="78">
        <v>1</v>
      </c>
      <c r="I227" s="96">
        <f t="shared" si="24"/>
        <v>1369.9970000000001</v>
      </c>
    </row>
    <row r="228" spans="1:9" s="92" customFormat="1" x14ac:dyDescent="0.35">
      <c r="A228" s="97" t="s">
        <v>384</v>
      </c>
      <c r="B228" s="234" t="s">
        <v>125</v>
      </c>
      <c r="C228" s="235"/>
      <c r="D228" s="236"/>
      <c r="E228" s="76" t="s">
        <v>126</v>
      </c>
      <c r="F228" s="76" t="s">
        <v>50</v>
      </c>
      <c r="G228" s="91">
        <f>180000+561600</f>
        <v>741600</v>
      </c>
      <c r="H228" s="78">
        <v>1</v>
      </c>
      <c r="I228" s="96">
        <f t="shared" si="24"/>
        <v>741.6</v>
      </c>
    </row>
    <row r="229" spans="1:9" s="92" customFormat="1" x14ac:dyDescent="0.35">
      <c r="A229" s="97" t="s">
        <v>385</v>
      </c>
      <c r="B229" s="234" t="s">
        <v>125</v>
      </c>
      <c r="C229" s="235"/>
      <c r="D229" s="236"/>
      <c r="E229" s="76" t="s">
        <v>126</v>
      </c>
      <c r="F229" s="76" t="s">
        <v>50</v>
      </c>
      <c r="G229" s="91">
        <f>300000+880800</f>
        <v>1180800</v>
      </c>
      <c r="H229" s="78">
        <v>1</v>
      </c>
      <c r="I229" s="96">
        <f t="shared" si="24"/>
        <v>1180.8</v>
      </c>
    </row>
    <row r="230" spans="1:9" s="92" customFormat="1" x14ac:dyDescent="0.35">
      <c r="A230" s="97" t="s">
        <v>386</v>
      </c>
      <c r="B230" s="234" t="s">
        <v>125</v>
      </c>
      <c r="C230" s="235"/>
      <c r="D230" s="236"/>
      <c r="E230" s="76" t="s">
        <v>126</v>
      </c>
      <c r="F230" s="76" t="s">
        <v>50</v>
      </c>
      <c r="G230" s="91">
        <f>420000+1121880</f>
        <v>1541880</v>
      </c>
      <c r="H230" s="78">
        <v>1</v>
      </c>
      <c r="I230" s="96">
        <f t="shared" si="24"/>
        <v>1541.88</v>
      </c>
    </row>
    <row r="231" spans="1:9" s="92" customFormat="1" x14ac:dyDescent="0.35">
      <c r="A231" s="97" t="s">
        <v>387</v>
      </c>
      <c r="B231" s="234" t="s">
        <v>125</v>
      </c>
      <c r="C231" s="235"/>
      <c r="D231" s="236"/>
      <c r="E231" s="76" t="s">
        <v>126</v>
      </c>
      <c r="F231" s="76" t="s">
        <v>50</v>
      </c>
      <c r="G231" s="91">
        <f>180000+713333</f>
        <v>893333</v>
      </c>
      <c r="H231" s="78">
        <v>1</v>
      </c>
      <c r="I231" s="96">
        <f t="shared" si="24"/>
        <v>893.33299999999997</v>
      </c>
    </row>
    <row r="232" spans="1:9" s="92" customFormat="1" x14ac:dyDescent="0.35">
      <c r="A232" s="97" t="s">
        <v>388</v>
      </c>
      <c r="B232" s="234" t="s">
        <v>125</v>
      </c>
      <c r="C232" s="235"/>
      <c r="D232" s="236"/>
      <c r="E232" s="76" t="s">
        <v>126</v>
      </c>
      <c r="F232" s="76" t="s">
        <v>50</v>
      </c>
      <c r="G232" s="91">
        <f>300000+900000</f>
        <v>1200000</v>
      </c>
      <c r="H232" s="78">
        <v>1</v>
      </c>
      <c r="I232" s="96">
        <f t="shared" si="24"/>
        <v>1200</v>
      </c>
    </row>
    <row r="233" spans="1:9" s="92" customFormat="1" x14ac:dyDescent="0.35">
      <c r="A233" s="97">
        <v>98111140</v>
      </c>
      <c r="B233" s="224" t="s">
        <v>125</v>
      </c>
      <c r="C233" s="224"/>
      <c r="D233" s="224"/>
      <c r="E233" s="76" t="s">
        <v>126</v>
      </c>
      <c r="F233" s="76" t="s">
        <v>50</v>
      </c>
      <c r="G233" s="91">
        <v>351570</v>
      </c>
      <c r="H233" s="78">
        <v>1</v>
      </c>
      <c r="I233" s="96">
        <f t="shared" ref="I233:I234" si="25">+ROUNDUP(H233*G233/1000,1)</f>
        <v>351.6</v>
      </c>
    </row>
    <row r="234" spans="1:9" s="92" customFormat="1" x14ac:dyDescent="0.35">
      <c r="A234" s="97">
        <v>98111140</v>
      </c>
      <c r="B234" s="224" t="s">
        <v>125</v>
      </c>
      <c r="C234" s="224"/>
      <c r="D234" s="224"/>
      <c r="E234" s="76" t="s">
        <v>126</v>
      </c>
      <c r="F234" s="76" t="s">
        <v>50</v>
      </c>
      <c r="G234" s="91">
        <v>385900</v>
      </c>
      <c r="H234" s="78">
        <v>1</v>
      </c>
      <c r="I234" s="96">
        <f t="shared" si="25"/>
        <v>385.9</v>
      </c>
    </row>
    <row r="235" spans="1:9" s="92" customFormat="1" x14ac:dyDescent="0.35">
      <c r="A235" s="97">
        <v>98111140</v>
      </c>
      <c r="B235" s="224" t="s">
        <v>125</v>
      </c>
      <c r="C235" s="224"/>
      <c r="D235" s="224"/>
      <c r="E235" s="76" t="s">
        <v>126</v>
      </c>
      <c r="F235" s="76" t="s">
        <v>50</v>
      </c>
      <c r="G235" s="91">
        <v>470282.4</v>
      </c>
      <c r="H235" s="78">
        <v>1</v>
      </c>
      <c r="I235" s="96">
        <f t="shared" si="24"/>
        <v>470.2824</v>
      </c>
    </row>
    <row r="236" spans="1:9" s="92" customFormat="1" x14ac:dyDescent="0.35">
      <c r="A236" s="97" t="s">
        <v>390</v>
      </c>
      <c r="B236" s="224" t="s">
        <v>125</v>
      </c>
      <c r="C236" s="224"/>
      <c r="D236" s="224"/>
      <c r="E236" s="76" t="s">
        <v>126</v>
      </c>
      <c r="F236" s="76" t="s">
        <v>50</v>
      </c>
      <c r="G236" s="91">
        <f>300000+780000</f>
        <v>1080000</v>
      </c>
      <c r="H236" s="78">
        <v>1</v>
      </c>
      <c r="I236" s="96">
        <f t="shared" si="24"/>
        <v>1080</v>
      </c>
    </row>
    <row r="237" spans="1:9" s="92" customFormat="1" x14ac:dyDescent="0.35">
      <c r="A237" s="97" t="s">
        <v>391</v>
      </c>
      <c r="B237" s="224" t="s">
        <v>125</v>
      </c>
      <c r="C237" s="224"/>
      <c r="D237" s="224"/>
      <c r="E237" s="76" t="s">
        <v>126</v>
      </c>
      <c r="F237" s="76" t="s">
        <v>50</v>
      </c>
      <c r="G237" s="91">
        <f>210000+570000</f>
        <v>780000</v>
      </c>
      <c r="H237" s="78">
        <v>1</v>
      </c>
      <c r="I237" s="96">
        <f t="shared" si="24"/>
        <v>780</v>
      </c>
    </row>
    <row r="238" spans="1:9" s="92" customFormat="1" x14ac:dyDescent="0.35">
      <c r="A238" s="97" t="s">
        <v>392</v>
      </c>
      <c r="B238" s="224" t="s">
        <v>125</v>
      </c>
      <c r="C238" s="224"/>
      <c r="D238" s="224"/>
      <c r="E238" s="76" t="s">
        <v>126</v>
      </c>
      <c r="F238" s="76" t="s">
        <v>50</v>
      </c>
      <c r="G238" s="91">
        <f>210000+926326.32</f>
        <v>1136326.3199999998</v>
      </c>
      <c r="H238" s="78">
        <v>1</v>
      </c>
      <c r="I238" s="96">
        <f t="shared" si="24"/>
        <v>1136.3263199999999</v>
      </c>
    </row>
    <row r="239" spans="1:9" s="92" customFormat="1" x14ac:dyDescent="0.35">
      <c r="A239" s="97">
        <v>98111140</v>
      </c>
      <c r="B239" s="224" t="s">
        <v>125</v>
      </c>
      <c r="C239" s="224"/>
      <c r="D239" s="224"/>
      <c r="E239" s="76" t="s">
        <v>126</v>
      </c>
      <c r="F239" s="76" t="s">
        <v>50</v>
      </c>
      <c r="G239" s="91">
        <v>471365</v>
      </c>
      <c r="H239" s="78">
        <v>1</v>
      </c>
      <c r="I239" s="96">
        <f t="shared" ref="I239:I242" si="26">+ROUNDUP(H239*G239/1000,1)</f>
        <v>471.40000000000003</v>
      </c>
    </row>
    <row r="240" spans="1:9" s="92" customFormat="1" x14ac:dyDescent="0.35">
      <c r="A240" s="97">
        <v>98111140</v>
      </c>
      <c r="B240" s="224" t="s">
        <v>125</v>
      </c>
      <c r="C240" s="224"/>
      <c r="D240" s="224"/>
      <c r="E240" s="76" t="s">
        <v>126</v>
      </c>
      <c r="F240" s="76" t="s">
        <v>50</v>
      </c>
      <c r="G240" s="91">
        <v>361397</v>
      </c>
      <c r="H240" s="78">
        <v>1</v>
      </c>
      <c r="I240" s="96">
        <f t="shared" si="26"/>
        <v>361.40000000000003</v>
      </c>
    </row>
    <row r="241" spans="1:9" s="92" customFormat="1" x14ac:dyDescent="0.35">
      <c r="A241" s="97">
        <v>98111140</v>
      </c>
      <c r="B241" s="224" t="s">
        <v>125</v>
      </c>
      <c r="C241" s="224"/>
      <c r="D241" s="224"/>
      <c r="E241" s="76" t="s">
        <v>126</v>
      </c>
      <c r="F241" s="76" t="s">
        <v>50</v>
      </c>
      <c r="G241" s="91">
        <v>580297</v>
      </c>
      <c r="H241" s="78">
        <v>1</v>
      </c>
      <c r="I241" s="96">
        <f t="shared" si="26"/>
        <v>580.30000000000007</v>
      </c>
    </row>
    <row r="242" spans="1:9" s="92" customFormat="1" x14ac:dyDescent="0.35">
      <c r="A242" s="97">
        <v>98111140</v>
      </c>
      <c r="B242" s="224" t="s">
        <v>125</v>
      </c>
      <c r="C242" s="224"/>
      <c r="D242" s="224"/>
      <c r="E242" s="76" t="s">
        <v>126</v>
      </c>
      <c r="F242" s="76" t="s">
        <v>50</v>
      </c>
      <c r="G242" s="91">
        <v>214859</v>
      </c>
      <c r="H242" s="78">
        <v>1</v>
      </c>
      <c r="I242" s="96">
        <f t="shared" si="26"/>
        <v>214.9</v>
      </c>
    </row>
    <row r="243" spans="1:9" s="92" customFormat="1" x14ac:dyDescent="0.35">
      <c r="A243" s="97" t="s">
        <v>393</v>
      </c>
      <c r="B243" s="224" t="s">
        <v>125</v>
      </c>
      <c r="C243" s="224"/>
      <c r="D243" s="224"/>
      <c r="E243" s="76" t="s">
        <v>126</v>
      </c>
      <c r="F243" s="76" t="s">
        <v>50</v>
      </c>
      <c r="G243" s="91">
        <f>300000+360000</f>
        <v>660000</v>
      </c>
      <c r="H243" s="78">
        <v>1</v>
      </c>
      <c r="I243" s="96">
        <f t="shared" si="24"/>
        <v>660</v>
      </c>
    </row>
    <row r="244" spans="1:9" s="92" customFormat="1" x14ac:dyDescent="0.35">
      <c r="A244" s="97" t="s">
        <v>394</v>
      </c>
      <c r="B244" s="224" t="s">
        <v>125</v>
      </c>
      <c r="C244" s="224"/>
      <c r="D244" s="224"/>
      <c r="E244" s="76" t="s">
        <v>126</v>
      </c>
      <c r="F244" s="76" t="s">
        <v>50</v>
      </c>
      <c r="G244" s="91">
        <f>600000+76476</f>
        <v>676476</v>
      </c>
      <c r="H244" s="78">
        <v>1</v>
      </c>
      <c r="I244" s="96">
        <f t="shared" si="24"/>
        <v>676.476</v>
      </c>
    </row>
    <row r="245" spans="1:9" s="92" customFormat="1" x14ac:dyDescent="0.35">
      <c r="A245" s="97" t="s">
        <v>395</v>
      </c>
      <c r="B245" s="224" t="s">
        <v>125</v>
      </c>
      <c r="C245" s="224"/>
      <c r="D245" s="224"/>
      <c r="E245" s="76" t="s">
        <v>126</v>
      </c>
      <c r="F245" s="76" t="s">
        <v>50</v>
      </c>
      <c r="G245" s="91">
        <v>120000</v>
      </c>
      <c r="H245" s="78">
        <v>1</v>
      </c>
      <c r="I245" s="96">
        <f t="shared" ref="I245" si="27">H245*G245/1000</f>
        <v>120</v>
      </c>
    </row>
    <row r="246" spans="1:9" s="92" customFormat="1" x14ac:dyDescent="0.35">
      <c r="A246" s="97">
        <v>98111140</v>
      </c>
      <c r="B246" s="224" t="s">
        <v>125</v>
      </c>
      <c r="C246" s="224"/>
      <c r="D246" s="224"/>
      <c r="E246" s="76" t="s">
        <v>126</v>
      </c>
      <c r="F246" s="76" t="s">
        <v>50</v>
      </c>
      <c r="G246" s="91">
        <v>306208.2</v>
      </c>
      <c r="H246" s="78">
        <v>1</v>
      </c>
      <c r="I246" s="96">
        <f t="shared" si="24"/>
        <v>306.20820000000003</v>
      </c>
    </row>
    <row r="247" spans="1:9" s="92" customFormat="1" x14ac:dyDescent="0.35">
      <c r="A247" s="97" t="s">
        <v>396</v>
      </c>
      <c r="B247" s="224" t="s">
        <v>125</v>
      </c>
      <c r="C247" s="224"/>
      <c r="D247" s="224"/>
      <c r="E247" s="76" t="s">
        <v>126</v>
      </c>
      <c r="F247" s="76" t="s">
        <v>50</v>
      </c>
      <c r="G247" s="91">
        <f>480000+455037</f>
        <v>935037</v>
      </c>
      <c r="H247" s="78">
        <v>1</v>
      </c>
      <c r="I247" s="96">
        <f t="shared" si="24"/>
        <v>935.03700000000003</v>
      </c>
    </row>
    <row r="248" spans="1:9" s="92" customFormat="1" x14ac:dyDescent="0.35">
      <c r="A248" s="97" t="s">
        <v>397</v>
      </c>
      <c r="B248" s="224" t="s">
        <v>125</v>
      </c>
      <c r="C248" s="224"/>
      <c r="D248" s="224"/>
      <c r="E248" s="76" t="s">
        <v>126</v>
      </c>
      <c r="F248" s="76" t="s">
        <v>50</v>
      </c>
      <c r="G248" s="91">
        <f>360000+245458</f>
        <v>605458</v>
      </c>
      <c r="H248" s="78">
        <v>1</v>
      </c>
      <c r="I248" s="96">
        <f t="shared" si="24"/>
        <v>605.45799999999997</v>
      </c>
    </row>
    <row r="249" spans="1:9" s="92" customFormat="1" x14ac:dyDescent="0.35">
      <c r="A249" s="97">
        <v>98111140</v>
      </c>
      <c r="B249" s="224" t="s">
        <v>125</v>
      </c>
      <c r="C249" s="224"/>
      <c r="D249" s="224"/>
      <c r="E249" s="76" t="s">
        <v>126</v>
      </c>
      <c r="F249" s="76" t="s">
        <v>50</v>
      </c>
      <c r="G249" s="91">
        <v>298125</v>
      </c>
      <c r="H249" s="78">
        <v>1</v>
      </c>
      <c r="I249" s="96">
        <f t="shared" si="24"/>
        <v>298.125</v>
      </c>
    </row>
    <row r="250" spans="1:9" s="92" customFormat="1" x14ac:dyDescent="0.35">
      <c r="A250" s="97">
        <v>98111140</v>
      </c>
      <c r="B250" s="224" t="s">
        <v>125</v>
      </c>
      <c r="C250" s="224"/>
      <c r="D250" s="224"/>
      <c r="E250" s="76" t="s">
        <v>126</v>
      </c>
      <c r="F250" s="76" t="s">
        <v>50</v>
      </c>
      <c r="G250" s="91">
        <v>141564.6</v>
      </c>
      <c r="H250" s="78">
        <v>1</v>
      </c>
      <c r="I250" s="96">
        <f t="shared" si="24"/>
        <v>141.56460000000001</v>
      </c>
    </row>
    <row r="251" spans="1:9" s="92" customFormat="1" x14ac:dyDescent="0.35">
      <c r="A251" s="97" t="s">
        <v>398</v>
      </c>
      <c r="B251" s="224" t="s">
        <v>125</v>
      </c>
      <c r="C251" s="224"/>
      <c r="D251" s="224"/>
      <c r="E251" s="76" t="s">
        <v>126</v>
      </c>
      <c r="F251" s="76" t="s">
        <v>50</v>
      </c>
      <c r="G251" s="91">
        <f>242752.8+349327</f>
        <v>592079.80000000005</v>
      </c>
      <c r="H251" s="78">
        <v>1</v>
      </c>
      <c r="I251" s="96">
        <f t="shared" si="24"/>
        <v>592.07980000000009</v>
      </c>
    </row>
    <row r="252" spans="1:9" s="92" customFormat="1" x14ac:dyDescent="0.35">
      <c r="A252" s="97" t="s">
        <v>399</v>
      </c>
      <c r="B252" s="224" t="s">
        <v>125</v>
      </c>
      <c r="C252" s="224"/>
      <c r="D252" s="224"/>
      <c r="E252" s="76" t="s">
        <v>126</v>
      </c>
      <c r="F252" s="76" t="s">
        <v>50</v>
      </c>
      <c r="G252" s="91">
        <f>420450+600000</f>
        <v>1020450</v>
      </c>
      <c r="H252" s="78">
        <v>1</v>
      </c>
      <c r="I252" s="96">
        <f t="shared" si="24"/>
        <v>1020.45</v>
      </c>
    </row>
    <row r="253" spans="1:9" s="92" customFormat="1" x14ac:dyDescent="0.35">
      <c r="A253" s="97" t="s">
        <v>400</v>
      </c>
      <c r="B253" s="224" t="s">
        <v>125</v>
      </c>
      <c r="C253" s="224"/>
      <c r="D253" s="224"/>
      <c r="E253" s="76" t="s">
        <v>126</v>
      </c>
      <c r="F253" s="76" t="s">
        <v>50</v>
      </c>
      <c r="G253" s="91">
        <f>297594+804606</f>
        <v>1102200</v>
      </c>
      <c r="H253" s="78">
        <v>1</v>
      </c>
      <c r="I253" s="96">
        <f t="shared" si="24"/>
        <v>1102.2</v>
      </c>
    </row>
    <row r="254" spans="1:9" s="92" customFormat="1" x14ac:dyDescent="0.35">
      <c r="A254" s="97" t="s">
        <v>401</v>
      </c>
      <c r="B254" s="224" t="s">
        <v>125</v>
      </c>
      <c r="C254" s="224"/>
      <c r="D254" s="224"/>
      <c r="E254" s="76" t="s">
        <v>126</v>
      </c>
      <c r="F254" s="76" t="s">
        <v>50</v>
      </c>
      <c r="G254" s="91">
        <f>1302000+360000</f>
        <v>1662000</v>
      </c>
      <c r="H254" s="78">
        <v>1</v>
      </c>
      <c r="I254" s="96">
        <f t="shared" si="24"/>
        <v>1662</v>
      </c>
    </row>
    <row r="255" spans="1:9" s="92" customFormat="1" x14ac:dyDescent="0.35">
      <c r="A255" s="97" t="s">
        <v>402</v>
      </c>
      <c r="B255" s="224" t="s">
        <v>125</v>
      </c>
      <c r="C255" s="224"/>
      <c r="D255" s="224"/>
      <c r="E255" s="76" t="s">
        <v>126</v>
      </c>
      <c r="F255" s="76" t="s">
        <v>50</v>
      </c>
      <c r="G255" s="91">
        <f>660000+308184</f>
        <v>968184</v>
      </c>
      <c r="H255" s="78">
        <v>1</v>
      </c>
      <c r="I255" s="96">
        <f t="shared" si="24"/>
        <v>968.18399999999997</v>
      </c>
    </row>
    <row r="256" spans="1:9" s="92" customFormat="1" x14ac:dyDescent="0.35">
      <c r="A256" s="97" t="s">
        <v>403</v>
      </c>
      <c r="B256" s="224" t="s">
        <v>125</v>
      </c>
      <c r="C256" s="224"/>
      <c r="D256" s="224"/>
      <c r="E256" s="76" t="s">
        <v>126</v>
      </c>
      <c r="F256" s="76" t="s">
        <v>50</v>
      </c>
      <c r="G256" s="91">
        <f>506316+781404</f>
        <v>1287720</v>
      </c>
      <c r="H256" s="78">
        <v>1</v>
      </c>
      <c r="I256" s="96">
        <f t="shared" si="24"/>
        <v>1287.72</v>
      </c>
    </row>
    <row r="257" spans="1:9" s="92" customFormat="1" x14ac:dyDescent="0.35">
      <c r="A257" s="97" t="s">
        <v>404</v>
      </c>
      <c r="B257" s="224" t="s">
        <v>125</v>
      </c>
      <c r="C257" s="224"/>
      <c r="D257" s="224"/>
      <c r="E257" s="76" t="s">
        <v>126</v>
      </c>
      <c r="F257" s="76" t="s">
        <v>50</v>
      </c>
      <c r="G257" s="91">
        <f>660000+780000</f>
        <v>1440000</v>
      </c>
      <c r="H257" s="78">
        <v>1</v>
      </c>
      <c r="I257" s="96">
        <f t="shared" si="24"/>
        <v>1440</v>
      </c>
    </row>
    <row r="258" spans="1:9" s="92" customFormat="1" x14ac:dyDescent="0.35">
      <c r="A258" s="97" t="s">
        <v>405</v>
      </c>
      <c r="B258" s="224" t="s">
        <v>125</v>
      </c>
      <c r="C258" s="224"/>
      <c r="D258" s="224"/>
      <c r="E258" s="76" t="s">
        <v>126</v>
      </c>
      <c r="F258" s="76" t="s">
        <v>50</v>
      </c>
      <c r="G258" s="91">
        <f>304920+619080</f>
        <v>924000</v>
      </c>
      <c r="H258" s="78">
        <v>1</v>
      </c>
      <c r="I258" s="96">
        <f t="shared" si="24"/>
        <v>924</v>
      </c>
    </row>
    <row r="259" spans="1:9" s="92" customFormat="1" x14ac:dyDescent="0.35">
      <c r="A259" s="97" t="s">
        <v>406</v>
      </c>
      <c r="B259" s="224" t="s">
        <v>125</v>
      </c>
      <c r="C259" s="224"/>
      <c r="D259" s="224"/>
      <c r="E259" s="76" t="s">
        <v>126</v>
      </c>
      <c r="F259" s="76" t="s">
        <v>50</v>
      </c>
      <c r="G259" s="91">
        <f>480000+900000</f>
        <v>1380000</v>
      </c>
      <c r="H259" s="78">
        <v>1</v>
      </c>
      <c r="I259" s="96">
        <f t="shared" si="24"/>
        <v>1380</v>
      </c>
    </row>
    <row r="260" spans="1:9" s="92" customFormat="1" x14ac:dyDescent="0.35">
      <c r="A260" s="97" t="s">
        <v>407</v>
      </c>
      <c r="B260" s="224" t="s">
        <v>125</v>
      </c>
      <c r="C260" s="224"/>
      <c r="D260" s="224"/>
      <c r="E260" s="76" t="s">
        <v>126</v>
      </c>
      <c r="F260" s="76" t="s">
        <v>50</v>
      </c>
      <c r="G260" s="91">
        <f>300000+900000</f>
        <v>1200000</v>
      </c>
      <c r="H260" s="78">
        <v>1</v>
      </c>
      <c r="I260" s="96">
        <f t="shared" si="24"/>
        <v>1200</v>
      </c>
    </row>
    <row r="261" spans="1:9" s="92" customFormat="1" x14ac:dyDescent="0.35">
      <c r="A261" s="97" t="s">
        <v>408</v>
      </c>
      <c r="B261" s="224" t="s">
        <v>125</v>
      </c>
      <c r="C261" s="224"/>
      <c r="D261" s="224"/>
      <c r="E261" s="76" t="s">
        <v>126</v>
      </c>
      <c r="F261" s="76" t="s">
        <v>50</v>
      </c>
      <c r="G261" s="91">
        <f>298047.6+695444</f>
        <v>993491.6</v>
      </c>
      <c r="H261" s="78">
        <v>1</v>
      </c>
      <c r="I261" s="96">
        <f t="shared" si="24"/>
        <v>993.49159999999995</v>
      </c>
    </row>
    <row r="262" spans="1:9" s="92" customFormat="1" x14ac:dyDescent="0.35">
      <c r="A262" s="97" t="s">
        <v>409</v>
      </c>
      <c r="B262" s="224" t="s">
        <v>125</v>
      </c>
      <c r="C262" s="224"/>
      <c r="D262" s="224"/>
      <c r="E262" s="76" t="s">
        <v>126</v>
      </c>
      <c r="F262" s="76" t="s">
        <v>50</v>
      </c>
      <c r="G262" s="91">
        <f>297525.6+662234</f>
        <v>959759.6</v>
      </c>
      <c r="H262" s="78">
        <v>1</v>
      </c>
      <c r="I262" s="96">
        <f t="shared" si="24"/>
        <v>959.75959999999998</v>
      </c>
    </row>
    <row r="263" spans="1:9" s="92" customFormat="1" x14ac:dyDescent="0.35">
      <c r="A263" s="97" t="s">
        <v>410</v>
      </c>
      <c r="B263" s="224" t="s">
        <v>125</v>
      </c>
      <c r="C263" s="224"/>
      <c r="D263" s="224"/>
      <c r="E263" s="76" t="s">
        <v>126</v>
      </c>
      <c r="F263" s="76" t="s">
        <v>50</v>
      </c>
      <c r="G263" s="91">
        <f>300000+2221440</f>
        <v>2521440</v>
      </c>
      <c r="H263" s="78">
        <v>1</v>
      </c>
      <c r="I263" s="96">
        <f t="shared" si="24"/>
        <v>2521.44</v>
      </c>
    </row>
    <row r="264" spans="1:9" s="92" customFormat="1" x14ac:dyDescent="0.35">
      <c r="A264" s="97" t="s">
        <v>411</v>
      </c>
      <c r="B264" s="224" t="s">
        <v>125</v>
      </c>
      <c r="C264" s="224"/>
      <c r="D264" s="224"/>
      <c r="E264" s="76" t="s">
        <v>126</v>
      </c>
      <c r="F264" s="76" t="s">
        <v>50</v>
      </c>
      <c r="G264" s="91">
        <f>295444.8+759715</f>
        <v>1055159.8</v>
      </c>
      <c r="H264" s="78">
        <v>1</v>
      </c>
      <c r="I264" s="96">
        <f t="shared" si="24"/>
        <v>1055.1598000000001</v>
      </c>
    </row>
    <row r="265" spans="1:9" s="92" customFormat="1" x14ac:dyDescent="0.35">
      <c r="A265" s="97" t="s">
        <v>412</v>
      </c>
      <c r="B265" s="224" t="s">
        <v>125</v>
      </c>
      <c r="C265" s="224"/>
      <c r="D265" s="224"/>
      <c r="E265" s="76" t="s">
        <v>126</v>
      </c>
      <c r="F265" s="76" t="s">
        <v>50</v>
      </c>
      <c r="G265" s="91">
        <f>300000+780000</f>
        <v>1080000</v>
      </c>
      <c r="H265" s="78">
        <v>1</v>
      </c>
      <c r="I265" s="96">
        <f t="shared" si="24"/>
        <v>1080</v>
      </c>
    </row>
    <row r="266" spans="1:9" s="92" customFormat="1" x14ac:dyDescent="0.35">
      <c r="A266" s="97" t="s">
        <v>413</v>
      </c>
      <c r="B266" s="224" t="s">
        <v>125</v>
      </c>
      <c r="C266" s="224"/>
      <c r="D266" s="224"/>
      <c r="E266" s="76" t="s">
        <v>126</v>
      </c>
      <c r="F266" s="76" t="s">
        <v>50</v>
      </c>
      <c r="G266" s="91">
        <f>102000+900000</f>
        <v>1002000</v>
      </c>
      <c r="H266" s="78">
        <v>1</v>
      </c>
      <c r="I266" s="96">
        <f t="shared" si="24"/>
        <v>1002</v>
      </c>
    </row>
    <row r="267" spans="1:9" s="92" customFormat="1" x14ac:dyDescent="0.35">
      <c r="A267" s="97" t="s">
        <v>414</v>
      </c>
      <c r="B267" s="224" t="s">
        <v>125</v>
      </c>
      <c r="C267" s="224"/>
      <c r="D267" s="224"/>
      <c r="E267" s="76" t="s">
        <v>126</v>
      </c>
      <c r="F267" s="76" t="s">
        <v>50</v>
      </c>
      <c r="G267" s="91">
        <f>300000+684000</f>
        <v>984000</v>
      </c>
      <c r="H267" s="78">
        <v>1</v>
      </c>
      <c r="I267" s="96">
        <f t="shared" si="24"/>
        <v>984</v>
      </c>
    </row>
    <row r="268" spans="1:9" s="92" customFormat="1" x14ac:dyDescent="0.35">
      <c r="A268" s="97">
        <v>98111140</v>
      </c>
      <c r="B268" s="224" t="s">
        <v>125</v>
      </c>
      <c r="C268" s="224"/>
      <c r="D268" s="224"/>
      <c r="E268" s="76" t="s">
        <v>126</v>
      </c>
      <c r="F268" s="76" t="s">
        <v>50</v>
      </c>
      <c r="G268" s="91">
        <v>285471</v>
      </c>
      <c r="H268" s="78">
        <v>1</v>
      </c>
      <c r="I268" s="96">
        <f t="shared" ref="I268" si="28">+ROUNDUP(H268*G268/1000,1)</f>
        <v>285.5</v>
      </c>
    </row>
    <row r="269" spans="1:9" s="92" customFormat="1" x14ac:dyDescent="0.35">
      <c r="A269" s="97" t="s">
        <v>416</v>
      </c>
      <c r="B269" s="224" t="s">
        <v>125</v>
      </c>
      <c r="C269" s="224"/>
      <c r="D269" s="224"/>
      <c r="E269" s="76" t="s">
        <v>126</v>
      </c>
      <c r="F269" s="76" t="s">
        <v>50</v>
      </c>
      <c r="G269" s="91">
        <f>798000+660000</f>
        <v>1458000</v>
      </c>
      <c r="H269" s="78">
        <v>1</v>
      </c>
      <c r="I269" s="96">
        <f t="shared" ref="I269:I291" si="29">H269*G269/1000</f>
        <v>1458</v>
      </c>
    </row>
    <row r="270" spans="1:9" s="92" customFormat="1" x14ac:dyDescent="0.35">
      <c r="A270" s="97" t="s">
        <v>417</v>
      </c>
      <c r="B270" s="224" t="s">
        <v>125</v>
      </c>
      <c r="C270" s="224"/>
      <c r="D270" s="224"/>
      <c r="E270" s="76" t="s">
        <v>126</v>
      </c>
      <c r="F270" s="76" t="s">
        <v>50</v>
      </c>
      <c r="G270" s="91">
        <f>258000+600000</f>
        <v>858000</v>
      </c>
      <c r="H270" s="78">
        <v>1</v>
      </c>
      <c r="I270" s="96">
        <f t="shared" si="29"/>
        <v>858</v>
      </c>
    </row>
    <row r="271" spans="1:9" s="92" customFormat="1" x14ac:dyDescent="0.35">
      <c r="A271" s="97" t="s">
        <v>418</v>
      </c>
      <c r="B271" s="224" t="s">
        <v>125</v>
      </c>
      <c r="C271" s="224"/>
      <c r="D271" s="224"/>
      <c r="E271" s="76" t="s">
        <v>126</v>
      </c>
      <c r="F271" s="76" t="s">
        <v>50</v>
      </c>
      <c r="G271" s="91">
        <f>450000+720000</f>
        <v>1170000</v>
      </c>
      <c r="H271" s="78">
        <v>1</v>
      </c>
      <c r="I271" s="96">
        <f t="shared" si="29"/>
        <v>1170</v>
      </c>
    </row>
    <row r="272" spans="1:9" s="92" customFormat="1" x14ac:dyDescent="0.35">
      <c r="A272" s="97" t="s">
        <v>419</v>
      </c>
      <c r="B272" s="224" t="s">
        <v>125</v>
      </c>
      <c r="C272" s="224"/>
      <c r="D272" s="224"/>
      <c r="E272" s="76" t="s">
        <v>126</v>
      </c>
      <c r="F272" s="76" t="s">
        <v>50</v>
      </c>
      <c r="G272" s="91">
        <f>360000+720000</f>
        <v>1080000</v>
      </c>
      <c r="H272" s="78">
        <v>1</v>
      </c>
      <c r="I272" s="96">
        <f t="shared" si="29"/>
        <v>1080</v>
      </c>
    </row>
    <row r="273" spans="1:9" s="92" customFormat="1" x14ac:dyDescent="0.35">
      <c r="A273" s="97" t="s">
        <v>420</v>
      </c>
      <c r="B273" s="224" t="s">
        <v>125</v>
      </c>
      <c r="C273" s="224"/>
      <c r="D273" s="224"/>
      <c r="E273" s="76" t="s">
        <v>126</v>
      </c>
      <c r="F273" s="76" t="s">
        <v>50</v>
      </c>
      <c r="G273" s="91">
        <f>360738+375462</f>
        <v>736200</v>
      </c>
      <c r="H273" s="78">
        <v>1</v>
      </c>
      <c r="I273" s="96">
        <f t="shared" si="29"/>
        <v>736.2</v>
      </c>
    </row>
    <row r="274" spans="1:9" s="92" customFormat="1" x14ac:dyDescent="0.35">
      <c r="A274" s="97" t="s">
        <v>415</v>
      </c>
      <c r="B274" s="224" t="s">
        <v>125</v>
      </c>
      <c r="C274" s="224"/>
      <c r="D274" s="224"/>
      <c r="E274" s="105" t="s">
        <v>126</v>
      </c>
      <c r="F274" s="76" t="s">
        <v>50</v>
      </c>
      <c r="G274" s="91">
        <f>540000+119404</f>
        <v>659404</v>
      </c>
      <c r="H274" s="78">
        <v>1</v>
      </c>
      <c r="I274" s="79">
        <f>+ROUNDUP(H274*G274/1000,1)</f>
        <v>659.5</v>
      </c>
    </row>
    <row r="275" spans="1:9" s="92" customFormat="1" x14ac:dyDescent="0.35">
      <c r="A275" s="97" t="s">
        <v>421</v>
      </c>
      <c r="B275" s="224" t="s">
        <v>125</v>
      </c>
      <c r="C275" s="224"/>
      <c r="D275" s="224"/>
      <c r="E275" s="76" t="s">
        <v>126</v>
      </c>
      <c r="F275" s="76" t="s">
        <v>50</v>
      </c>
      <c r="G275" s="91">
        <f>198000+780000</f>
        <v>978000</v>
      </c>
      <c r="H275" s="78">
        <v>1</v>
      </c>
      <c r="I275" s="96">
        <f t="shared" si="29"/>
        <v>978</v>
      </c>
    </row>
    <row r="276" spans="1:9" s="92" customFormat="1" x14ac:dyDescent="0.35">
      <c r="A276" s="97" t="s">
        <v>422</v>
      </c>
      <c r="B276" s="224" t="s">
        <v>125</v>
      </c>
      <c r="C276" s="224"/>
      <c r="D276" s="224"/>
      <c r="E276" s="76" t="s">
        <v>126</v>
      </c>
      <c r="F276" s="76" t="s">
        <v>50</v>
      </c>
      <c r="G276" s="91">
        <f>300000+780000</f>
        <v>1080000</v>
      </c>
      <c r="H276" s="78">
        <v>1</v>
      </c>
      <c r="I276" s="96">
        <f t="shared" si="29"/>
        <v>1080</v>
      </c>
    </row>
    <row r="277" spans="1:9" s="92" customFormat="1" x14ac:dyDescent="0.35">
      <c r="A277" s="97" t="s">
        <v>423</v>
      </c>
      <c r="B277" s="224" t="s">
        <v>125</v>
      </c>
      <c r="C277" s="224"/>
      <c r="D277" s="224"/>
      <c r="E277" s="76" t="s">
        <v>126</v>
      </c>
      <c r="F277" s="76" t="s">
        <v>50</v>
      </c>
      <c r="G277" s="91">
        <f>240165+480000</f>
        <v>720165</v>
      </c>
      <c r="H277" s="78">
        <v>1</v>
      </c>
      <c r="I277" s="96">
        <f t="shared" si="29"/>
        <v>720.16499999999996</v>
      </c>
    </row>
    <row r="278" spans="1:9" s="92" customFormat="1" x14ac:dyDescent="0.35">
      <c r="A278" s="97" t="s">
        <v>424</v>
      </c>
      <c r="B278" s="224" t="s">
        <v>125</v>
      </c>
      <c r="C278" s="224"/>
      <c r="D278" s="224"/>
      <c r="E278" s="76" t="s">
        <v>126</v>
      </c>
      <c r="F278" s="76" t="s">
        <v>50</v>
      </c>
      <c r="G278" s="91">
        <f>300000+840000</f>
        <v>1140000</v>
      </c>
      <c r="H278" s="78">
        <v>1</v>
      </c>
      <c r="I278" s="96">
        <f t="shared" si="29"/>
        <v>1140</v>
      </c>
    </row>
    <row r="279" spans="1:9" s="92" customFormat="1" x14ac:dyDescent="0.35">
      <c r="A279" s="97" t="s">
        <v>425</v>
      </c>
      <c r="B279" s="224" t="s">
        <v>125</v>
      </c>
      <c r="C279" s="224"/>
      <c r="D279" s="224"/>
      <c r="E279" s="76" t="s">
        <v>126</v>
      </c>
      <c r="F279" s="76" t="s">
        <v>50</v>
      </c>
      <c r="G279" s="91">
        <f>300000+720000</f>
        <v>1020000</v>
      </c>
      <c r="H279" s="78">
        <v>1</v>
      </c>
      <c r="I279" s="96">
        <f t="shared" si="29"/>
        <v>1020</v>
      </c>
    </row>
    <row r="280" spans="1:9" s="92" customFormat="1" x14ac:dyDescent="0.35">
      <c r="A280" s="97">
        <v>98111140</v>
      </c>
      <c r="B280" s="224" t="s">
        <v>125</v>
      </c>
      <c r="C280" s="224"/>
      <c r="D280" s="224"/>
      <c r="E280" s="76" t="s">
        <v>126</v>
      </c>
      <c r="F280" s="76" t="s">
        <v>50</v>
      </c>
      <c r="G280" s="91">
        <v>484209</v>
      </c>
      <c r="H280" s="78">
        <v>1</v>
      </c>
      <c r="I280" s="96">
        <f t="shared" ref="I280:I284" si="30">+ROUNDUP(H280*G280/1000,1)</f>
        <v>484.3</v>
      </c>
    </row>
    <row r="281" spans="1:9" s="92" customFormat="1" x14ac:dyDescent="0.35">
      <c r="A281" s="97">
        <v>98111140</v>
      </c>
      <c r="B281" s="224" t="s">
        <v>125</v>
      </c>
      <c r="C281" s="224"/>
      <c r="D281" s="224"/>
      <c r="E281" s="76" t="s">
        <v>126</v>
      </c>
      <c r="F281" s="76" t="s">
        <v>50</v>
      </c>
      <c r="G281" s="91">
        <v>548000</v>
      </c>
      <c r="H281" s="78">
        <v>1</v>
      </c>
      <c r="I281" s="96">
        <f t="shared" si="30"/>
        <v>548</v>
      </c>
    </row>
    <row r="282" spans="1:9" s="92" customFormat="1" x14ac:dyDescent="0.35">
      <c r="A282" s="97">
        <v>98111140</v>
      </c>
      <c r="B282" s="224" t="s">
        <v>125</v>
      </c>
      <c r="C282" s="224"/>
      <c r="D282" s="224"/>
      <c r="E282" s="76" t="s">
        <v>126</v>
      </c>
      <c r="F282" s="76" t="s">
        <v>50</v>
      </c>
      <c r="G282" s="91">
        <v>262553</v>
      </c>
      <c r="H282" s="78">
        <v>1</v>
      </c>
      <c r="I282" s="96">
        <f t="shared" si="30"/>
        <v>262.60000000000002</v>
      </c>
    </row>
    <row r="283" spans="1:9" s="92" customFormat="1" x14ac:dyDescent="0.35">
      <c r="A283" s="97">
        <v>98111140</v>
      </c>
      <c r="B283" s="224" t="s">
        <v>125</v>
      </c>
      <c r="C283" s="224"/>
      <c r="D283" s="224"/>
      <c r="E283" s="76" t="s">
        <v>126</v>
      </c>
      <c r="F283" s="76" t="s">
        <v>50</v>
      </c>
      <c r="G283" s="91">
        <v>281563</v>
      </c>
      <c r="H283" s="78">
        <v>1</v>
      </c>
      <c r="I283" s="96">
        <f t="shared" si="30"/>
        <v>281.60000000000002</v>
      </c>
    </row>
    <row r="284" spans="1:9" s="92" customFormat="1" x14ac:dyDescent="0.35">
      <c r="A284" s="97">
        <v>98111140</v>
      </c>
      <c r="B284" s="224" t="s">
        <v>125</v>
      </c>
      <c r="C284" s="224"/>
      <c r="D284" s="224"/>
      <c r="E284" s="76" t="s">
        <v>126</v>
      </c>
      <c r="F284" s="76" t="s">
        <v>50</v>
      </c>
      <c r="G284" s="91">
        <v>346837</v>
      </c>
      <c r="H284" s="78">
        <v>1</v>
      </c>
      <c r="I284" s="96">
        <f t="shared" si="30"/>
        <v>346.90000000000003</v>
      </c>
    </row>
    <row r="285" spans="1:9" s="92" customFormat="1" x14ac:dyDescent="0.35">
      <c r="A285" s="97">
        <v>98111140</v>
      </c>
      <c r="B285" s="224" t="s">
        <v>125</v>
      </c>
      <c r="C285" s="224"/>
      <c r="D285" s="224"/>
      <c r="E285" s="76" t="s">
        <v>126</v>
      </c>
      <c r="F285" s="76" t="s">
        <v>50</v>
      </c>
      <c r="G285" s="91">
        <v>381756.60000000003</v>
      </c>
      <c r="H285" s="78">
        <v>1</v>
      </c>
      <c r="I285" s="96">
        <f>H285*G285/1000</f>
        <v>381.75660000000005</v>
      </c>
    </row>
    <row r="286" spans="1:9" s="92" customFormat="1" x14ac:dyDescent="0.35">
      <c r="A286" s="97">
        <v>98111140</v>
      </c>
      <c r="B286" s="224" t="s">
        <v>125</v>
      </c>
      <c r="C286" s="224"/>
      <c r="D286" s="224"/>
      <c r="E286" s="76" t="s">
        <v>126</v>
      </c>
      <c r="F286" s="76" t="s">
        <v>50</v>
      </c>
      <c r="G286" s="91">
        <v>176140.99799999999</v>
      </c>
      <c r="H286" s="78">
        <v>1</v>
      </c>
      <c r="I286" s="96">
        <f>H286*G286/1000</f>
        <v>176.140998</v>
      </c>
    </row>
    <row r="287" spans="1:9" s="92" customFormat="1" x14ac:dyDescent="0.35">
      <c r="A287" s="97" t="s">
        <v>426</v>
      </c>
      <c r="B287" s="224" t="s">
        <v>125</v>
      </c>
      <c r="C287" s="224"/>
      <c r="D287" s="224"/>
      <c r="E287" s="76" t="s">
        <v>126</v>
      </c>
      <c r="F287" s="76" t="s">
        <v>50</v>
      </c>
      <c r="G287" s="91">
        <f>324000+720000</f>
        <v>1044000</v>
      </c>
      <c r="H287" s="78">
        <v>1</v>
      </c>
      <c r="I287" s="96">
        <f t="shared" si="29"/>
        <v>1044</v>
      </c>
    </row>
    <row r="288" spans="1:9" s="92" customFormat="1" x14ac:dyDescent="0.35">
      <c r="A288" s="97" t="s">
        <v>427</v>
      </c>
      <c r="B288" s="224" t="s">
        <v>125</v>
      </c>
      <c r="C288" s="224"/>
      <c r="D288" s="224"/>
      <c r="E288" s="76" t="s">
        <v>126</v>
      </c>
      <c r="F288" s="76" t="s">
        <v>50</v>
      </c>
      <c r="G288" s="91">
        <f>913566+660000</f>
        <v>1573566</v>
      </c>
      <c r="H288" s="78">
        <v>1</v>
      </c>
      <c r="I288" s="96">
        <f t="shared" si="29"/>
        <v>1573.566</v>
      </c>
    </row>
    <row r="289" spans="1:39" s="92" customFormat="1" x14ac:dyDescent="0.35">
      <c r="A289" s="97" t="s">
        <v>428</v>
      </c>
      <c r="B289" s="224" t="s">
        <v>125</v>
      </c>
      <c r="C289" s="224"/>
      <c r="D289" s="224"/>
      <c r="E289" s="76" t="s">
        <v>126</v>
      </c>
      <c r="F289" s="76" t="s">
        <v>50</v>
      </c>
      <c r="G289" s="91">
        <f>332016+780000</f>
        <v>1112016</v>
      </c>
      <c r="H289" s="78">
        <v>1</v>
      </c>
      <c r="I289" s="96">
        <f t="shared" si="29"/>
        <v>1112.0160000000001</v>
      </c>
    </row>
    <row r="290" spans="1:39" s="92" customFormat="1" x14ac:dyDescent="0.35">
      <c r="A290" s="97" t="s">
        <v>429</v>
      </c>
      <c r="B290" s="224" t="s">
        <v>125</v>
      </c>
      <c r="C290" s="224"/>
      <c r="D290" s="224"/>
      <c r="E290" s="76" t="s">
        <v>126</v>
      </c>
      <c r="F290" s="76" t="s">
        <v>50</v>
      </c>
      <c r="G290" s="91">
        <f>240000+720000</f>
        <v>960000</v>
      </c>
      <c r="H290" s="78">
        <v>1</v>
      </c>
      <c r="I290" s="96">
        <f t="shared" si="29"/>
        <v>960</v>
      </c>
    </row>
    <row r="291" spans="1:39" s="92" customFormat="1" x14ac:dyDescent="0.35">
      <c r="A291" s="97" t="s">
        <v>430</v>
      </c>
      <c r="B291" s="224" t="s">
        <v>125</v>
      </c>
      <c r="C291" s="224"/>
      <c r="D291" s="224"/>
      <c r="E291" s="76" t="s">
        <v>126</v>
      </c>
      <c r="F291" s="76" t="s">
        <v>50</v>
      </c>
      <c r="G291" s="91">
        <f>162000+720000</f>
        <v>882000</v>
      </c>
      <c r="H291" s="78">
        <v>1</v>
      </c>
      <c r="I291" s="96">
        <f t="shared" si="29"/>
        <v>882</v>
      </c>
    </row>
    <row r="292" spans="1:39" ht="54.75" customHeight="1" x14ac:dyDescent="0.45">
      <c r="A292" s="68" t="s">
        <v>271</v>
      </c>
      <c r="B292" s="228" t="s">
        <v>272</v>
      </c>
      <c r="C292" s="229"/>
      <c r="D292" s="229"/>
      <c r="E292" s="229"/>
      <c r="F292" s="229"/>
      <c r="G292" s="229"/>
      <c r="H292" s="230"/>
      <c r="I292" s="102">
        <f>+I293+I318</f>
        <v>4666500</v>
      </c>
      <c r="J292" s="34"/>
    </row>
    <row r="293" spans="1:39" s="74" customFormat="1" ht="21" customHeight="1" x14ac:dyDescent="0.35">
      <c r="A293" s="70"/>
      <c r="B293" s="225" t="s">
        <v>51</v>
      </c>
      <c r="C293" s="226"/>
      <c r="D293" s="227"/>
      <c r="E293" s="71" t="s">
        <v>48</v>
      </c>
      <c r="F293" s="71" t="s">
        <v>48</v>
      </c>
      <c r="G293" s="71" t="s">
        <v>48</v>
      </c>
      <c r="H293" s="72"/>
      <c r="I293" s="103">
        <f>SUM(I294:I317)</f>
        <v>4560703</v>
      </c>
    </row>
    <row r="294" spans="1:39" s="92" customFormat="1" x14ac:dyDescent="0.35">
      <c r="A294" s="75" t="s">
        <v>511</v>
      </c>
      <c r="B294" s="223" t="s">
        <v>82</v>
      </c>
      <c r="C294" s="223"/>
      <c r="D294" s="223"/>
      <c r="E294" s="76" t="s">
        <v>49</v>
      </c>
      <c r="F294" s="76" t="s">
        <v>50</v>
      </c>
      <c r="G294" s="91"/>
      <c r="H294" s="78"/>
      <c r="I294" s="96">
        <v>70000</v>
      </c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  <c r="AK294" s="80"/>
      <c r="AL294" s="80"/>
      <c r="AM294" s="80"/>
    </row>
    <row r="295" spans="1:39" s="92" customFormat="1" x14ac:dyDescent="0.35">
      <c r="A295" s="75" t="s">
        <v>431</v>
      </c>
      <c r="B295" s="223" t="s">
        <v>82</v>
      </c>
      <c r="C295" s="223"/>
      <c r="D295" s="223"/>
      <c r="E295" s="76" t="s">
        <v>49</v>
      </c>
      <c r="F295" s="76" t="s">
        <v>50</v>
      </c>
      <c r="G295" s="91"/>
      <c r="H295" s="78"/>
      <c r="I295" s="96">
        <v>87000</v>
      </c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  <c r="AK295" s="80"/>
      <c r="AL295" s="80"/>
      <c r="AM295" s="80"/>
    </row>
    <row r="296" spans="1:39" s="92" customFormat="1" x14ac:dyDescent="0.35">
      <c r="A296" s="75" t="s">
        <v>432</v>
      </c>
      <c r="B296" s="223" t="s">
        <v>82</v>
      </c>
      <c r="C296" s="223"/>
      <c r="D296" s="223"/>
      <c r="E296" s="76" t="s">
        <v>49</v>
      </c>
      <c r="F296" s="76" t="s">
        <v>50</v>
      </c>
      <c r="G296" s="91"/>
      <c r="H296" s="78"/>
      <c r="I296" s="96">
        <f>200000+334300</f>
        <v>534300</v>
      </c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M296" s="80"/>
    </row>
    <row r="297" spans="1:39" s="92" customFormat="1" x14ac:dyDescent="0.35">
      <c r="A297" s="75" t="s">
        <v>433</v>
      </c>
      <c r="B297" s="223" t="s">
        <v>82</v>
      </c>
      <c r="C297" s="223"/>
      <c r="D297" s="223"/>
      <c r="E297" s="76" t="s">
        <v>49</v>
      </c>
      <c r="F297" s="76" t="s">
        <v>50</v>
      </c>
      <c r="G297" s="91"/>
      <c r="H297" s="78"/>
      <c r="I297" s="96">
        <v>100000</v>
      </c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M297" s="80"/>
    </row>
    <row r="298" spans="1:39" s="92" customFormat="1" x14ac:dyDescent="0.35">
      <c r="A298" s="75" t="s">
        <v>434</v>
      </c>
      <c r="B298" s="223" t="s">
        <v>82</v>
      </c>
      <c r="C298" s="223"/>
      <c r="D298" s="223"/>
      <c r="E298" s="76" t="s">
        <v>49</v>
      </c>
      <c r="F298" s="76" t="s">
        <v>50</v>
      </c>
      <c r="G298" s="91"/>
      <c r="H298" s="78"/>
      <c r="I298" s="96">
        <f>250000+201770</f>
        <v>451770</v>
      </c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M298" s="80"/>
    </row>
    <row r="299" spans="1:39" s="92" customFormat="1" x14ac:dyDescent="0.35">
      <c r="A299" s="75" t="s">
        <v>435</v>
      </c>
      <c r="B299" s="223" t="s">
        <v>82</v>
      </c>
      <c r="C299" s="223"/>
      <c r="D299" s="223"/>
      <c r="E299" s="76" t="s">
        <v>49</v>
      </c>
      <c r="F299" s="76" t="s">
        <v>50</v>
      </c>
      <c r="G299" s="91"/>
      <c r="H299" s="78"/>
      <c r="I299" s="96">
        <f>250000+144400</f>
        <v>394400</v>
      </c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</row>
    <row r="300" spans="1:39" s="92" customFormat="1" x14ac:dyDescent="0.35">
      <c r="A300" s="75" t="s">
        <v>436</v>
      </c>
      <c r="B300" s="223" t="s">
        <v>82</v>
      </c>
      <c r="C300" s="223"/>
      <c r="D300" s="223"/>
      <c r="E300" s="76" t="s">
        <v>49</v>
      </c>
      <c r="F300" s="76" t="s">
        <v>50</v>
      </c>
      <c r="G300" s="91"/>
      <c r="H300" s="78"/>
      <c r="I300" s="96">
        <f>68000+50910</f>
        <v>118910</v>
      </c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M300" s="80"/>
    </row>
    <row r="301" spans="1:39" s="92" customFormat="1" x14ac:dyDescent="0.35">
      <c r="A301" s="75" t="s">
        <v>512</v>
      </c>
      <c r="B301" s="223" t="s">
        <v>82</v>
      </c>
      <c r="C301" s="223"/>
      <c r="D301" s="223"/>
      <c r="E301" s="76" t="s">
        <v>49</v>
      </c>
      <c r="F301" s="76" t="s">
        <v>50</v>
      </c>
      <c r="G301" s="91"/>
      <c r="H301" s="78"/>
      <c r="I301" s="96">
        <v>7550.6</v>
      </c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M301" s="80"/>
    </row>
    <row r="302" spans="1:39" s="92" customFormat="1" x14ac:dyDescent="0.35">
      <c r="A302" s="75" t="s">
        <v>513</v>
      </c>
      <c r="B302" s="223" t="s">
        <v>82</v>
      </c>
      <c r="C302" s="223"/>
      <c r="D302" s="223"/>
      <c r="E302" s="76" t="s">
        <v>49</v>
      </c>
      <c r="F302" s="76" t="s">
        <v>50</v>
      </c>
      <c r="G302" s="91"/>
      <c r="H302" s="78"/>
      <c r="I302" s="96">
        <v>26548</v>
      </c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M302" s="80"/>
    </row>
    <row r="303" spans="1:39" s="92" customFormat="1" x14ac:dyDescent="0.35">
      <c r="A303" s="75" t="s">
        <v>514</v>
      </c>
      <c r="B303" s="223" t="s">
        <v>82</v>
      </c>
      <c r="C303" s="223"/>
      <c r="D303" s="223"/>
      <c r="E303" s="76" t="s">
        <v>49</v>
      </c>
      <c r="F303" s="76" t="s">
        <v>50</v>
      </c>
      <c r="G303" s="91"/>
      <c r="H303" s="78"/>
      <c r="I303" s="96">
        <v>170160</v>
      </c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M303" s="80"/>
    </row>
    <row r="304" spans="1:39" s="92" customFormat="1" x14ac:dyDescent="0.35">
      <c r="A304" s="75" t="s">
        <v>437</v>
      </c>
      <c r="B304" s="223" t="s">
        <v>82</v>
      </c>
      <c r="C304" s="223"/>
      <c r="D304" s="223"/>
      <c r="E304" s="76" t="s">
        <v>49</v>
      </c>
      <c r="F304" s="76" t="s">
        <v>50</v>
      </c>
      <c r="G304" s="91"/>
      <c r="H304" s="78"/>
      <c r="I304" s="96">
        <f>300000+69052.2</f>
        <v>369052.2</v>
      </c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M304" s="80"/>
    </row>
    <row r="305" spans="1:39" s="92" customFormat="1" x14ac:dyDescent="0.35">
      <c r="A305" s="75" t="s">
        <v>438</v>
      </c>
      <c r="B305" s="223" t="s">
        <v>82</v>
      </c>
      <c r="C305" s="223"/>
      <c r="D305" s="223"/>
      <c r="E305" s="76" t="s">
        <v>49</v>
      </c>
      <c r="F305" s="76" t="s">
        <v>50</v>
      </c>
      <c r="G305" s="91"/>
      <c r="H305" s="78"/>
      <c r="I305" s="96">
        <v>50000</v>
      </c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M305" s="80"/>
    </row>
    <row r="306" spans="1:39" s="92" customFormat="1" x14ac:dyDescent="0.35">
      <c r="A306" s="75" t="s">
        <v>439</v>
      </c>
      <c r="B306" s="223" t="s">
        <v>82</v>
      </c>
      <c r="C306" s="223"/>
      <c r="D306" s="223"/>
      <c r="E306" s="76" t="s">
        <v>49</v>
      </c>
      <c r="F306" s="76" t="s">
        <v>50</v>
      </c>
      <c r="G306" s="91"/>
      <c r="H306" s="78"/>
      <c r="I306" s="96">
        <v>200000</v>
      </c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</row>
    <row r="307" spans="1:39" s="92" customFormat="1" x14ac:dyDescent="0.35">
      <c r="A307" s="75" t="s">
        <v>440</v>
      </c>
      <c r="B307" s="223" t="s">
        <v>82</v>
      </c>
      <c r="C307" s="223"/>
      <c r="D307" s="223"/>
      <c r="E307" s="76" t="s">
        <v>49</v>
      </c>
      <c r="F307" s="76" t="s">
        <v>50</v>
      </c>
      <c r="G307" s="91"/>
      <c r="H307" s="78"/>
      <c r="I307" s="96">
        <v>250000</v>
      </c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M307" s="80"/>
    </row>
    <row r="308" spans="1:39" s="92" customFormat="1" x14ac:dyDescent="0.35">
      <c r="A308" s="75" t="s">
        <v>441</v>
      </c>
      <c r="B308" s="223" t="s">
        <v>82</v>
      </c>
      <c r="C308" s="223"/>
      <c r="D308" s="223"/>
      <c r="E308" s="76" t="s">
        <v>49</v>
      </c>
      <c r="F308" s="76" t="s">
        <v>50</v>
      </c>
      <c r="G308" s="91"/>
      <c r="H308" s="78"/>
      <c r="I308" s="96">
        <v>40000</v>
      </c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M308" s="80"/>
    </row>
    <row r="309" spans="1:39" s="80" customFormat="1" x14ac:dyDescent="0.35">
      <c r="A309" s="75" t="s">
        <v>273</v>
      </c>
      <c r="B309" s="223" t="s">
        <v>82</v>
      </c>
      <c r="C309" s="223"/>
      <c r="D309" s="223"/>
      <c r="E309" s="76" t="s">
        <v>49</v>
      </c>
      <c r="F309" s="76" t="s">
        <v>50</v>
      </c>
      <c r="G309" s="77"/>
      <c r="H309" s="78"/>
      <c r="I309" s="96">
        <f>594203+79293.6</f>
        <v>673496.6</v>
      </c>
    </row>
    <row r="310" spans="1:39" s="80" customFormat="1" x14ac:dyDescent="0.35">
      <c r="A310" s="75" t="s">
        <v>516</v>
      </c>
      <c r="B310" s="223" t="s">
        <v>82</v>
      </c>
      <c r="C310" s="223"/>
      <c r="D310" s="223"/>
      <c r="E310" s="76" t="s">
        <v>49</v>
      </c>
      <c r="F310" s="76" t="s">
        <v>50</v>
      </c>
      <c r="G310" s="77"/>
      <c r="H310" s="78"/>
      <c r="I310" s="96">
        <v>305966.8</v>
      </c>
    </row>
    <row r="311" spans="1:39" s="80" customFormat="1" x14ac:dyDescent="0.35">
      <c r="A311" s="75" t="s">
        <v>446</v>
      </c>
      <c r="B311" s="223" t="s">
        <v>82</v>
      </c>
      <c r="C311" s="223"/>
      <c r="D311" s="223"/>
      <c r="E311" s="76" t="s">
        <v>49</v>
      </c>
      <c r="F311" s="76" t="s">
        <v>50</v>
      </c>
      <c r="G311" s="77"/>
      <c r="H311" s="78"/>
      <c r="I311" s="96">
        <v>50000</v>
      </c>
    </row>
    <row r="312" spans="1:39" s="80" customFormat="1" x14ac:dyDescent="0.35">
      <c r="A312" s="75" t="s">
        <v>446</v>
      </c>
      <c r="B312" s="223" t="s">
        <v>82</v>
      </c>
      <c r="C312" s="223"/>
      <c r="D312" s="223"/>
      <c r="E312" s="76" t="s">
        <v>49</v>
      </c>
      <c r="F312" s="76" t="s">
        <v>50</v>
      </c>
      <c r="G312" s="77"/>
      <c r="H312" s="78"/>
      <c r="I312" s="96">
        <v>35000</v>
      </c>
    </row>
    <row r="313" spans="1:39" s="80" customFormat="1" x14ac:dyDescent="0.35">
      <c r="A313" s="75" t="s">
        <v>446</v>
      </c>
      <c r="B313" s="223" t="s">
        <v>82</v>
      </c>
      <c r="C313" s="223"/>
      <c r="D313" s="223"/>
      <c r="E313" s="76" t="s">
        <v>49</v>
      </c>
      <c r="F313" s="76" t="s">
        <v>50</v>
      </c>
      <c r="G313" s="77"/>
      <c r="H313" s="78"/>
      <c r="I313" s="96">
        <v>36500</v>
      </c>
    </row>
    <row r="314" spans="1:39" s="80" customFormat="1" x14ac:dyDescent="0.35">
      <c r="A314" s="75" t="s">
        <v>446</v>
      </c>
      <c r="B314" s="223" t="s">
        <v>82</v>
      </c>
      <c r="C314" s="223"/>
      <c r="D314" s="223"/>
      <c r="E314" s="76" t="s">
        <v>49</v>
      </c>
      <c r="F314" s="76" t="s">
        <v>50</v>
      </c>
      <c r="G314" s="77"/>
      <c r="H314" s="78"/>
      <c r="I314" s="96">
        <v>150000</v>
      </c>
    </row>
    <row r="315" spans="1:39" s="80" customFormat="1" x14ac:dyDescent="0.35">
      <c r="A315" s="75" t="s">
        <v>446</v>
      </c>
      <c r="B315" s="223" t="s">
        <v>82</v>
      </c>
      <c r="C315" s="223"/>
      <c r="D315" s="223"/>
      <c r="E315" s="76" t="s">
        <v>49</v>
      </c>
      <c r="F315" s="76" t="s">
        <v>50</v>
      </c>
      <c r="G315" s="77"/>
      <c r="H315" s="78"/>
      <c r="I315" s="96">
        <f>50000+6258.8</f>
        <v>56258.8</v>
      </c>
    </row>
    <row r="316" spans="1:39" s="80" customFormat="1" x14ac:dyDescent="0.35">
      <c r="A316" s="75" t="s">
        <v>517</v>
      </c>
      <c r="B316" s="223" t="s">
        <v>82</v>
      </c>
      <c r="C316" s="223"/>
      <c r="D316" s="223"/>
      <c r="E316" s="76" t="s">
        <v>49</v>
      </c>
      <c r="F316" s="76" t="s">
        <v>50</v>
      </c>
      <c r="G316" s="77"/>
      <c r="H316" s="78"/>
      <c r="I316" s="96">
        <v>33790</v>
      </c>
    </row>
    <row r="317" spans="1:39" s="80" customFormat="1" x14ac:dyDescent="0.35">
      <c r="A317" s="75" t="s">
        <v>447</v>
      </c>
      <c r="B317" s="223" t="s">
        <v>82</v>
      </c>
      <c r="C317" s="223"/>
      <c r="D317" s="223"/>
      <c r="E317" s="76" t="s">
        <v>49</v>
      </c>
      <c r="F317" s="76" t="s">
        <v>50</v>
      </c>
      <c r="G317" s="77"/>
      <c r="H317" s="78"/>
      <c r="I317" s="96">
        <v>350000</v>
      </c>
    </row>
    <row r="318" spans="1:39" s="74" customFormat="1" ht="21" customHeight="1" x14ac:dyDescent="0.35">
      <c r="A318" s="70"/>
      <c r="B318" s="225" t="s">
        <v>124</v>
      </c>
      <c r="C318" s="226"/>
      <c r="D318" s="227"/>
      <c r="E318" s="71" t="s">
        <v>48</v>
      </c>
      <c r="F318" s="71" t="s">
        <v>48</v>
      </c>
      <c r="G318" s="71" t="s">
        <v>48</v>
      </c>
      <c r="H318" s="72"/>
      <c r="I318" s="103">
        <f>SUM(I319:I334)</f>
        <v>105797.00000000001</v>
      </c>
    </row>
    <row r="319" spans="1:39" s="80" customFormat="1" x14ac:dyDescent="0.35">
      <c r="A319" s="97" t="s">
        <v>274</v>
      </c>
      <c r="B319" s="224" t="s">
        <v>275</v>
      </c>
      <c r="C319" s="224"/>
      <c r="D319" s="224"/>
      <c r="E319" s="76" t="s">
        <v>49</v>
      </c>
      <c r="F319" s="76" t="s">
        <v>50</v>
      </c>
      <c r="G319" s="77"/>
      <c r="H319" s="78"/>
      <c r="I319" s="96">
        <v>8661</v>
      </c>
    </row>
    <row r="320" spans="1:39" s="80" customFormat="1" x14ac:dyDescent="0.35">
      <c r="A320" s="97" t="s">
        <v>276</v>
      </c>
      <c r="B320" s="224" t="s">
        <v>275</v>
      </c>
      <c r="C320" s="224"/>
      <c r="D320" s="224"/>
      <c r="E320" s="76" t="s">
        <v>49</v>
      </c>
      <c r="F320" s="76" t="s">
        <v>50</v>
      </c>
      <c r="G320" s="77"/>
      <c r="H320" s="78"/>
      <c r="I320" s="96">
        <v>1380.6</v>
      </c>
    </row>
    <row r="321" spans="1:10" s="80" customFormat="1" x14ac:dyDescent="0.35">
      <c r="A321" s="97" t="s">
        <v>277</v>
      </c>
      <c r="B321" s="224" t="s">
        <v>275</v>
      </c>
      <c r="C321" s="224"/>
      <c r="D321" s="224"/>
      <c r="E321" s="76" t="s">
        <v>49</v>
      </c>
      <c r="F321" s="76" t="s">
        <v>50</v>
      </c>
      <c r="G321" s="77"/>
      <c r="H321" s="78"/>
      <c r="I321" s="96">
        <v>23049.8</v>
      </c>
    </row>
    <row r="322" spans="1:10" s="80" customFormat="1" x14ac:dyDescent="0.35">
      <c r="A322" s="97" t="s">
        <v>278</v>
      </c>
      <c r="B322" s="224" t="s">
        <v>275</v>
      </c>
      <c r="C322" s="224"/>
      <c r="D322" s="224"/>
      <c r="E322" s="76" t="s">
        <v>49</v>
      </c>
      <c r="F322" s="76" t="s">
        <v>50</v>
      </c>
      <c r="G322" s="77"/>
      <c r="H322" s="78"/>
      <c r="I322" s="96">
        <v>13021.4</v>
      </c>
    </row>
    <row r="323" spans="1:10" s="80" customFormat="1" x14ac:dyDescent="0.35">
      <c r="A323" s="97" t="s">
        <v>279</v>
      </c>
      <c r="B323" s="224" t="s">
        <v>275</v>
      </c>
      <c r="C323" s="224"/>
      <c r="D323" s="224"/>
      <c r="E323" s="76" t="s">
        <v>49</v>
      </c>
      <c r="F323" s="76" t="s">
        <v>50</v>
      </c>
      <c r="G323" s="77"/>
      <c r="H323" s="78"/>
      <c r="I323" s="96">
        <v>8001.4</v>
      </c>
    </row>
    <row r="324" spans="1:10" s="80" customFormat="1" x14ac:dyDescent="0.35">
      <c r="A324" s="97" t="s">
        <v>280</v>
      </c>
      <c r="B324" s="224" t="s">
        <v>275</v>
      </c>
      <c r="C324" s="224"/>
      <c r="D324" s="224"/>
      <c r="E324" s="76" t="s">
        <v>49</v>
      </c>
      <c r="F324" s="76" t="s">
        <v>50</v>
      </c>
      <c r="G324" s="77"/>
      <c r="H324" s="78"/>
      <c r="I324" s="96">
        <v>4199.1000000000004</v>
      </c>
    </row>
    <row r="325" spans="1:10" s="80" customFormat="1" x14ac:dyDescent="0.35">
      <c r="A325" s="97" t="s">
        <v>281</v>
      </c>
      <c r="B325" s="224" t="s">
        <v>275</v>
      </c>
      <c r="C325" s="224"/>
      <c r="D325" s="224"/>
      <c r="E325" s="76" t="s">
        <v>49</v>
      </c>
      <c r="F325" s="76" t="s">
        <v>50</v>
      </c>
      <c r="G325" s="77"/>
      <c r="H325" s="78"/>
      <c r="I325" s="96">
        <v>532.9</v>
      </c>
    </row>
    <row r="326" spans="1:10" s="80" customFormat="1" x14ac:dyDescent="0.35">
      <c r="A326" s="97" t="s">
        <v>282</v>
      </c>
      <c r="B326" s="224" t="s">
        <v>275</v>
      </c>
      <c r="C326" s="224"/>
      <c r="D326" s="224"/>
      <c r="E326" s="76" t="s">
        <v>49</v>
      </c>
      <c r="F326" s="76" t="s">
        <v>50</v>
      </c>
      <c r="G326" s="77"/>
      <c r="H326" s="78"/>
      <c r="I326" s="96">
        <v>4009.3</v>
      </c>
    </row>
    <row r="327" spans="1:10" s="80" customFormat="1" x14ac:dyDescent="0.35">
      <c r="A327" s="97" t="s">
        <v>283</v>
      </c>
      <c r="B327" s="224" t="s">
        <v>275</v>
      </c>
      <c r="C327" s="224"/>
      <c r="D327" s="224"/>
      <c r="E327" s="76" t="s">
        <v>49</v>
      </c>
      <c r="F327" s="76" t="s">
        <v>50</v>
      </c>
      <c r="G327" s="77"/>
      <c r="H327" s="78"/>
      <c r="I327" s="96">
        <v>1557.1</v>
      </c>
    </row>
    <row r="328" spans="1:10" s="80" customFormat="1" x14ac:dyDescent="0.35">
      <c r="A328" s="97" t="s">
        <v>284</v>
      </c>
      <c r="B328" s="224" t="s">
        <v>275</v>
      </c>
      <c r="C328" s="224"/>
      <c r="D328" s="224"/>
      <c r="E328" s="76" t="s">
        <v>49</v>
      </c>
      <c r="F328" s="76" t="s">
        <v>50</v>
      </c>
      <c r="G328" s="77"/>
      <c r="H328" s="78"/>
      <c r="I328" s="96">
        <v>538.70000000000005</v>
      </c>
    </row>
    <row r="329" spans="1:10" s="80" customFormat="1" x14ac:dyDescent="0.35">
      <c r="A329" s="97" t="s">
        <v>285</v>
      </c>
      <c r="B329" s="224" t="s">
        <v>275</v>
      </c>
      <c r="C329" s="224"/>
      <c r="D329" s="224"/>
      <c r="E329" s="76" t="s">
        <v>49</v>
      </c>
      <c r="F329" s="76" t="s">
        <v>50</v>
      </c>
      <c r="G329" s="77"/>
      <c r="H329" s="78"/>
      <c r="I329" s="96">
        <v>977.3</v>
      </c>
    </row>
    <row r="330" spans="1:10" s="80" customFormat="1" x14ac:dyDescent="0.35">
      <c r="A330" s="97" t="s">
        <v>286</v>
      </c>
      <c r="B330" s="224" t="s">
        <v>275</v>
      </c>
      <c r="C330" s="224"/>
      <c r="D330" s="224"/>
      <c r="E330" s="76" t="s">
        <v>49</v>
      </c>
      <c r="F330" s="76" t="s">
        <v>50</v>
      </c>
      <c r="G330" s="77"/>
      <c r="H330" s="78"/>
      <c r="I330" s="96">
        <v>22120</v>
      </c>
    </row>
    <row r="331" spans="1:10" s="80" customFormat="1" x14ac:dyDescent="0.35">
      <c r="A331" s="97" t="s">
        <v>287</v>
      </c>
      <c r="B331" s="224" t="s">
        <v>275</v>
      </c>
      <c r="C331" s="224"/>
      <c r="D331" s="224"/>
      <c r="E331" s="76" t="s">
        <v>49</v>
      </c>
      <c r="F331" s="76" t="s">
        <v>50</v>
      </c>
      <c r="G331" s="77"/>
      <c r="H331" s="78"/>
      <c r="I331" s="96">
        <v>6677.6</v>
      </c>
    </row>
    <row r="332" spans="1:10" s="80" customFormat="1" x14ac:dyDescent="0.35">
      <c r="A332" s="97" t="s">
        <v>288</v>
      </c>
      <c r="B332" s="224" t="s">
        <v>275</v>
      </c>
      <c r="C332" s="224"/>
      <c r="D332" s="224"/>
      <c r="E332" s="76" t="s">
        <v>49</v>
      </c>
      <c r="F332" s="76" t="s">
        <v>50</v>
      </c>
      <c r="G332" s="77"/>
      <c r="H332" s="78"/>
      <c r="I332" s="96">
        <v>1377</v>
      </c>
    </row>
    <row r="333" spans="1:10" s="80" customFormat="1" x14ac:dyDescent="0.35">
      <c r="A333" s="97" t="s">
        <v>289</v>
      </c>
      <c r="B333" s="224" t="s">
        <v>275</v>
      </c>
      <c r="C333" s="224"/>
      <c r="D333" s="224"/>
      <c r="E333" s="76" t="s">
        <v>49</v>
      </c>
      <c r="F333" s="76" t="s">
        <v>50</v>
      </c>
      <c r="G333" s="77"/>
      <c r="H333" s="78"/>
      <c r="I333" s="96">
        <v>7213.8</v>
      </c>
    </row>
    <row r="334" spans="1:10" s="80" customFormat="1" x14ac:dyDescent="0.35">
      <c r="A334" s="97" t="s">
        <v>290</v>
      </c>
      <c r="B334" s="224" t="s">
        <v>275</v>
      </c>
      <c r="C334" s="224"/>
      <c r="D334" s="224"/>
      <c r="E334" s="76" t="s">
        <v>49</v>
      </c>
      <c r="F334" s="76" t="s">
        <v>50</v>
      </c>
      <c r="G334" s="77"/>
      <c r="H334" s="78"/>
      <c r="I334" s="96">
        <v>2480</v>
      </c>
    </row>
    <row r="335" spans="1:10" x14ac:dyDescent="0.45">
      <c r="J335" s="34"/>
    </row>
    <row r="336" spans="1:10" ht="44.9" customHeight="1" x14ac:dyDescent="0.45">
      <c r="A336" s="249" t="s">
        <v>522</v>
      </c>
      <c r="B336" s="249"/>
      <c r="C336" s="249"/>
      <c r="D336" s="249"/>
      <c r="E336" s="249"/>
      <c r="F336" s="249"/>
      <c r="G336" s="249"/>
      <c r="H336" s="249"/>
      <c r="I336" s="136">
        <f>+I337</f>
        <v>2449826.915</v>
      </c>
      <c r="J336" s="34"/>
    </row>
    <row r="337" spans="1:10" s="67" customFormat="1" x14ac:dyDescent="0.35">
      <c r="A337" s="65" t="s">
        <v>44</v>
      </c>
      <c r="B337" s="65" t="s">
        <v>45</v>
      </c>
      <c r="C337" s="65" t="s">
        <v>46</v>
      </c>
      <c r="D337" s="246" t="s">
        <v>47</v>
      </c>
      <c r="E337" s="247"/>
      <c r="F337" s="247"/>
      <c r="G337" s="247"/>
      <c r="H337" s="248"/>
      <c r="I337" s="137">
        <f>+I338+I355</f>
        <v>2449826.915</v>
      </c>
    </row>
    <row r="338" spans="1:10" ht="54.75" customHeight="1" x14ac:dyDescent="0.45">
      <c r="A338" s="68" t="s">
        <v>291</v>
      </c>
      <c r="B338" s="228" t="s">
        <v>316</v>
      </c>
      <c r="C338" s="229"/>
      <c r="D338" s="229"/>
      <c r="E338" s="229"/>
      <c r="F338" s="229"/>
      <c r="G338" s="229"/>
      <c r="H338" s="230"/>
      <c r="I338" s="102">
        <f>+I339+I348</f>
        <v>1149826.9149999998</v>
      </c>
      <c r="J338" s="34"/>
    </row>
    <row r="339" spans="1:10" s="74" customFormat="1" ht="21" customHeight="1" x14ac:dyDescent="0.35">
      <c r="A339" s="70"/>
      <c r="B339" s="225" t="s">
        <v>51</v>
      </c>
      <c r="C339" s="226"/>
      <c r="D339" s="227"/>
      <c r="E339" s="71" t="s">
        <v>48</v>
      </c>
      <c r="F339" s="71" t="s">
        <v>48</v>
      </c>
      <c r="G339" s="71" t="s">
        <v>48</v>
      </c>
      <c r="H339" s="72"/>
      <c r="I339" s="103">
        <f>SUM(I340:I347)</f>
        <v>1143434.7039999999</v>
      </c>
    </row>
    <row r="340" spans="1:10" s="80" customFormat="1" ht="17.399999999999999" customHeight="1" x14ac:dyDescent="0.35">
      <c r="A340" s="75" t="s">
        <v>555</v>
      </c>
      <c r="B340" s="223" t="s">
        <v>526</v>
      </c>
      <c r="C340" s="223"/>
      <c r="D340" s="223"/>
      <c r="E340" s="76" t="s">
        <v>556</v>
      </c>
      <c r="F340" s="76" t="s">
        <v>50</v>
      </c>
      <c r="G340" s="77"/>
      <c r="H340" s="138"/>
      <c r="I340" s="96">
        <f>130000+50000</f>
        <v>180000</v>
      </c>
    </row>
    <row r="341" spans="1:10" s="80" customFormat="1" x14ac:dyDescent="0.35">
      <c r="A341" s="75" t="s">
        <v>557</v>
      </c>
      <c r="B341" s="223" t="s">
        <v>524</v>
      </c>
      <c r="C341" s="223"/>
      <c r="D341" s="223"/>
      <c r="E341" s="76" t="s">
        <v>120</v>
      </c>
      <c r="F341" s="76" t="s">
        <v>50</v>
      </c>
      <c r="G341" s="77"/>
      <c r="H341" s="78"/>
      <c r="I341" s="96">
        <v>68249</v>
      </c>
    </row>
    <row r="342" spans="1:10" s="80" customFormat="1" x14ac:dyDescent="0.35">
      <c r="A342" s="75" t="s">
        <v>558</v>
      </c>
      <c r="B342" s="223" t="s">
        <v>524</v>
      </c>
      <c r="C342" s="223"/>
      <c r="D342" s="223"/>
      <c r="E342" s="76" t="s">
        <v>559</v>
      </c>
      <c r="F342" s="76" t="s">
        <v>50</v>
      </c>
      <c r="G342" s="77"/>
      <c r="H342" s="78"/>
      <c r="I342" s="96">
        <v>300000</v>
      </c>
    </row>
    <row r="343" spans="1:10" s="80" customFormat="1" x14ac:dyDescent="0.35">
      <c r="A343" s="75" t="s">
        <v>560</v>
      </c>
      <c r="B343" s="223" t="s">
        <v>524</v>
      </c>
      <c r="C343" s="223"/>
      <c r="D343" s="223"/>
      <c r="E343" s="76" t="s">
        <v>559</v>
      </c>
      <c r="F343" s="76" t="s">
        <v>50</v>
      </c>
      <c r="G343" s="77"/>
      <c r="H343" s="78"/>
      <c r="I343" s="96">
        <v>54371</v>
      </c>
    </row>
    <row r="344" spans="1:10" s="80" customFormat="1" x14ac:dyDescent="0.35">
      <c r="A344" s="75" t="s">
        <v>523</v>
      </c>
      <c r="B344" s="223" t="s">
        <v>524</v>
      </c>
      <c r="C344" s="223"/>
      <c r="D344" s="223"/>
      <c r="E344" s="76" t="s">
        <v>120</v>
      </c>
      <c r="F344" s="76" t="s">
        <v>50</v>
      </c>
      <c r="G344" s="77"/>
      <c r="H344" s="138"/>
      <c r="I344" s="96">
        <v>240814.704</v>
      </c>
    </row>
    <row r="345" spans="1:10" s="80" customFormat="1" x14ac:dyDescent="0.35">
      <c r="A345" s="75" t="s">
        <v>561</v>
      </c>
      <c r="B345" s="223" t="s">
        <v>524</v>
      </c>
      <c r="C345" s="223"/>
      <c r="D345" s="223"/>
      <c r="E345" s="76" t="s">
        <v>49</v>
      </c>
      <c r="F345" s="76" t="s">
        <v>50</v>
      </c>
      <c r="G345" s="77"/>
      <c r="H345" s="78"/>
      <c r="I345" s="96">
        <v>50000</v>
      </c>
    </row>
    <row r="346" spans="1:10" s="80" customFormat="1" x14ac:dyDescent="0.35">
      <c r="A346" s="75" t="s">
        <v>562</v>
      </c>
      <c r="B346" s="223" t="s">
        <v>524</v>
      </c>
      <c r="C346" s="223"/>
      <c r="D346" s="223"/>
      <c r="E346" s="76" t="s">
        <v>120</v>
      </c>
      <c r="F346" s="76" t="s">
        <v>50</v>
      </c>
      <c r="G346" s="77"/>
      <c r="H346" s="78"/>
      <c r="I346" s="96">
        <f>50000+100000</f>
        <v>150000</v>
      </c>
    </row>
    <row r="347" spans="1:10" s="80" customFormat="1" x14ac:dyDescent="0.35">
      <c r="A347" s="75" t="s">
        <v>525</v>
      </c>
      <c r="B347" s="223" t="s">
        <v>526</v>
      </c>
      <c r="C347" s="223"/>
      <c r="D347" s="223"/>
      <c r="E347" s="76" t="s">
        <v>527</v>
      </c>
      <c r="F347" s="76" t="s">
        <v>50</v>
      </c>
      <c r="G347" s="77">
        <v>100000000</v>
      </c>
      <c r="H347" s="78">
        <v>1</v>
      </c>
      <c r="I347" s="96">
        <f>+ROUNDUP(H347*G347/1000,3)</f>
        <v>100000</v>
      </c>
    </row>
    <row r="348" spans="1:10" s="74" customFormat="1" ht="21" customHeight="1" x14ac:dyDescent="0.35">
      <c r="A348" s="70"/>
      <c r="B348" s="225" t="s">
        <v>124</v>
      </c>
      <c r="C348" s="226"/>
      <c r="D348" s="227"/>
      <c r="E348" s="71" t="s">
        <v>48</v>
      </c>
      <c r="F348" s="71" t="s">
        <v>48</v>
      </c>
      <c r="G348" s="71" t="s">
        <v>48</v>
      </c>
      <c r="H348" s="72"/>
      <c r="I348" s="103">
        <f>SUM(I349:I354)</f>
        <v>6392.2110000000002</v>
      </c>
    </row>
    <row r="349" spans="1:10" s="80" customFormat="1" x14ac:dyDescent="0.35">
      <c r="A349" s="75" t="s">
        <v>563</v>
      </c>
      <c r="B349" s="223" t="s">
        <v>275</v>
      </c>
      <c r="C349" s="223"/>
      <c r="D349" s="223"/>
      <c r="E349" s="76" t="s">
        <v>162</v>
      </c>
      <c r="F349" s="76" t="s">
        <v>50</v>
      </c>
      <c r="G349" s="77"/>
      <c r="H349" s="78"/>
      <c r="I349" s="96">
        <v>2400</v>
      </c>
    </row>
    <row r="350" spans="1:10" s="80" customFormat="1" x14ac:dyDescent="0.35">
      <c r="A350" s="75" t="s">
        <v>528</v>
      </c>
      <c r="B350" s="223" t="s">
        <v>529</v>
      </c>
      <c r="C350" s="223"/>
      <c r="D350" s="223"/>
      <c r="E350" s="76" t="s">
        <v>162</v>
      </c>
      <c r="F350" s="76" t="s">
        <v>50</v>
      </c>
      <c r="G350" s="77"/>
      <c r="H350" s="78"/>
      <c r="I350" s="96">
        <v>1598.2159999999999</v>
      </c>
    </row>
    <row r="351" spans="1:10" s="80" customFormat="1" x14ac:dyDescent="0.35">
      <c r="A351" s="75" t="s">
        <v>530</v>
      </c>
      <c r="B351" s="223" t="s">
        <v>529</v>
      </c>
      <c r="C351" s="223"/>
      <c r="D351" s="223"/>
      <c r="E351" s="76" t="s">
        <v>162</v>
      </c>
      <c r="F351" s="76" t="s">
        <v>50</v>
      </c>
      <c r="G351" s="77">
        <v>1000000</v>
      </c>
      <c r="H351" s="78">
        <v>1</v>
      </c>
      <c r="I351" s="96">
        <f>+ROUNDUP(H351*G351/1000,3)</f>
        <v>1000</v>
      </c>
    </row>
    <row r="352" spans="1:10" s="80" customFormat="1" x14ac:dyDescent="0.35">
      <c r="A352" s="94" t="s">
        <v>564</v>
      </c>
      <c r="B352" s="250" t="s">
        <v>125</v>
      </c>
      <c r="C352" s="250"/>
      <c r="D352" s="250"/>
      <c r="E352" s="95" t="s">
        <v>126</v>
      </c>
      <c r="F352" s="76" t="s">
        <v>50</v>
      </c>
      <c r="G352" s="77"/>
      <c r="H352" s="78"/>
      <c r="I352" s="96">
        <v>500</v>
      </c>
    </row>
    <row r="353" spans="1:10" s="80" customFormat="1" x14ac:dyDescent="0.35">
      <c r="A353" s="94" t="s">
        <v>531</v>
      </c>
      <c r="B353" s="250" t="s">
        <v>125</v>
      </c>
      <c r="C353" s="250"/>
      <c r="D353" s="250"/>
      <c r="E353" s="95" t="s">
        <v>126</v>
      </c>
      <c r="F353" s="76" t="s">
        <v>50</v>
      </c>
      <c r="G353" s="77"/>
      <c r="H353" s="78"/>
      <c r="I353" s="96">
        <v>319.995</v>
      </c>
    </row>
    <row r="354" spans="1:10" s="80" customFormat="1" x14ac:dyDescent="0.35">
      <c r="A354" s="94" t="s">
        <v>565</v>
      </c>
      <c r="B354" s="250" t="s">
        <v>125</v>
      </c>
      <c r="C354" s="250"/>
      <c r="D354" s="250"/>
      <c r="E354" s="95" t="s">
        <v>126</v>
      </c>
      <c r="F354" s="76" t="s">
        <v>50</v>
      </c>
      <c r="G354" s="77"/>
      <c r="H354" s="78"/>
      <c r="I354" s="96">
        <v>574</v>
      </c>
    </row>
    <row r="355" spans="1:10" ht="54.75" customHeight="1" x14ac:dyDescent="0.45">
      <c r="A355" s="68" t="s">
        <v>79</v>
      </c>
      <c r="B355" s="228" t="s">
        <v>80</v>
      </c>
      <c r="C355" s="229"/>
      <c r="D355" s="229"/>
      <c r="E355" s="229"/>
      <c r="F355" s="229"/>
      <c r="G355" s="229"/>
      <c r="H355" s="230"/>
      <c r="I355" s="102">
        <f>+I356</f>
        <v>1300000</v>
      </c>
      <c r="J355" s="34"/>
    </row>
    <row r="356" spans="1:10" s="74" customFormat="1" ht="21" customHeight="1" x14ac:dyDescent="0.35">
      <c r="A356" s="70"/>
      <c r="B356" s="225" t="s">
        <v>51</v>
      </c>
      <c r="C356" s="226"/>
      <c r="D356" s="227"/>
      <c r="E356" s="71" t="s">
        <v>48</v>
      </c>
      <c r="F356" s="71" t="s">
        <v>48</v>
      </c>
      <c r="G356" s="71" t="s">
        <v>48</v>
      </c>
      <c r="H356" s="72"/>
      <c r="I356" s="103">
        <f>SUM(I357:I371)</f>
        <v>1300000</v>
      </c>
    </row>
    <row r="357" spans="1:10" s="80" customFormat="1" x14ac:dyDescent="0.35">
      <c r="A357" s="75" t="s">
        <v>532</v>
      </c>
      <c r="B357" s="223" t="s">
        <v>533</v>
      </c>
      <c r="C357" s="223"/>
      <c r="D357" s="223"/>
      <c r="E357" s="76" t="s">
        <v>49</v>
      </c>
      <c r="F357" s="76" t="s">
        <v>50</v>
      </c>
      <c r="G357" s="77">
        <f>80000000+129000000</f>
        <v>209000000</v>
      </c>
      <c r="H357" s="78">
        <v>1</v>
      </c>
      <c r="I357" s="96">
        <f t="shared" ref="I357:I371" si="31">+ROUNDUP(H357*G357/1000,3)</f>
        <v>209000</v>
      </c>
    </row>
    <row r="358" spans="1:10" s="80" customFormat="1" x14ac:dyDescent="0.35">
      <c r="A358" s="75" t="s">
        <v>572</v>
      </c>
      <c r="B358" s="223" t="s">
        <v>533</v>
      </c>
      <c r="C358" s="223"/>
      <c r="D358" s="223"/>
      <c r="E358" s="76" t="s">
        <v>49</v>
      </c>
      <c r="F358" s="76" t="s">
        <v>50</v>
      </c>
      <c r="G358" s="77">
        <v>80000000</v>
      </c>
      <c r="H358" s="78">
        <v>1</v>
      </c>
      <c r="I358" s="96">
        <f t="shared" si="31"/>
        <v>80000</v>
      </c>
    </row>
    <row r="359" spans="1:10" s="80" customFormat="1" x14ac:dyDescent="0.35">
      <c r="A359" s="75" t="s">
        <v>534</v>
      </c>
      <c r="B359" s="223" t="s">
        <v>533</v>
      </c>
      <c r="C359" s="223"/>
      <c r="D359" s="223"/>
      <c r="E359" s="76" t="s">
        <v>49</v>
      </c>
      <c r="F359" s="76" t="s">
        <v>50</v>
      </c>
      <c r="G359" s="77">
        <v>120000000</v>
      </c>
      <c r="H359" s="78">
        <v>1</v>
      </c>
      <c r="I359" s="96">
        <f t="shared" si="31"/>
        <v>120000</v>
      </c>
    </row>
    <row r="360" spans="1:10" s="80" customFormat="1" x14ac:dyDescent="0.35">
      <c r="A360" s="75" t="s">
        <v>535</v>
      </c>
      <c r="B360" s="223" t="s">
        <v>533</v>
      </c>
      <c r="C360" s="223"/>
      <c r="D360" s="223"/>
      <c r="E360" s="76" t="s">
        <v>49</v>
      </c>
      <c r="F360" s="76" t="s">
        <v>50</v>
      </c>
      <c r="G360" s="77">
        <v>120000000</v>
      </c>
      <c r="H360" s="78">
        <v>1</v>
      </c>
      <c r="I360" s="96">
        <f t="shared" si="31"/>
        <v>120000</v>
      </c>
    </row>
    <row r="361" spans="1:10" s="80" customFormat="1" x14ac:dyDescent="0.35">
      <c r="A361" s="75" t="s">
        <v>536</v>
      </c>
      <c r="B361" s="223" t="s">
        <v>533</v>
      </c>
      <c r="C361" s="223"/>
      <c r="D361" s="223"/>
      <c r="E361" s="76" t="s">
        <v>49</v>
      </c>
      <c r="F361" s="76" t="s">
        <v>50</v>
      </c>
      <c r="G361" s="77">
        <v>80000000</v>
      </c>
      <c r="H361" s="78">
        <v>1</v>
      </c>
      <c r="I361" s="96">
        <f t="shared" si="31"/>
        <v>80000</v>
      </c>
    </row>
    <row r="362" spans="1:10" s="80" customFormat="1" x14ac:dyDescent="0.35">
      <c r="A362" s="75" t="s">
        <v>537</v>
      </c>
      <c r="B362" s="223" t="s">
        <v>533</v>
      </c>
      <c r="C362" s="223"/>
      <c r="D362" s="223"/>
      <c r="E362" s="76" t="s">
        <v>49</v>
      </c>
      <c r="F362" s="76" t="s">
        <v>50</v>
      </c>
      <c r="G362" s="77">
        <v>80000000</v>
      </c>
      <c r="H362" s="78">
        <v>1</v>
      </c>
      <c r="I362" s="96">
        <f t="shared" si="31"/>
        <v>80000</v>
      </c>
    </row>
    <row r="363" spans="1:10" s="80" customFormat="1" x14ac:dyDescent="0.35">
      <c r="A363" s="75" t="s">
        <v>538</v>
      </c>
      <c r="B363" s="223" t="s">
        <v>533</v>
      </c>
      <c r="C363" s="223"/>
      <c r="D363" s="223"/>
      <c r="E363" s="76" t="s">
        <v>49</v>
      </c>
      <c r="F363" s="76" t="s">
        <v>50</v>
      </c>
      <c r="G363" s="77">
        <v>80000000</v>
      </c>
      <c r="H363" s="78">
        <v>1</v>
      </c>
      <c r="I363" s="96">
        <f t="shared" si="31"/>
        <v>80000</v>
      </c>
    </row>
    <row r="364" spans="1:10" s="80" customFormat="1" x14ac:dyDescent="0.35">
      <c r="A364" s="75" t="s">
        <v>539</v>
      </c>
      <c r="B364" s="223" t="s">
        <v>533</v>
      </c>
      <c r="C364" s="223"/>
      <c r="D364" s="223"/>
      <c r="E364" s="76" t="s">
        <v>49</v>
      </c>
      <c r="F364" s="76" t="s">
        <v>50</v>
      </c>
      <c r="G364" s="77">
        <v>80000000</v>
      </c>
      <c r="H364" s="78">
        <v>1</v>
      </c>
      <c r="I364" s="96">
        <f t="shared" si="31"/>
        <v>80000</v>
      </c>
    </row>
    <row r="365" spans="1:10" s="80" customFormat="1" x14ac:dyDescent="0.35">
      <c r="A365" s="75" t="s">
        <v>540</v>
      </c>
      <c r="B365" s="223" t="s">
        <v>533</v>
      </c>
      <c r="C365" s="223"/>
      <c r="D365" s="223"/>
      <c r="E365" s="76" t="s">
        <v>49</v>
      </c>
      <c r="F365" s="76" t="s">
        <v>50</v>
      </c>
      <c r="G365" s="77">
        <v>70000000</v>
      </c>
      <c r="H365" s="78">
        <v>1</v>
      </c>
      <c r="I365" s="96">
        <f t="shared" si="31"/>
        <v>70000</v>
      </c>
    </row>
    <row r="366" spans="1:10" s="80" customFormat="1" x14ac:dyDescent="0.35">
      <c r="A366" s="75" t="s">
        <v>541</v>
      </c>
      <c r="B366" s="223" t="s">
        <v>533</v>
      </c>
      <c r="C366" s="223"/>
      <c r="D366" s="223"/>
      <c r="E366" s="76" t="s">
        <v>49</v>
      </c>
      <c r="F366" s="76" t="s">
        <v>50</v>
      </c>
      <c r="G366" s="77">
        <v>150000000</v>
      </c>
      <c r="H366" s="78">
        <v>1</v>
      </c>
      <c r="I366" s="96">
        <f t="shared" si="31"/>
        <v>150000</v>
      </c>
    </row>
    <row r="367" spans="1:10" s="80" customFormat="1" x14ac:dyDescent="0.35">
      <c r="A367" s="75" t="s">
        <v>542</v>
      </c>
      <c r="B367" s="223" t="s">
        <v>533</v>
      </c>
      <c r="C367" s="223"/>
      <c r="D367" s="223"/>
      <c r="E367" s="76" t="s">
        <v>49</v>
      </c>
      <c r="F367" s="76" t="s">
        <v>50</v>
      </c>
      <c r="G367" s="77">
        <v>57697200</v>
      </c>
      <c r="H367" s="78">
        <v>1</v>
      </c>
      <c r="I367" s="96">
        <f t="shared" si="31"/>
        <v>57697.2</v>
      </c>
    </row>
    <row r="368" spans="1:10" s="80" customFormat="1" x14ac:dyDescent="0.35">
      <c r="A368" s="75" t="s">
        <v>574</v>
      </c>
      <c r="B368" s="223" t="s">
        <v>533</v>
      </c>
      <c r="C368" s="223"/>
      <c r="D368" s="223"/>
      <c r="E368" s="76" t="s">
        <v>49</v>
      </c>
      <c r="F368" s="76" t="s">
        <v>50</v>
      </c>
      <c r="G368" s="77">
        <v>40000000</v>
      </c>
      <c r="H368" s="78">
        <v>1</v>
      </c>
      <c r="I368" s="79">
        <f t="shared" si="31"/>
        <v>40000</v>
      </c>
    </row>
    <row r="369" spans="1:10" s="80" customFormat="1" x14ac:dyDescent="0.35">
      <c r="A369" s="75" t="s">
        <v>575</v>
      </c>
      <c r="B369" s="223" t="s">
        <v>533</v>
      </c>
      <c r="C369" s="223"/>
      <c r="D369" s="223"/>
      <c r="E369" s="76" t="s">
        <v>49</v>
      </c>
      <c r="F369" s="76" t="s">
        <v>50</v>
      </c>
      <c r="G369" s="77">
        <v>40000000</v>
      </c>
      <c r="H369" s="78">
        <v>1</v>
      </c>
      <c r="I369" s="79">
        <f t="shared" si="31"/>
        <v>40000</v>
      </c>
    </row>
    <row r="370" spans="1:10" s="80" customFormat="1" x14ac:dyDescent="0.35">
      <c r="A370" s="75" t="s">
        <v>576</v>
      </c>
      <c r="B370" s="223" t="s">
        <v>533</v>
      </c>
      <c r="C370" s="223"/>
      <c r="D370" s="223"/>
      <c r="E370" s="76" t="s">
        <v>49</v>
      </c>
      <c r="F370" s="76" t="s">
        <v>50</v>
      </c>
      <c r="G370" s="77">
        <v>42600000</v>
      </c>
      <c r="H370" s="78">
        <v>1</v>
      </c>
      <c r="I370" s="79">
        <f t="shared" si="31"/>
        <v>42600</v>
      </c>
    </row>
    <row r="371" spans="1:10" s="80" customFormat="1" x14ac:dyDescent="0.35">
      <c r="A371" s="75" t="s">
        <v>577</v>
      </c>
      <c r="B371" s="223" t="s">
        <v>533</v>
      </c>
      <c r="C371" s="223"/>
      <c r="D371" s="223"/>
      <c r="E371" s="76" t="s">
        <v>49</v>
      </c>
      <c r="F371" s="76" t="s">
        <v>50</v>
      </c>
      <c r="G371" s="77">
        <v>50702800</v>
      </c>
      <c r="H371" s="78">
        <v>1</v>
      </c>
      <c r="I371" s="79">
        <f t="shared" si="31"/>
        <v>50702.8</v>
      </c>
    </row>
    <row r="372" spans="1:10" x14ac:dyDescent="0.45">
      <c r="J372" s="34"/>
    </row>
  </sheetData>
  <mergeCells count="369">
    <mergeCell ref="B368:D368"/>
    <mergeCell ref="B369:D369"/>
    <mergeCell ref="B370:D370"/>
    <mergeCell ref="B371:D371"/>
    <mergeCell ref="B367:D367"/>
    <mergeCell ref="B340:D340"/>
    <mergeCell ref="B341:D341"/>
    <mergeCell ref="B342:D342"/>
    <mergeCell ref="B343:D343"/>
    <mergeCell ref="B345:D345"/>
    <mergeCell ref="B346:D346"/>
    <mergeCell ref="B349:D349"/>
    <mergeCell ref="B352:D352"/>
    <mergeCell ref="B354:D354"/>
    <mergeCell ref="B358:D358"/>
    <mergeCell ref="B357:D357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39:D339"/>
    <mergeCell ref="B344:D344"/>
    <mergeCell ref="B347:D347"/>
    <mergeCell ref="B348:D348"/>
    <mergeCell ref="B350:D350"/>
    <mergeCell ref="B351:D351"/>
    <mergeCell ref="B353:D353"/>
    <mergeCell ref="B355:H355"/>
    <mergeCell ref="B356:D356"/>
    <mergeCell ref="B294:D294"/>
    <mergeCell ref="B301:D301"/>
    <mergeCell ref="B302:D302"/>
    <mergeCell ref="B303:D303"/>
    <mergeCell ref="B310:D310"/>
    <mergeCell ref="B316:D316"/>
    <mergeCell ref="A336:H336"/>
    <mergeCell ref="D337:H337"/>
    <mergeCell ref="B338:H338"/>
    <mergeCell ref="B326:D326"/>
    <mergeCell ref="B327:D327"/>
    <mergeCell ref="B318:D318"/>
    <mergeCell ref="B319:D319"/>
    <mergeCell ref="B320:D320"/>
    <mergeCell ref="B321:D321"/>
    <mergeCell ref="B322:D322"/>
    <mergeCell ref="B333:D333"/>
    <mergeCell ref="B334:D334"/>
    <mergeCell ref="B332:D332"/>
    <mergeCell ref="B280:D280"/>
    <mergeCell ref="B281:D281"/>
    <mergeCell ref="B282:D282"/>
    <mergeCell ref="B283:D283"/>
    <mergeCell ref="B284:D284"/>
    <mergeCell ref="B40:D40"/>
    <mergeCell ref="B47:D47"/>
    <mergeCell ref="B51:D51"/>
    <mergeCell ref="B52:D52"/>
    <mergeCell ref="B57:D57"/>
    <mergeCell ref="B58:D58"/>
    <mergeCell ref="B59:D59"/>
    <mergeCell ref="B60:D60"/>
    <mergeCell ref="B61:D61"/>
    <mergeCell ref="B212:D212"/>
    <mergeCell ref="B213:D213"/>
    <mergeCell ref="B233:D233"/>
    <mergeCell ref="B234:D234"/>
    <mergeCell ref="B239:D239"/>
    <mergeCell ref="B240:D240"/>
    <mergeCell ref="B241:D241"/>
    <mergeCell ref="B242:D242"/>
    <mergeCell ref="B268:D268"/>
    <mergeCell ref="B178:D178"/>
    <mergeCell ref="B45:D45"/>
    <mergeCell ref="B46:D46"/>
    <mergeCell ref="B50:D50"/>
    <mergeCell ref="B92:D92"/>
    <mergeCell ref="B93:D93"/>
    <mergeCell ref="B94:D94"/>
    <mergeCell ref="B104:D104"/>
    <mergeCell ref="B105:D105"/>
    <mergeCell ref="B125:D125"/>
    <mergeCell ref="B116:D116"/>
    <mergeCell ref="B84:D84"/>
    <mergeCell ref="B87:D87"/>
    <mergeCell ref="B88:D88"/>
    <mergeCell ref="B89:D89"/>
    <mergeCell ref="B90:D90"/>
    <mergeCell ref="B91:D91"/>
    <mergeCell ref="B124:D124"/>
    <mergeCell ref="B119:D119"/>
    <mergeCell ref="B120:D120"/>
    <mergeCell ref="B121:D121"/>
    <mergeCell ref="B122:D122"/>
    <mergeCell ref="B123:D123"/>
    <mergeCell ref="B108:D108"/>
    <mergeCell ref="B109:D109"/>
    <mergeCell ref="B126:D126"/>
    <mergeCell ref="B131:D131"/>
    <mergeCell ref="B132:D132"/>
    <mergeCell ref="B133:D133"/>
    <mergeCell ref="B134:D134"/>
    <mergeCell ref="B160:D160"/>
    <mergeCell ref="B172:D172"/>
    <mergeCell ref="B173:D173"/>
    <mergeCell ref="B174:D174"/>
    <mergeCell ref="B171:D171"/>
    <mergeCell ref="B128:D128"/>
    <mergeCell ref="B129:D129"/>
    <mergeCell ref="B130:D130"/>
    <mergeCell ref="B135:D135"/>
    <mergeCell ref="B142:D142"/>
    <mergeCell ref="B155:D155"/>
    <mergeCell ref="B156:D156"/>
    <mergeCell ref="B157:D157"/>
    <mergeCell ref="B158:D158"/>
    <mergeCell ref="B136:D136"/>
    <mergeCell ref="B138:D138"/>
    <mergeCell ref="B139:D139"/>
    <mergeCell ref="B140:D140"/>
    <mergeCell ref="B141:D141"/>
    <mergeCell ref="B175:D175"/>
    <mergeCell ref="B176:D176"/>
    <mergeCell ref="B181:D181"/>
    <mergeCell ref="B12:D12"/>
    <mergeCell ref="A13:H13"/>
    <mergeCell ref="D14:H14"/>
    <mergeCell ref="B75:H75"/>
    <mergeCell ref="B76:D76"/>
    <mergeCell ref="B79:D79"/>
    <mergeCell ref="B78:D78"/>
    <mergeCell ref="B143:D143"/>
    <mergeCell ref="B144:D144"/>
    <mergeCell ref="B145:D145"/>
    <mergeCell ref="B146:D146"/>
    <mergeCell ref="B147:D147"/>
    <mergeCell ref="B148:D148"/>
    <mergeCell ref="B83:D83"/>
    <mergeCell ref="B85:D85"/>
    <mergeCell ref="B163:D163"/>
    <mergeCell ref="B164:D164"/>
    <mergeCell ref="B165:D165"/>
    <mergeCell ref="B179:D179"/>
    <mergeCell ref="B180:D180"/>
    <mergeCell ref="B166:D166"/>
    <mergeCell ref="B177:D17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12:D112"/>
    <mergeCell ref="B127:D127"/>
    <mergeCell ref="B151:D151"/>
    <mergeCell ref="B152:D152"/>
    <mergeCell ref="B149:D149"/>
    <mergeCell ref="B150:D150"/>
    <mergeCell ref="B96:D96"/>
    <mergeCell ref="B97:D97"/>
    <mergeCell ref="B113:D113"/>
    <mergeCell ref="B117:D117"/>
    <mergeCell ref="B118:D118"/>
    <mergeCell ref="B114:D114"/>
    <mergeCell ref="B115:D115"/>
    <mergeCell ref="B184:D184"/>
    <mergeCell ref="B205:D205"/>
    <mergeCell ref="B214:D214"/>
    <mergeCell ref="B274:D274"/>
    <mergeCell ref="B77:D77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53:D153"/>
    <mergeCell ref="B154:D154"/>
    <mergeCell ref="B161:D161"/>
    <mergeCell ref="B162:D162"/>
    <mergeCell ref="B86:D86"/>
    <mergeCell ref="B80:D80"/>
    <mergeCell ref="B81:D81"/>
    <mergeCell ref="B82:D82"/>
    <mergeCell ref="B210:D210"/>
    <mergeCell ref="B211:D211"/>
    <mergeCell ref="B203:D203"/>
    <mergeCell ref="B206:D206"/>
    <mergeCell ref="B207:D207"/>
    <mergeCell ref="B208:D208"/>
    <mergeCell ref="B209:D209"/>
    <mergeCell ref="B196:D196"/>
    <mergeCell ref="B197:D197"/>
    <mergeCell ref="B198:D198"/>
    <mergeCell ref="B199:D199"/>
    <mergeCell ref="B200:D200"/>
    <mergeCell ref="B201:D201"/>
    <mergeCell ref="B202:D202"/>
    <mergeCell ref="B217:D217"/>
    <mergeCell ref="B216:D216"/>
    <mergeCell ref="B215:D215"/>
    <mergeCell ref="B235:D235"/>
    <mergeCell ref="B236:D236"/>
    <mergeCell ref="B228:D228"/>
    <mergeCell ref="B229:D229"/>
    <mergeCell ref="B230:D230"/>
    <mergeCell ref="B231:D231"/>
    <mergeCell ref="B232:D232"/>
    <mergeCell ref="B223:D223"/>
    <mergeCell ref="B224:D224"/>
    <mergeCell ref="B225:D225"/>
    <mergeCell ref="B226:D226"/>
    <mergeCell ref="B227:D227"/>
    <mergeCell ref="B218:D218"/>
    <mergeCell ref="B219:D219"/>
    <mergeCell ref="B220:D220"/>
    <mergeCell ref="B221:D221"/>
    <mergeCell ref="B222:D222"/>
    <mergeCell ref="B255:D255"/>
    <mergeCell ref="B256:D256"/>
    <mergeCell ref="B247:D247"/>
    <mergeCell ref="B248:D248"/>
    <mergeCell ref="B249:D249"/>
    <mergeCell ref="B250:D250"/>
    <mergeCell ref="B251:D251"/>
    <mergeCell ref="B237:D237"/>
    <mergeCell ref="B238:D238"/>
    <mergeCell ref="B243:D243"/>
    <mergeCell ref="B244:D244"/>
    <mergeCell ref="B246:D246"/>
    <mergeCell ref="B110:D110"/>
    <mergeCell ref="B111:D111"/>
    <mergeCell ref="B279:D279"/>
    <mergeCell ref="B287:D287"/>
    <mergeCell ref="B288:D288"/>
    <mergeCell ref="B289:D289"/>
    <mergeCell ref="B285:D285"/>
    <mergeCell ref="B273:D273"/>
    <mergeCell ref="B275:D275"/>
    <mergeCell ref="B276:D276"/>
    <mergeCell ref="B277:D277"/>
    <mergeCell ref="B278:D278"/>
    <mergeCell ref="B267:D267"/>
    <mergeCell ref="B269:D269"/>
    <mergeCell ref="B270:D270"/>
    <mergeCell ref="B271:D271"/>
    <mergeCell ref="B272:D272"/>
    <mergeCell ref="B262:D262"/>
    <mergeCell ref="B263:D263"/>
    <mergeCell ref="B264:D264"/>
    <mergeCell ref="B265:D265"/>
    <mergeCell ref="B266:D266"/>
    <mergeCell ref="B183:D183"/>
    <mergeCell ref="B253:D253"/>
    <mergeCell ref="B95:D95"/>
    <mergeCell ref="B98:D98"/>
    <mergeCell ref="B99:D99"/>
    <mergeCell ref="B100:D100"/>
    <mergeCell ref="B101:D101"/>
    <mergeCell ref="B102:D102"/>
    <mergeCell ref="B103:D103"/>
    <mergeCell ref="B106:D106"/>
    <mergeCell ref="B107:D107"/>
    <mergeCell ref="B292:H292"/>
    <mergeCell ref="B293:D293"/>
    <mergeCell ref="B309:D309"/>
    <mergeCell ref="B245:D245"/>
    <mergeCell ref="B295:D295"/>
    <mergeCell ref="B296:D296"/>
    <mergeCell ref="B297:D297"/>
    <mergeCell ref="B298:D298"/>
    <mergeCell ref="B299:D299"/>
    <mergeCell ref="B300:D300"/>
    <mergeCell ref="B304:D304"/>
    <mergeCell ref="B305:D305"/>
    <mergeCell ref="B306:D306"/>
    <mergeCell ref="B307:D307"/>
    <mergeCell ref="B286:D286"/>
    <mergeCell ref="B290:D290"/>
    <mergeCell ref="B291:D291"/>
    <mergeCell ref="B257:D257"/>
    <mergeCell ref="B258:D258"/>
    <mergeCell ref="B259:D259"/>
    <mergeCell ref="B260:D260"/>
    <mergeCell ref="B261:D261"/>
    <mergeCell ref="B252:D252"/>
    <mergeCell ref="B254:D254"/>
    <mergeCell ref="B15:H15"/>
    <mergeCell ref="B16:D16"/>
    <mergeCell ref="B20:D20"/>
    <mergeCell ref="B24:D24"/>
    <mergeCell ref="B25:D25"/>
    <mergeCell ref="B27:D27"/>
    <mergeCell ref="B30:D30"/>
    <mergeCell ref="B35:D35"/>
    <mergeCell ref="B36:D36"/>
    <mergeCell ref="B17:D17"/>
    <mergeCell ref="B18:D18"/>
    <mergeCell ref="B19:D19"/>
    <mergeCell ref="B21:D21"/>
    <mergeCell ref="B22:D22"/>
    <mergeCell ref="B23:D23"/>
    <mergeCell ref="B26:D26"/>
    <mergeCell ref="B28:D28"/>
    <mergeCell ref="B29:D29"/>
    <mergeCell ref="B31:D31"/>
    <mergeCell ref="B32:D32"/>
    <mergeCell ref="B33:D33"/>
    <mergeCell ref="B34:D34"/>
    <mergeCell ref="B38:D38"/>
    <mergeCell ref="B39:D39"/>
    <mergeCell ref="B44:D44"/>
    <mergeCell ref="B55:D55"/>
    <mergeCell ref="B56:D56"/>
    <mergeCell ref="B328:D328"/>
    <mergeCell ref="B329:D329"/>
    <mergeCell ref="B330:D330"/>
    <mergeCell ref="B331:D331"/>
    <mergeCell ref="B323:D323"/>
    <mergeCell ref="B324:D324"/>
    <mergeCell ref="B325:D325"/>
    <mergeCell ref="B41:D41"/>
    <mergeCell ref="B42:D42"/>
    <mergeCell ref="B43:D43"/>
    <mergeCell ref="B48:D48"/>
    <mergeCell ref="B49:D49"/>
    <mergeCell ref="B73:D73"/>
    <mergeCell ref="B74:D74"/>
    <mergeCell ref="B167:D167"/>
    <mergeCell ref="B168:D168"/>
    <mergeCell ref="B169:D169"/>
    <mergeCell ref="B170:D170"/>
    <mergeCell ref="B182:D182"/>
    <mergeCell ref="B37:D37"/>
    <mergeCell ref="B68:D68"/>
    <mergeCell ref="B69:D69"/>
    <mergeCell ref="B70:D70"/>
    <mergeCell ref="B315:D315"/>
    <mergeCell ref="B317:D317"/>
    <mergeCell ref="B308:D308"/>
    <mergeCell ref="B311:D311"/>
    <mergeCell ref="B312:D312"/>
    <mergeCell ref="B313:D313"/>
    <mergeCell ref="B314:D314"/>
    <mergeCell ref="B53:D53"/>
    <mergeCell ref="B54:D54"/>
    <mergeCell ref="B62:D62"/>
    <mergeCell ref="B137:D137"/>
    <mergeCell ref="B204:D204"/>
    <mergeCell ref="B71:D71"/>
    <mergeCell ref="B72:D72"/>
    <mergeCell ref="B63:D63"/>
    <mergeCell ref="B64:D64"/>
    <mergeCell ref="B65:D65"/>
    <mergeCell ref="B66:D66"/>
    <mergeCell ref="B67:D67"/>
    <mergeCell ref="B159:D159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5"/>
  <sheetViews>
    <sheetView zoomScale="70" zoomScaleNormal="70" zoomScaleSheetLayoutView="100" workbookViewId="0">
      <selection activeCell="G12" sqref="G12"/>
    </sheetView>
  </sheetViews>
  <sheetFormatPr defaultColWidth="9.08984375" defaultRowHeight="17" x14ac:dyDescent="0.45"/>
  <cols>
    <col min="1" max="3" width="8.90625" style="1" customWidth="1"/>
    <col min="4" max="4" width="10.36328125" style="1" customWidth="1"/>
    <col min="5" max="5" width="14.54296875" style="1" customWidth="1"/>
    <col min="6" max="6" width="62.08984375" style="1" customWidth="1"/>
    <col min="7" max="7" width="31.1796875" style="1" customWidth="1"/>
    <col min="8" max="8" width="49.90625" style="1" customWidth="1"/>
    <col min="9" max="9" width="14.36328125" style="1" customWidth="1"/>
    <col min="10" max="16384" width="9.08984375" style="1"/>
  </cols>
  <sheetData>
    <row r="1" spans="1:7" ht="38.15" customHeight="1" x14ac:dyDescent="0.45">
      <c r="F1" s="272" t="s">
        <v>636</v>
      </c>
      <c r="G1" s="272"/>
    </row>
    <row r="2" spans="1:7" ht="17.5" customHeight="1" x14ac:dyDescent="0.45">
      <c r="G2" s="159" t="s">
        <v>35</v>
      </c>
    </row>
    <row r="3" spans="1:7" ht="17.5" customHeight="1" x14ac:dyDescent="0.45">
      <c r="G3" s="159" t="s">
        <v>36</v>
      </c>
    </row>
    <row r="6" spans="1:7" ht="38.15" customHeight="1" x14ac:dyDescent="0.45">
      <c r="F6" s="272" t="s">
        <v>637</v>
      </c>
      <c r="G6" s="272"/>
    </row>
    <row r="7" spans="1:7" ht="17.5" customHeight="1" x14ac:dyDescent="0.45">
      <c r="G7" s="159" t="s">
        <v>35</v>
      </c>
    </row>
    <row r="8" spans="1:7" ht="17.5" customHeight="1" x14ac:dyDescent="0.45">
      <c r="G8" s="159" t="s">
        <v>638</v>
      </c>
    </row>
    <row r="9" spans="1:7" ht="52.5" customHeight="1" x14ac:dyDescent="0.45">
      <c r="A9" s="273" t="s">
        <v>609</v>
      </c>
      <c r="B9" s="273"/>
      <c r="C9" s="273"/>
      <c r="D9" s="273"/>
      <c r="E9" s="273"/>
      <c r="F9" s="273"/>
      <c r="G9" s="273"/>
    </row>
    <row r="11" spans="1:7" x14ac:dyDescent="0.45">
      <c r="G11" s="160"/>
    </row>
    <row r="12" spans="1:7" s="161" customFormat="1" ht="114.65" customHeight="1" x14ac:dyDescent="0.35">
      <c r="A12" s="274" t="s">
        <v>610</v>
      </c>
      <c r="B12" s="274"/>
      <c r="C12" s="274"/>
      <c r="D12" s="274" t="s">
        <v>611</v>
      </c>
      <c r="E12" s="274"/>
      <c r="F12" s="274" t="s">
        <v>612</v>
      </c>
      <c r="G12" s="162" t="s">
        <v>613</v>
      </c>
    </row>
    <row r="13" spans="1:7" s="161" customFormat="1" ht="45" customHeight="1" x14ac:dyDescent="0.35">
      <c r="A13" s="162" t="s">
        <v>647</v>
      </c>
      <c r="B13" s="162" t="s">
        <v>614</v>
      </c>
      <c r="C13" s="162" t="s">
        <v>615</v>
      </c>
      <c r="D13" s="162" t="s">
        <v>5</v>
      </c>
      <c r="E13" s="162" t="s">
        <v>6</v>
      </c>
      <c r="F13" s="274"/>
      <c r="G13" s="162" t="s">
        <v>7</v>
      </c>
    </row>
    <row r="14" spans="1:7" s="161" customFormat="1" ht="22.65" customHeight="1" x14ac:dyDescent="0.35">
      <c r="A14" s="163"/>
      <c r="B14" s="163"/>
      <c r="C14" s="163"/>
      <c r="D14" s="162"/>
      <c r="E14" s="162"/>
      <c r="F14" s="164" t="s">
        <v>616</v>
      </c>
      <c r="G14" s="165">
        <f>+G16+G36</f>
        <v>0</v>
      </c>
    </row>
    <row r="15" spans="1:7" s="161" customFormat="1" ht="22.65" customHeight="1" x14ac:dyDescent="0.35">
      <c r="A15" s="163"/>
      <c r="B15" s="163"/>
      <c r="C15" s="163"/>
      <c r="D15" s="162"/>
      <c r="E15" s="162"/>
      <c r="F15" s="163" t="s">
        <v>617</v>
      </c>
      <c r="G15" s="165"/>
    </row>
    <row r="16" spans="1:7" s="74" customFormat="1" ht="27" customHeight="1" x14ac:dyDescent="0.35">
      <c r="A16" s="70"/>
      <c r="B16" s="70"/>
      <c r="C16" s="70"/>
      <c r="D16" s="162"/>
      <c r="E16" s="162"/>
      <c r="F16" s="164" t="s">
        <v>618</v>
      </c>
      <c r="G16" s="165">
        <f t="shared" ref="G16" si="0">+G17</f>
        <v>-500000</v>
      </c>
    </row>
    <row r="17" spans="1:7" ht="35" x14ac:dyDescent="0.45">
      <c r="A17" s="266" t="s">
        <v>619</v>
      </c>
      <c r="B17" s="266"/>
      <c r="C17" s="266"/>
      <c r="D17" s="266"/>
      <c r="E17" s="266"/>
      <c r="F17" s="166" t="s">
        <v>620</v>
      </c>
      <c r="G17" s="165">
        <f t="shared" ref="G17" si="1">+G19</f>
        <v>-500000</v>
      </c>
    </row>
    <row r="18" spans="1:7" ht="17.5" x14ac:dyDescent="0.45">
      <c r="A18" s="266"/>
      <c r="B18" s="266"/>
      <c r="C18" s="266"/>
      <c r="D18" s="266"/>
      <c r="E18" s="266"/>
      <c r="F18" s="163" t="s">
        <v>34</v>
      </c>
      <c r="G18" s="167"/>
    </row>
    <row r="19" spans="1:7" ht="35" x14ac:dyDescent="0.45">
      <c r="A19" s="266"/>
      <c r="B19" s="266" t="s">
        <v>621</v>
      </c>
      <c r="C19" s="266"/>
      <c r="D19" s="266"/>
      <c r="E19" s="266"/>
      <c r="F19" s="166" t="s">
        <v>622</v>
      </c>
      <c r="G19" s="165">
        <f t="shared" ref="G19" si="2">+G21</f>
        <v>-500000</v>
      </c>
    </row>
    <row r="20" spans="1:7" ht="17.5" x14ac:dyDescent="0.45">
      <c r="A20" s="266"/>
      <c r="B20" s="266"/>
      <c r="C20" s="266"/>
      <c r="D20" s="266"/>
      <c r="E20" s="266"/>
      <c r="F20" s="163" t="s">
        <v>34</v>
      </c>
      <c r="G20" s="167"/>
    </row>
    <row r="21" spans="1:7" ht="17.5" x14ac:dyDescent="0.45">
      <c r="A21" s="266"/>
      <c r="B21" s="266"/>
      <c r="C21" s="266" t="s">
        <v>621</v>
      </c>
      <c r="D21" s="266"/>
      <c r="E21" s="266"/>
      <c r="F21" s="164" t="s">
        <v>623</v>
      </c>
      <c r="G21" s="168">
        <f t="shared" ref="G21" si="3">+G23</f>
        <v>-500000</v>
      </c>
    </row>
    <row r="22" spans="1:7" ht="18" customHeight="1" x14ac:dyDescent="0.45">
      <c r="A22" s="266"/>
      <c r="B22" s="266"/>
      <c r="C22" s="266"/>
      <c r="D22" s="266"/>
      <c r="E22" s="266"/>
      <c r="F22" s="163" t="s">
        <v>34</v>
      </c>
      <c r="G22" s="169"/>
    </row>
    <row r="23" spans="1:7" ht="17.5" x14ac:dyDescent="0.45">
      <c r="A23" s="266"/>
      <c r="B23" s="266"/>
      <c r="C23" s="266"/>
      <c r="D23" s="266"/>
      <c r="E23" s="266"/>
      <c r="F23" s="163" t="s">
        <v>624</v>
      </c>
      <c r="G23" s="168">
        <f t="shared" ref="G23" si="4">+G25</f>
        <v>-500000</v>
      </c>
    </row>
    <row r="24" spans="1:7" ht="17.5" x14ac:dyDescent="0.45">
      <c r="A24" s="266"/>
      <c r="B24" s="266"/>
      <c r="C24" s="266"/>
      <c r="D24" s="266"/>
      <c r="E24" s="266"/>
      <c r="F24" s="163" t="s">
        <v>34</v>
      </c>
      <c r="G24" s="170"/>
    </row>
    <row r="25" spans="1:7" s="172" customFormat="1" ht="22.65" customHeight="1" x14ac:dyDescent="0.35">
      <c r="A25" s="266"/>
      <c r="B25" s="266"/>
      <c r="C25" s="266"/>
      <c r="D25" s="171" t="s">
        <v>625</v>
      </c>
      <c r="E25" s="267" t="s">
        <v>626</v>
      </c>
      <c r="F25" s="267" t="s">
        <v>623</v>
      </c>
      <c r="G25" s="168">
        <f t="shared" ref="G25" si="5">+G27</f>
        <v>-500000</v>
      </c>
    </row>
    <row r="26" spans="1:7" ht="17.75" customHeight="1" x14ac:dyDescent="0.45">
      <c r="A26" s="266"/>
      <c r="B26" s="266"/>
      <c r="C26" s="266"/>
      <c r="D26" s="268"/>
      <c r="E26" s="173"/>
      <c r="F26" s="163" t="s">
        <v>34</v>
      </c>
      <c r="G26" s="174"/>
    </row>
    <row r="27" spans="1:7" ht="20.149999999999999" customHeight="1" x14ac:dyDescent="0.45">
      <c r="A27" s="266"/>
      <c r="B27" s="266"/>
      <c r="C27" s="266"/>
      <c r="D27" s="269"/>
      <c r="E27" s="175" t="s">
        <v>627</v>
      </c>
      <c r="F27" s="164" t="s">
        <v>623</v>
      </c>
      <c r="G27" s="176">
        <f t="shared" ref="G27" si="6">+G29</f>
        <v>-500000</v>
      </c>
    </row>
    <row r="28" spans="1:7" ht="17.75" customHeight="1" x14ac:dyDescent="0.45">
      <c r="A28" s="266"/>
      <c r="B28" s="266"/>
      <c r="C28" s="266"/>
      <c r="D28" s="269"/>
      <c r="E28" s="271"/>
      <c r="F28" s="163" t="s">
        <v>10</v>
      </c>
      <c r="G28" s="177"/>
    </row>
    <row r="29" spans="1:7" x14ac:dyDescent="0.45">
      <c r="A29" s="266"/>
      <c r="B29" s="266"/>
      <c r="C29" s="266"/>
      <c r="D29" s="269"/>
      <c r="E29" s="271"/>
      <c r="F29" s="178" t="s">
        <v>624</v>
      </c>
      <c r="G29" s="179">
        <f t="shared" ref="G29" si="7">+G31</f>
        <v>-500000</v>
      </c>
    </row>
    <row r="30" spans="1:7" ht="51" x14ac:dyDescent="0.45">
      <c r="A30" s="266"/>
      <c r="B30" s="266"/>
      <c r="C30" s="266"/>
      <c r="D30" s="269"/>
      <c r="E30" s="271"/>
      <c r="F30" s="163" t="s">
        <v>628</v>
      </c>
      <c r="G30" s="177"/>
    </row>
    <row r="31" spans="1:7" ht="17.75" customHeight="1" x14ac:dyDescent="0.45">
      <c r="A31" s="266"/>
      <c r="B31" s="266"/>
      <c r="C31" s="266"/>
      <c r="D31" s="269"/>
      <c r="E31" s="271"/>
      <c r="F31" s="162" t="s">
        <v>629</v>
      </c>
      <c r="G31" s="174">
        <f t="shared" ref="G31:G33" si="8">+G32</f>
        <v>-500000</v>
      </c>
    </row>
    <row r="32" spans="1:7" ht="17.75" customHeight="1" x14ac:dyDescent="0.45">
      <c r="A32" s="266"/>
      <c r="B32" s="266"/>
      <c r="C32" s="266"/>
      <c r="D32" s="269"/>
      <c r="E32" s="271"/>
      <c r="F32" s="180" t="s">
        <v>630</v>
      </c>
      <c r="G32" s="177">
        <f t="shared" si="8"/>
        <v>-500000</v>
      </c>
    </row>
    <row r="33" spans="1:7" ht="17.75" customHeight="1" x14ac:dyDescent="0.45">
      <c r="A33" s="266"/>
      <c r="B33" s="266"/>
      <c r="C33" s="266"/>
      <c r="D33" s="269"/>
      <c r="E33" s="271"/>
      <c r="F33" s="180" t="s">
        <v>631</v>
      </c>
      <c r="G33" s="177">
        <f t="shared" si="8"/>
        <v>-500000</v>
      </c>
    </row>
    <row r="34" spans="1:7" ht="17.75" customHeight="1" x14ac:dyDescent="0.45">
      <c r="A34" s="266"/>
      <c r="B34" s="266"/>
      <c r="C34" s="266"/>
      <c r="D34" s="270"/>
      <c r="E34" s="271"/>
      <c r="F34" s="180" t="s">
        <v>632</v>
      </c>
      <c r="G34" s="177">
        <v>-500000</v>
      </c>
    </row>
    <row r="35" spans="1:7" ht="9.5" customHeight="1" x14ac:dyDescent="0.45">
      <c r="A35" s="181"/>
      <c r="B35" s="182"/>
      <c r="C35" s="183"/>
      <c r="D35" s="163"/>
      <c r="E35" s="163"/>
    </row>
    <row r="36" spans="1:7" s="74" customFormat="1" ht="35" x14ac:dyDescent="0.35">
      <c r="A36" s="184"/>
      <c r="B36" s="70"/>
      <c r="C36" s="70"/>
      <c r="D36" s="70"/>
      <c r="E36" s="70"/>
      <c r="F36" s="164" t="s">
        <v>8</v>
      </c>
      <c r="G36" s="165">
        <f>+G37</f>
        <v>500000</v>
      </c>
    </row>
    <row r="37" spans="1:7" s="161" customFormat="1" ht="17.5" customHeight="1" x14ac:dyDescent="0.35">
      <c r="A37" s="263" t="s">
        <v>633</v>
      </c>
      <c r="B37" s="262"/>
      <c r="C37" s="251"/>
      <c r="D37" s="254"/>
      <c r="E37" s="251"/>
      <c r="F37" s="164" t="s">
        <v>634</v>
      </c>
      <c r="G37" s="165">
        <f>+G39</f>
        <v>500000</v>
      </c>
    </row>
    <row r="38" spans="1:7" s="161" customFormat="1" ht="16.399999999999999" customHeight="1" x14ac:dyDescent="0.35">
      <c r="A38" s="264"/>
      <c r="B38" s="262"/>
      <c r="C38" s="252"/>
      <c r="D38" s="255"/>
      <c r="E38" s="252"/>
      <c r="F38" s="163" t="s">
        <v>34</v>
      </c>
      <c r="G38" s="185"/>
    </row>
    <row r="39" spans="1:7" s="161" customFormat="1" ht="19.25" customHeight="1" x14ac:dyDescent="0.35">
      <c r="A39" s="264"/>
      <c r="B39" s="263" t="s">
        <v>639</v>
      </c>
      <c r="C39" s="252"/>
      <c r="D39" s="255"/>
      <c r="E39" s="252"/>
      <c r="F39" s="191" t="s">
        <v>640</v>
      </c>
      <c r="G39" s="186">
        <f t="shared" ref="G39" si="9">+G41</f>
        <v>500000</v>
      </c>
    </row>
    <row r="40" spans="1:7" s="161" customFormat="1" ht="16.75" customHeight="1" x14ac:dyDescent="0.35">
      <c r="A40" s="264"/>
      <c r="B40" s="264"/>
      <c r="C40" s="253"/>
      <c r="D40" s="255"/>
      <c r="E40" s="252"/>
      <c r="F40" s="192" t="s">
        <v>34</v>
      </c>
      <c r="G40" s="185"/>
    </row>
    <row r="41" spans="1:7" s="161" customFormat="1" ht="19.25" customHeight="1" x14ac:dyDescent="0.35">
      <c r="A41" s="264"/>
      <c r="B41" s="264"/>
      <c r="C41" s="263" t="s">
        <v>635</v>
      </c>
      <c r="D41" s="255"/>
      <c r="E41" s="252"/>
      <c r="F41" s="191" t="s">
        <v>47</v>
      </c>
      <c r="G41" s="186">
        <f t="shared" ref="G41" si="10">+G43</f>
        <v>500000</v>
      </c>
    </row>
    <row r="42" spans="1:7" s="161" customFormat="1" ht="16.75" customHeight="1" x14ac:dyDescent="0.35">
      <c r="A42" s="264"/>
      <c r="B42" s="264"/>
      <c r="C42" s="264"/>
      <c r="D42" s="255"/>
      <c r="E42" s="252"/>
      <c r="F42" s="163" t="s">
        <v>34</v>
      </c>
      <c r="G42" s="187"/>
    </row>
    <row r="43" spans="1:7" s="161" customFormat="1" ht="34" x14ac:dyDescent="0.35">
      <c r="A43" s="264"/>
      <c r="B43" s="264"/>
      <c r="C43" s="264"/>
      <c r="D43" s="255"/>
      <c r="E43" s="252"/>
      <c r="F43" s="70" t="s">
        <v>15</v>
      </c>
      <c r="G43" s="187">
        <f>+G45</f>
        <v>500000</v>
      </c>
    </row>
    <row r="44" spans="1:7" s="161" customFormat="1" ht="16.75" customHeight="1" x14ac:dyDescent="0.35">
      <c r="A44" s="264"/>
      <c r="B44" s="264"/>
      <c r="C44" s="264"/>
      <c r="D44" s="256"/>
      <c r="E44" s="253"/>
      <c r="F44" s="163" t="s">
        <v>34</v>
      </c>
      <c r="G44" s="187"/>
    </row>
    <row r="45" spans="1:7" s="193" customFormat="1" ht="39.5" customHeight="1" x14ac:dyDescent="0.35">
      <c r="A45" s="264"/>
      <c r="B45" s="264"/>
      <c r="C45" s="264"/>
      <c r="D45" s="156">
        <v>1236</v>
      </c>
      <c r="E45" s="257" t="s">
        <v>641</v>
      </c>
      <c r="F45" s="257"/>
      <c r="G45" s="165">
        <f>+G47+G56+G65+G81+G90</f>
        <v>500000</v>
      </c>
    </row>
    <row r="46" spans="1:7" s="193" customFormat="1" ht="17" customHeight="1" x14ac:dyDescent="0.45">
      <c r="A46" s="264"/>
      <c r="B46" s="264"/>
      <c r="C46" s="264"/>
      <c r="D46" s="14"/>
      <c r="E46" s="194"/>
      <c r="F46" s="192" t="s">
        <v>34</v>
      </c>
      <c r="G46" s="165"/>
    </row>
    <row r="47" spans="1:7" s="193" customFormat="1" ht="35" x14ac:dyDescent="0.35">
      <c r="A47" s="264"/>
      <c r="B47" s="264"/>
      <c r="C47" s="264"/>
      <c r="D47" s="259"/>
      <c r="E47" s="52">
        <v>32004</v>
      </c>
      <c r="F47" s="19" t="s">
        <v>21</v>
      </c>
      <c r="G47" s="188">
        <f t="shared" ref="G47" si="11">+G49</f>
        <v>500000</v>
      </c>
    </row>
    <row r="48" spans="1:7" s="193" customFormat="1" ht="18" customHeight="1" x14ac:dyDescent="0.35">
      <c r="A48" s="264"/>
      <c r="B48" s="264"/>
      <c r="C48" s="264"/>
      <c r="D48" s="260"/>
      <c r="E48" s="258"/>
      <c r="F48" s="192" t="s">
        <v>10</v>
      </c>
      <c r="G48" s="186"/>
    </row>
    <row r="49" spans="1:8" s="196" customFormat="1" ht="36.65" customHeight="1" x14ac:dyDescent="0.35">
      <c r="A49" s="264"/>
      <c r="B49" s="264"/>
      <c r="C49" s="264"/>
      <c r="D49" s="260"/>
      <c r="E49" s="258"/>
      <c r="F49" s="195" t="s">
        <v>15</v>
      </c>
      <c r="G49" s="189">
        <f t="shared" ref="G49" si="12">+G51</f>
        <v>500000</v>
      </c>
    </row>
    <row r="50" spans="1:8" s="193" customFormat="1" ht="51" x14ac:dyDescent="0.35">
      <c r="A50" s="264"/>
      <c r="B50" s="264"/>
      <c r="C50" s="264"/>
      <c r="D50" s="260"/>
      <c r="E50" s="258"/>
      <c r="F50" s="192" t="s">
        <v>628</v>
      </c>
      <c r="G50" s="185"/>
    </row>
    <row r="51" spans="1:8" s="193" customFormat="1" ht="17" customHeight="1" x14ac:dyDescent="0.35">
      <c r="A51" s="264"/>
      <c r="B51" s="264"/>
      <c r="C51" s="264"/>
      <c r="D51" s="260"/>
      <c r="E51" s="258"/>
      <c r="F51" s="197" t="s">
        <v>629</v>
      </c>
      <c r="G51" s="186">
        <f t="shared" ref="G51" si="13">G52</f>
        <v>500000</v>
      </c>
    </row>
    <row r="52" spans="1:8" s="193" customFormat="1" ht="17" customHeight="1" x14ac:dyDescent="0.35">
      <c r="A52" s="264"/>
      <c r="B52" s="264"/>
      <c r="C52" s="264"/>
      <c r="D52" s="260"/>
      <c r="E52" s="258"/>
      <c r="F52" s="192" t="s">
        <v>642</v>
      </c>
      <c r="G52" s="190">
        <f t="shared" ref="G52:G54" si="14">+G53</f>
        <v>500000</v>
      </c>
    </row>
    <row r="53" spans="1:8" s="193" customFormat="1" ht="18" customHeight="1" x14ac:dyDescent="0.35">
      <c r="A53" s="264"/>
      <c r="B53" s="264"/>
      <c r="C53" s="264"/>
      <c r="D53" s="260"/>
      <c r="E53" s="258"/>
      <c r="F53" s="192" t="s">
        <v>643</v>
      </c>
      <c r="G53" s="190">
        <f t="shared" si="14"/>
        <v>500000</v>
      </c>
    </row>
    <row r="54" spans="1:8" s="193" customFormat="1" ht="18" customHeight="1" x14ac:dyDescent="0.35">
      <c r="A54" s="264"/>
      <c r="B54" s="264"/>
      <c r="C54" s="264"/>
      <c r="D54" s="260"/>
      <c r="E54" s="258"/>
      <c r="F54" s="198" t="s">
        <v>644</v>
      </c>
      <c r="G54" s="190">
        <f t="shared" si="14"/>
        <v>500000</v>
      </c>
    </row>
    <row r="55" spans="1:8" s="193" customFormat="1" ht="18" customHeight="1" x14ac:dyDescent="0.35">
      <c r="A55" s="265"/>
      <c r="B55" s="265"/>
      <c r="C55" s="265"/>
      <c r="D55" s="261"/>
      <c r="E55" s="258"/>
      <c r="F55" s="198" t="s">
        <v>645</v>
      </c>
      <c r="G55" s="190">
        <v>500000</v>
      </c>
      <c r="H55" s="193" t="s">
        <v>646</v>
      </c>
    </row>
  </sheetData>
  <mergeCells count="26">
    <mergeCell ref="F1:G1"/>
    <mergeCell ref="A9:G9"/>
    <mergeCell ref="A12:C12"/>
    <mergeCell ref="D12:E12"/>
    <mergeCell ref="F12:F13"/>
    <mergeCell ref="F6:G6"/>
    <mergeCell ref="D17:D24"/>
    <mergeCell ref="E17:E24"/>
    <mergeCell ref="B19:B34"/>
    <mergeCell ref="C21:C34"/>
    <mergeCell ref="E25:F25"/>
    <mergeCell ref="D26:D34"/>
    <mergeCell ref="E28:E34"/>
    <mergeCell ref="B37:B38"/>
    <mergeCell ref="C41:C55"/>
    <mergeCell ref="B39:B55"/>
    <mergeCell ref="A37:A55"/>
    <mergeCell ref="A17:A34"/>
    <mergeCell ref="B17:B18"/>
    <mergeCell ref="C17:C20"/>
    <mergeCell ref="E37:E44"/>
    <mergeCell ref="D37:D44"/>
    <mergeCell ref="C37:C40"/>
    <mergeCell ref="E45:F45"/>
    <mergeCell ref="E48:E55"/>
    <mergeCell ref="D47:D55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https://mul2.gov.am/tasks/1255273/oneclick?token=434ca612334a22e31dd6bb685519d965</cp:keywords>
  <cp:lastModifiedBy>User</cp:lastModifiedBy>
  <dcterms:created xsi:type="dcterms:W3CDTF">2025-06-19T07:05:05Z</dcterms:created>
  <dcterms:modified xsi:type="dcterms:W3CDTF">2025-12-17T11:18:25Z</dcterms:modified>
</cp:coreProperties>
</file>