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-120" yWindow="-120" windowWidth="20730" windowHeight="11160" activeTab="2"/>
  </bookViews>
  <sheets>
    <sheet name="ST Action Plan" sheetId="4" r:id="rId1"/>
    <sheet name="LT Action Plan" sheetId="1" r:id="rId2"/>
    <sheet name="E-justice" sheetId="5" r:id="rId3"/>
    <sheet name="Costing summary" sheetId="3" r:id="rId4"/>
    <sheet name="Cost details" sheetId="2" r:id="rId5"/>
  </sheets>
  <definedNames>
    <definedName name="_xlnm._FilterDatabase" localSheetId="1" hidden="1">'LT Action Plan'!$L$2:$L$114</definedName>
    <definedName name="_xlnm._FilterDatabase" localSheetId="0" hidden="1">'ST Action Plan'!$K$1:$K$153</definedName>
    <definedName name="_xlnm.Print_Area" localSheetId="2">'E-justice'!$A$1:$K$31</definedName>
    <definedName name="_xlnm.Print_Area" localSheetId="1">'LT Action Plan'!$A$1:$J$96</definedName>
    <definedName name="_xlnm.Print_Area" localSheetId="0">'ST Action Plan'!$A$1:$H$133</definedName>
    <definedName name="_xlnm.Print_Titles" localSheetId="1">'LT Action Plan'!$6:$7</definedName>
    <definedName name="_xlnm.Print_Titles" localSheetId="0">'ST Action Plan'!$4:$5</definedName>
  </definedNames>
  <calcPr calcId="12451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5"/>
  <c r="H9"/>
  <c r="D144" i="2"/>
  <c r="E144"/>
  <c r="F144"/>
  <c r="G46" i="5" l="1"/>
  <c r="J47"/>
  <c r="G47"/>
  <c r="F47"/>
  <c r="I42"/>
  <c r="K42" s="1"/>
  <c r="H42"/>
  <c r="H41"/>
  <c r="F30"/>
  <c r="G23"/>
  <c r="H23"/>
  <c r="I23"/>
  <c r="J23"/>
  <c r="F23"/>
  <c r="H22"/>
  <c r="G22"/>
  <c r="H21"/>
  <c r="G21"/>
  <c r="H20"/>
  <c r="G20"/>
  <c r="G122" i="1"/>
  <c r="H122"/>
  <c r="F122"/>
  <c r="F113"/>
  <c r="G113"/>
  <c r="H113"/>
  <c r="I113"/>
  <c r="G95"/>
  <c r="H95"/>
  <c r="I95"/>
  <c r="F95"/>
  <c r="D95"/>
  <c r="H76"/>
  <c r="G76"/>
  <c r="F76"/>
  <c r="F77"/>
  <c r="I77" s="1"/>
  <c r="H77"/>
  <c r="G77"/>
  <c r="I62"/>
  <c r="I60"/>
  <c r="I76" l="1"/>
  <c r="I70" l="1"/>
  <c r="I69"/>
  <c r="I66"/>
  <c r="I65"/>
  <c r="I64"/>
  <c r="H62"/>
  <c r="F62"/>
  <c r="G62"/>
  <c r="H60"/>
  <c r="I59"/>
  <c r="I56"/>
  <c r="I55"/>
  <c r="I54"/>
  <c r="I53"/>
  <c r="I51"/>
  <c r="I50"/>
  <c r="I47"/>
  <c r="I44"/>
  <c r="I43"/>
  <c r="I42"/>
  <c r="I39"/>
  <c r="I18"/>
  <c r="I17"/>
  <c r="I14"/>
  <c r="I13"/>
  <c r="I10"/>
  <c r="I9"/>
  <c r="H161" i="4"/>
  <c r="G161"/>
  <c r="F161"/>
  <c r="H113"/>
  <c r="H112"/>
  <c r="H111"/>
  <c r="H110"/>
  <c r="H109"/>
  <c r="H108"/>
  <c r="H107"/>
  <c r="H105"/>
  <c r="H104"/>
  <c r="H100"/>
  <c r="H99"/>
  <c r="H98"/>
  <c r="H95"/>
  <c r="H94"/>
  <c r="H92"/>
  <c r="H91"/>
  <c r="H90"/>
  <c r="H89"/>
  <c r="H88"/>
  <c r="H87"/>
  <c r="H86"/>
  <c r="H85"/>
  <c r="H84"/>
  <c r="H83"/>
  <c r="H81"/>
  <c r="H80"/>
  <c r="H79"/>
  <c r="H78"/>
  <c r="H74"/>
  <c r="H70"/>
  <c r="H69"/>
  <c r="H68"/>
  <c r="H65"/>
  <c r="H63"/>
  <c r="H62"/>
  <c r="H61"/>
  <c r="H60"/>
  <c r="H58"/>
  <c r="H57"/>
  <c r="H56"/>
  <c r="H54"/>
  <c r="H51"/>
  <c r="H48"/>
  <c r="G48"/>
  <c r="H47"/>
  <c r="H46"/>
  <c r="H45"/>
  <c r="H44"/>
  <c r="H38"/>
  <c r="H33"/>
  <c r="H27"/>
  <c r="H26"/>
  <c r="H25"/>
  <c r="H24"/>
  <c r="H20"/>
  <c r="H19"/>
  <c r="H18"/>
  <c r="H17"/>
  <c r="H16"/>
  <c r="H14"/>
  <c r="H13"/>
  <c r="H11"/>
  <c r="H10"/>
  <c r="H6"/>
  <c r="B130" i="2" l="1"/>
  <c r="C129" s="1"/>
  <c r="C134" s="1"/>
  <c r="C140"/>
  <c r="D226"/>
  <c r="E226" s="1"/>
  <c r="D225"/>
  <c r="E225" s="1"/>
  <c r="D224"/>
  <c r="E224" s="1"/>
  <c r="D222"/>
  <c r="E222" s="1"/>
  <c r="B223"/>
  <c r="D223" s="1"/>
  <c r="E223" s="1"/>
  <c r="G28" i="3"/>
  <c r="I45" i="5" l="1"/>
  <c r="H45"/>
  <c r="K45" s="1"/>
  <c r="I44"/>
  <c r="H44"/>
  <c r="K44" s="1"/>
  <c r="I46"/>
  <c r="H46"/>
  <c r="K46" s="1"/>
  <c r="C130" i="2"/>
  <c r="E135"/>
  <c r="C136"/>
  <c r="D135"/>
  <c r="B227"/>
  <c r="D227" s="1"/>
  <c r="E227" s="1"/>
  <c r="G15" i="5" s="1"/>
  <c r="H15" s="1"/>
  <c r="D129" i="2" l="1"/>
  <c r="D140" s="1"/>
  <c r="D130"/>
  <c r="D136"/>
  <c r="C138"/>
  <c r="E130" l="1"/>
  <c r="D131"/>
  <c r="E129"/>
  <c r="D137"/>
  <c r="D138" s="1"/>
  <c r="E136"/>
  <c r="E134" l="1"/>
  <c r="E140"/>
  <c r="F129"/>
  <c r="F130"/>
  <c r="E131"/>
  <c r="F136"/>
  <c r="E137"/>
  <c r="E138" s="1"/>
  <c r="H129" l="1"/>
  <c r="H130"/>
  <c r="H131" s="1"/>
  <c r="F131"/>
  <c r="F140"/>
  <c r="H140" s="1"/>
  <c r="F134"/>
  <c r="F137"/>
  <c r="F138" s="1"/>
  <c r="H136"/>
  <c r="H137" s="1"/>
  <c r="H134" l="1"/>
  <c r="H138"/>
  <c r="G160" l="1"/>
  <c r="G164"/>
  <c r="G166"/>
  <c r="G168"/>
  <c r="G170"/>
  <c r="G171"/>
  <c r="H159"/>
  <c r="F112"/>
  <c r="F159" s="1"/>
  <c r="C112"/>
  <c r="C159" s="1"/>
  <c r="B112"/>
  <c r="B159" s="1"/>
  <c r="I14" i="5"/>
  <c r="I43" s="1"/>
  <c r="I47" s="1"/>
  <c r="F116" i="1"/>
  <c r="H119"/>
  <c r="H118"/>
  <c r="H117"/>
  <c r="G119"/>
  <c r="G118"/>
  <c r="G117"/>
  <c r="F118"/>
  <c r="F117"/>
  <c r="G159" i="4"/>
  <c r="H159" s="1"/>
  <c r="F159"/>
  <c r="G157"/>
  <c r="F157"/>
  <c r="F156"/>
  <c r="E116" i="2"/>
  <c r="D116"/>
  <c r="D9" i="3"/>
  <c r="D10"/>
  <c r="E10"/>
  <c r="F10"/>
  <c r="B11"/>
  <c r="C11"/>
  <c r="A8"/>
  <c r="H35" i="5"/>
  <c r="E35"/>
  <c r="E36"/>
  <c r="E37"/>
  <c r="E38"/>
  <c r="F99" i="1"/>
  <c r="E99"/>
  <c r="E100"/>
  <c r="E101"/>
  <c r="E102"/>
  <c r="E103"/>
  <c r="E104"/>
  <c r="E105"/>
  <c r="E106"/>
  <c r="E107"/>
  <c r="E108"/>
  <c r="E109"/>
  <c r="E110"/>
  <c r="E111"/>
  <c r="E112"/>
  <c r="E114"/>
  <c r="D98"/>
  <c r="E137" i="4"/>
  <c r="E138"/>
  <c r="E139"/>
  <c r="E140"/>
  <c r="E141"/>
  <c r="E142"/>
  <c r="E143"/>
  <c r="E144"/>
  <c r="E145"/>
  <c r="E146"/>
  <c r="E147"/>
  <c r="E148"/>
  <c r="E149"/>
  <c r="E150"/>
  <c r="E152"/>
  <c r="H157" l="1"/>
  <c r="I117" i="1"/>
  <c r="I118"/>
  <c r="A5" i="3"/>
  <c r="A4"/>
  <c r="A3"/>
  <c r="G30" i="5"/>
  <c r="G37" s="1"/>
  <c r="H30"/>
  <c r="H37" s="1"/>
  <c r="I30"/>
  <c r="I37" s="1"/>
  <c r="J30"/>
  <c r="J37" s="1"/>
  <c r="F37"/>
  <c r="D29"/>
  <c r="D30"/>
  <c r="J16"/>
  <c r="J29" s="1"/>
  <c r="F16"/>
  <c r="F29" s="1"/>
  <c r="F36" s="1"/>
  <c r="H14"/>
  <c r="H43" s="1"/>
  <c r="H13"/>
  <c r="G13"/>
  <c r="H37" i="1"/>
  <c r="G37"/>
  <c r="D94"/>
  <c r="J201" i="2"/>
  <c r="I201"/>
  <c r="H201"/>
  <c r="G201"/>
  <c r="F201"/>
  <c r="E201"/>
  <c r="D201"/>
  <c r="C201"/>
  <c r="B201"/>
  <c r="I196"/>
  <c r="H196"/>
  <c r="J195"/>
  <c r="I195"/>
  <c r="H195"/>
  <c r="G195"/>
  <c r="K193"/>
  <c r="K194" s="1"/>
  <c r="I189"/>
  <c r="H189"/>
  <c r="G189"/>
  <c r="F189"/>
  <c r="E189"/>
  <c r="D189"/>
  <c r="C189"/>
  <c r="L188"/>
  <c r="M188" s="1"/>
  <c r="N188" s="1"/>
  <c r="O188" s="1"/>
  <c r="I188"/>
  <c r="H188"/>
  <c r="G188"/>
  <c r="F188"/>
  <c r="E188"/>
  <c r="D188"/>
  <c r="C188"/>
  <c r="B188"/>
  <c r="K43" i="5" l="1"/>
  <c r="K47" s="1"/>
  <c r="H47"/>
  <c r="I37" i="1"/>
  <c r="J31" i="5"/>
  <c r="J36"/>
  <c r="I16"/>
  <c r="G16"/>
  <c r="G29" s="1"/>
  <c r="G36" s="1"/>
  <c r="H16"/>
  <c r="H29" s="1"/>
  <c r="I190" i="2"/>
  <c r="J186" s="1"/>
  <c r="I197"/>
  <c r="K30" i="5"/>
  <c r="K37" s="1"/>
  <c r="F31"/>
  <c r="I29"/>
  <c r="I36" s="1"/>
  <c r="L193" i="2"/>
  <c r="B5" i="3" l="1"/>
  <c r="B12" s="1"/>
  <c r="B23"/>
  <c r="F38" i="5"/>
  <c r="F5" i="3"/>
  <c r="F12" s="1"/>
  <c r="F23"/>
  <c r="J38" i="5"/>
  <c r="G31"/>
  <c r="C5" i="3" s="1"/>
  <c r="C12" s="1"/>
  <c r="J189" i="2"/>
  <c r="H31" i="5"/>
  <c r="D23" i="3" s="1"/>
  <c r="H36" i="5"/>
  <c r="I31"/>
  <c r="K29"/>
  <c r="L194" i="2"/>
  <c r="M193"/>
  <c r="K186"/>
  <c r="J188"/>
  <c r="E5" i="3" l="1"/>
  <c r="E12" s="1"/>
  <c r="E23"/>
  <c r="G38" i="5"/>
  <c r="C23" i="3"/>
  <c r="G23" s="1"/>
  <c r="D5"/>
  <c r="D12" s="1"/>
  <c r="H38" i="5"/>
  <c r="I38"/>
  <c r="K31"/>
  <c r="K38" s="1"/>
  <c r="K36"/>
  <c r="K187" i="2"/>
  <c r="K201" s="1"/>
  <c r="K206" s="1"/>
  <c r="K207" s="1"/>
  <c r="L186"/>
  <c r="M194"/>
  <c r="N193"/>
  <c r="G5" i="3" l="1"/>
  <c r="G12" s="1"/>
  <c r="N194" i="2"/>
  <c r="O193"/>
  <c r="O194" s="1"/>
  <c r="L187"/>
  <c r="L201" s="1"/>
  <c r="L206" s="1"/>
  <c r="L207" s="1"/>
  <c r="F73" i="1" s="1"/>
  <c r="M186" i="2"/>
  <c r="F121" i="1" l="1"/>
  <c r="F74"/>
  <c r="M187" i="2"/>
  <c r="M201" s="1"/>
  <c r="M206" s="1"/>
  <c r="M207" s="1"/>
  <c r="G73" i="1" s="1"/>
  <c r="N186" i="2"/>
  <c r="F94" i="1" l="1"/>
  <c r="F112" s="1"/>
  <c r="G121"/>
  <c r="G74"/>
  <c r="G94" s="1"/>
  <c r="G112" s="1"/>
  <c r="N187" i="2"/>
  <c r="N201" s="1"/>
  <c r="N206" s="1"/>
  <c r="N207" s="1"/>
  <c r="H73" i="1" s="1"/>
  <c r="I73" s="1"/>
  <c r="O186" i="2"/>
  <c r="O187" s="1"/>
  <c r="O201" s="1"/>
  <c r="O206" s="1"/>
  <c r="O207" s="1"/>
  <c r="H74" i="1" l="1"/>
  <c r="H94" s="1"/>
  <c r="H121"/>
  <c r="I121" s="1"/>
  <c r="I74" l="1"/>
  <c r="H112"/>
  <c r="I94"/>
  <c r="I112" s="1"/>
  <c r="D131" i="4"/>
  <c r="D130"/>
  <c r="D129"/>
  <c r="D128"/>
  <c r="D127"/>
  <c r="D126"/>
  <c r="D125"/>
  <c r="D124"/>
  <c r="D123"/>
  <c r="D122"/>
  <c r="D121"/>
  <c r="D120"/>
  <c r="D119"/>
  <c r="D118"/>
  <c r="G113"/>
  <c r="G131" s="1"/>
  <c r="F113"/>
  <c r="F131" s="1"/>
  <c r="F150" s="1"/>
  <c r="G105"/>
  <c r="G130" s="1"/>
  <c r="F105"/>
  <c r="F130" s="1"/>
  <c r="F102"/>
  <c r="F129" s="1"/>
  <c r="F148" s="1"/>
  <c r="G92"/>
  <c r="G128" s="1"/>
  <c r="F92"/>
  <c r="F128" s="1"/>
  <c r="F147" s="1"/>
  <c r="G81"/>
  <c r="G127" s="1"/>
  <c r="H127" s="1"/>
  <c r="H146" s="1"/>
  <c r="F81"/>
  <c r="F127" s="1"/>
  <c r="F146" s="1"/>
  <c r="B29" i="2"/>
  <c r="B27"/>
  <c r="G72" i="4"/>
  <c r="G125" s="1"/>
  <c r="G54"/>
  <c r="G123" s="1"/>
  <c r="F54"/>
  <c r="F123" s="1"/>
  <c r="F142" s="1"/>
  <c r="G144" l="1"/>
  <c r="G149"/>
  <c r="H130"/>
  <c r="H149" s="1"/>
  <c r="G147"/>
  <c r="H128"/>
  <c r="H147" s="1"/>
  <c r="H123"/>
  <c r="H142" s="1"/>
  <c r="G150"/>
  <c r="H131"/>
  <c r="H150" s="1"/>
  <c r="B30" i="2"/>
  <c r="G75" i="4" s="1"/>
  <c r="G76" s="1"/>
  <c r="G126" s="1"/>
  <c r="G146"/>
  <c r="G142"/>
  <c r="F149"/>
  <c r="F14"/>
  <c r="F120" s="1"/>
  <c r="F139" s="1"/>
  <c r="G14"/>
  <c r="G120" s="1"/>
  <c r="G11"/>
  <c r="G119" s="1"/>
  <c r="F11"/>
  <c r="F119" s="1"/>
  <c r="F138" s="1"/>
  <c r="F8"/>
  <c r="F118" s="1"/>
  <c r="F137" s="1"/>
  <c r="G138" l="1"/>
  <c r="H119"/>
  <c r="H138" s="1"/>
  <c r="G139"/>
  <c r="H120"/>
  <c r="H139" s="1"/>
  <c r="G145"/>
  <c r="F22" i="1"/>
  <c r="H71"/>
  <c r="H93" s="1"/>
  <c r="H111" s="1"/>
  <c r="G71"/>
  <c r="G93" s="1"/>
  <c r="G111" s="1"/>
  <c r="F71"/>
  <c r="H22"/>
  <c r="H85" s="1"/>
  <c r="H103" s="1"/>
  <c r="G22"/>
  <c r="G85" s="1"/>
  <c r="G103" s="1"/>
  <c r="D82"/>
  <c r="D83"/>
  <c r="D84"/>
  <c r="D85"/>
  <c r="D86"/>
  <c r="D87"/>
  <c r="D88"/>
  <c r="D89"/>
  <c r="D90"/>
  <c r="D91"/>
  <c r="D92"/>
  <c r="D93"/>
  <c r="H67"/>
  <c r="H92" s="1"/>
  <c r="H110" s="1"/>
  <c r="G67"/>
  <c r="G92" s="1"/>
  <c r="G110" s="1"/>
  <c r="F67"/>
  <c r="H91"/>
  <c r="H109" s="1"/>
  <c r="G91"/>
  <c r="G109" s="1"/>
  <c r="F57"/>
  <c r="H57"/>
  <c r="H90" s="1"/>
  <c r="H108" s="1"/>
  <c r="H48"/>
  <c r="H89" s="1"/>
  <c r="H107" s="1"/>
  <c r="G48"/>
  <c r="G89" s="1"/>
  <c r="G107" s="1"/>
  <c r="F48"/>
  <c r="H45"/>
  <c r="H88" s="1"/>
  <c r="H106" s="1"/>
  <c r="G45"/>
  <c r="G88" s="1"/>
  <c r="G106" s="1"/>
  <c r="F45"/>
  <c r="H40"/>
  <c r="H87" s="1"/>
  <c r="G40"/>
  <c r="G87" s="1"/>
  <c r="H29"/>
  <c r="H123" s="1"/>
  <c r="H19"/>
  <c r="H84" s="1"/>
  <c r="H102" s="1"/>
  <c r="G19"/>
  <c r="G84" s="1"/>
  <c r="G102" s="1"/>
  <c r="F19"/>
  <c r="H15"/>
  <c r="H83" s="1"/>
  <c r="H101" s="1"/>
  <c r="G15"/>
  <c r="G83" s="1"/>
  <c r="G101" s="1"/>
  <c r="F15"/>
  <c r="G11"/>
  <c r="G82" s="1"/>
  <c r="G100" s="1"/>
  <c r="H11"/>
  <c r="H82" s="1"/>
  <c r="H100" s="1"/>
  <c r="B9" i="2"/>
  <c r="B6"/>
  <c r="B10" s="1"/>
  <c r="F57" i="4"/>
  <c r="E178" i="2"/>
  <c r="D178"/>
  <c r="C178"/>
  <c r="B178"/>
  <c r="H169"/>
  <c r="H165" s="1"/>
  <c r="F169"/>
  <c r="F165" s="1"/>
  <c r="E169"/>
  <c r="D169"/>
  <c r="D25" i="3" s="1"/>
  <c r="C169" i="2"/>
  <c r="C165" s="1"/>
  <c r="B169"/>
  <c r="H167"/>
  <c r="F167"/>
  <c r="C167"/>
  <c r="B167"/>
  <c r="H162"/>
  <c r="F162"/>
  <c r="C146"/>
  <c r="D146" s="1"/>
  <c r="B142"/>
  <c r="B150" s="1"/>
  <c r="B158" s="1"/>
  <c r="G117"/>
  <c r="E115"/>
  <c r="D114"/>
  <c r="G114" s="1"/>
  <c r="D113"/>
  <c r="B104"/>
  <c r="B21"/>
  <c r="B17"/>
  <c r="B15"/>
  <c r="F85" i="1" l="1"/>
  <c r="F103" s="1"/>
  <c r="I22"/>
  <c r="F88"/>
  <c r="F106" s="1"/>
  <c r="I45"/>
  <c r="F84"/>
  <c r="F102" s="1"/>
  <c r="I19"/>
  <c r="F92"/>
  <c r="F110" s="1"/>
  <c r="I67"/>
  <c r="F83"/>
  <c r="F101" s="1"/>
  <c r="I15"/>
  <c r="F89"/>
  <c r="F107" s="1"/>
  <c r="I48"/>
  <c r="F90"/>
  <c r="F108" s="1"/>
  <c r="F93"/>
  <c r="F111" s="1"/>
  <c r="I71"/>
  <c r="F91"/>
  <c r="F109" s="1"/>
  <c r="F66" i="4"/>
  <c r="F124" s="1"/>
  <c r="F158"/>
  <c r="E165" i="2"/>
  <c r="E25" i="3"/>
  <c r="B165" i="2"/>
  <c r="B172" s="1"/>
  <c r="G169"/>
  <c r="G113"/>
  <c r="D112"/>
  <c r="D159" s="1"/>
  <c r="G115"/>
  <c r="E112"/>
  <c r="E159" s="1"/>
  <c r="B18"/>
  <c r="G28" i="4" s="1"/>
  <c r="B11" i="2"/>
  <c r="G7" i="4" s="1"/>
  <c r="H7" s="1"/>
  <c r="F143"/>
  <c r="H105" i="1"/>
  <c r="G105"/>
  <c r="F34"/>
  <c r="G34"/>
  <c r="C142" i="2"/>
  <c r="G116"/>
  <c r="C162" s="1"/>
  <c r="I91" i="1"/>
  <c r="I109" s="1"/>
  <c r="I88"/>
  <c r="I106" s="1"/>
  <c r="I84"/>
  <c r="I102" s="1"/>
  <c r="I85"/>
  <c r="I103" s="1"/>
  <c r="I83"/>
  <c r="I101" s="1"/>
  <c r="I92"/>
  <c r="I110" s="1"/>
  <c r="I93"/>
  <c r="I111" s="1"/>
  <c r="B23" i="2"/>
  <c r="E146"/>
  <c r="D165"/>
  <c r="D167"/>
  <c r="D122"/>
  <c r="E122"/>
  <c r="E93"/>
  <c r="E92"/>
  <c r="E91"/>
  <c r="E89"/>
  <c r="E88"/>
  <c r="F66"/>
  <c r="F67"/>
  <c r="F68"/>
  <c r="F65"/>
  <c r="F64"/>
  <c r="F57"/>
  <c r="F56"/>
  <c r="F55"/>
  <c r="F54"/>
  <c r="I34" i="1" l="1"/>
  <c r="I89"/>
  <c r="I107" s="1"/>
  <c r="G31" i="4"/>
  <c r="G121" s="1"/>
  <c r="G140" s="1"/>
  <c r="F8" i="1"/>
  <c r="I8" s="1"/>
  <c r="G165" i="2"/>
  <c r="G159"/>
  <c r="F28" i="1"/>
  <c r="I28" s="1"/>
  <c r="F119"/>
  <c r="G8" i="4"/>
  <c r="G156"/>
  <c r="B24" i="2"/>
  <c r="B36"/>
  <c r="B37" s="1"/>
  <c r="G28" i="1"/>
  <c r="G112" i="2"/>
  <c r="F69"/>
  <c r="F70" s="1"/>
  <c r="F71" s="1"/>
  <c r="E90"/>
  <c r="E96" s="1"/>
  <c r="E167"/>
  <c r="G167" s="1"/>
  <c r="E162"/>
  <c r="F146"/>
  <c r="H122"/>
  <c r="C143"/>
  <c r="C150"/>
  <c r="C152" s="1"/>
  <c r="F58"/>
  <c r="F59" s="1"/>
  <c r="F60" s="1"/>
  <c r="E87"/>
  <c r="F11" i="1" l="1"/>
  <c r="F82" s="1"/>
  <c r="F100" s="1"/>
  <c r="H156" i="4"/>
  <c r="I11" i="1"/>
  <c r="G118" i="4"/>
  <c r="G137" s="1"/>
  <c r="H8"/>
  <c r="H118"/>
  <c r="F38" i="1"/>
  <c r="E97" i="2"/>
  <c r="E98" s="1"/>
  <c r="E99" s="1"/>
  <c r="F73"/>
  <c r="G59" i="4"/>
  <c r="H59" s="1"/>
  <c r="G64"/>
  <c r="H64" s="1"/>
  <c r="G96"/>
  <c r="I119" i="1"/>
  <c r="G39" i="4"/>
  <c r="G49" s="1"/>
  <c r="G122" s="1"/>
  <c r="F29" i="1"/>
  <c r="G101" i="4"/>
  <c r="H101" s="1"/>
  <c r="G97"/>
  <c r="H97" s="1"/>
  <c r="F28"/>
  <c r="G52" i="1"/>
  <c r="I52" s="1"/>
  <c r="F71" i="4"/>
  <c r="F39"/>
  <c r="F75"/>
  <c r="H75" s="1"/>
  <c r="D162" i="2"/>
  <c r="G162" s="1"/>
  <c r="H146"/>
  <c r="C151"/>
  <c r="C161" s="1"/>
  <c r="C158"/>
  <c r="I82" i="1" l="1"/>
  <c r="I100" s="1"/>
  <c r="F40"/>
  <c r="F87" s="1"/>
  <c r="I87" s="1"/>
  <c r="I105" s="1"/>
  <c r="I38"/>
  <c r="F72" i="4"/>
  <c r="H71"/>
  <c r="G158"/>
  <c r="H96"/>
  <c r="F31"/>
  <c r="H28"/>
  <c r="F49"/>
  <c r="H39"/>
  <c r="G141"/>
  <c r="H137"/>
  <c r="F27" i="1"/>
  <c r="F35" s="1"/>
  <c r="F86" s="1"/>
  <c r="F96" s="1"/>
  <c r="F123"/>
  <c r="G160" i="4"/>
  <c r="G57" i="1"/>
  <c r="F76" i="4"/>
  <c r="F160"/>
  <c r="F162" s="1"/>
  <c r="G66"/>
  <c r="G102"/>
  <c r="D142" i="2"/>
  <c r="G29" i="1"/>
  <c r="G123" s="1"/>
  <c r="C163" i="2"/>
  <c r="H158" i="4" l="1"/>
  <c r="G162"/>
  <c r="F120" i="1"/>
  <c r="F105"/>
  <c r="G90"/>
  <c r="G108" s="1"/>
  <c r="I57"/>
  <c r="I29"/>
  <c r="G124" i="4"/>
  <c r="H124" s="1"/>
  <c r="H143" s="1"/>
  <c r="H66"/>
  <c r="F126"/>
  <c r="F145" s="1"/>
  <c r="H76"/>
  <c r="F122"/>
  <c r="H49"/>
  <c r="G129"/>
  <c r="H129" s="1"/>
  <c r="H148" s="1"/>
  <c r="H102"/>
  <c r="F121"/>
  <c r="H31"/>
  <c r="F125"/>
  <c r="H72"/>
  <c r="H160"/>
  <c r="C172" i="2"/>
  <c r="I90" i="1"/>
  <c r="I108" s="1"/>
  <c r="F124"/>
  <c r="D22" i="3" s="1"/>
  <c r="I123" i="1"/>
  <c r="F104"/>
  <c r="E142" i="2"/>
  <c r="G27" i="1"/>
  <c r="D143" i="2"/>
  <c r="D150"/>
  <c r="D152" s="1"/>
  <c r="F133" i="4" l="1"/>
  <c r="B3" i="3" s="1"/>
  <c r="G133" i="4"/>
  <c r="C3" i="3" s="1"/>
  <c r="C10" s="1"/>
  <c r="G148" i="4"/>
  <c r="G143"/>
  <c r="H126"/>
  <c r="H145" s="1"/>
  <c r="H125"/>
  <c r="H144" s="1"/>
  <c r="F144"/>
  <c r="H121"/>
  <c r="H140" s="1"/>
  <c r="F140"/>
  <c r="F141"/>
  <c r="H122"/>
  <c r="H141" s="1"/>
  <c r="H162"/>
  <c r="G152"/>
  <c r="C21" i="3" s="1"/>
  <c r="D24"/>
  <c r="F152" i="4"/>
  <c r="B21" i="3" s="1"/>
  <c r="B24" s="1"/>
  <c r="B26" s="1"/>
  <c r="B27" s="1"/>
  <c r="B31" s="1"/>
  <c r="B10"/>
  <c r="B6"/>
  <c r="B13" s="1"/>
  <c r="G35" i="1"/>
  <c r="G86" s="1"/>
  <c r="G96" s="1"/>
  <c r="G120"/>
  <c r="I122" s="1"/>
  <c r="C6" i="3"/>
  <c r="C13" s="1"/>
  <c r="F114" i="1"/>
  <c r="D4" i="3"/>
  <c r="D11" s="1"/>
  <c r="F142" i="2"/>
  <c r="H27" i="1"/>
  <c r="I27" s="1"/>
  <c r="I35" s="1"/>
  <c r="D151" i="2"/>
  <c r="D161" s="1"/>
  <c r="D158"/>
  <c r="E143"/>
  <c r="E150"/>
  <c r="E152" s="1"/>
  <c r="H133" i="4" l="1"/>
  <c r="H152" s="1"/>
  <c r="G3" i="3"/>
  <c r="G10" s="1"/>
  <c r="C24"/>
  <c r="C26" s="1"/>
  <c r="C27" s="1"/>
  <c r="C31" s="1"/>
  <c r="G21"/>
  <c r="D26"/>
  <c r="D27" s="1"/>
  <c r="D31" s="1"/>
  <c r="H142" i="2"/>
  <c r="H150" s="1"/>
  <c r="H152" s="1"/>
  <c r="G104" i="1"/>
  <c r="E4" i="3"/>
  <c r="G124" i="1"/>
  <c r="E22" i="3" s="1"/>
  <c r="H120" i="1"/>
  <c r="H124" s="1"/>
  <c r="F22" i="3" s="1"/>
  <c r="F24" s="1"/>
  <c r="H35" i="1"/>
  <c r="H86" s="1"/>
  <c r="H96" s="1"/>
  <c r="D6" i="3"/>
  <c r="D13" s="1"/>
  <c r="E158" i="2"/>
  <c r="E151"/>
  <c r="E161" s="1"/>
  <c r="E163" s="1"/>
  <c r="E172" s="1"/>
  <c r="D163"/>
  <c r="F143"/>
  <c r="F150"/>
  <c r="F152" s="1"/>
  <c r="H143"/>
  <c r="F26" i="3" l="1"/>
  <c r="F27" s="1"/>
  <c r="F31" s="1"/>
  <c r="E24"/>
  <c r="E26" s="1"/>
  <c r="E27" s="1"/>
  <c r="G22"/>
  <c r="D172" i="2"/>
  <c r="H104" i="1"/>
  <c r="I86"/>
  <c r="G114"/>
  <c r="I120"/>
  <c r="I124" s="1"/>
  <c r="E6" i="3"/>
  <c r="E13" s="1"/>
  <c r="E11"/>
  <c r="F151" i="2"/>
  <c r="F161" s="1"/>
  <c r="F163" s="1"/>
  <c r="F172" s="1"/>
  <c r="F158"/>
  <c r="G158" s="1"/>
  <c r="H151"/>
  <c r="H161" s="1"/>
  <c r="H163" s="1"/>
  <c r="H172" s="1"/>
  <c r="H158"/>
  <c r="I104" i="1" l="1"/>
  <c r="I96"/>
  <c r="I114" s="1"/>
  <c r="G161" i="2"/>
  <c r="G163"/>
  <c r="G172"/>
  <c r="E31" i="3"/>
  <c r="G24"/>
  <c r="G26" s="1"/>
  <c r="G27" s="1"/>
  <c r="F4"/>
  <c r="G4" s="1"/>
  <c r="G11" s="1"/>
  <c r="H114" i="1"/>
  <c r="G31" i="3" l="1"/>
  <c r="F11"/>
  <c r="F6"/>
  <c r="G6" s="1"/>
  <c r="G13" s="1"/>
  <c r="F13" l="1"/>
</calcChain>
</file>

<file path=xl/sharedStrings.xml><?xml version="1.0" encoding="utf-8"?>
<sst xmlns="http://schemas.openxmlformats.org/spreadsheetml/2006/main" count="766" uniqueCount="474">
  <si>
    <t>Գործողություն</t>
  </si>
  <si>
    <t>Պատասխանատու մարմին</t>
  </si>
  <si>
    <t>Փաստահավաք հանձնաժողովի կողմից իր գործունեության  իրականացում, զեկույցի ներկայացում և ՀՀ կառավարությանն ու ՀՀ ԱԺ-ին խորհրդատվական եզրակացության տրամադրում</t>
  </si>
  <si>
    <t>Փաստահավաք հանձնաժողով</t>
  </si>
  <si>
    <t>Փաստահավաք հանձնաժողովի զեկույցի ամփոփման հիման վրա ձեռնարկել խախտումներից տուժած անձանց իրավունքների վերականգնմանն ուղղված միջոցառումներ</t>
  </si>
  <si>
    <t>ՀՀ արդարադատության նախարարություն</t>
  </si>
  <si>
    <t>Փաստահավաք հանձնաժողովի զեկույցի ամփոփման հիման վրա ձեռնարկել խախտումների կրկնությունը բացառելուն ուղղված ինստիտուցիոնալ բարեփոխումներ</t>
  </si>
  <si>
    <t xml:space="preserve">Սահմանադրական բարեփոխումների հանձնաժողովի կողմից սահմանադրական բարեփոխումների նախագծի մշակում </t>
  </si>
  <si>
    <t>ՀՀ արդարադատության նախարարություն, Սահմանադրական բարեփոխումների հանձնաժողով (համաձայնությամբ):</t>
  </si>
  <si>
    <t>Սահմանադրական բարեփոխումների նախագծի հանրային քննարկում և սահմանադրական հանրաքվեի նախաձեռնում</t>
  </si>
  <si>
    <t>Արդարադատության նախրարություն</t>
  </si>
  <si>
    <t>Ֆինանսավորման աղբյուր</t>
  </si>
  <si>
    <t>Օրենքով չարգելված միջոցներ</t>
  </si>
  <si>
    <t>Նպատակ 3. Դատական իշխանության հանրային հաշվետվողականության կառուցակարգերի բարելավում</t>
  </si>
  <si>
    <t>Դատական գործերի էլեկտրոնային մակագրության և բաշխման կարգի կատարելագործում</t>
  </si>
  <si>
    <t xml:space="preserve">ՀՀ արդարադատության նախարարություն, Բարձրագույն դատական խորհուրդ (համաձայնությամբ) </t>
  </si>
  <si>
    <r>
      <t>Ներդնել</t>
    </r>
    <r>
      <rPr>
        <b/>
        <sz val="11"/>
        <color theme="1"/>
        <rFont val="GHEA Grapalat"/>
        <family val="3"/>
      </rPr>
      <t xml:space="preserve"> </t>
    </r>
    <r>
      <rPr>
        <sz val="11"/>
        <color theme="1"/>
        <rFont val="GHEA Grapalat"/>
        <family val="3"/>
      </rPr>
      <t>հանրության համար հասանելի առցանց ռեժիմում գործող դատարանների գործունեությունն ամփոփող զեկույցների և վիճակագրության հրապարակման կառուցակարգ</t>
    </r>
  </si>
  <si>
    <t>ՀՀ արդարադատության նախարարություն, Բարձրագույն դատական խորհուրդ (համաձայնությամբ)։</t>
  </si>
  <si>
    <t>Նպատակ 4. Պետական և տեղական ինքնակառավարման մարմինների կողմից մատուցվող ծառայությունների միասնական հարթակի ապահովում</t>
  </si>
  <si>
    <t>Պետական և տեղական ինքնակառավարման մարմինների կողմից մատուցվող  որոշ ծառայությունների մատուցման միասնական կենտրոնի ստեղծումը «մեկ կանգառ, մեկ պատուհան» սկզբունքի կիրառմամբ</t>
  </si>
  <si>
    <t>Պետական որոշ ծառայությունների մատուցման միասնական առնվազն մեկ կենտրոն է ստեղծվել</t>
  </si>
  <si>
    <t>Նպատակ 5. Դատարանների գործունեության արդյունավետության բարձրացում</t>
  </si>
  <si>
    <t>Ռազմավարական ուղղություններ՝</t>
  </si>
  <si>
    <t xml:space="preserve">Դատարանների ծանրաբեռնվածության նվազեցում և դատական քննության ողջամիտ ժամկետի ապահովում </t>
  </si>
  <si>
    <t>Դատավորների և նրանց աշխատակազմի կարողությունների բարձրացում</t>
  </si>
  <si>
    <t>Դատավորների և դատավորների օգնականների թվի ավելացում</t>
  </si>
  <si>
    <t>ՀՀ արդարադատության նախարարություն, Բարձրագույն դատական խորհուրդ (համաձայնությամբ)</t>
  </si>
  <si>
    <t xml:space="preserve">Շարունակել իրականացնել դատավորների վերապատրաստումներ հետևյալ բնագավառներում՝ </t>
  </si>
  <si>
    <t>ա) կոռուպցիոն, տնտեսական և պաշտոնեական հանցագործությունների քննություն,</t>
  </si>
  <si>
    <t>բ)  էլեկտրոնային արդարադատության գործիքների ներդրմանը զուգահեռ կարևորվում է դատավորների՝ էլեկտրոնային կրիչների վրա գտնվող ապացույցների հետ աշխատելու հմտությունների զարգացումը,</t>
  </si>
  <si>
    <t>գ) մասնագիտական վարքագծի կանոններ և էթիկա,</t>
  </si>
  <si>
    <t>դ) «Մարդու իրավունքների և հիմնարար ազատությունների պաշտպանության մասին» եվրոպական կոնվենցիայի կոնկրետ հոդվածների վերաբերյալ Մարդու իրավունքների եվրոպական դատարանի նախադեպային իրավունք:</t>
  </si>
  <si>
    <t>ՀՀ արդարադատության նախարարություն, ՀՀ արդարադատության ակադեմիա (համաձայնությամբ)</t>
  </si>
  <si>
    <t>Օրենքով չարգելված միջոցներ:</t>
  </si>
  <si>
    <t>Դատարաններին ապահովել իրենց արդյունավետ գործունեության համար անհրաժեշտ շենքային պայմաններով</t>
  </si>
  <si>
    <t>ՀՀ ֆինանսների նախարարություն</t>
  </si>
  <si>
    <t>Նպատակ 6. Դատական փորձաքննությունների արդյունավետության բարձրացում</t>
  </si>
  <si>
    <t>ՀՀ-ում գործող պետական դատափորձագիտական հիմնարկները միավորել մեկ միասնական կենտրոնում, այդ  կենտրոնին տրամադրել իր գործունեության արդյունավետության բարձրացման համար անհրաժեշտ տեխնիկա:</t>
  </si>
  <si>
    <t>Անձնական տվյալների պաշտպանության գործակալության կարողությունների զարգացում, տեխնիկական ու ծրագրային ապահովում</t>
  </si>
  <si>
    <t>«Անձնական տվյալների ավտոմատացված մշակման դեպքում անհատների պաշտպանության մասին» կոնվենցիայի փոփոխող արձանագրության  ստորագրում և վավերացում</t>
  </si>
  <si>
    <r>
      <t>Նպատակ 7.</t>
    </r>
    <r>
      <rPr>
        <i/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Քաղաքացիական արդարադատության արդյունավետության բարձրացում</t>
    </r>
  </si>
  <si>
    <t>ՀՀ քաղաքացիական դատավարության օրենսգրքում և Հաշտարարության մասին օրենքում փոփոխությունների կատարում:</t>
  </si>
  <si>
    <t>ՀՀ արդարադատության նախարարություն, ՀՀ բարձրագույն դատական խորհուրդ (համաձայնությամբ):</t>
  </si>
  <si>
    <t>Պետական բյուջե</t>
  </si>
  <si>
    <t>կամ օրենքով չարգելված այլ միջոցներ:</t>
  </si>
  <si>
    <t>ՀՀ քաղաքացիական դատավարության օրենսգրքի կիրառության ընթացքում ծագած խնդիրների առանձնացում և դրանց լուծման նպատակով փոփոխությունների կատարում:</t>
  </si>
  <si>
    <t>Մշակել ՀՀ քաղաքացիական օրենսգրքում և այլ իրավական ակտերում փոփոխություններ կատարելուն ուղղված օրենքների նախագծեր:</t>
  </si>
  <si>
    <r>
      <t>Նպատակ 8.</t>
    </r>
    <r>
      <rPr>
        <i/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Վարչական արդարադատության արդյունավետության բարձրացում</t>
    </r>
  </si>
  <si>
    <t>ՀՀ վարչական դատավարության օրենսգրքում փոփոխությունների կատարում:</t>
  </si>
  <si>
    <r>
      <t>Նպատակ 9.</t>
    </r>
    <r>
      <rPr>
        <sz val="11"/>
        <color theme="1"/>
        <rFont val="GHEA Grapalat"/>
        <family val="3"/>
      </rPr>
      <t xml:space="preserve"> Սնանկության համակարգի արդյունավետության բարձրացում</t>
    </r>
  </si>
  <si>
    <t xml:space="preserve"> «Սնանկության մասին» օրենքում կատարել համապատասխան փոփոխություններ` վերանայելով սնանկության կառավարչին ներկայացվող պահանջները և նշանակման կարգը</t>
  </si>
  <si>
    <t>«Սնանկության մասին» օրենքում կատարել համապատասխան փոփոխություններ` սահմանելով ֆինանսական առողջացման ծրագրերի իրականացումը խթանող գործիքակազմ, մասնավորապես՝ ֆինանսական առողջացման ծրագրերի հաստատման դեպքում սնանկության կառավարիչների վարձատրության և պարգևավճարների ճկուն մեխանիզմներ, ընկերությունների ֆինանսական առողջացմանը պետության օժանդակության ապահովման գործիքներ:</t>
  </si>
  <si>
    <t>Մշակել ֆինանսական առողջացման ծրագրի ձևանմուշներ, կազմակերպել սնանկության կառավարիչների, դատավորների և շահագրգիռ անձանց համար համապատասխան դասընթացներ:</t>
  </si>
  <si>
    <t>Զարգացնել սնանկության դատարանի տեխնիկական կարողությունները, համալրել դատարանի տեխնիկական միջոցները, բարձրացնել դատարանի աշխատակազմի տեխնիկակական պատրաստվածության մակարդակը</t>
  </si>
  <si>
    <r>
      <t>Նպատակ 10</t>
    </r>
    <r>
      <rPr>
        <sz val="11"/>
        <color theme="1"/>
        <rFont val="GHEA Grapalat"/>
        <family val="3"/>
      </rPr>
      <t>. Վեճերի լուծման այլընտրանքային եղանակների զարգացում</t>
    </r>
  </si>
  <si>
    <t>Նախաձեռնել և (կամ) աջակցել արբիտրաժի ինստիտուցիոնալ կառույցի ստեղծմանը:</t>
  </si>
  <si>
    <t>1) իրականացնել հանրային իրազեկումներ (գովազդային վահանակների, հեռուստատեսային գովազդների, հեռուստահաղորդումների, մամուլի միջոցով) վեճերի լուծման այլընտրանքային եղանակների  վերաբերյալ,</t>
  </si>
  <si>
    <t xml:space="preserve"> 2) մշակել և ներդնել համապատասխան կրթական ծրագրեր կամ արդիականացնել առկա կրթական ծրագրերը</t>
  </si>
  <si>
    <r>
      <t>Նպատակ 11.</t>
    </r>
    <r>
      <rPr>
        <i/>
        <sz val="11"/>
        <color theme="1"/>
        <rFont val="GHEA Grapalat"/>
        <family val="3"/>
      </rPr>
      <t xml:space="preserve">  </t>
    </r>
    <r>
      <rPr>
        <b/>
        <sz val="11"/>
        <color theme="1"/>
        <rFont val="GHEA Grapalat"/>
        <family val="3"/>
      </rPr>
      <t>Նոտարական համակարգի արդյունավետության բարձրացում</t>
    </r>
  </si>
  <si>
    <t>Նոտարիատի մասին օրենքում և այլ օրենսդրական ակտերում կատարել փոփոխություններ՝ բարձրացնելով կատարողական մակագրության թերթի ինստիտուտի արդյունավետությունը:</t>
  </si>
  <si>
    <t>ՀՀ արդարադատության նախարարություն, ՀՀ Նոտարական պալատ (համաձայնությամբ):</t>
  </si>
  <si>
    <t>Նոտարիատի մասին օրենքում կատարել փոփոխություններ՝ բարելավելով նոտարին կարգապահական պատասխանատվության ենթարկելու ընթացակարգը:</t>
  </si>
  <si>
    <t>Նոտարիատի մասին օրենքում կատարել փոփոխություններ՝ ապահովելով ինչպես նոտարների, այնպես էլ կողմերի շահերի արդյունավետ պաշտպանությունը, նվազեցնել դատական վեճերի հավանականությունը և ապահովել դատական վեճերի դեպքում հավելյալ ապացույցների օգտագործման հնարավորությունը:</t>
  </si>
  <si>
    <t>Նպատակ 12. Հարկադիր կատարման համակարգի բարեփոխումներ</t>
  </si>
  <si>
    <t>Մշակել «Կատարողական վարույթի մասին» օրենքի նախագիծ:</t>
  </si>
  <si>
    <t>Հարկադիր կատարումն ապահովող ծառայության տեխնիկական հագեցվածության բարելավում:</t>
  </si>
  <si>
    <r>
      <t>Նպատակ 2</t>
    </r>
    <r>
      <rPr>
        <sz val="11"/>
        <color theme="1"/>
        <rFont val="GHEA Grapalat"/>
        <family val="3"/>
      </rPr>
      <t xml:space="preserve">. </t>
    </r>
    <r>
      <rPr>
        <b/>
        <sz val="11"/>
        <color theme="1"/>
        <rFont val="GHEA Grapalat"/>
        <family val="3"/>
      </rPr>
      <t>Սահմանադրական բարեփոխումների իրականացում</t>
    </r>
  </si>
  <si>
    <t>ՀՀ արդարադատության նախարարություն, ՀՀ ֆինանսների նախարարություն</t>
  </si>
  <si>
    <t>Պետական բյուջե կամ օրենքով չարգելված այլ միջոցներ:</t>
  </si>
  <si>
    <t>ՀՀ արդարադատության նախարարություն ՀՀ կրթության,գիտության, մշակույթի և սպորտի նախարարություն</t>
  </si>
  <si>
    <t>Development of training materials</t>
  </si>
  <si>
    <t>Coordinator</t>
  </si>
  <si>
    <t>Expert</t>
  </si>
  <si>
    <t>Editor</t>
  </si>
  <si>
    <t>Printing</t>
  </si>
  <si>
    <t>Total w/o VAT</t>
  </si>
  <si>
    <t>VAT @ 20%</t>
  </si>
  <si>
    <t>TOTAL including VAT</t>
  </si>
  <si>
    <t>unit</t>
  </si>
  <si>
    <t>number of units</t>
  </si>
  <si>
    <t>Unit price/cost</t>
  </si>
  <si>
    <t>Total</t>
  </si>
  <si>
    <t>Number of positions</t>
  </si>
  <si>
    <t>month</t>
  </si>
  <si>
    <t>copies</t>
  </si>
  <si>
    <t>On-line/Distant trainings</t>
  </si>
  <si>
    <t>Eductaion technology expert</t>
  </si>
  <si>
    <t>Contentual Designer</t>
  </si>
  <si>
    <t>Designer</t>
  </si>
  <si>
    <t>Audio-Video specialist</t>
  </si>
  <si>
    <t>E-learning website expert</t>
  </si>
  <si>
    <t>Total for Distant training</t>
  </si>
  <si>
    <t>Trainings at the Academy</t>
  </si>
  <si>
    <t>Judges</t>
  </si>
  <si>
    <t>Hours per year</t>
  </si>
  <si>
    <t>Prosecutors</t>
  </si>
  <si>
    <t>Investigation comittee staff</t>
  </si>
  <si>
    <t>Investigators from the Special Investigation Service</t>
  </si>
  <si>
    <t>Judicial bailiffs</t>
  </si>
  <si>
    <t>Court staff</t>
  </si>
  <si>
    <t>Cost per participant</t>
  </si>
  <si>
    <t>3-day seminar/training in Tsaxkadzor</t>
  </si>
  <si>
    <t>Transportation</t>
  </si>
  <si>
    <t>Trainings</t>
  </si>
  <si>
    <t xml:space="preserve">Variable </t>
  </si>
  <si>
    <t>Fixed</t>
  </si>
  <si>
    <t>hotel room</t>
  </si>
  <si>
    <t>meals</t>
  </si>
  <si>
    <t>Coffe breaks</t>
  </si>
  <si>
    <t>Number of units</t>
  </si>
  <si>
    <t>way</t>
  </si>
  <si>
    <t>hours</t>
  </si>
  <si>
    <t>nights</t>
  </si>
  <si>
    <t>days</t>
  </si>
  <si>
    <t>per day</t>
  </si>
  <si>
    <t>AMD</t>
  </si>
  <si>
    <t>Number of participants</t>
  </si>
  <si>
    <t>Total variable Cost</t>
  </si>
  <si>
    <t>Total Fixed +Variable cost</t>
  </si>
  <si>
    <t>VAT @20%</t>
  </si>
  <si>
    <t>TOTAL COST</t>
  </si>
  <si>
    <t>Fact-finding commission</t>
  </si>
  <si>
    <t>Number of members</t>
  </si>
  <si>
    <t>Salary coefficient</t>
  </si>
  <si>
    <t>Other expenses/office supply etc. @ 20% of salaries</t>
  </si>
  <si>
    <t>TOTAL for Fact-finding commission</t>
  </si>
  <si>
    <t>2020 թվական</t>
  </si>
  <si>
    <t>«Փաստահավաք հանձնաժողովի կազմավորման կարգի և գործունեության մասին» օրենքի մշակում:</t>
  </si>
  <si>
    <t>Փաստահավաք հանձնաժողովի ձևավորում</t>
  </si>
  <si>
    <t>Սահմանադրական բարեփոխումների հանձնաժողովի կազմն ու աշխատակարգը սահմանող փաստաթղթրի մշակում և ընդունում</t>
  </si>
  <si>
    <t>Նպատակ 3. Ընտրական օրենսդրության բարեփոխում</t>
  </si>
  <si>
    <t>ՀՀ ընտրական օրենսգրքի փոփոխությունների և լրացումների փաթեթի մշակում</t>
  </si>
  <si>
    <t>Նպատակ 4. Դատական իշխանության անկախության և անաչառության ամրապնդում, կոռուպցիայից և հովանավորչությունից զերծ դատական համակարգ</t>
  </si>
  <si>
    <t>«Հայաստանի Հանրապետության դատական օրենսգիրք» սահմանադրական օրենքում կատարել փոփոխություններ և լրացումներ՝ ուղղված դատավորին կարգապահական պատասխանատվության ենթարկելու հիմքերի կատարելագործմանը, որոնք, ի թիվս այլնի, ներառում են.</t>
  </si>
  <si>
    <t>ՀՀ արդարադատության նախարարություն, ՀՀ ԱԺ Պետական-իրավական հարցերի մշտական հանձնաժողով (համաձայնությամբ:</t>
  </si>
  <si>
    <t xml:space="preserve"> 1. հստակեցնել դատավորի լիազորությունների դադարեցման համար հիմք հանդիսացող էական կարգապահական խախտումների ցանկը՝ ապահովելու համար իրավական որոշակիությունը.</t>
  </si>
  <si>
    <t xml:space="preserve">2. հստակեցնել դատական սխալը դատավորի կողմից իր մասնագիտական գործունեության ընթացքում մարդու իրավունքների և ազատությունների հիմնարար խախտումից տարանջատելու հիմքերը. </t>
  </si>
  <si>
    <t>3. հստակեցնել դատավորի վարքագծի կանոնները՝ դրանցից հանելով այն կանոնները, որոնք ձևակերպված են ոչ հստակ կամ որոնք բնույթով ոչ թե կարգապահական, այլ էթիկայի կանոններ են:</t>
  </si>
  <si>
    <t>Հստակեցնել «Հայաստանի Հանրապետության դատական օրենսգիրք» սահմանադրական օրենքում՝</t>
  </si>
  <si>
    <t>ՀՀ արդարադատության նախարարություն, ՀՀ ԱԺ Պետական-իրավական հարցերի մշտական հանձնաժողով (համաձայնությամբ):</t>
  </si>
  <si>
    <t>1.կարգապահական վարույթի և դատավորին կարգապահական պատասխանատվության ենթարկելու հարցի քննության ընթացակարգերը.</t>
  </si>
  <si>
    <t>2.դատավորին կարգապահական պատասխանատվության ենթարկելու վերաբերյալ որոշումների բողոքարկման ընթացակարգը.</t>
  </si>
  <si>
    <t>3. ընդլայնել Բարձրագույն դատական խորհրդի՝ դատավորին կարգապահական պատասխանատվության ենթարկելու հարցի քննարկման հետ կապված լիազորությունները:</t>
  </si>
  <si>
    <t>«Հայաստանի Հանրապետության դատական օրենսգիրք» սահմանադրական օրենքում հստակեցնել ԲԴԽ անդամների համար նախատեսված կարգապահական պատասխանատվության հիմքերը և ընթացակարգը:</t>
  </si>
  <si>
    <t>«Հայաստանի Հանրապետության դատական օրենսգիրք» սահմանադրական օրենքում կատարել լրացում՝ դատավորի նկատմամբ կարգապահական վարույթ հարուցելու իրավասություն ունեցող մարմինների ցանկը համալրելով Կոռուպցիայի կանխարգելման հանձնաժողովով:</t>
  </si>
  <si>
    <t>ՀՀ արդարադատության նախարարություն, ՀՀ ԱԺ Պետական-իրավական հարցերի մշտական հանձնաժողով և Կոռուպցիայի կանխարգելման հանձնաժողով (համաձայնությամբ):</t>
  </si>
  <si>
    <t>«Հայաստանի Հանրապետության դատական օրենսգիրք» սահմանադրական օրենքում, «Կոռուպցիայի կանխարգելման հանձնաժողովի մասին» և «Հանրային ծառայության մասին» օրենքներում սահմանել դատավորների բարեվարքության գնահատման համար անհրաժեշտ կառուցակարգեր՝ ուղղված.</t>
  </si>
  <si>
    <t>«Հայաստանի Հանրապետության դատական օրենսգիրք» սահմանադրական օրենքում կատարել փոփոխություն՝ նպատակ ունանալով Կարգապահական հարցերի հանձնաժողովի փոխարեն ստեղծել Էթիկայի և կարգապահական հարցերի հանձնաժողով, որի անդամները կընտրվեն ոչ թե հինգ, այլ երկու տարով և որը կընդգրկի ոչ միայն դատավորներին, այլև ՄԻՊ և հանրության ներկայացուցիչների:</t>
  </si>
  <si>
    <t xml:space="preserve">Վերապատրաստել. </t>
  </si>
  <si>
    <t>ՀՀ արդարադատության նախարարություն, ՀՀ  արդարադատության ակադեմիա, Կոռուպցիայի կանխարգելման հանձնաժողով (համաձայնությամբ):</t>
  </si>
  <si>
    <t>1.ԲԴԽ անդամներին՝ նպատակ ունենալով զարգացնել նրանց կարողությունները կատարված օրենսդրական փոփոխությունների և ներդրված նոր մեխանիզմների կիրառման բնագավառում.</t>
  </si>
  <si>
    <t>2.Կոռուպցիայի կանխարգելման հանձնաժողովի անդամներին՝ նպատակ ունենալով զարգացնել նրանց կարողությունները կատարված օրենսդրական փոփոխությունների և ներդրված նոր մեխանիզմների կիրառման բնագավառում:</t>
  </si>
  <si>
    <t xml:space="preserve">Նպատակ 5. Դատական իշխանության անկախության և անաչառության ամրապնդում
Ռազմավարական ուղղություն՝ Դատավորների թեկնածուների հավակնորդների որակավորման ստուգման կարգի կատարելագործում
</t>
  </si>
  <si>
    <t xml:space="preserve">«Հայաստանի Հանրապետության դատական օրենսգիրք» սահմանադրական օրենքում կատարել փոփոխություններ և լրացումներ ուղղված՝ </t>
  </si>
  <si>
    <t>ՀՀ արդարադատության նախարարություն, Բարձրագույն դատական խորհուրդ (համաձայնությամբ):</t>
  </si>
  <si>
    <t>ա) գնահատման հանձնաժողովի կազմավորման կարգի փոփոխությանը.</t>
  </si>
  <si>
    <t>բ) գնահատման չափանիշների հստակեցմանը և գնահատման պատճառաբանվածության ապահովմանը.</t>
  </si>
  <si>
    <t>գ) հարցազրույցի փուլում միջազգային առաջատար հոգեբանական ինստիտուտների կողմից կազմված հոգեբանական թեստի անցկացմանը.</t>
  </si>
  <si>
    <t>դ) քննության արդյունքների բողոքարկման ընթացակարգի ներդրմանը և Բարձրագույն դատական խորհրդի որոշման ընդունման թափանցիկության ապահովմանը:</t>
  </si>
  <si>
    <t>Մշակել օրենսդրական փոփոխություններ ուղղված՝ դատավորի աշխատավարձի և դրա նկատմամբ սահմանված հավելավճարների, դատավորի կենսաթոշակի ավելացմանը, ինչպես նաև հանրային ծառայողին տրամադրվող այլ սոցիալական երաշխիքների ապահովմանը:</t>
  </si>
  <si>
    <t>ՀՀ արդարադատության նախարարություն,  ՀՀ ֆինանսների նախարարություն և ԲԴԽ (համաձայնությամբ):</t>
  </si>
  <si>
    <t xml:space="preserve">Իրականացնել դատավորների վերապատրաստումներ հետևյալ բնագավառներում՝ </t>
  </si>
  <si>
    <t xml:space="preserve">ՀՀ արդարադատության նախարարություն և ՀՀ արդարադատության ակադեմիա: </t>
  </si>
  <si>
    <t>Փոփոխություններ կատարել համապատասխան իրավական ակտերում՝ ուղղված դատավորի աշխատակազմի թվաքանակի ավելացմանը:</t>
  </si>
  <si>
    <t>ՀՀ արդարադատության նախարարություն, ՀՀ ֆինանսների նախարարություն, ԲԴԽ (համաձայնությամբ):</t>
  </si>
  <si>
    <t>Փոփոխություններ կատարել համապատասխան իրավական ակտերում՝ ուղղված դատավորի աշխատակազմի աշխատավարձերի բարձրացմանը:</t>
  </si>
  <si>
    <t>Դատարաններին ապահովել իրենց արդյունավետ գործունեության համար անհրաժեշտ շենքային պայմաններով:</t>
  </si>
  <si>
    <t>ՀՀ արդարադատության նախարարություն, ՀՀ ֆինանսների նախարարություն և ԲԴԽ (համաձայնությամբ):</t>
  </si>
  <si>
    <t>Դատարաններին ապահովել իրենց արդյունավետ գործունեության համար անհրաժեշտ նյութատեխնիկական բազայով:</t>
  </si>
  <si>
    <t>Հանրության մոտ դատական իշխանության դերի ընկալման և դրա նկատմամբ վստահության բարձրացմանն ուղղված իրազեկման միջոցառումների ձեռնարկում</t>
  </si>
  <si>
    <t>Արդարադատության նախարարություն, Բարձրագույն դատական խորհուրդ (համաձայնությամբ)</t>
  </si>
  <si>
    <t>Նպատակ 6. Վեճերի լուծման այլընտրանքային եղանակների զարգացում</t>
  </si>
  <si>
    <t xml:space="preserve">1) Ներդնել հաշտարարության իրականացման ժամանակակից գործիքների ներդնման ուղղությամբ (առցանց հաշտարարություն, հեռախոսային հաշտարարություն)` դրանց միջոցով սպառողների և հանրային ծառայություններ մատուցող կազմակերպությունների միջև վեճերի լուծումն իրականացնելու համար: </t>
  </si>
  <si>
    <t>2) ընդլայնել Ֆինանսական համակարգի հաշտարարի գործունեության ուղղությունները, վերջինիս վերապահելով նաև իրավաբանական անձանց միջև վեճերը քննելու և լուծելու լիազորություններ.</t>
  </si>
  <si>
    <t xml:space="preserve">3) ստորագրել «Մեդիացիայի արդյունք հանդիսացող՝ վեճերի կարգավորման վերաբերյալ միջազգային համաձայնագրերի մասին» Միավորված ազգերի կազմակերպության կոնվենցիան և վերջինիս հիման վրա ՀՀ օրենսդրությամբ դրա կիրառման համապատասխան կառուցակարգեր սահմանել: </t>
  </si>
  <si>
    <t>Ֆինանսական համակարգի հաշտարարի գրասենյակ (համաձայնությամբ)</t>
  </si>
  <si>
    <t xml:space="preserve">Նպատակ 7. Քրեական և քրեադատավարական օրենսդրության բարեփոխում </t>
  </si>
  <si>
    <t>Մշակել ՀՀ քրեական նոր օրենսգրքի նախագիծ</t>
  </si>
  <si>
    <t>Կազմակերպել ՀՀ քրեական նոր օրենսգրքի նախագծի հանրային քննարկումը</t>
  </si>
  <si>
    <t>ՀՀ քրեական նոր օրենսգրքի նախագիծը ներկայացնել ՀՀ կառավարության, ապա՝ ՀՀ ԱԺ քննարկմանը</t>
  </si>
  <si>
    <t>ՀՀ քրեական նոր օրենսգրքի վերաբերյալ քրեական վարույթի բոլոր հանրային մասնակիցների և դատավորների վերապատրաստումներ:</t>
  </si>
  <si>
    <t>ՀՀ արդարադատության նախարարություն, ՀՀ արդարադատության ակադեմիա</t>
  </si>
  <si>
    <t xml:space="preserve">Օրենսդրական փոփոխություններից բխող գործառույթների իրականացման համար անհրաժեշտ նյութատեխնիկական աջակցություն տրամադրել քրեական վարույթն իրականացնող մարմիններին, այդ թվում՝ դատարաններին:  </t>
  </si>
  <si>
    <t>Մշակել ՀՀ քրեական դատավարության նոր օրենսգրքի նախագիծ</t>
  </si>
  <si>
    <t xml:space="preserve">ՀՀ արդարադատության նախարարություն </t>
  </si>
  <si>
    <t>Կազմակերպել ՀՀ քրեական դատավարության նոր օրենսգրքի նախագծի հանրային քննարկումը</t>
  </si>
  <si>
    <t>ՀՀ քրեական դատավարության նոր օրենսգրքի նախագիծը ներկայացնել ՀՀ կառավարության, ապա՝ ՀՀ ԱԺ քննարկմանը</t>
  </si>
  <si>
    <t>ՀՀ քրեական դատավարության նոր օրենսգրքի վերաբերյալ քրեական վարույթի բոլոր հանրային մասնակիցների  և դատավորների վերապատրաստումներ:</t>
  </si>
  <si>
    <t>Նպատակ 8. Իրավապահ համակարգի բարեփոխում</t>
  </si>
  <si>
    <t>Ներդնել դատախազների բարեվարքության գնահատման կառուցակարգ՝ գործի դնելով դատավորների բարեվարքության գնահատման համար որդեգրված սկզբունքները</t>
  </si>
  <si>
    <t>ՀՀ արդարադատության նախարարություն, ՀՀ գլխավոր դատախազություն (համաձայնությամբ)</t>
  </si>
  <si>
    <t>Փոփոխել Որակավորման հանձնաժողովի կազմման կանոնները, որպեսզի դրա անդամների պարզ մեծամասնությունը նշանակվի գլխավոր դատախազի մասնակցությունը չներառող գործընթացով և ընդլայնել ոչ ավագ պաշտոններում դատախազների ներկայացվածությունը դատախազների ներկայացուցչական մարմիններում</t>
  </si>
  <si>
    <t>«Դատախազության մասին» օրենքում կատարել փոփոխություններ և լրացումներ՝ ուղղված դատախազների թեկնածուներին առաջադրվող պահանջների վերանայմանը և դատախազների ընտրության մրցույթի թափանցիկության ապահովմանը</t>
  </si>
  <si>
    <t>Իրականացնել դատախազության կառուցվածքային փոփոխություններ և կարողությունների զարգացում պետական շահերի ոչ քրեադատավարական միջոցներով պաշտպանության բնագավառում, ինչպես նաև կոռուպցիոն, տնտեսական, պաշտոնեական և այլ հանցագործությունների քննության, էլեկտրոնային ապացույցների հետ աշխատելու և այլ բնագավառներում:</t>
  </si>
  <si>
    <t xml:space="preserve">Նպատակ 9. Իրավապահ համակարգի բարեփոխում </t>
  </si>
  <si>
    <t>Համապատասխան իրավական ակտերում կատարել փոփոխություններ և լրացումներ՝ ուղղված քննիչներին կարգապահական պատասխանատվության ենթարկելու հիմքերի և ընթացակարգերի կատարելագործմանը</t>
  </si>
  <si>
    <t>ՀՀ արդարադատության նախարարություն, ՀՀ քննչական կոմիտե, ՀՀ հատուկ քննչական ծառայություն, ՀՀ ազգային անվտանգության ծառայություն</t>
  </si>
  <si>
    <t>Իրականացնել քննիչների կարողությունների զարգացում կոռուպցիոն, տնտեսական, պաշտոնեական և այլ հանցագործությունների քննության, էլեկտրոնային ապացույցների հետ աշխատելու և այլ բնագավառներում</t>
  </si>
  <si>
    <r>
      <t>Նպատակ 10</t>
    </r>
    <r>
      <rPr>
        <sz val="11"/>
        <color theme="1"/>
        <rFont val="GHEA Grapalat"/>
        <family val="3"/>
      </rPr>
      <t xml:space="preserve">. </t>
    </r>
    <r>
      <rPr>
        <b/>
        <sz val="11"/>
        <color theme="1"/>
        <rFont val="GHEA Grapalat"/>
        <family val="3"/>
      </rPr>
      <t>Քաղաքացիական և քաղաքացիական դատավարության օրենսդրության բարեփոխում</t>
    </r>
  </si>
  <si>
    <t>Մշակել ՀՀ «Սպառողական կրեդիտավորման մասին» ՀՀ օրենքի, «Բանկային ավանդների ներգրավման մասին» ՀՀ օրենքի, «Բանկերի և բանկային գործունեության մասին» ՀՀ օրենքի, «Ավտոտրանսպորտային միջոցների օգտագործումից բխող պատասխանատվության պարտադիր ապահովագրության մասին» ՀՀ օրենքի, «Վճարման հանձնարարակով միջոցների փոխանցումների մասին» ՀՀ օրենքի, «Բանկային գաղտնիքի մասին» ՀՀ օրենքի և նշված օրենքներից բխող այլ իրավական ակտերում փոփոխություններ կատարելուն ուղղված նախագծեր:</t>
  </si>
  <si>
    <t>ՀՀ քաղաքացիական դատավարության օրենսգրքում կատարել փոփոխություններ՝ վերանայելով հայցադիմումները վերադարձնելու ինստիտուտը:</t>
  </si>
  <si>
    <t>ՀՀ արդարա-դատության նախարարություն, ՀՀ բարձրագույն դատական խորհուրդ (համաձայնությամբ):</t>
  </si>
  <si>
    <t>ՀՀ պետական բյուջե (…. դրամ), միջազգային գործընկերների հետ համագործակցություն:</t>
  </si>
  <si>
    <t>Նպատակ 11. Վարչական արդարադատության և վարչական վարույթի արդյունավետության բարձրացում</t>
  </si>
  <si>
    <t>ՀՀ վարչական դատավարության օրենսգրքում կատարել փոփոխություններ՝ նախատեսելով Վճռաբեկ դատարանի վարչական պալատ:</t>
  </si>
  <si>
    <t>ՀՀ վարչական դատավարության օրենսգրքում և ՀՀ քրեական դատավարության օրենսգրքում կատարել փոփոխություններ:</t>
  </si>
  <si>
    <t>ՀՀ վարչական դատավարության օրենսգրքում կատարել փոփոխություններ՝ ներդնելով ծանուցումների նոր ընթացակարգեր:</t>
  </si>
  <si>
    <t xml:space="preserve"> Պետական բյուջե կամ օրենքով չարգելված այլ միջոցներ:</t>
  </si>
  <si>
    <t>ՀՀ վարչական դատավարության օրենսգրքում կատարել փոփոխություններ՝ ներդնելով գրավոր և պարզեցված նոր վարույթներ:</t>
  </si>
  <si>
    <t>ՀՀ վարչական դատավարության օրենսգրքում և &lt;&lt;Պետական տուրքի մասին&gt;&gt; օրենքում  կատարել փոփոխություններ՝ սահմանելով հարկադիր կատարողների գործողությունները բողոքարկելու վերաբերյալ դիմումներով, ինչպես նաև վարչական իրավախախտումների վերաբերյալ համապատասխան լիազորված մարմինների ընդունած որոշման դեմ բողոքներով պետական տուրք վճարելու պարտականություն:</t>
  </si>
  <si>
    <t>ՀՀ վարչական դատավարության օրենսգրքում կատարել փոփոխություններ՝ վերանայելով հատուկ վարույթների տեսակները:</t>
  </si>
  <si>
    <t>«Վարչարարության հիմունքների և վարչական վարույթի մասին» օրենքում կատարել փոփոխություններ՝ սահմանելով վարչական ակտերի պարտադիր բողոքարկման ընթացակարգեր:</t>
  </si>
  <si>
    <t>Վարչական իրավախախտումների վերաբերյալ նոր օրենսգրքի ընդունում:</t>
  </si>
  <si>
    <t>Վարչական իրավախախտումների վերաբերյալ օրենսգրքում կատարել փոփոխություններ:</t>
  </si>
  <si>
    <t xml:space="preserve"> «Սնանկության մասին» օրենքում կատարել համապատասխան փոփոխություններ` վերանայելով սնանկության կառավարիչների կարգապահական պատասխանատվության ինստիուտը</t>
  </si>
  <si>
    <t>Ընդունել սնանկության կառավարիչների որակավորման իրականացման կարգ սահմանող նախարարի նորմատիվ իրավական ակտ:</t>
  </si>
  <si>
    <t xml:space="preserve">Նախաձեռնել  «Սնանկության մասին» օրենքի գիտագործնական մեկնաբանությունների, ձեռնարկների և (կամ) ուղեցույցների մշակում: </t>
  </si>
  <si>
    <t>Միջազգային գործընկերների հետ համագործակցություն:</t>
  </si>
  <si>
    <t>Բարելավել սնանկության կառավարիչների վերապատրաստման ծրագրերը:</t>
  </si>
  <si>
    <t>ՀՀ արդարադատության նախարարություն, սնանկության կառավարիչների ինքնակարգավորվող կազմակերպություններ</t>
  </si>
  <si>
    <t xml:space="preserve"> «Սնանկության մասին» օրենքում կատարել համապատասխան փոփոխություններ` վերանայելով գույքի գույքագրմանը և գնահատմանը վերաբերող կարգավորումները:</t>
  </si>
  <si>
    <t>Մշակել սնանկության վարույթում գույքի վաճառքի իրականացման կարգը սահմանող Կառավարության որոշման նախագիծ</t>
  </si>
  <si>
    <t>«Սնանկության մասին» օրենքում կատարել համապատասխան փոփոխություններ՝ հստակ սահմանելով դատարանի կոնկրետ գործողությունների համար կոնկրետ ժամկետներ, հնարավորինս բացառել դատավարական գործողություններում դատական հայեցողության տարրերը, ընդլայնել պարտատիրոջ իրավունքները սնանկության կառավարչի վարձատրությունը և ծախսերը հաստատելու, սնանկության կառավարչի նշանակման և լիազորությունների դադարեցման, լուծարման կամ ֆինանսական առողջացման ծրագիրը հաստատելու մասին որոշումներ կայացնելիս:</t>
  </si>
  <si>
    <t>Վերանայել սնանկության դատավորների վերապատրաստման ծրագրերը:</t>
  </si>
  <si>
    <t>ՀՀ արդարադատության նախարարություն, Բարձրագույն դատական խորհուրդ (համաձայնությամբ) Արդարադատության ակադեմիա (համաձայնությամբ</t>
  </si>
  <si>
    <r>
      <t>Նպատակ 13</t>
    </r>
    <r>
      <rPr>
        <sz val="11"/>
        <color theme="1"/>
        <rFont val="GHEA Grapalat"/>
        <family val="3"/>
      </rPr>
      <t>. Վեճերի լուծման այլընտրանքային եղանակների զարգացում</t>
    </r>
  </si>
  <si>
    <t>Մշակել «Առևտրային արբիտրաժի մասին» օրենքում փոփոխություններ կատարելու վերաբերյալ օրենքի նախագիծ</t>
  </si>
  <si>
    <t>Նպատակ 14. Փաստաբանական համակարգի արդյունավետության բարձրացում</t>
  </si>
  <si>
    <t>«Փաստաբանության մասին» օրենքում կատարել փոփոխություններ՝ ընդլայնելով անվճար իրավաբանական օգնություն ստանալու իրավունք ունեցող անձանց շրջանակը:</t>
  </si>
  <si>
    <t>ՀՀ արդարադատության նախարարություն, ՀՀ փաստաբանների պալատ (համաձայնությամբ):</t>
  </si>
  <si>
    <t>ՀՀ պետական բյուջե (40 մլն դրամ), միջազգային գործընկերների հետ համագործակցություն:</t>
  </si>
  <si>
    <t>«Փաստաբանության մասին» օրենքում կատարել փոփոխություններ՝ ներդնելով pro-bono իրավաբանական ծառայությունների արդյունավետ կառուցակարգը:</t>
  </si>
  <si>
    <t>Հանրային պաշտպանների ծանրաբեռնվածության և հանրային պաշտպանի գրասենյակի ենթակառուցվածքների բարեփոխման վերաբերյալ համապարփակ ուսումնասիրության իրականացում, ուսումնասիրության արդյունքներով համապատասխան օրենսդրական փոփոխությունների կատարում:</t>
  </si>
  <si>
    <t>Փաստաբանական դպրոցի ունկնդիրների մասնագիտական ուսուցման,  որակավորման քննության և փաստաբանների մասնագիտական վերապատրաստման կատարելագործված կարգերի ներդնում:</t>
  </si>
  <si>
    <t>«Փաստաբանության մասին» օրենքում կատարել փոփոխություններ՝ օրենսդրորեն ամրագրելով փաստաբանների վարքագծի և բարեվարքության նվազագույն չափորոշիչները:</t>
  </si>
  <si>
    <t>«Փաստաբանության մասին» օրենքում կատարել փոփոխություններ՝ ներդնելով Փաստաբանների պալատի ինքնակառավարման գործուն կառուցակարգեր:</t>
  </si>
  <si>
    <t>Ազգային Ժողով  Վարչապետի աշխատակազմ (համաձայնությամբ)</t>
  </si>
  <si>
    <t>ՀՀ արդարադատության նախարարություն Վարչապետի աշխատակազմ (համաձայնությամբ)</t>
  </si>
  <si>
    <t>SJC+CPC training</t>
  </si>
  <si>
    <t>2.4.7</t>
  </si>
  <si>
    <t>Number of hours</t>
  </si>
  <si>
    <t>Training cost per participant as judges</t>
  </si>
  <si>
    <t>Total cost of training</t>
  </si>
  <si>
    <t>2.5.3</t>
  </si>
  <si>
    <t>Investments</t>
  </si>
  <si>
    <t>Number of Units needing investments</t>
  </si>
  <si>
    <t>Reconstruction of courthouses</t>
  </si>
  <si>
    <t>Renovation of courthouses</t>
  </si>
  <si>
    <t>Construction of courthouses</t>
  </si>
  <si>
    <t>AMD mln</t>
  </si>
  <si>
    <t xml:space="preserve">Total Investments for Courthouses, of which: </t>
  </si>
  <si>
    <t>Data Centre (construction+hardware)</t>
  </si>
  <si>
    <t>Other (contingencies)</t>
  </si>
  <si>
    <t>Total Identified funding, AMD mln</t>
  </si>
  <si>
    <t>GOA Budget</t>
  </si>
  <si>
    <t>Donor assistance/IFIs</t>
  </si>
  <si>
    <t>Number of Judges before reforms</t>
  </si>
  <si>
    <t>Increase in number of Judges</t>
  </si>
  <si>
    <t>Increase in number of Judges, % from previous year</t>
  </si>
  <si>
    <t>Total number of Judges</t>
  </si>
  <si>
    <t>Increase in number of judges compared to 2019, %</t>
  </si>
  <si>
    <t>Increase in salaries of judges, % from 2019</t>
  </si>
  <si>
    <t>Total Salaries for judges before reforms</t>
  </si>
  <si>
    <t>Increase in salaries due to increase in Judge salary levels, AMD mln</t>
  </si>
  <si>
    <t>Total salaries after the increase in salary levels, AMD mln</t>
  </si>
  <si>
    <t>Increase in salaries due to increased number of judges, AMD mln</t>
  </si>
  <si>
    <t>Total Salaries for judges after reforms (increased salaries+ judges), AMD mln</t>
  </si>
  <si>
    <t>Other salaries (non-judge), AMD mln</t>
  </si>
  <si>
    <t>TOTAL SALARIES AFTER REFORMS, AMD mln</t>
  </si>
  <si>
    <t>Increase in salaries after reforms, AMD mln</t>
  </si>
  <si>
    <t>Non-salary Expenditures, mln AMD</t>
  </si>
  <si>
    <t>Increase in non-salary expenditures, %</t>
  </si>
  <si>
    <t>Total Recurrent Expenditures, Court system, mln AMD</t>
  </si>
  <si>
    <t>Increase compared to 2019, AMD mln</t>
  </si>
  <si>
    <t>Increase compared to 2019, %</t>
  </si>
  <si>
    <t>Summary Tables</t>
  </si>
  <si>
    <t>Total Recurrent Expenditures, AMD mln</t>
  </si>
  <si>
    <t>Investments (including the Data Centre in 2020-21), AMD mln</t>
  </si>
  <si>
    <t>Increase in recurrent expenditures compared to 2019, AMD mln</t>
  </si>
  <si>
    <t>Increase in capital expenditures, AMD mln</t>
  </si>
  <si>
    <t>Total required financing under reform strategy, AMD mln</t>
  </si>
  <si>
    <t xml:space="preserve">Identified Financing </t>
  </si>
  <si>
    <t>For recurrent expenditures</t>
  </si>
  <si>
    <t>For capital expenditures</t>
  </si>
  <si>
    <t xml:space="preserve">GOA </t>
  </si>
  <si>
    <t>IFIs/Donors</t>
  </si>
  <si>
    <t>Financing Surplus/Gap</t>
  </si>
  <si>
    <t>2019 Budget</t>
  </si>
  <si>
    <t>2020 (Budget Draft)</t>
  </si>
  <si>
    <t>Supreme Judicial Council, AMD mln</t>
  </si>
  <si>
    <t>Ensuring operation of the judiciary system and independent operation of the judiciary</t>
  </si>
  <si>
    <t>New Initiatives (Capital Expenditures)</t>
  </si>
  <si>
    <t>2021 թվական</t>
  </si>
  <si>
    <t>2022 թվական</t>
  </si>
  <si>
    <t>2023 թվական</t>
  </si>
  <si>
    <t>Number of man.months per member</t>
  </si>
  <si>
    <t>Number of staff/secretariat</t>
  </si>
  <si>
    <t>Average monthly salaries, AMD</t>
  </si>
  <si>
    <t>Base Salary, AMD</t>
  </si>
  <si>
    <t>Total Annual Salary for the Members, AMD</t>
  </si>
  <si>
    <t>Total Annual Salaries for the Secretariat, AMD</t>
  </si>
  <si>
    <t>Ընդամենը Նպատակ 1</t>
  </si>
  <si>
    <t>Ընդամենը Նպատակ 2</t>
  </si>
  <si>
    <t>Ընդամենը Նպատակ 3</t>
  </si>
  <si>
    <t>Ընդամենը Նպատակ 4</t>
  </si>
  <si>
    <t>Ընդամենը Նպատակ 5</t>
  </si>
  <si>
    <t>3.6.2</t>
  </si>
  <si>
    <t>Ընդամենը Նպատակ 6</t>
  </si>
  <si>
    <t>Ընդամենը Նպատակ 7</t>
  </si>
  <si>
    <t>ՀՀ արդարադատության նախարարություն,  ՀՀ բարձրագույն դատական խորհուրդ (համաձայնությամբ):</t>
  </si>
  <si>
    <t>Ընդամենը Նպատակ 8</t>
  </si>
  <si>
    <t>Փոփոխություններ կատարել ՀՀ դատական օրենսգիրք սահմանադրական օրենքում՝ ավելացնելով սնանկության դատարանի դատավորների թիվը</t>
  </si>
  <si>
    <t>Իրականացնել հանրային իրազեկումներ (գովազդային վահանակների, հեռուստահաղորդումների, մամուլի միջոցով) սնանկության գործընթացների վերաբերյալ</t>
  </si>
  <si>
    <t>Մշակել «Սնանկության մասին» մասին օրենսգրքի նախագիծ</t>
  </si>
  <si>
    <t>Ընդամենը Նպատակ 9</t>
  </si>
  <si>
    <t>Ընդամենը Նպատակ 10</t>
  </si>
  <si>
    <t>Ընդամենը Նպատակ 11</t>
  </si>
  <si>
    <t>Ընդամենը Նպատակ 12</t>
  </si>
  <si>
    <t>Ընդամենը՝ յուրաքանչյուր նպատակի գծով</t>
  </si>
  <si>
    <t>ՀՀ արդարադատության նախարարություն Բարձրագույն դատական խորհուրդ (համաձայնությամբ) Արդարադատության ակադեմիա (համաձայնությամբ) Սնան-կության կառավարիչների ինքնակարգավորվող կազմակերպություններ (համաձայնությամբ)</t>
  </si>
  <si>
    <t>Ծախսերի գնահատական, հազար դրամ</t>
  </si>
  <si>
    <t>2021-2023թթ. ՀԱՅԱՍՏԱՆԻ ՀԱՆՐԱՊԵՏՈՒԹՅԱՆ ԴԱՏԱԿԱՆ ԵՎ ԻՐԱՎԱԿԱՆ ԲԱՐԵՓՈԽՈՒՄՆԵՐԻ ՌԱԶՄԱՎԱՐՈՒԹՅՈՒՆԻՑ ԲԽՈՂ 2021-2023թթ. ԳՈՐԾՈՂՈՒԹՅՈՒՆՆԵՐԻ ԾՐԱԳՐԻ ԾԱԽՍԵՐԻ ԳՆԱՀԱՏԱԿԱՆ</t>
  </si>
  <si>
    <r>
      <t>Նպատակ</t>
    </r>
    <r>
      <rPr>
        <b/>
        <i/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1</t>
    </r>
    <r>
      <rPr>
        <b/>
        <i/>
        <sz val="11"/>
        <color theme="1"/>
        <rFont val="GHEA Grapalat"/>
        <family val="3"/>
      </rPr>
      <t>.Անցումային արդարադատության միջոցով լիարժեք ժողովրդավարության հաստատում և իրավունքի գերակայության ամրապնդում</t>
    </r>
  </si>
  <si>
    <t>Ծախսերի ամփոփ գնահատական, հազար դրամ</t>
  </si>
  <si>
    <t>2019-2020թթ. ՀԱՅԱՍՏԱՆԻ ՀԱՆՐԱՊԵՏՈՒԹՅԱՆ ԴԱՏԱԿԱՆ ԵՎ ԻՐԱՎԱԿԱՆ ԲԱՐԵՓՈԽՈՒՄՆԵՐԻ ՌԱԶՄԱՎԱՐՈՒԹՅՈՒՆԻՑ ԲԽՈՂ 2021-2023թթ. ԳՈՐԾՈՂՈՒԹՅՈՒՆՆԵՐԻ ԾՐԱԳՐԻ ԾԱԽՍԵՐԻ ԳՆԱՀԱՏԱԿԱՆ</t>
  </si>
  <si>
    <r>
      <t>Նպատակ</t>
    </r>
    <r>
      <rPr>
        <b/>
        <i/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1</t>
    </r>
    <r>
      <rPr>
        <b/>
        <i/>
        <sz val="11"/>
        <color theme="1"/>
        <rFont val="GHEA Grapalat"/>
        <family val="3"/>
      </rPr>
      <t>.Անցումային արդարադատության գործիքակազմի կիրառման միջոցով իրական ժողովրդավարության հաստատում և իրավունքի գերակայության ամրապնդում</t>
    </r>
  </si>
  <si>
    <t>2019 թվական</t>
  </si>
  <si>
    <t>Number</t>
  </si>
  <si>
    <t>2.9.2</t>
  </si>
  <si>
    <t>Training cost per participant as investigators</t>
  </si>
  <si>
    <t>Նպատակ 12. Սնանկության համակարգի արդյունավետության բարձրացում</t>
  </si>
  <si>
    <t>Ընդամենը Նպատակ 13</t>
  </si>
  <si>
    <t>Ընդամենը Նպատակ 14</t>
  </si>
  <si>
    <t>1ա</t>
  </si>
  <si>
    <t>1բ</t>
  </si>
  <si>
    <t>Դատավորների աշխատավարձերի բարձրացում (որպես հետևանք 2019-2020թթ. Գործողությունների ծրագրով նախատեսված օրենսդրական փոփոխությունների արդյունքնում դատավորների աշխատավարձերի բարձրացման)</t>
  </si>
  <si>
    <t>Նպատակ 13. Փաստաբանական համակարգի արդյունավետության բարձրացում</t>
  </si>
  <si>
    <t>2019-2020թթ. Գործողությունների ծրագրի Նպատակ 14-ի գործողությունների արդյունքում հանրային պաշտպանի գրասենյակի ծառայությունների ծավալի ընդլայնում</t>
  </si>
  <si>
    <t>Total number of criminal cases</t>
  </si>
  <si>
    <t xml:space="preserve">Number of staff (public defenders for criminal cases, full-staff) </t>
  </si>
  <si>
    <t>Number of criminal cases per 1 public defender</t>
  </si>
  <si>
    <t>Annual increase in number of total cases, %</t>
  </si>
  <si>
    <t>Average growth rate for 2011-19</t>
  </si>
  <si>
    <t>Total number of civil and administrative cases</t>
  </si>
  <si>
    <t>Total number of Representations</t>
  </si>
  <si>
    <t xml:space="preserve">Number of staff (public defenders for civil-admin cases, full-staff) </t>
  </si>
  <si>
    <t>Number of civil-admin cases per 1 public defender</t>
  </si>
  <si>
    <t>Number of Deputy Heads</t>
  </si>
  <si>
    <t>Total number of staff of public defenders (including PDO head and deputies)</t>
  </si>
  <si>
    <t>Annual cost per 1 staff member, AMD mln</t>
  </si>
  <si>
    <t>Annual cost of PDO Head, AMD mln</t>
  </si>
  <si>
    <t>Budget financing, AMD mln</t>
  </si>
  <si>
    <t>Annual Increase in Budget financing compared to 2019, AMD mln</t>
  </si>
  <si>
    <t>Public Defenders</t>
  </si>
  <si>
    <t>Պատասխանատումարմին</t>
  </si>
  <si>
    <t>2019թ. 2-րդ կիսամյակ</t>
  </si>
  <si>
    <t>ՀՀ արդարադատության նախարարություն, ՀՀ բարձր տեխնոլոգիական արդյունաբերության նախարարություն(համակատարող)</t>
  </si>
  <si>
    <t>3.ՀՀ վարչական և ՀՀ քաղաքացիականդատավարությանօրենսգրքերում կատարել փոփոխություններ՝ վերանայելով էլեկտրոնային եղանակով ծանուցումները:</t>
  </si>
  <si>
    <t>ՀՀ արդարադատության նախարարություն, ՀՀբարձրագույն դատական խորհուրդ (համաձայնությամբ):</t>
  </si>
  <si>
    <t>ՀՀ արդարադատության նախարարություն, արդարադատության ոլորտի շահագրգիռ մարմիններ</t>
  </si>
  <si>
    <t>ՀՀ Արդարադատության նախարարություն</t>
  </si>
  <si>
    <t>1.Էլեկտրոնային նոտարական e-notary համակարգի զարգացում</t>
  </si>
  <si>
    <t>ՀՀ արդարադաատության նախարարություն</t>
  </si>
  <si>
    <t>2.Նոտարի կողմից  Էլեկտրոնային եղանակով վավերացման ենթակա էլեկտրոնային պայմանագրերի և փաստաթղթերի փոխանակման համար անհրաժեշտ էլեկտրոնային համակարգի ներդրում</t>
  </si>
  <si>
    <t>3.ՀՀ հրապարակային ծանուցումների պաշտոնական ինտերնետային կայքի արդիականացում</t>
  </si>
  <si>
    <t>4.Իրավաբանական անձանց էլեկտրոնային գրանցման e-register համակարգի արդիականացում</t>
  </si>
  <si>
    <t>5.Իրավաբանական անձանց պետական ռեգիստրի արխիվային նյութերի թվայնացում, թվային արխիվների ստեղծում</t>
  </si>
  <si>
    <r>
      <t xml:space="preserve">1.Իրականացնել  արդարադատության ոլորտի մարմիններում գործող տվյալների շտեմարանների և էլեկտրոնային համակարգերի ուսումնասիրություն: </t>
    </r>
    <r>
      <rPr>
        <b/>
        <sz val="12"/>
        <color rgb="FFFF0000"/>
        <rFont val="GHEA Grapalat"/>
        <family val="3"/>
      </rPr>
      <t xml:space="preserve">Իրականացված է ԵՄ տեխնիկական աջակցության միջոցով: </t>
    </r>
  </si>
  <si>
    <r>
      <t xml:space="preserve">2.Մշակել էլեկտրոնային արդարադատության համակարգի ընդհանուր տեխնիկական նկարագիրը: </t>
    </r>
    <r>
      <rPr>
        <b/>
        <sz val="12"/>
        <color rgb="FFFF0000"/>
        <rFont val="GHEA Grapalat"/>
        <family val="3"/>
      </rPr>
      <t>Իրականացված է ԵՄ տեխնիկական աջակցության միջոցով:</t>
    </r>
    <r>
      <rPr>
        <b/>
        <sz val="12"/>
        <color theme="1"/>
        <rFont val="GHEA Grapalat"/>
        <family val="3"/>
      </rPr>
      <t xml:space="preserve"> </t>
    </r>
  </si>
  <si>
    <r>
      <t xml:space="preserve">4.Դատարաններում ներդնել և գործարկել էլեկտրոնային կառավարման միասնական համակարգ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</si>
  <si>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r>
      <t xml:space="preserve">5.ՀՀ վարչական և ՀՀ քաղաքացիականդատավարությանօրենսգրքերում կատարել փոփոխություններ՝ ներդնելով էլեկտրոնային եղանակով փաստաթղթերի ներկայացման ընթացակարգեր: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</si>
  <si>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r>
      <t xml:space="preserve">6.Դատարաններում ներդնել  էլեկտրոնային փաստաթղթաշրջանառության համակարգ: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</si>
  <si>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r>
      <t xml:space="preserve">8.Ներդնել և գործարկել սնանկության էլեկտրոնային հարթակը (e-bankruptcy):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</si>
  <si>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r>
      <t xml:space="preserve">9.Ներդնել և գործարկել էլեկտրոնային արդարադատության միասնական համակարգի  քաղաքացիական և վարչական գործերով էլեկտրոնային մոդուլը: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</si>
  <si>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r>
      <t xml:space="preserve">10. Ներդնել և գործարկել էլեկտրոնային արդարադատության միասնական համակարգի  քրեական գործերով էլեկտրոնային մոդուլը: </t>
    </r>
    <r>
      <rPr>
        <b/>
        <sz val="12"/>
        <color rgb="FFFF0000"/>
        <rFont val="GHEA Grapalat"/>
        <family val="3"/>
      </rPr>
      <t>(Տե՛ս 11-րդ կետի ծախսերի գնահատականը)</t>
    </r>
  </si>
  <si>
    <t>ՀՀ Արդարադատության նախարարություն , ՀՀ Բարձրագույն դատական խորհուրդ (համաձայնությամբ)</t>
  </si>
  <si>
    <t>ՀՀ Արդարադատության նախարարություն , ՀՀ Բարձրագույն դատական խորհուրդ (համաձայնությամբ),ՀԿԱԾ (համաձայնությամբ), Պրոբացիայի ծառայություն (համաձայնությամբ), քրեակատարողական ծառայություն (համաձայնությամբ), ՀՀ գլխավոր դատախազություն (համաձայնությամբ), Ոստիկանություն (համաձայնությամբ), Հատուկ քննչական ծառայություն (համաձայնությամբ), ԱԱԾ (համաձայնությամբ), Քննչական կոմիտե (համաձայնությամբ), ՊԵԿ (համաձայնությամբ)</t>
  </si>
  <si>
    <t>Cost calculation e-justice</t>
  </si>
  <si>
    <t>Software</t>
  </si>
  <si>
    <t>USD</t>
  </si>
  <si>
    <t>Euros</t>
  </si>
  <si>
    <t>e-Judicary*</t>
  </si>
  <si>
    <t>Prosecution</t>
  </si>
  <si>
    <t>MoJ and subordinate inst (prisons and probation)</t>
  </si>
  <si>
    <t>Data Centre</t>
  </si>
  <si>
    <t>Global Price List (GPL) prices, USD</t>
  </si>
  <si>
    <t>Contract Price, USD (40% discount from GPL)</t>
  </si>
  <si>
    <t>Main Data Centre</t>
  </si>
  <si>
    <t>Servers</t>
  </si>
  <si>
    <t>Network equipment</t>
  </si>
  <si>
    <t>Engineering</t>
  </si>
  <si>
    <t>Backup Data Centre</t>
  </si>
  <si>
    <t>11. Էլեկտրոնային արդարադատության (e-judiciary) ծրագրի մշակում և ներդրում (4-րդ, 5-րդ, 6-րդ, 8-րդ, 9-րդ և 10-րդ կետեր), ՀՀ գլխավոր դատախազության համակարգչային ծրագրի մշակում և Արդարադատության նախարարության (ներառյալ առանձնացված ստորաբաժանումները) համակարգչային ծրագրի մշակում</t>
  </si>
  <si>
    <t>Տվյալների կենտրոնի ստեղծում</t>
  </si>
  <si>
    <t>ՀՀ արդարադաատության նախարարություն ՀՀ Կենտրոնական բանկ (համակատարող)</t>
  </si>
  <si>
    <t>Նպատակ 2. Հանրային կառավարման արդարադատության բնագավառի էլեկտրոնային համակարգերի և տվյալների էլեկտրոնային բազաների մատչելիության ապահովում և արդիականացում</t>
  </si>
  <si>
    <t>ԸՆԴԱՄԵՆԸ (2021-2023)</t>
  </si>
  <si>
    <t>ԸՆԴԱՄԵՆԸ (2019-2020)</t>
  </si>
  <si>
    <t>ԸՆԴԱՄԵՆԸ Էլեկտրոնային արդարադատություն</t>
  </si>
  <si>
    <t>Ընդամենը՝ գործողությունների յուրաքանչյուր ծրագրի գծով</t>
  </si>
  <si>
    <t>ԸՆԴԱՄԵՆԸ Ռազմավարության գծով</t>
  </si>
  <si>
    <t>Summary of cost estimates, AMD thousand</t>
  </si>
  <si>
    <t>Total for Objective 1</t>
  </si>
  <si>
    <t>Total for Objective 2</t>
  </si>
  <si>
    <t>Total for Objective 3</t>
  </si>
  <si>
    <t>Total for Objective 4</t>
  </si>
  <si>
    <t>Total for Objective 5</t>
  </si>
  <si>
    <t>Total for Objective 6</t>
  </si>
  <si>
    <t>Total for Objective 7</t>
  </si>
  <si>
    <t>Total for Objective 8</t>
  </si>
  <si>
    <t>Total for Objective 9</t>
  </si>
  <si>
    <t>Total for Objective 10</t>
  </si>
  <si>
    <t>Total for Objective 11</t>
  </si>
  <si>
    <t>Total for Objective 12</t>
  </si>
  <si>
    <t>Total for Objective 13</t>
  </si>
  <si>
    <t>Total for Objective 14</t>
  </si>
  <si>
    <t>TOTAL FOR 2019-2020</t>
  </si>
  <si>
    <t>2nd half of 2019</t>
  </si>
  <si>
    <t>Total for each Objective</t>
  </si>
  <si>
    <t>TOTAL FOR 2021-2023</t>
  </si>
  <si>
    <t>TOTAL FOR E-JUSTICE</t>
  </si>
  <si>
    <t>TOTAL for 2019-2020</t>
  </si>
  <si>
    <t>TOTAL for 2021-2023</t>
  </si>
  <si>
    <t>TOTAL for E-Justice</t>
  </si>
  <si>
    <t>TOTAL FOR STRATEGY</t>
  </si>
  <si>
    <t>Fact-finding</t>
  </si>
  <si>
    <t>MOJ</t>
  </si>
  <si>
    <t>Legal Aid</t>
  </si>
  <si>
    <t>Fact-finding Commission</t>
  </si>
  <si>
    <t>Trainings (Justice Academy)</t>
  </si>
  <si>
    <t>TOTAL</t>
  </si>
  <si>
    <t>Total for each institution</t>
  </si>
  <si>
    <t>Central Electoral Commission</t>
  </si>
  <si>
    <t>Judiciary</t>
  </si>
  <si>
    <t>Bailiffs</t>
  </si>
  <si>
    <t>7.Ներդնել դատական իշխանությանն առնչվող գերատեսչություների հետ տեղեկատվության տրամադրման և ստացման համակարգ (Interconnectivity and Ciber-Security)</t>
  </si>
  <si>
    <t>e4</t>
  </si>
  <si>
    <t>Interconnectivity and cybersecurity</t>
  </si>
  <si>
    <t>* Provided existing system can be used and the ownership of these by the state is clarified. If not, costs may ascend to 3 million Euros or more.</t>
  </si>
  <si>
    <t>Total for each Modul/component</t>
  </si>
  <si>
    <t>TOTAL FOR IT</t>
  </si>
  <si>
    <t>Total for 2019-2023</t>
  </si>
  <si>
    <t>Calculation of financial gap for justice reform</t>
  </si>
  <si>
    <t>2nd quarter 2019</t>
  </si>
  <si>
    <t>ST Action Plan</t>
  </si>
  <si>
    <t>LT Action Plan</t>
  </si>
  <si>
    <t>E-justice</t>
  </si>
  <si>
    <t>Grand total reform costs in 1000 dram</t>
  </si>
  <si>
    <t>Note: there are substantil other DP support, but it all concerns technical assistance</t>
  </si>
  <si>
    <t>Financial gap to be covered by other donors or the MOF, 1000 EUR</t>
  </si>
  <si>
    <t xml:space="preserve">   Hereof estmated EU budget suport, 1000 EUR</t>
  </si>
  <si>
    <t>EUR 1= AMD 526</t>
  </si>
  <si>
    <t>Computers</t>
  </si>
  <si>
    <t>quantity</t>
  </si>
  <si>
    <t>Penitentiary</t>
  </si>
  <si>
    <t>Probation</t>
  </si>
  <si>
    <t>Price, EUR</t>
  </si>
  <si>
    <t>Total amount, EUR</t>
  </si>
  <si>
    <t>Total amount, AMD</t>
  </si>
  <si>
    <t>Համակարգիչներ</t>
  </si>
  <si>
    <t>GOA financing</t>
  </si>
  <si>
    <t>Financial Gap in 1000 Euros</t>
  </si>
  <si>
    <t>Financial Gap after the GOA fiancing</t>
  </si>
  <si>
    <t xml:space="preserve">   Hereof support by EU to tendering of e-justice software solutions, 1000 EUR</t>
  </si>
  <si>
    <t>MOJ, of which</t>
  </si>
  <si>
    <t>Recurrent Expenditures</t>
  </si>
  <si>
    <t>Reference Items: 2020-2022 MTEF Allocations</t>
  </si>
  <si>
    <t>Ընդամենը</t>
  </si>
  <si>
    <t>ՀՀ արդարադատության նախարարություն, բարձրագույն ուսումնական հաստատություններ (համաձայնությամբ), Սնանկության դատարան (համաձայնությամբ):</t>
  </si>
  <si>
    <t>public awareness</t>
  </si>
  <si>
    <t>Public awareness</t>
  </si>
  <si>
    <t>Նպատակ 14. 2019-2023թթ․ դատաիրավական բնագավառի բարեփոխումների ռազմավարության նպատակների և ընթացքի լուսաբանում</t>
  </si>
  <si>
    <t>2019-2023թթ. Դատաիրավական ոլորտի բարեփոխումների նպատակների, գործողություններիմ դրանց ընթացքի և արդյուների լուսաբանում և հանրային իրազեկում</t>
  </si>
  <si>
    <t>Cost Estimates for E-Justice AP, AMD thousand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</si>
</sst>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"/>
    <numFmt numFmtId="167" formatCode="#,##0.0_);\(#,##0.0\)"/>
  </numFmts>
  <fonts count="40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rgb="FF1D2228"/>
      <name val="GHEA Grapalat"/>
      <family val="3"/>
    </font>
    <font>
      <sz val="11"/>
      <color rgb="FF000000"/>
      <name val="GHEA Grapalat"/>
      <family val="3"/>
    </font>
    <font>
      <i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</font>
    <font>
      <sz val="11"/>
      <color rgb="FFFF0000"/>
      <name val="GHEA Grapalat"/>
      <family val="3"/>
    </font>
    <font>
      <sz val="11"/>
      <color rgb="FFFF0000"/>
      <name val="Calibri"/>
      <family val="2"/>
      <scheme val="minor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7"/>
      <color theme="1"/>
      <name val="Calibri"/>
      <family val="2"/>
      <scheme val="minor"/>
    </font>
    <font>
      <b/>
      <i/>
      <sz val="7"/>
      <color theme="1"/>
      <name val="Arial"/>
      <family val="2"/>
    </font>
    <font>
      <b/>
      <sz val="11"/>
      <color rgb="FFFF0000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2"/>
      <color rgb="FFFF0000"/>
      <name val="GHEA Grapalat"/>
      <family val="3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rgb="FFFF0000"/>
      <name val="GHEA Grapalat"/>
      <family val="3"/>
    </font>
    <font>
      <sz val="11"/>
      <name val="Calibri"/>
      <family val="2"/>
      <scheme val="minor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32">
    <xf numFmtId="0" fontId="0" fillId="0" borderId="0" xfId="0"/>
    <xf numFmtId="0" fontId="4" fillId="0" borderId="3" xfId="0" applyFont="1" applyBorder="1" applyAlignment="1">
      <alignment horizontal="justify" vertical="top" wrapText="1"/>
    </xf>
    <xf numFmtId="0" fontId="0" fillId="0" borderId="7" xfId="0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3" borderId="6" xfId="0" applyFont="1" applyFill="1" applyBorder="1" applyAlignment="1">
      <alignment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1" fillId="0" borderId="0" xfId="0" applyFont="1" applyAlignment="1">
      <alignment wrapText="1"/>
    </xf>
    <xf numFmtId="0" fontId="4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vertical="top" wrapText="1"/>
    </xf>
    <xf numFmtId="0" fontId="3" fillId="4" borderId="12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3" fillId="0" borderId="0" xfId="0" applyFont="1"/>
    <xf numFmtId="0" fontId="2" fillId="0" borderId="14" xfId="0" applyFont="1" applyBorder="1" applyAlignment="1">
      <alignment wrapText="1"/>
    </xf>
    <xf numFmtId="0" fontId="4" fillId="0" borderId="14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3" borderId="10" xfId="0" applyFont="1" applyFill="1" applyBorder="1" applyAlignment="1">
      <alignment vertical="top" wrapText="1"/>
    </xf>
    <xf numFmtId="0" fontId="4" fillId="3" borderId="15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4" fillId="5" borderId="6" xfId="0" applyFont="1" applyFill="1" applyBorder="1" applyAlignment="1">
      <alignment vertical="top" wrapText="1"/>
    </xf>
    <xf numFmtId="4" fontId="0" fillId="0" borderId="0" xfId="0" applyNumberFormat="1"/>
    <xf numFmtId="3" fontId="0" fillId="0" borderId="0" xfId="0" applyNumberFormat="1"/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9" fillId="0" borderId="17" xfId="0" applyFont="1" applyBorder="1"/>
    <xf numFmtId="0" fontId="9" fillId="0" borderId="18" xfId="0" applyFont="1" applyBorder="1"/>
    <xf numFmtId="3" fontId="9" fillId="0" borderId="19" xfId="0" applyNumberFormat="1" applyFont="1" applyBorder="1"/>
    <xf numFmtId="0" fontId="0" fillId="0" borderId="20" xfId="0" applyBorder="1" applyAlignment="1">
      <alignment horizontal="right"/>
    </xf>
    <xf numFmtId="0" fontId="0" fillId="0" borderId="0" xfId="0" applyBorder="1"/>
    <xf numFmtId="3" fontId="0" fillId="0" borderId="21" xfId="0" applyNumberFormat="1" applyBorder="1"/>
    <xf numFmtId="0" fontId="9" fillId="0" borderId="20" xfId="0" applyFont="1" applyBorder="1"/>
    <xf numFmtId="0" fontId="9" fillId="0" borderId="0" xfId="0" applyFont="1" applyBorder="1"/>
    <xf numFmtId="3" fontId="9" fillId="0" borderId="21" xfId="0" applyNumberFormat="1" applyFont="1" applyBorder="1"/>
    <xf numFmtId="0" fontId="0" fillId="0" borderId="22" xfId="0" applyBorder="1" applyAlignment="1">
      <alignment horizontal="left"/>
    </xf>
    <xf numFmtId="0" fontId="0" fillId="0" borderId="23" xfId="0" applyBorder="1"/>
    <xf numFmtId="3" fontId="0" fillId="0" borderId="24" xfId="0" applyNumberFormat="1" applyBorder="1"/>
    <xf numFmtId="3" fontId="0" fillId="0" borderId="16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4" fontId="0" fillId="0" borderId="0" xfId="0" applyNumberFormat="1" applyBorder="1"/>
    <xf numFmtId="4" fontId="0" fillId="0" borderId="21" xfId="0" applyNumberFormat="1" applyBorder="1"/>
    <xf numFmtId="4" fontId="0" fillId="0" borderId="23" xfId="0" applyNumberFormat="1" applyBorder="1"/>
    <xf numFmtId="4" fontId="0" fillId="0" borderId="16" xfId="0" applyNumberFormat="1" applyBorder="1"/>
    <xf numFmtId="3" fontId="0" fillId="0" borderId="18" xfId="0" applyNumberFormat="1" applyBorder="1"/>
    <xf numFmtId="3" fontId="0" fillId="0" borderId="19" xfId="0" applyNumberFormat="1" applyBorder="1"/>
    <xf numFmtId="3" fontId="0" fillId="0" borderId="0" xfId="0" applyNumberFormat="1" applyBorder="1"/>
    <xf numFmtId="3" fontId="0" fillId="0" borderId="23" xfId="0" applyNumberFormat="1" applyBorder="1"/>
    <xf numFmtId="0" fontId="0" fillId="0" borderId="25" xfId="0" applyBorder="1"/>
    <xf numFmtId="0" fontId="0" fillId="0" borderId="26" xfId="0" applyBorder="1"/>
    <xf numFmtId="3" fontId="0" fillId="0" borderId="26" xfId="0" applyNumberFormat="1" applyBorder="1"/>
    <xf numFmtId="3" fontId="0" fillId="0" borderId="27" xfId="0" applyNumberFormat="1" applyBorder="1"/>
    <xf numFmtId="0" fontId="4" fillId="0" borderId="2" xfId="0" applyFont="1" applyBorder="1" applyAlignment="1">
      <alignment vertical="top" wrapText="1"/>
    </xf>
    <xf numFmtId="164" fontId="0" fillId="0" borderId="0" xfId="0" applyNumberFormat="1"/>
    <xf numFmtId="0" fontId="0" fillId="0" borderId="0" xfId="0" applyAlignment="1">
      <alignment wrapText="1"/>
    </xf>
    <xf numFmtId="0" fontId="3" fillId="2" borderId="16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3" fillId="4" borderId="18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vertical="top" wrapText="1"/>
    </xf>
    <xf numFmtId="0" fontId="0" fillId="0" borderId="0" xfId="0" applyAlignment="1">
      <alignment horizontal="left" vertical="top"/>
    </xf>
    <xf numFmtId="0" fontId="4" fillId="3" borderId="7" xfId="0" applyFont="1" applyFill="1" applyBorder="1" applyAlignment="1">
      <alignment vertical="top" wrapText="1"/>
    </xf>
    <xf numFmtId="0" fontId="6" fillId="0" borderId="28" xfId="0" applyFont="1" applyBorder="1" applyAlignment="1">
      <alignment horizontal="justify" vertical="top" wrapText="1"/>
    </xf>
    <xf numFmtId="0" fontId="4" fillId="0" borderId="4" xfId="0" applyFont="1" applyBorder="1" applyAlignment="1">
      <alignment vertical="top" wrapText="1"/>
    </xf>
    <xf numFmtId="0" fontId="4" fillId="5" borderId="4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4" fillId="0" borderId="3" xfId="0" applyFont="1" applyBorder="1" applyAlignment="1">
      <alignment horizontal="left" vertical="top" wrapText="1" indent="2"/>
    </xf>
    <xf numFmtId="0" fontId="4" fillId="0" borderId="2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 indent="2"/>
    </xf>
    <xf numFmtId="0" fontId="3" fillId="0" borderId="0" xfId="0" applyFont="1" applyFill="1" applyBorder="1" applyAlignment="1">
      <alignment vertical="top" wrapText="1"/>
    </xf>
    <xf numFmtId="0" fontId="0" fillId="0" borderId="0" xfId="0" applyFill="1"/>
    <xf numFmtId="0" fontId="4" fillId="3" borderId="1" xfId="0" applyFont="1" applyFill="1" applyBorder="1" applyAlignment="1">
      <alignment horizontal="center" vertical="top" wrapText="1"/>
    </xf>
    <xf numFmtId="0" fontId="4" fillId="0" borderId="29" xfId="0" applyFont="1" applyBorder="1" applyAlignment="1">
      <alignment horizontal="justify" vertical="top" wrapText="1"/>
    </xf>
    <xf numFmtId="0" fontId="4" fillId="0" borderId="29" xfId="0" applyFont="1" applyBorder="1" applyAlignment="1">
      <alignment vertical="top" wrapText="1"/>
    </xf>
    <xf numFmtId="3" fontId="4" fillId="0" borderId="10" xfId="0" applyNumberFormat="1" applyFont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12" fillId="0" borderId="0" xfId="0" applyFont="1"/>
    <xf numFmtId="0" fontId="12" fillId="0" borderId="16" xfId="0" applyFont="1" applyBorder="1"/>
    <xf numFmtId="0" fontId="12" fillId="0" borderId="16" xfId="0" applyFont="1" applyBorder="1" applyAlignment="1">
      <alignment horizontal="center"/>
    </xf>
    <xf numFmtId="0" fontId="13" fillId="0" borderId="16" xfId="0" applyFont="1" applyBorder="1"/>
    <xf numFmtId="4" fontId="13" fillId="0" borderId="16" xfId="0" applyNumberFormat="1" applyFont="1" applyBorder="1"/>
    <xf numFmtId="4" fontId="12" fillId="0" borderId="16" xfId="0" applyNumberFormat="1" applyFont="1" applyBorder="1" applyAlignment="1"/>
    <xf numFmtId="4" fontId="12" fillId="0" borderId="16" xfId="0" applyNumberFormat="1" applyFont="1" applyBorder="1"/>
    <xf numFmtId="4" fontId="12" fillId="0" borderId="0" xfId="0" applyNumberFormat="1" applyFont="1"/>
    <xf numFmtId="0" fontId="12" fillId="0" borderId="0" xfId="0" applyFont="1" applyAlignment="1">
      <alignment horizontal="center"/>
    </xf>
    <xf numFmtId="164" fontId="0" fillId="0" borderId="0" xfId="0" applyNumberFormat="1" applyFill="1" applyBorder="1" applyAlignment="1"/>
    <xf numFmtId="0" fontId="12" fillId="0" borderId="0" xfId="0" applyFont="1" applyFill="1" applyBorder="1"/>
    <xf numFmtId="9" fontId="12" fillId="0" borderId="16" xfId="1" applyFont="1" applyBorder="1"/>
    <xf numFmtId="0" fontId="11" fillId="0" borderId="16" xfId="0" applyFont="1" applyBorder="1"/>
    <xf numFmtId="9" fontId="11" fillId="0" borderId="16" xfId="1" applyFont="1" applyBorder="1"/>
    <xf numFmtId="9" fontId="12" fillId="0" borderId="16" xfId="1" applyNumberFormat="1" applyFont="1" applyBorder="1"/>
    <xf numFmtId="4" fontId="12" fillId="0" borderId="16" xfId="1" applyNumberFormat="1" applyFont="1" applyBorder="1"/>
    <xf numFmtId="0" fontId="14" fillId="0" borderId="16" xfId="0" applyFont="1" applyBorder="1"/>
    <xf numFmtId="4" fontId="14" fillId="0" borderId="16" xfId="0" applyNumberFormat="1" applyFont="1" applyBorder="1"/>
    <xf numFmtId="9" fontId="12" fillId="0" borderId="16" xfId="0" applyNumberFormat="1" applyFont="1" applyBorder="1"/>
    <xf numFmtId="0" fontId="15" fillId="0" borderId="16" xfId="0" applyFont="1" applyBorder="1"/>
    <xf numFmtId="2" fontId="13" fillId="0" borderId="16" xfId="0" applyNumberFormat="1" applyFont="1" applyBorder="1"/>
    <xf numFmtId="0" fontId="12" fillId="0" borderId="16" xfId="0" applyFont="1" applyBorder="1" applyAlignment="1">
      <alignment horizontal="right"/>
    </xf>
    <xf numFmtId="39" fontId="13" fillId="0" borderId="16" xfId="0" applyNumberFormat="1" applyFont="1" applyBorder="1"/>
    <xf numFmtId="3" fontId="4" fillId="0" borderId="1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4" fontId="4" fillId="0" borderId="7" xfId="0" applyNumberFormat="1" applyFont="1" applyFill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3" fillId="0" borderId="12" xfId="0" applyFont="1" applyBorder="1" applyAlignment="1">
      <alignment vertical="top" wrapText="1"/>
    </xf>
    <xf numFmtId="4" fontId="3" fillId="3" borderId="13" xfId="0" applyNumberFormat="1" applyFont="1" applyFill="1" applyBorder="1" applyAlignment="1">
      <alignment vertical="top" wrapText="1"/>
    </xf>
    <xf numFmtId="4" fontId="3" fillId="3" borderId="28" xfId="0" applyNumberFormat="1" applyFont="1" applyFill="1" applyBorder="1" applyAlignment="1">
      <alignment vertical="top" wrapText="1"/>
    </xf>
    <xf numFmtId="4" fontId="3" fillId="3" borderId="4" xfId="0" applyNumberFormat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0" xfId="0" applyFont="1"/>
    <xf numFmtId="0" fontId="4" fillId="0" borderId="1" xfId="0" applyFont="1" applyFill="1" applyBorder="1" applyAlignment="1">
      <alignment vertical="top" wrapText="1"/>
    </xf>
    <xf numFmtId="3" fontId="16" fillId="0" borderId="1" xfId="0" applyNumberFormat="1" applyFont="1" applyBorder="1" applyAlignment="1">
      <alignment vertical="top" wrapText="1"/>
    </xf>
    <xf numFmtId="0" fontId="4" fillId="0" borderId="28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0" fillId="0" borderId="0" xfId="0" applyAlignment="1">
      <alignment horizontal="center" wrapText="1"/>
    </xf>
    <xf numFmtId="0" fontId="4" fillId="0" borderId="1" xfId="0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right" vertical="top" wrapText="1"/>
    </xf>
    <xf numFmtId="3" fontId="4" fillId="0" borderId="1" xfId="0" applyNumberFormat="1" applyFont="1" applyFill="1" applyBorder="1" applyAlignment="1">
      <alignment horizontal="right" vertical="top" wrapText="1"/>
    </xf>
    <xf numFmtId="4" fontId="3" fillId="3" borderId="13" xfId="0" applyNumberFormat="1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4" fontId="4" fillId="0" borderId="1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4" fillId="0" borderId="16" xfId="0" applyFont="1" applyBorder="1"/>
    <xf numFmtId="3" fontId="4" fillId="0" borderId="16" xfId="0" applyNumberFormat="1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 applyAlignment="1">
      <alignment wrapText="1"/>
    </xf>
    <xf numFmtId="0" fontId="4" fillId="0" borderId="33" xfId="0" applyFont="1" applyBorder="1"/>
    <xf numFmtId="3" fontId="4" fillId="0" borderId="34" xfId="0" applyNumberFormat="1" applyFont="1" applyBorder="1"/>
    <xf numFmtId="0" fontId="4" fillId="0" borderId="35" xfId="0" applyFont="1" applyBorder="1"/>
    <xf numFmtId="0" fontId="4" fillId="0" borderId="36" xfId="0" applyFont="1" applyBorder="1"/>
    <xf numFmtId="3" fontId="4" fillId="0" borderId="36" xfId="0" applyNumberFormat="1" applyFont="1" applyBorder="1"/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3" fillId="2" borderId="38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28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3" fontId="4" fillId="0" borderId="1" xfId="0" applyNumberFormat="1" applyFont="1" applyFill="1" applyBorder="1" applyAlignment="1">
      <alignment vertical="top" wrapText="1"/>
    </xf>
    <xf numFmtId="164" fontId="4" fillId="0" borderId="28" xfId="0" applyNumberFormat="1" applyFont="1" applyBorder="1" applyAlignment="1">
      <alignment vertical="top" wrapText="1"/>
    </xf>
    <xf numFmtId="4" fontId="4" fillId="0" borderId="1" xfId="0" applyNumberFormat="1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0" fontId="0" fillId="0" borderId="0" xfId="0" applyFill="1" applyBorder="1"/>
    <xf numFmtId="0" fontId="4" fillId="0" borderId="28" xfId="0" applyFont="1" applyBorder="1" applyAlignment="1">
      <alignment horizontal="left" vertical="top" wrapText="1" indent="2"/>
    </xf>
    <xf numFmtId="0" fontId="4" fillId="3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164" fontId="4" fillId="0" borderId="7" xfId="0" applyNumberFormat="1" applyFont="1" applyBorder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0" fontId="4" fillId="3" borderId="28" xfId="0" applyFont="1" applyFill="1" applyBorder="1" applyAlignment="1">
      <alignment vertical="top" wrapText="1"/>
    </xf>
    <xf numFmtId="164" fontId="4" fillId="3" borderId="6" xfId="0" applyNumberFormat="1" applyFont="1" applyFill="1" applyBorder="1" applyAlignment="1">
      <alignment vertical="top" wrapText="1"/>
    </xf>
    <xf numFmtId="164" fontId="4" fillId="3" borderId="28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6" xfId="0" applyNumberFormat="1" applyFont="1" applyBorder="1" applyAlignment="1">
      <alignment vertical="top" wrapText="1"/>
    </xf>
    <xf numFmtId="0" fontId="0" fillId="0" borderId="28" xfId="0" applyBorder="1"/>
    <xf numFmtId="3" fontId="4" fillId="0" borderId="7" xfId="0" applyNumberFormat="1" applyFont="1" applyFill="1" applyBorder="1" applyAlignment="1">
      <alignment vertical="top" wrapText="1"/>
    </xf>
    <xf numFmtId="3" fontId="4" fillId="0" borderId="28" xfId="0" applyNumberFormat="1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164" fontId="4" fillId="0" borderId="16" xfId="0" applyNumberFormat="1" applyFont="1" applyBorder="1"/>
    <xf numFmtId="164" fontId="4" fillId="0" borderId="34" xfId="0" applyNumberFormat="1" applyFont="1" applyBorder="1"/>
    <xf numFmtId="164" fontId="4" fillId="0" borderId="36" xfId="0" applyNumberFormat="1" applyFont="1" applyBorder="1"/>
    <xf numFmtId="164" fontId="4" fillId="0" borderId="37" xfId="0" applyNumberFormat="1" applyFont="1" applyBorder="1"/>
    <xf numFmtId="0" fontId="16" fillId="0" borderId="2" xfId="0" applyFont="1" applyBorder="1" applyAlignment="1">
      <alignment horizontal="justify" vertical="top" wrapText="1"/>
    </xf>
    <xf numFmtId="4" fontId="16" fillId="3" borderId="1" xfId="0" applyNumberFormat="1" applyFont="1" applyFill="1" applyBorder="1" applyAlignment="1">
      <alignment horizontal="right" vertical="top" wrapText="1"/>
    </xf>
    <xf numFmtId="0" fontId="4" fillId="0" borderId="28" xfId="0" applyFont="1" applyBorder="1" applyAlignment="1">
      <alignment horizontal="justify" vertical="top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 wrapText="1"/>
    </xf>
    <xf numFmtId="1" fontId="18" fillId="0" borderId="16" xfId="0" applyNumberFormat="1" applyFont="1" applyBorder="1"/>
    <xf numFmtId="0" fontId="20" fillId="0" borderId="16" xfId="0" applyFont="1" applyBorder="1" applyAlignment="1">
      <alignment vertical="center" wrapText="1"/>
    </xf>
    <xf numFmtId="1" fontId="18" fillId="6" borderId="16" xfId="0" applyNumberFormat="1" applyFont="1" applyFill="1" applyBorder="1"/>
    <xf numFmtId="0" fontId="18" fillId="0" borderId="16" xfId="0" applyFont="1" applyBorder="1"/>
    <xf numFmtId="1" fontId="18" fillId="0" borderId="16" xfId="0" applyNumberFormat="1" applyFont="1" applyBorder="1" applyAlignment="1">
      <alignment vertical="center" wrapText="1"/>
    </xf>
    <xf numFmtId="1" fontId="18" fillId="0" borderId="16" xfId="0" applyNumberFormat="1" applyFont="1" applyFill="1" applyBorder="1" applyAlignment="1">
      <alignment vertical="center" wrapText="1"/>
    </xf>
    <xf numFmtId="0" fontId="18" fillId="0" borderId="16" xfId="0" applyFont="1" applyFill="1" applyBorder="1" applyAlignment="1">
      <alignment vertical="center" wrapText="1"/>
    </xf>
    <xf numFmtId="165" fontId="18" fillId="0" borderId="16" xfId="1" applyNumberFormat="1" applyFont="1" applyBorder="1" applyAlignment="1">
      <alignment vertical="center" wrapText="1"/>
    </xf>
    <xf numFmtId="165" fontId="18" fillId="0" borderId="16" xfId="0" applyNumberFormat="1" applyFont="1" applyBorder="1"/>
    <xf numFmtId="9" fontId="18" fillId="0" borderId="16" xfId="0" applyNumberFormat="1" applyFont="1" applyBorder="1"/>
    <xf numFmtId="9" fontId="18" fillId="0" borderId="16" xfId="0" applyNumberFormat="1" applyFont="1" applyFill="1" applyBorder="1"/>
    <xf numFmtId="0" fontId="18" fillId="0" borderId="16" xfId="0" applyNumberFormat="1" applyFont="1" applyBorder="1" applyAlignment="1">
      <alignment vertical="center" wrapText="1"/>
    </xf>
    <xf numFmtId="0" fontId="18" fillId="0" borderId="16" xfId="1" applyNumberFormat="1" applyFont="1" applyBorder="1" applyAlignment="1">
      <alignment vertical="center" wrapText="1"/>
    </xf>
    <xf numFmtId="0" fontId="18" fillId="0" borderId="16" xfId="0" applyNumberFormat="1" applyFont="1" applyBorder="1"/>
    <xf numFmtId="1" fontId="18" fillId="7" borderId="16" xfId="0" applyNumberFormat="1" applyFont="1" applyFill="1" applyBorder="1"/>
    <xf numFmtId="1" fontId="18" fillId="6" borderId="16" xfId="0" applyNumberFormat="1" applyFont="1" applyFill="1" applyBorder="1" applyAlignment="1">
      <alignment vertical="center" wrapText="1"/>
    </xf>
    <xf numFmtId="1" fontId="18" fillId="0" borderId="16" xfId="0" applyNumberFormat="1" applyFont="1" applyFill="1" applyBorder="1"/>
    <xf numFmtId="166" fontId="18" fillId="0" borderId="16" xfId="0" applyNumberFormat="1" applyFont="1" applyBorder="1"/>
    <xf numFmtId="2" fontId="21" fillId="0" borderId="16" xfId="0" applyNumberFormat="1" applyFont="1" applyBorder="1"/>
    <xf numFmtId="166" fontId="19" fillId="6" borderId="16" xfId="0" applyNumberFormat="1" applyFont="1" applyFill="1" applyBorder="1"/>
    <xf numFmtId="166" fontId="22" fillId="0" borderId="16" xfId="0" applyNumberFormat="1" applyFont="1" applyBorder="1"/>
    <xf numFmtId="0" fontId="17" fillId="0" borderId="0" xfId="0" applyFont="1" applyAlignment="1">
      <alignment vertical="top"/>
    </xf>
    <xf numFmtId="0" fontId="16" fillId="0" borderId="1" xfId="0" applyFont="1" applyBorder="1" applyAlignment="1">
      <alignment horizontal="justify" vertical="top" wrapText="1"/>
    </xf>
    <xf numFmtId="164" fontId="16" fillId="0" borderId="1" xfId="0" applyNumberFormat="1" applyFont="1" applyFill="1" applyBorder="1" applyAlignment="1">
      <alignment vertical="top" wrapText="1"/>
    </xf>
    <xf numFmtId="0" fontId="16" fillId="0" borderId="6" xfId="0" applyFont="1" applyBorder="1" applyAlignment="1">
      <alignment horizontal="center" vertical="top" wrapText="1"/>
    </xf>
    <xf numFmtId="0" fontId="17" fillId="0" borderId="0" xfId="0" applyFont="1"/>
    <xf numFmtId="4" fontId="23" fillId="3" borderId="13" xfId="0" applyNumberFormat="1" applyFont="1" applyFill="1" applyBorder="1" applyAlignment="1">
      <alignment vertical="top" wrapText="1"/>
    </xf>
    <xf numFmtId="0" fontId="23" fillId="0" borderId="13" xfId="0" applyFont="1" applyBorder="1" applyAlignment="1">
      <alignment vertical="top" wrapText="1"/>
    </xf>
    <xf numFmtId="0" fontId="25" fillId="0" borderId="42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justify" vertical="center" wrapText="1"/>
    </xf>
    <xf numFmtId="0" fontId="25" fillId="3" borderId="0" xfId="0" applyFont="1" applyFill="1" applyBorder="1" applyAlignment="1">
      <alignment horizontal="justify" vertical="center" wrapText="1"/>
    </xf>
    <xf numFmtId="0" fontId="25" fillId="3" borderId="44" xfId="0" applyFont="1" applyFill="1" applyBorder="1" applyAlignment="1">
      <alignment horizontal="justify" vertical="center" wrapText="1"/>
    </xf>
    <xf numFmtId="0" fontId="25" fillId="0" borderId="44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44" xfId="0" applyFont="1" applyBorder="1" applyAlignment="1">
      <alignment vertical="center" wrapText="1"/>
    </xf>
    <xf numFmtId="0" fontId="0" fillId="0" borderId="0" xfId="0"/>
    <xf numFmtId="4" fontId="0" fillId="0" borderId="0" xfId="0" applyNumberFormat="1"/>
    <xf numFmtId="0" fontId="0" fillId="0" borderId="16" xfId="0" applyBorder="1"/>
    <xf numFmtId="0" fontId="0" fillId="0" borderId="16" xfId="0" applyBorder="1" applyAlignment="1">
      <alignment horizontal="center" vertical="center" wrapText="1"/>
    </xf>
    <xf numFmtId="0" fontId="9" fillId="0" borderId="16" xfId="0" applyFont="1" applyBorder="1"/>
    <xf numFmtId="4" fontId="9" fillId="0" borderId="16" xfId="0" applyNumberFormat="1" applyFont="1" applyBorder="1"/>
    <xf numFmtId="4" fontId="0" fillId="0" borderId="16" xfId="0" applyNumberFormat="1" applyBorder="1"/>
    <xf numFmtId="0" fontId="29" fillId="0" borderId="16" xfId="0" applyFont="1" applyBorder="1"/>
    <xf numFmtId="4" fontId="29" fillId="0" borderId="16" xfId="0" applyNumberFormat="1" applyFont="1" applyBorder="1"/>
    <xf numFmtId="0" fontId="0" fillId="0" borderId="15" xfId="0" applyBorder="1"/>
    <xf numFmtId="4" fontId="0" fillId="0" borderId="15" xfId="0" applyNumberFormat="1" applyBorder="1"/>
    <xf numFmtId="0" fontId="29" fillId="0" borderId="30" xfId="0" applyFont="1" applyBorder="1"/>
    <xf numFmtId="0" fontId="29" fillId="0" borderId="31" xfId="0" applyFont="1" applyBorder="1"/>
    <xf numFmtId="4" fontId="29" fillId="0" borderId="31" xfId="0" applyNumberFormat="1" applyFont="1" applyBorder="1"/>
    <xf numFmtId="0" fontId="29" fillId="0" borderId="33" xfId="0" applyFont="1" applyBorder="1"/>
    <xf numFmtId="0" fontId="29" fillId="0" borderId="35" xfId="0" applyFont="1" applyBorder="1"/>
    <xf numFmtId="0" fontId="29" fillId="0" borderId="36" xfId="0" applyFont="1" applyBorder="1"/>
    <xf numFmtId="4" fontId="29" fillId="0" borderId="36" xfId="0" applyNumberFormat="1" applyFont="1" applyBorder="1"/>
    <xf numFmtId="0" fontId="0" fillId="0" borderId="0" xfId="0" applyAlignment="1">
      <alignment horizontal="center"/>
    </xf>
    <xf numFmtId="0" fontId="32" fillId="0" borderId="0" xfId="0" applyFont="1"/>
    <xf numFmtId="0" fontId="31" fillId="0" borderId="0" xfId="0" applyFont="1"/>
    <xf numFmtId="3" fontId="0" fillId="0" borderId="0" xfId="0" applyNumberFormat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3" fontId="0" fillId="0" borderId="15" xfId="0" applyNumberFormat="1" applyBorder="1"/>
    <xf numFmtId="3" fontId="0" fillId="0" borderId="48" xfId="0" applyNumberFormat="1" applyBorder="1"/>
    <xf numFmtId="0" fontId="0" fillId="0" borderId="25" xfId="0" applyBorder="1" applyAlignment="1">
      <alignment horizontal="center" vertical="center" wrapText="1"/>
    </xf>
    <xf numFmtId="4" fontId="9" fillId="0" borderId="25" xfId="0" applyNumberFormat="1" applyFont="1" applyBorder="1"/>
    <xf numFmtId="4" fontId="0" fillId="0" borderId="25" xfId="0" applyNumberFormat="1" applyBorder="1"/>
    <xf numFmtId="4" fontId="0" fillId="0" borderId="17" xfId="0" applyNumberFormat="1" applyBorder="1"/>
    <xf numFmtId="4" fontId="29" fillId="0" borderId="39" xfId="0" applyNumberFormat="1" applyFont="1" applyBorder="1"/>
    <xf numFmtId="4" fontId="29" fillId="0" borderId="25" xfId="0" applyNumberFormat="1" applyFont="1" applyBorder="1"/>
    <xf numFmtId="4" fontId="29" fillId="0" borderId="49" xfId="0" applyNumberFormat="1" applyFont="1" applyBorder="1"/>
    <xf numFmtId="3" fontId="0" fillId="0" borderId="16" xfId="0" applyNumberFormat="1" applyBorder="1"/>
    <xf numFmtId="3" fontId="0" fillId="0" borderId="36" xfId="0" applyNumberFormat="1" applyBorder="1"/>
    <xf numFmtId="3" fontId="9" fillId="0" borderId="16" xfId="0" applyNumberFormat="1" applyFont="1" applyBorder="1"/>
    <xf numFmtId="3" fontId="9" fillId="0" borderId="31" xfId="0" applyNumberFormat="1" applyFont="1" applyBorder="1"/>
    <xf numFmtId="0" fontId="33" fillId="3" borderId="0" xfId="0" applyFont="1" applyFill="1" applyBorder="1" applyAlignment="1">
      <alignment horizontal="justify" vertical="center" wrapText="1"/>
    </xf>
    <xf numFmtId="0" fontId="26" fillId="0" borderId="44" xfId="0" applyFont="1" applyBorder="1" applyAlignment="1">
      <alignment horizontal="justify" vertical="center" wrapText="1"/>
    </xf>
    <xf numFmtId="0" fontId="36" fillId="3" borderId="0" xfId="0" applyFont="1" applyFill="1" applyBorder="1" applyAlignment="1">
      <alignment horizontal="justify" vertical="center" wrapText="1"/>
    </xf>
    <xf numFmtId="0" fontId="34" fillId="0" borderId="0" xfId="0" applyFont="1"/>
    <xf numFmtId="0" fontId="24" fillId="0" borderId="28" xfId="0" applyFont="1" applyBorder="1" applyAlignment="1">
      <alignment horizontal="justify" vertical="center" wrapText="1"/>
    </xf>
    <xf numFmtId="0" fontId="25" fillId="0" borderId="28" xfId="0" applyFont="1" applyBorder="1" applyAlignment="1">
      <alignment horizontal="justify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8" xfId="0" applyFont="1" applyBorder="1" applyAlignment="1">
      <alignment vertical="center" wrapText="1"/>
    </xf>
    <xf numFmtId="0" fontId="24" fillId="0" borderId="28" xfId="0" applyFont="1" applyBorder="1" applyAlignment="1">
      <alignment vertical="center" wrapText="1"/>
    </xf>
    <xf numFmtId="0" fontId="24" fillId="3" borderId="28" xfId="0" applyFont="1" applyFill="1" applyBorder="1" applyAlignment="1">
      <alignment vertical="center" wrapText="1"/>
    </xf>
    <xf numFmtId="0" fontId="25" fillId="3" borderId="28" xfId="0" applyFont="1" applyFill="1" applyBorder="1" applyAlignment="1">
      <alignment horizontal="center" vertical="center" wrapText="1"/>
    </xf>
    <xf numFmtId="164" fontId="25" fillId="0" borderId="28" xfId="0" applyNumberFormat="1" applyFont="1" applyBorder="1" applyAlignment="1">
      <alignment horizontal="center" vertical="center" wrapText="1"/>
    </xf>
    <xf numFmtId="0" fontId="24" fillId="0" borderId="28" xfId="0" applyFont="1" applyBorder="1" applyAlignment="1">
      <alignment vertical="top" wrapText="1"/>
    </xf>
    <xf numFmtId="0" fontId="35" fillId="0" borderId="28" xfId="0" applyFont="1" applyBorder="1" applyAlignment="1">
      <alignment vertical="top" wrapText="1"/>
    </xf>
    <xf numFmtId="0" fontId="36" fillId="0" borderId="28" xfId="0" applyFont="1" applyBorder="1" applyAlignment="1">
      <alignment horizontal="justify" vertical="center" wrapText="1"/>
    </xf>
    <xf numFmtId="0" fontId="36" fillId="0" borderId="28" xfId="0" applyFont="1" applyBorder="1" applyAlignment="1">
      <alignment horizontal="center" vertical="center" wrapText="1"/>
    </xf>
    <xf numFmtId="3" fontId="36" fillId="0" borderId="28" xfId="0" applyNumberFormat="1" applyFont="1" applyBorder="1" applyAlignment="1">
      <alignment horizontal="center" vertical="center" wrapText="1"/>
    </xf>
    <xf numFmtId="0" fontId="28" fillId="0" borderId="28" xfId="0" applyFont="1" applyBorder="1" applyAlignment="1">
      <alignment horizontal="justify" vertical="center" wrapText="1"/>
    </xf>
    <xf numFmtId="164" fontId="35" fillId="0" borderId="28" xfId="0" applyNumberFormat="1" applyFont="1" applyBorder="1" applyAlignment="1">
      <alignment horizontal="center" vertical="center" wrapText="1"/>
    </xf>
    <xf numFmtId="0" fontId="24" fillId="3" borderId="28" xfId="0" applyFont="1" applyFill="1" applyBorder="1" applyAlignment="1">
      <alignment horizontal="justify" vertical="center" wrapText="1"/>
    </xf>
    <xf numFmtId="0" fontId="25" fillId="3" borderId="28" xfId="0" applyFont="1" applyFill="1" applyBorder="1" applyAlignment="1">
      <alignment vertical="center" wrapText="1"/>
    </xf>
    <xf numFmtId="0" fontId="27" fillId="0" borderId="28" xfId="0" applyFont="1" applyBorder="1" applyAlignment="1">
      <alignment horizontal="justify" vertical="center" wrapText="1"/>
    </xf>
    <xf numFmtId="0" fontId="27" fillId="0" borderId="28" xfId="0" applyFont="1" applyBorder="1" applyAlignment="1">
      <alignment vertical="center" wrapText="1"/>
    </xf>
    <xf numFmtId="0" fontId="9" fillId="0" borderId="28" xfId="0" applyFont="1" applyBorder="1"/>
    <xf numFmtId="0" fontId="0" fillId="0" borderId="0" xfId="0" applyBorder="1" applyAlignment="1">
      <alignment vertical="top"/>
    </xf>
    <xf numFmtId="0" fontId="0" fillId="0" borderId="6" xfId="0" applyBorder="1" applyAlignment="1">
      <alignment vertical="top"/>
    </xf>
    <xf numFmtId="0" fontId="34" fillId="0" borderId="0" xfId="0" applyFont="1" applyBorder="1" applyAlignment="1">
      <alignment vertical="top"/>
    </xf>
    <xf numFmtId="0" fontId="34" fillId="0" borderId="6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0" fontId="17" fillId="0" borderId="6" xfId="0" applyFont="1" applyBorder="1" applyAlignment="1">
      <alignment vertical="top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 wrapText="1"/>
    </xf>
    <xf numFmtId="164" fontId="0" fillId="0" borderId="16" xfId="0" applyNumberFormat="1" applyBorder="1"/>
    <xf numFmtId="0" fontId="26" fillId="0" borderId="13" xfId="0" applyFont="1" applyBorder="1" applyAlignment="1">
      <alignment horizontal="justify" vertical="center" wrapText="1"/>
    </xf>
    <xf numFmtId="0" fontId="25" fillId="0" borderId="13" xfId="0" applyFont="1" applyBorder="1" applyAlignment="1">
      <alignment vertical="center" wrapText="1"/>
    </xf>
    <xf numFmtId="0" fontId="25" fillId="3" borderId="13" xfId="0" applyFont="1" applyFill="1" applyBorder="1" applyAlignment="1">
      <alignment horizontal="justify" vertical="center" wrapText="1"/>
    </xf>
    <xf numFmtId="0" fontId="36" fillId="3" borderId="13" xfId="0" applyFont="1" applyFill="1" applyBorder="1" applyAlignment="1">
      <alignment horizontal="justify" vertical="center" wrapText="1"/>
    </xf>
    <xf numFmtId="164" fontId="35" fillId="0" borderId="13" xfId="0" applyNumberFormat="1" applyFont="1" applyBorder="1" applyAlignment="1">
      <alignment horizontal="center" vertical="center" wrapText="1"/>
    </xf>
    <xf numFmtId="0" fontId="36" fillId="3" borderId="44" xfId="0" applyFont="1" applyFill="1" applyBorder="1" applyAlignment="1">
      <alignment horizontal="justify" vertical="center" wrapText="1"/>
    </xf>
    <xf numFmtId="0" fontId="33" fillId="3" borderId="44" xfId="0" applyFont="1" applyFill="1" applyBorder="1" applyAlignment="1">
      <alignment horizontal="justify" vertical="center" wrapText="1"/>
    </xf>
    <xf numFmtId="0" fontId="0" fillId="0" borderId="44" xfId="0" applyBorder="1"/>
    <xf numFmtId="0" fontId="26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vertical="center" wrapText="1"/>
    </xf>
    <xf numFmtId="0" fontId="24" fillId="0" borderId="44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" fillId="0" borderId="14" xfId="0" applyFont="1" applyBorder="1" applyAlignment="1">
      <alignment wrapText="1"/>
    </xf>
    <xf numFmtId="0" fontId="5" fillId="4" borderId="4" xfId="0" applyFont="1" applyFill="1" applyBorder="1" applyAlignment="1">
      <alignment vertical="top" wrapText="1"/>
    </xf>
    <xf numFmtId="0" fontId="25" fillId="0" borderId="28" xfId="0" applyFont="1" applyBorder="1" applyAlignment="1">
      <alignment horizontal="center" vertical="center" wrapText="1"/>
    </xf>
    <xf numFmtId="0" fontId="37" fillId="0" borderId="0" xfId="0" applyFont="1"/>
    <xf numFmtId="0" fontId="37" fillId="0" borderId="16" xfId="0" applyFont="1" applyBorder="1"/>
    <xf numFmtId="0" fontId="37" fillId="0" borderId="16" xfId="0" applyFont="1" applyBorder="1" applyAlignment="1">
      <alignment horizontal="center" vertical="top"/>
    </xf>
    <xf numFmtId="0" fontId="37" fillId="0" borderId="16" xfId="0" applyFont="1" applyBorder="1" applyAlignment="1">
      <alignment horizontal="center" vertical="top" wrapText="1"/>
    </xf>
    <xf numFmtId="164" fontId="37" fillId="0" borderId="16" xfId="0" applyNumberFormat="1" applyFont="1" applyBorder="1"/>
    <xf numFmtId="0" fontId="38" fillId="0" borderId="16" xfId="0" applyFont="1" applyBorder="1"/>
    <xf numFmtId="164" fontId="38" fillId="0" borderId="16" xfId="0" applyNumberFormat="1" applyFont="1" applyBorder="1"/>
    <xf numFmtId="0" fontId="12" fillId="0" borderId="16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 wrapText="1"/>
    </xf>
    <xf numFmtId="164" fontId="12" fillId="0" borderId="16" xfId="0" applyNumberFormat="1" applyFont="1" applyBorder="1"/>
    <xf numFmtId="164" fontId="14" fillId="0" borderId="16" xfId="0" applyNumberFormat="1" applyFont="1" applyBorder="1"/>
    <xf numFmtId="0" fontId="4" fillId="0" borderId="14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3" fontId="37" fillId="0" borderId="16" xfId="0" applyNumberFormat="1" applyFont="1" applyBorder="1"/>
    <xf numFmtId="3" fontId="12" fillId="0" borderId="16" xfId="0" applyNumberFormat="1" applyFont="1" applyBorder="1"/>
    <xf numFmtId="164" fontId="9" fillId="0" borderId="16" xfId="0" applyNumberFormat="1" applyFont="1" applyBorder="1"/>
    <xf numFmtId="166" fontId="13" fillId="0" borderId="16" xfId="0" applyNumberFormat="1" applyFont="1" applyBorder="1"/>
    <xf numFmtId="164" fontId="12" fillId="0" borderId="16" xfId="0" applyNumberFormat="1" applyFont="1" applyBorder="1" applyAlignment="1"/>
    <xf numFmtId="164" fontId="12" fillId="0" borderId="16" xfId="0" applyNumberFormat="1" applyFont="1" applyFill="1" applyBorder="1"/>
    <xf numFmtId="164" fontId="13" fillId="0" borderId="16" xfId="0" applyNumberFormat="1" applyFont="1" applyBorder="1"/>
    <xf numFmtId="167" fontId="13" fillId="0" borderId="16" xfId="0" applyNumberFormat="1" applyFont="1" applyBorder="1"/>
    <xf numFmtId="0" fontId="12" fillId="0" borderId="16" xfId="0" applyFont="1" applyBorder="1" applyAlignment="1">
      <alignment wrapText="1"/>
    </xf>
    <xf numFmtId="0" fontId="12" fillId="0" borderId="16" xfId="0" applyFont="1" applyBorder="1" applyAlignment="1">
      <alignment vertical="center" wrapText="1"/>
    </xf>
    <xf numFmtId="0" fontId="0" fillId="0" borderId="0" xfId="0" applyFill="1" applyBorder="1" applyAlignment="1">
      <alignment horizontal="left" wrapText="1"/>
    </xf>
    <xf numFmtId="0" fontId="37" fillId="0" borderId="16" xfId="0" applyFont="1" applyBorder="1" applyAlignment="1">
      <alignment vertical="center" wrapText="1"/>
    </xf>
    <xf numFmtId="0" fontId="37" fillId="0" borderId="16" xfId="0" applyFont="1" applyBorder="1" applyAlignment="1">
      <alignment vertical="center"/>
    </xf>
    <xf numFmtId="3" fontId="38" fillId="0" borderId="16" xfId="0" applyNumberFormat="1" applyFont="1" applyBorder="1"/>
    <xf numFmtId="0" fontId="39" fillId="0" borderId="0" xfId="0" applyFont="1"/>
    <xf numFmtId="0" fontId="37" fillId="0" borderId="20" xfId="0" applyFont="1" applyFill="1" applyBorder="1" applyAlignment="1">
      <alignment vertical="center"/>
    </xf>
    <xf numFmtId="3" fontId="37" fillId="0" borderId="0" xfId="0" applyNumberFormat="1" applyFont="1"/>
    <xf numFmtId="0" fontId="12" fillId="0" borderId="16" xfId="0" applyFont="1" applyBorder="1" applyAlignment="1">
      <alignment vertical="center"/>
    </xf>
    <xf numFmtId="3" fontId="14" fillId="0" borderId="16" xfId="0" applyNumberFormat="1" applyFont="1" applyBorder="1"/>
    <xf numFmtId="0" fontId="12" fillId="0" borderId="16" xfId="0" applyFont="1" applyFill="1" applyBorder="1"/>
    <xf numFmtId="0" fontId="12" fillId="0" borderId="16" xfId="0" applyFont="1" applyFill="1" applyBorder="1" applyAlignment="1">
      <alignment wrapText="1"/>
    </xf>
    <xf numFmtId="0" fontId="0" fillId="0" borderId="16" xfId="0" applyFill="1" applyBorder="1" applyAlignment="1">
      <alignment horizontal="left" wrapText="1"/>
    </xf>
    <xf numFmtId="3" fontId="0" fillId="0" borderId="16" xfId="0" applyNumberFormat="1" applyFill="1" applyBorder="1" applyAlignment="1">
      <alignment horizontal="left" wrapText="1"/>
    </xf>
    <xf numFmtId="0" fontId="0" fillId="0" borderId="16" xfId="0" applyFill="1" applyBorder="1" applyAlignment="1">
      <alignment horizontal="right" wrapText="1"/>
    </xf>
    <xf numFmtId="3" fontId="0" fillId="0" borderId="16" xfId="0" applyNumberFormat="1" applyFill="1" applyBorder="1" applyAlignment="1">
      <alignment horizontal="right" wrapText="1"/>
    </xf>
    <xf numFmtId="0" fontId="4" fillId="3" borderId="28" xfId="0" applyFont="1" applyFill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0" borderId="9" xfId="0" applyFont="1" applyBorder="1" applyAlignment="1"/>
    <xf numFmtId="4" fontId="4" fillId="0" borderId="7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50" xfId="0" applyFont="1" applyBorder="1"/>
    <xf numFmtId="0" fontId="4" fillId="0" borderId="15" xfId="0" applyFont="1" applyBorder="1"/>
    <xf numFmtId="3" fontId="4" fillId="0" borderId="15" xfId="0" applyNumberFormat="1" applyFont="1" applyBorder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3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2" borderId="39" xfId="0" applyFont="1" applyFill="1" applyBorder="1" applyAlignment="1">
      <alignment horizontal="center" vertical="top"/>
    </xf>
    <xf numFmtId="0" fontId="3" fillId="2" borderId="40" xfId="0" applyFont="1" applyFill="1" applyBorder="1" applyAlignment="1">
      <alignment horizontal="center" vertical="top"/>
    </xf>
    <xf numFmtId="0" fontId="3" fillId="4" borderId="13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2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vertical="top" wrapText="1"/>
    </xf>
    <xf numFmtId="0" fontId="3" fillId="4" borderId="12" xfId="0" applyFont="1" applyFill="1" applyBorder="1" applyAlignment="1">
      <alignment vertical="top" wrapText="1"/>
    </xf>
    <xf numFmtId="0" fontId="3" fillId="4" borderId="4" xfId="0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3" fontId="4" fillId="0" borderId="1" xfId="0" applyNumberFormat="1" applyFont="1" applyBorder="1" applyAlignment="1">
      <alignment vertical="top" wrapText="1"/>
    </xf>
    <xf numFmtId="0" fontId="3" fillId="4" borderId="13" xfId="0" applyFont="1" applyFill="1" applyBorder="1" applyAlignment="1">
      <alignment horizontal="justify" vertical="top" wrapText="1"/>
    </xf>
    <xf numFmtId="0" fontId="3" fillId="4" borderId="12" xfId="0" applyFont="1" applyFill="1" applyBorder="1" applyAlignment="1">
      <alignment horizontal="justify" vertical="top" wrapText="1"/>
    </xf>
    <xf numFmtId="0" fontId="3" fillId="4" borderId="4" xfId="0" applyFont="1" applyFill="1" applyBorder="1" applyAlignment="1">
      <alignment horizontal="justify" vertical="top" wrapText="1"/>
    </xf>
    <xf numFmtId="0" fontId="3" fillId="2" borderId="10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0" borderId="12" xfId="0" applyFont="1" applyBorder="1" applyAlignment="1">
      <alignment horizontal="left"/>
    </xf>
    <xf numFmtId="0" fontId="4" fillId="4" borderId="11" xfId="0" applyFont="1" applyFill="1" applyBorder="1" applyAlignment="1">
      <alignment horizontal="left" vertical="top" wrapText="1" indent="1"/>
    </xf>
    <xf numFmtId="0" fontId="4" fillId="4" borderId="9" xfId="0" applyFont="1" applyFill="1" applyBorder="1" applyAlignment="1">
      <alignment horizontal="left" vertical="top" wrapText="1" indent="1"/>
    </xf>
    <xf numFmtId="0" fontId="4" fillId="4" borderId="7" xfId="0" applyFont="1" applyFill="1" applyBorder="1" applyAlignment="1">
      <alignment horizontal="left" vertical="top" wrapText="1" indent="1"/>
    </xf>
    <xf numFmtId="3" fontId="4" fillId="0" borderId="1" xfId="0" applyNumberFormat="1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right" vertical="top" wrapText="1"/>
    </xf>
    <xf numFmtId="0" fontId="5" fillId="4" borderId="13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vertical="top" wrapText="1"/>
    </xf>
    <xf numFmtId="0" fontId="3" fillId="4" borderId="8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3" fillId="4" borderId="14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3" fillId="4" borderId="6" xfId="0" applyFont="1" applyFill="1" applyBorder="1" applyAlignment="1">
      <alignment vertical="top" wrapText="1"/>
    </xf>
    <xf numFmtId="0" fontId="4" fillId="4" borderId="14" xfId="0" applyFont="1" applyFill="1" applyBorder="1" applyAlignment="1">
      <alignment horizontal="left" vertical="top" wrapText="1" indent="1"/>
    </xf>
    <xf numFmtId="0" fontId="4" fillId="4" borderId="0" xfId="0" applyFont="1" applyFill="1" applyBorder="1" applyAlignment="1">
      <alignment horizontal="left" vertical="top" wrapText="1" indent="1"/>
    </xf>
    <xf numFmtId="0" fontId="4" fillId="4" borderId="6" xfId="0" applyFont="1" applyFill="1" applyBorder="1" applyAlignment="1">
      <alignment horizontal="left" vertical="top" wrapText="1" indent="1"/>
    </xf>
    <xf numFmtId="0" fontId="24" fillId="4" borderId="46" xfId="0" applyFont="1" applyFill="1" applyBorder="1" applyAlignment="1">
      <alignment horizontal="center" vertical="center" wrapText="1"/>
    </xf>
    <xf numFmtId="0" fontId="24" fillId="4" borderId="47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left"/>
    </xf>
    <xf numFmtId="0" fontId="24" fillId="0" borderId="13" xfId="0" applyFont="1" applyBorder="1" applyAlignment="1">
      <alignment horizontal="left"/>
    </xf>
    <xf numFmtId="0" fontId="24" fillId="4" borderId="41" xfId="0" applyFont="1" applyFill="1" applyBorder="1" applyAlignment="1">
      <alignment horizontal="center" vertical="center" wrapText="1"/>
    </xf>
    <xf numFmtId="0" fontId="24" fillId="4" borderId="4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7" xfId="0" applyFill="1" applyBorder="1" applyAlignment="1">
      <alignment horizontal="left" wrapText="1"/>
    </xf>
    <xf numFmtId="0" fontId="0" fillId="0" borderId="18" xfId="0" applyFill="1" applyBorder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2"/>
  <sheetViews>
    <sheetView topLeftCell="A41" workbookViewId="0">
      <selection activeCell="I156" sqref="I156"/>
    </sheetView>
  </sheetViews>
  <sheetFormatPr defaultRowHeight="15"/>
  <cols>
    <col min="1" max="1" width="2.28515625" style="29" bestFit="1" customWidth="1"/>
    <col min="2" max="3" width="3.42578125" style="29" bestFit="1" customWidth="1"/>
    <col min="4" max="4" width="29.28515625" customWidth="1"/>
    <col min="5" max="5" width="26.28515625" customWidth="1"/>
    <col min="6" max="6" width="21.85546875" customWidth="1"/>
    <col min="7" max="7" width="22.85546875" customWidth="1"/>
    <col min="8" max="8" width="21.42578125" customWidth="1"/>
    <col min="9" max="9" width="20.5703125" customWidth="1"/>
    <col min="11" max="11" width="9.140625" customWidth="1"/>
  </cols>
  <sheetData>
    <row r="1" spans="1:11" ht="55.5" customHeight="1">
      <c r="D1" s="372" t="s">
        <v>324</v>
      </c>
      <c r="E1" s="373"/>
      <c r="F1" s="373"/>
      <c r="G1" s="373"/>
      <c r="H1" s="373"/>
    </row>
    <row r="2" spans="1:11" ht="30" customHeight="1" thickBot="1">
      <c r="D2" s="161"/>
      <c r="E2" s="140"/>
      <c r="F2" s="140"/>
      <c r="G2" s="140"/>
      <c r="H2" s="140"/>
    </row>
    <row r="3" spans="1:11" ht="37.5" customHeight="1" thickBot="1">
      <c r="D3" s="374" t="s">
        <v>325</v>
      </c>
      <c r="E3" s="375"/>
      <c r="F3" s="375"/>
      <c r="G3" s="375"/>
      <c r="H3" s="375"/>
      <c r="I3" s="376"/>
    </row>
    <row r="4" spans="1:11" ht="33" customHeight="1">
      <c r="D4" s="162" t="s">
        <v>0</v>
      </c>
      <c r="E4" s="162" t="s">
        <v>1</v>
      </c>
      <c r="F4" s="377" t="s">
        <v>320</v>
      </c>
      <c r="G4" s="378"/>
      <c r="H4" s="162" t="s">
        <v>467</v>
      </c>
      <c r="I4" s="162" t="s">
        <v>11</v>
      </c>
    </row>
    <row r="5" spans="1:11" ht="16.5">
      <c r="D5" s="81"/>
      <c r="E5" s="81"/>
      <c r="F5" s="81" t="s">
        <v>326</v>
      </c>
      <c r="G5" s="81" t="s">
        <v>126</v>
      </c>
      <c r="H5" s="81"/>
      <c r="I5" s="81"/>
    </row>
    <row r="6" spans="1:11" ht="83.25" thickBot="1">
      <c r="A6" s="29">
        <v>2</v>
      </c>
      <c r="B6" s="29">
        <v>1</v>
      </c>
      <c r="C6" s="29">
        <v>1</v>
      </c>
      <c r="D6" s="25" t="s">
        <v>127</v>
      </c>
      <c r="E6" s="25" t="s">
        <v>5</v>
      </c>
      <c r="F6" s="25">
        <v>0</v>
      </c>
      <c r="G6" s="25">
        <v>0</v>
      </c>
      <c r="H6" s="25">
        <f>SUM(F6:G6)</f>
        <v>0</v>
      </c>
      <c r="I6" s="26" t="s">
        <v>33</v>
      </c>
      <c r="K6" t="s">
        <v>425</v>
      </c>
    </row>
    <row r="7" spans="1:11" ht="66" customHeight="1" thickBot="1">
      <c r="A7" s="29">
        <v>2</v>
      </c>
      <c r="B7" s="29">
        <v>1</v>
      </c>
      <c r="C7" s="29">
        <v>2</v>
      </c>
      <c r="D7" s="34" t="s">
        <v>128</v>
      </c>
      <c r="E7" s="24" t="s">
        <v>236</v>
      </c>
      <c r="F7" s="24">
        <v>0</v>
      </c>
      <c r="G7" s="100">
        <f>'Cost details'!B11/1000</f>
        <v>179431.2</v>
      </c>
      <c r="H7" s="25">
        <f>SUM(F7:G7)</f>
        <v>179431.2</v>
      </c>
      <c r="I7" s="82" t="s">
        <v>33</v>
      </c>
      <c r="K7" s="231" t="s">
        <v>425</v>
      </c>
    </row>
    <row r="8" spans="1:11" ht="18.75" customHeight="1" thickBot="1">
      <c r="D8" s="128" t="s">
        <v>301</v>
      </c>
      <c r="E8" s="163"/>
      <c r="F8" s="163">
        <f>F7+F6</f>
        <v>0</v>
      </c>
      <c r="G8" s="163">
        <f>G7+G6</f>
        <v>179431.2</v>
      </c>
      <c r="H8" s="25">
        <f>SUM(F8:G8)</f>
        <v>179431.2</v>
      </c>
      <c r="I8" s="82"/>
    </row>
    <row r="9" spans="1:11" ht="16.5" customHeight="1" thickBot="1">
      <c r="A9" s="29">
        <v>2</v>
      </c>
      <c r="D9" s="381">
        <v>0</v>
      </c>
      <c r="E9" s="382"/>
      <c r="F9" s="382"/>
      <c r="G9" s="382"/>
      <c r="H9" s="382"/>
      <c r="I9" s="383"/>
    </row>
    <row r="10" spans="1:11" ht="99.75" customHeight="1" thickBot="1">
      <c r="A10" s="29">
        <v>2</v>
      </c>
      <c r="B10" s="29">
        <v>2</v>
      </c>
      <c r="C10" s="29">
        <v>1</v>
      </c>
      <c r="D10" s="34" t="s">
        <v>129</v>
      </c>
      <c r="E10" s="24" t="s">
        <v>237</v>
      </c>
      <c r="F10" s="24">
        <v>0</v>
      </c>
      <c r="G10" s="34">
        <v>0</v>
      </c>
      <c r="H10" s="25">
        <f>SUM(F10:G10)</f>
        <v>0</v>
      </c>
      <c r="I10" s="24" t="s">
        <v>33</v>
      </c>
    </row>
    <row r="11" spans="1:11" ht="17.25" thickBot="1">
      <c r="D11" s="128" t="s">
        <v>302</v>
      </c>
      <c r="E11" s="165"/>
      <c r="F11" s="164">
        <f>F10</f>
        <v>0</v>
      </c>
      <c r="G11" s="164">
        <f>G10</f>
        <v>0</v>
      </c>
      <c r="H11" s="25">
        <f>SUM(F11:G11)</f>
        <v>0</v>
      </c>
      <c r="I11" s="88"/>
    </row>
    <row r="12" spans="1:11" ht="16.5" customHeight="1" thickBot="1">
      <c r="A12" s="29">
        <v>2</v>
      </c>
      <c r="D12" s="384" t="s">
        <v>130</v>
      </c>
      <c r="E12" s="385"/>
      <c r="F12" s="385"/>
      <c r="G12" s="385"/>
      <c r="H12" s="385"/>
      <c r="I12" s="386"/>
    </row>
    <row r="13" spans="1:11" ht="66.75" thickBot="1">
      <c r="A13" s="29">
        <v>2</v>
      </c>
      <c r="B13" s="29">
        <v>3</v>
      </c>
      <c r="C13" s="29">
        <v>1</v>
      </c>
      <c r="D13" s="34" t="s">
        <v>131</v>
      </c>
      <c r="E13" s="34" t="s">
        <v>5</v>
      </c>
      <c r="F13" s="24">
        <v>0</v>
      </c>
      <c r="G13" s="34">
        <v>0</v>
      </c>
      <c r="H13" s="25">
        <f>SUM(F13:G13)</f>
        <v>0</v>
      </c>
      <c r="I13" s="24" t="s">
        <v>33</v>
      </c>
    </row>
    <row r="14" spans="1:11" ht="17.25" thickBot="1">
      <c r="D14" s="128" t="s">
        <v>303</v>
      </c>
      <c r="E14" s="165"/>
      <c r="F14" s="164">
        <f>F13</f>
        <v>0</v>
      </c>
      <c r="G14" s="164">
        <f>G13</f>
        <v>0</v>
      </c>
      <c r="H14" s="25">
        <f>SUM(F14:G14)</f>
        <v>0</v>
      </c>
      <c r="I14" s="88"/>
    </row>
    <row r="15" spans="1:11" ht="47.25" customHeight="1" thickBot="1">
      <c r="A15" s="29">
        <v>2</v>
      </c>
      <c r="D15" s="379" t="s">
        <v>132</v>
      </c>
      <c r="E15" s="380"/>
      <c r="F15" s="380"/>
      <c r="G15" s="380"/>
      <c r="H15" s="380"/>
      <c r="I15" s="83"/>
    </row>
    <row r="16" spans="1:11" ht="214.5">
      <c r="A16" s="29">
        <v>2</v>
      </c>
      <c r="B16" s="29">
        <v>4</v>
      </c>
      <c r="C16" s="29">
        <v>1</v>
      </c>
      <c r="D16" s="41" t="s">
        <v>133</v>
      </c>
      <c r="E16" s="34" t="s">
        <v>134</v>
      </c>
      <c r="F16" s="36">
        <v>0</v>
      </c>
      <c r="G16" s="34">
        <v>0</v>
      </c>
      <c r="H16" s="317">
        <f>SUM(F16:G16)</f>
        <v>0</v>
      </c>
      <c r="I16" s="34" t="s">
        <v>33</v>
      </c>
    </row>
    <row r="17" spans="1:11" ht="148.5">
      <c r="A17" s="29">
        <v>2</v>
      </c>
      <c r="D17" s="41" t="s">
        <v>135</v>
      </c>
      <c r="E17" s="42"/>
      <c r="F17" s="84">
        <v>0</v>
      </c>
      <c r="G17" s="42">
        <v>0</v>
      </c>
      <c r="H17" s="318">
        <f>SUM(F17:G17)</f>
        <v>0</v>
      </c>
      <c r="I17" s="42"/>
    </row>
    <row r="18" spans="1:11" ht="132">
      <c r="A18" s="29">
        <v>2</v>
      </c>
      <c r="D18" s="41" t="s">
        <v>136</v>
      </c>
      <c r="E18" s="42"/>
      <c r="F18" s="84">
        <v>0</v>
      </c>
      <c r="G18" s="78">
        <v>0</v>
      </c>
      <c r="H18" s="318">
        <f>SUM(F18:G18)</f>
        <v>0</v>
      </c>
      <c r="I18" s="42"/>
    </row>
    <row r="19" spans="1:11" ht="132.75" thickBot="1">
      <c r="A19" s="29">
        <v>2</v>
      </c>
      <c r="D19" s="39" t="s">
        <v>137</v>
      </c>
      <c r="E19" s="35"/>
      <c r="F19" s="84">
        <v>0</v>
      </c>
      <c r="G19" s="78">
        <v>0</v>
      </c>
      <c r="H19" s="25">
        <f>SUM(F19:G19)</f>
        <v>0</v>
      </c>
      <c r="I19" s="35"/>
    </row>
    <row r="20" spans="1:11" ht="99.75" thickBot="1">
      <c r="A20" s="29">
        <v>2</v>
      </c>
      <c r="B20" s="29">
        <v>4</v>
      </c>
      <c r="C20" s="29">
        <v>2</v>
      </c>
      <c r="D20" s="41" t="s">
        <v>138</v>
      </c>
      <c r="E20" s="34" t="s">
        <v>139</v>
      </c>
      <c r="F20" s="34">
        <v>0</v>
      </c>
      <c r="G20" s="34">
        <v>0</v>
      </c>
      <c r="H20" s="25">
        <f>SUM(F20:G20)</f>
        <v>0</v>
      </c>
      <c r="I20" s="34" t="s">
        <v>33</v>
      </c>
    </row>
    <row r="21" spans="1:11" ht="116.25" thickBot="1">
      <c r="A21" s="29">
        <v>2</v>
      </c>
      <c r="D21" s="41" t="s">
        <v>140</v>
      </c>
      <c r="E21" s="42"/>
      <c r="F21" s="42">
        <v>0</v>
      </c>
      <c r="G21" s="42">
        <v>0</v>
      </c>
      <c r="H21" s="25"/>
      <c r="I21" s="42"/>
    </row>
    <row r="22" spans="1:11" ht="99">
      <c r="A22" s="29">
        <v>2</v>
      </c>
      <c r="D22" s="41" t="s">
        <v>141</v>
      </c>
      <c r="E22" s="42"/>
      <c r="F22" s="42">
        <v>0</v>
      </c>
      <c r="G22" s="42">
        <v>0</v>
      </c>
      <c r="H22" s="42"/>
      <c r="I22" s="42"/>
    </row>
    <row r="23" spans="1:11" ht="132.75" thickBot="1">
      <c r="A23" s="29">
        <v>2</v>
      </c>
      <c r="D23" s="41" t="s">
        <v>142</v>
      </c>
      <c r="E23" s="42"/>
      <c r="F23" s="42">
        <v>0</v>
      </c>
      <c r="G23" s="42">
        <v>0</v>
      </c>
      <c r="H23" s="42"/>
      <c r="I23" s="42"/>
    </row>
    <row r="24" spans="1:11" ht="165.75" thickBot="1">
      <c r="A24" s="29">
        <v>2</v>
      </c>
      <c r="B24" s="85">
        <v>4</v>
      </c>
      <c r="C24" s="85">
        <v>3</v>
      </c>
      <c r="D24" s="38" t="s">
        <v>143</v>
      </c>
      <c r="E24" s="38" t="s">
        <v>139</v>
      </c>
      <c r="F24" s="34">
        <v>0</v>
      </c>
      <c r="G24" s="37">
        <v>0</v>
      </c>
      <c r="H24" s="25">
        <f>SUM(F24:G24)</f>
        <v>0</v>
      </c>
      <c r="I24" s="34" t="s">
        <v>33</v>
      </c>
    </row>
    <row r="25" spans="1:11" ht="198.75" thickBot="1">
      <c r="A25" s="29">
        <v>2</v>
      </c>
      <c r="B25" s="29">
        <v>4</v>
      </c>
      <c r="C25" s="29">
        <v>4</v>
      </c>
      <c r="D25" s="38" t="s">
        <v>144</v>
      </c>
      <c r="E25" s="8" t="s">
        <v>145</v>
      </c>
      <c r="F25" s="34">
        <v>0</v>
      </c>
      <c r="G25" s="34">
        <v>0</v>
      </c>
      <c r="H25" s="25">
        <f>SUM(F25:G25)</f>
        <v>0</v>
      </c>
      <c r="I25" s="34" t="s">
        <v>33</v>
      </c>
    </row>
    <row r="26" spans="1:11" ht="230.25" customHeight="1" thickBot="1">
      <c r="A26" s="29">
        <v>2</v>
      </c>
      <c r="B26" s="29">
        <v>4</v>
      </c>
      <c r="C26" s="29">
        <v>5</v>
      </c>
      <c r="D26" s="42" t="s">
        <v>146</v>
      </c>
      <c r="E26" s="34" t="s">
        <v>145</v>
      </c>
      <c r="F26" s="8">
        <v>0</v>
      </c>
      <c r="G26" s="34">
        <v>0</v>
      </c>
      <c r="H26" s="25">
        <f>SUM(F26:G26)</f>
        <v>0</v>
      </c>
      <c r="I26" s="34" t="s">
        <v>33</v>
      </c>
    </row>
    <row r="27" spans="1:11" ht="261.75" customHeight="1" thickBot="1">
      <c r="A27" s="29">
        <v>2</v>
      </c>
      <c r="B27" s="29">
        <v>4</v>
      </c>
      <c r="C27" s="29">
        <v>6</v>
      </c>
      <c r="D27" s="35" t="s">
        <v>147</v>
      </c>
      <c r="E27" s="26" t="s">
        <v>145</v>
      </c>
      <c r="F27" s="86">
        <v>0</v>
      </c>
      <c r="G27" s="26">
        <v>0</v>
      </c>
      <c r="H27" s="25">
        <f>SUM(F27:G27)</f>
        <v>0</v>
      </c>
      <c r="I27" s="26" t="s">
        <v>33</v>
      </c>
    </row>
    <row r="28" spans="1:11" ht="16.5" customHeight="1" thickBot="1">
      <c r="A28" s="29">
        <v>2</v>
      </c>
      <c r="B28" s="29">
        <v>4</v>
      </c>
      <c r="C28" s="29">
        <v>7</v>
      </c>
      <c r="D28" s="42" t="s">
        <v>148</v>
      </c>
      <c r="F28" s="166">
        <f>'Cost details'!F60/2/1000</f>
        <v>8394</v>
      </c>
      <c r="G28" s="166">
        <f>'Cost details'!B18/1000</f>
        <v>917.322</v>
      </c>
      <c r="H28" s="125">
        <f>G28+F28</f>
        <v>9311.3220000000001</v>
      </c>
      <c r="I28" s="34"/>
      <c r="K28" t="s">
        <v>103</v>
      </c>
    </row>
    <row r="29" spans="1:11" ht="168.75" customHeight="1">
      <c r="A29" s="29">
        <v>2</v>
      </c>
      <c r="D29" s="42" t="s">
        <v>150</v>
      </c>
      <c r="E29" s="34" t="s">
        <v>149</v>
      </c>
      <c r="F29" s="84"/>
      <c r="G29" s="84"/>
      <c r="H29" s="318"/>
      <c r="I29" s="42"/>
    </row>
    <row r="30" spans="1:11" ht="182.25" thickBot="1">
      <c r="A30" s="29">
        <v>2</v>
      </c>
      <c r="D30" s="42" t="s">
        <v>151</v>
      </c>
      <c r="E30" s="42"/>
      <c r="F30" s="84"/>
      <c r="G30" s="84"/>
      <c r="H30" s="25"/>
      <c r="I30" s="42"/>
    </row>
    <row r="31" spans="1:11" ht="17.25" thickBot="1">
      <c r="D31" s="128" t="s">
        <v>304</v>
      </c>
      <c r="E31" s="165"/>
      <c r="F31" s="167">
        <f>F28+F27+F26+F25+F24+F20</f>
        <v>8394</v>
      </c>
      <c r="G31" s="167">
        <f>G28+G27+G26+G25+G24+G20</f>
        <v>917.322</v>
      </c>
      <c r="H31" s="25">
        <f>SUM(F31:G31)</f>
        <v>9311.3220000000001</v>
      </c>
      <c r="I31" s="88"/>
    </row>
    <row r="32" spans="1:11" ht="15" customHeight="1" thickBot="1">
      <c r="A32" s="29">
        <v>2</v>
      </c>
      <c r="D32" s="384" t="s">
        <v>152</v>
      </c>
      <c r="E32" s="385"/>
      <c r="F32" s="385"/>
      <c r="G32" s="385"/>
      <c r="H32" s="385"/>
      <c r="I32" s="385"/>
    </row>
    <row r="33" spans="1:11" ht="120" customHeight="1" thickBot="1">
      <c r="A33" s="29">
        <v>2</v>
      </c>
      <c r="B33" s="29">
        <v>5</v>
      </c>
      <c r="C33" s="29">
        <v>1</v>
      </c>
      <c r="D33" s="42" t="s">
        <v>153</v>
      </c>
      <c r="E33" s="34" t="s">
        <v>154</v>
      </c>
      <c r="F33" s="34">
        <v>0</v>
      </c>
      <c r="G33" s="34">
        <v>0</v>
      </c>
      <c r="H33" s="25">
        <f>SUM(F33:G33)</f>
        <v>0</v>
      </c>
      <c r="I33" s="34"/>
    </row>
    <row r="34" spans="1:11" ht="66">
      <c r="A34" s="29">
        <v>2</v>
      </c>
      <c r="D34" s="41" t="s">
        <v>155</v>
      </c>
      <c r="E34" s="42"/>
      <c r="F34" s="42">
        <v>0</v>
      </c>
      <c r="G34" s="42">
        <v>0</v>
      </c>
      <c r="H34" s="41"/>
      <c r="I34" s="42"/>
    </row>
    <row r="35" spans="1:11" ht="99">
      <c r="A35" s="29">
        <v>2</v>
      </c>
      <c r="D35" s="41" t="s">
        <v>156</v>
      </c>
      <c r="E35" s="42"/>
      <c r="F35" s="42">
        <v>0</v>
      </c>
      <c r="G35" s="42">
        <v>0</v>
      </c>
      <c r="H35" s="41"/>
      <c r="I35" s="42"/>
    </row>
    <row r="36" spans="1:11" ht="99">
      <c r="A36" s="29">
        <v>2</v>
      </c>
      <c r="D36" s="41" t="s">
        <v>157</v>
      </c>
      <c r="E36" s="42"/>
      <c r="F36" s="42">
        <v>0</v>
      </c>
      <c r="G36" s="42">
        <v>0</v>
      </c>
      <c r="H36" s="41"/>
      <c r="I36" s="42"/>
    </row>
    <row r="37" spans="1:11" ht="132.75" thickBot="1">
      <c r="A37" s="29">
        <v>2</v>
      </c>
      <c r="D37" s="35" t="s">
        <v>158</v>
      </c>
      <c r="E37" s="35"/>
      <c r="F37" s="35">
        <v>0</v>
      </c>
      <c r="G37" s="35">
        <v>0</v>
      </c>
      <c r="H37" s="39"/>
      <c r="I37" s="35"/>
    </row>
    <row r="38" spans="1:11" ht="234.75" customHeight="1" thickBot="1">
      <c r="A38" s="29">
        <v>2</v>
      </c>
      <c r="B38" s="29">
        <v>5</v>
      </c>
      <c r="C38" s="29">
        <v>2</v>
      </c>
      <c r="D38" s="87" t="s">
        <v>159</v>
      </c>
      <c r="E38" s="88" t="s">
        <v>160</v>
      </c>
      <c r="F38" s="89">
        <v>0</v>
      </c>
      <c r="G38" s="89">
        <v>0</v>
      </c>
      <c r="H38" s="25">
        <f>SUM(F38:G38)</f>
        <v>0</v>
      </c>
      <c r="I38" s="88" t="s">
        <v>33</v>
      </c>
    </row>
    <row r="39" spans="1:11" ht="98.25" customHeight="1">
      <c r="A39" s="29">
        <v>2</v>
      </c>
      <c r="B39" s="29">
        <v>5</v>
      </c>
      <c r="C39" s="29">
        <v>3</v>
      </c>
      <c r="D39" s="18" t="s">
        <v>161</v>
      </c>
      <c r="E39" s="34" t="s">
        <v>162</v>
      </c>
      <c r="F39" s="168">
        <f>'Cost details'!F60/1000</f>
        <v>16788</v>
      </c>
      <c r="G39" s="168">
        <f>'Cost details'!B24/1000</f>
        <v>3996.9029999999998</v>
      </c>
      <c r="H39" s="168">
        <f>SUM(F39:G39)</f>
        <v>20784.902999999998</v>
      </c>
      <c r="I39" s="34" t="s">
        <v>33</v>
      </c>
      <c r="K39" s="333" t="s">
        <v>103</v>
      </c>
    </row>
    <row r="40" spans="1:11" ht="82.5">
      <c r="A40" s="29">
        <v>2</v>
      </c>
      <c r="D40" s="41" t="s">
        <v>28</v>
      </c>
      <c r="E40" s="42"/>
      <c r="F40" s="42"/>
      <c r="G40" s="84"/>
      <c r="H40" s="42"/>
      <c r="I40" s="42"/>
    </row>
    <row r="41" spans="1:11" ht="165">
      <c r="A41" s="29">
        <v>2</v>
      </c>
      <c r="D41" s="41" t="s">
        <v>29</v>
      </c>
      <c r="E41" s="42"/>
      <c r="F41" s="42"/>
      <c r="G41" s="84"/>
      <c r="H41" s="42"/>
      <c r="I41" s="42"/>
    </row>
    <row r="42" spans="1:11" ht="49.5">
      <c r="A42" s="29">
        <v>2</v>
      </c>
      <c r="D42" s="41" t="s">
        <v>30</v>
      </c>
      <c r="E42" s="42"/>
      <c r="F42" s="42"/>
      <c r="G42" s="84"/>
      <c r="H42" s="42"/>
      <c r="I42" s="42"/>
    </row>
    <row r="43" spans="1:11" ht="165.75" thickBot="1">
      <c r="A43" s="29">
        <v>2</v>
      </c>
      <c r="D43" s="41" t="s">
        <v>31</v>
      </c>
      <c r="E43" s="42"/>
      <c r="F43" s="42"/>
      <c r="G43" s="84"/>
      <c r="H43" s="42"/>
      <c r="I43" s="42"/>
    </row>
    <row r="44" spans="1:11" ht="99.75" thickBot="1">
      <c r="A44" s="29">
        <v>2</v>
      </c>
      <c r="B44" s="29">
        <v>5</v>
      </c>
      <c r="C44" s="29">
        <v>4</v>
      </c>
      <c r="D44" s="34" t="s">
        <v>163</v>
      </c>
      <c r="E44" s="164" t="s">
        <v>164</v>
      </c>
      <c r="F44" s="36">
        <v>0</v>
      </c>
      <c r="G44" s="34">
        <v>0</v>
      </c>
      <c r="H44" s="25">
        <f t="shared" ref="H44:H49" si="0">SUM(F44:G44)</f>
        <v>0</v>
      </c>
      <c r="I44" s="34" t="s">
        <v>33</v>
      </c>
    </row>
    <row r="45" spans="1:11" ht="116.25" thickBot="1">
      <c r="A45" s="29">
        <v>2</v>
      </c>
      <c r="B45" s="29">
        <v>5</v>
      </c>
      <c r="C45" s="29">
        <v>5</v>
      </c>
      <c r="D45" s="164" t="s">
        <v>165</v>
      </c>
      <c r="E45" s="88" t="s">
        <v>164</v>
      </c>
      <c r="F45" s="177">
        <v>0</v>
      </c>
      <c r="G45" s="164">
        <v>0</v>
      </c>
      <c r="H45" s="25">
        <f t="shared" si="0"/>
        <v>0</v>
      </c>
      <c r="I45" s="34" t="s">
        <v>33</v>
      </c>
    </row>
    <row r="46" spans="1:11" ht="99.75" thickBot="1">
      <c r="A46" s="29">
        <v>2</v>
      </c>
      <c r="B46" s="29">
        <v>5</v>
      </c>
      <c r="C46" s="29">
        <v>6</v>
      </c>
      <c r="D46" s="35" t="s">
        <v>166</v>
      </c>
      <c r="E46" s="26" t="s">
        <v>167</v>
      </c>
      <c r="F46" s="101">
        <v>0</v>
      </c>
      <c r="G46" s="101">
        <v>0</v>
      </c>
      <c r="H46" s="25">
        <f t="shared" si="0"/>
        <v>0</v>
      </c>
      <c r="I46" s="26" t="s">
        <v>33</v>
      </c>
    </row>
    <row r="47" spans="1:11" ht="116.25" thickBot="1">
      <c r="A47" s="29">
        <v>2</v>
      </c>
      <c r="B47" s="29">
        <v>5</v>
      </c>
      <c r="C47" s="29">
        <v>7</v>
      </c>
      <c r="D47" s="35" t="s">
        <v>168</v>
      </c>
      <c r="E47" s="26" t="s">
        <v>167</v>
      </c>
      <c r="F47" s="101">
        <v>0</v>
      </c>
      <c r="G47" s="101">
        <v>0</v>
      </c>
      <c r="H47" s="167">
        <f t="shared" si="0"/>
        <v>0</v>
      </c>
      <c r="I47" s="26" t="s">
        <v>33</v>
      </c>
    </row>
    <row r="48" spans="1:11" ht="132.75" thickBot="1">
      <c r="A48" s="29">
        <v>2</v>
      </c>
      <c r="B48" s="29">
        <v>5</v>
      </c>
      <c r="C48" s="29">
        <v>8</v>
      </c>
      <c r="D48" s="35" t="s">
        <v>169</v>
      </c>
      <c r="E48" s="26" t="s">
        <v>170</v>
      </c>
      <c r="F48" s="101">
        <v>0</v>
      </c>
      <c r="G48" s="167">
        <f>50000*475/1000</f>
        <v>23750</v>
      </c>
      <c r="H48" s="167">
        <f t="shared" si="0"/>
        <v>23750</v>
      </c>
      <c r="I48" s="26" t="s">
        <v>12</v>
      </c>
      <c r="K48" t="s">
        <v>469</v>
      </c>
    </row>
    <row r="49" spans="1:14" ht="17.25" thickBot="1">
      <c r="D49" s="128" t="s">
        <v>305</v>
      </c>
      <c r="E49" s="165"/>
      <c r="F49" s="167">
        <f>F48+F47+F46+F45+F44+F39</f>
        <v>16788</v>
      </c>
      <c r="G49" s="167">
        <f>G48+G47+G46+G45+G44+G39</f>
        <v>27746.902999999998</v>
      </c>
      <c r="H49" s="167">
        <f t="shared" si="0"/>
        <v>44534.902999999998</v>
      </c>
      <c r="I49" s="88"/>
    </row>
    <row r="50" spans="1:14" ht="17.25" customHeight="1" thickBot="1">
      <c r="A50" s="29">
        <v>2</v>
      </c>
      <c r="D50" s="384" t="s">
        <v>171</v>
      </c>
      <c r="E50" s="385"/>
      <c r="F50" s="385"/>
      <c r="G50" s="385"/>
      <c r="H50" s="385"/>
      <c r="I50" s="386"/>
    </row>
    <row r="51" spans="1:14" ht="252.75" customHeight="1" thickBot="1">
      <c r="A51" s="29">
        <v>2</v>
      </c>
      <c r="B51" s="29">
        <v>6</v>
      </c>
      <c r="C51" s="29">
        <v>1</v>
      </c>
      <c r="D51" s="24" t="s">
        <v>172</v>
      </c>
      <c r="E51" s="24" t="s">
        <v>5</v>
      </c>
      <c r="F51" s="90">
        <v>0</v>
      </c>
      <c r="G51" s="90">
        <v>0</v>
      </c>
      <c r="H51" s="167">
        <f>SUM(F51:G51)</f>
        <v>0</v>
      </c>
      <c r="I51" s="34" t="s">
        <v>33</v>
      </c>
    </row>
    <row r="52" spans="1:14" ht="132">
      <c r="A52" s="29">
        <v>2</v>
      </c>
      <c r="D52" s="23" t="s">
        <v>173</v>
      </c>
      <c r="E52" s="23"/>
      <c r="F52" s="23"/>
      <c r="G52" s="91"/>
      <c r="H52" s="42"/>
      <c r="I52" s="42"/>
    </row>
    <row r="53" spans="1:14" ht="223.5" customHeight="1" thickBot="1">
      <c r="A53" s="29">
        <v>2</v>
      </c>
      <c r="D53" s="23" t="s">
        <v>174</v>
      </c>
      <c r="E53" s="23" t="s">
        <v>175</v>
      </c>
      <c r="F53" s="23"/>
      <c r="G53" s="91"/>
      <c r="H53" s="42"/>
      <c r="I53" s="42"/>
    </row>
    <row r="54" spans="1:14" ht="17.25" thickBot="1">
      <c r="D54" s="128" t="s">
        <v>307</v>
      </c>
      <c r="E54" s="165"/>
      <c r="F54" s="167">
        <f>F51</f>
        <v>0</v>
      </c>
      <c r="G54" s="167">
        <f>G51</f>
        <v>0</v>
      </c>
      <c r="H54" s="167">
        <f>SUM(F54:G54)</f>
        <v>0</v>
      </c>
      <c r="I54" s="88"/>
    </row>
    <row r="55" spans="1:14" ht="17.25" customHeight="1" thickBot="1">
      <c r="A55" s="29">
        <v>2</v>
      </c>
      <c r="D55" s="379" t="s">
        <v>176</v>
      </c>
      <c r="E55" s="380"/>
      <c r="F55" s="380"/>
      <c r="G55" s="380"/>
      <c r="H55" s="380"/>
      <c r="I55" s="390"/>
      <c r="J55" s="44"/>
      <c r="K55" s="44"/>
      <c r="L55" s="44"/>
      <c r="M55" s="44"/>
      <c r="N55" s="44"/>
    </row>
    <row r="56" spans="1:14" ht="50.25" thickBot="1">
      <c r="A56" s="29">
        <v>2</v>
      </c>
      <c r="B56" s="29">
        <v>7</v>
      </c>
      <c r="C56" s="29">
        <v>1</v>
      </c>
      <c r="D56" s="92" t="s">
        <v>177</v>
      </c>
      <c r="E56" s="26" t="s">
        <v>5</v>
      </c>
      <c r="F56" s="86">
        <v>0</v>
      </c>
      <c r="G56" s="26">
        <v>0</v>
      </c>
      <c r="H56" s="167">
        <f t="shared" ref="H56:H66" si="1">SUM(F56:G56)</f>
        <v>0</v>
      </c>
      <c r="I56" s="26" t="s">
        <v>33</v>
      </c>
    </row>
    <row r="57" spans="1:14" ht="66.75" thickBot="1">
      <c r="A57" s="29">
        <v>2</v>
      </c>
      <c r="B57" s="29">
        <v>7</v>
      </c>
      <c r="C57" s="29">
        <v>2</v>
      </c>
      <c r="D57" s="35" t="s">
        <v>178</v>
      </c>
      <c r="E57" s="26" t="s">
        <v>5</v>
      </c>
      <c r="F57" s="167">
        <f>3000000/2/1000</f>
        <v>1500</v>
      </c>
      <c r="G57" s="26">
        <v>0</v>
      </c>
      <c r="H57" s="167">
        <f t="shared" si="1"/>
        <v>1500</v>
      </c>
      <c r="I57" s="26" t="s">
        <v>33</v>
      </c>
      <c r="K57" t="s">
        <v>426</v>
      </c>
    </row>
    <row r="58" spans="1:14" ht="83.25" thickBot="1">
      <c r="A58" s="29">
        <v>2</v>
      </c>
      <c r="B58" s="29">
        <v>7</v>
      </c>
      <c r="C58" s="29">
        <v>3</v>
      </c>
      <c r="D58" s="92" t="s">
        <v>179</v>
      </c>
      <c r="E58" s="26" t="s">
        <v>5</v>
      </c>
      <c r="F58" s="86">
        <v>0</v>
      </c>
      <c r="G58" s="26">
        <v>0</v>
      </c>
      <c r="H58" s="167">
        <f t="shared" si="1"/>
        <v>0</v>
      </c>
      <c r="I58" s="26" t="s">
        <v>33</v>
      </c>
    </row>
    <row r="59" spans="1:14" ht="99.75" thickBot="1">
      <c r="A59" s="29">
        <v>2</v>
      </c>
      <c r="B59" s="29">
        <v>7</v>
      </c>
      <c r="C59" s="29">
        <v>4</v>
      </c>
      <c r="D59" s="35" t="s">
        <v>180</v>
      </c>
      <c r="E59" s="26" t="s">
        <v>181</v>
      </c>
      <c r="F59" s="86">
        <v>0</v>
      </c>
      <c r="G59" s="168">
        <f>'Cost details'!F60/1000+'Cost details'!F71/1000</f>
        <v>29529.599999999999</v>
      </c>
      <c r="H59" s="167">
        <f t="shared" si="1"/>
        <v>29529.599999999999</v>
      </c>
      <c r="I59" s="26" t="s">
        <v>33</v>
      </c>
      <c r="K59" s="334" t="s">
        <v>103</v>
      </c>
    </row>
    <row r="60" spans="1:14" ht="182.25" thickBot="1">
      <c r="A60" s="29">
        <v>2</v>
      </c>
      <c r="B60" s="29">
        <v>7</v>
      </c>
      <c r="C60" s="29">
        <v>5</v>
      </c>
      <c r="D60" s="34" t="s">
        <v>182</v>
      </c>
      <c r="E60" s="34" t="s">
        <v>35</v>
      </c>
      <c r="F60" s="34">
        <v>0</v>
      </c>
      <c r="G60" s="36">
        <v>0</v>
      </c>
      <c r="H60" s="167">
        <f t="shared" si="1"/>
        <v>0</v>
      </c>
      <c r="I60" s="34" t="s">
        <v>33</v>
      </c>
    </row>
    <row r="61" spans="1:14" ht="50.25" thickBot="1">
      <c r="A61" s="29">
        <v>2</v>
      </c>
      <c r="B61" s="29">
        <v>7</v>
      </c>
      <c r="C61" s="29">
        <v>6</v>
      </c>
      <c r="D61" s="172" t="s">
        <v>183</v>
      </c>
      <c r="E61" s="88" t="s">
        <v>184</v>
      </c>
      <c r="F61" s="173">
        <v>0</v>
      </c>
      <c r="G61" s="88">
        <v>0</v>
      </c>
      <c r="H61" s="167">
        <f t="shared" si="1"/>
        <v>0</v>
      </c>
      <c r="I61" s="88" t="s">
        <v>33</v>
      </c>
    </row>
    <row r="62" spans="1:14" ht="83.25" thickBot="1">
      <c r="A62" s="29">
        <v>2</v>
      </c>
      <c r="B62" s="29">
        <v>7</v>
      </c>
      <c r="C62" s="29">
        <v>7</v>
      </c>
      <c r="D62" s="92" t="s">
        <v>185</v>
      </c>
      <c r="E62" s="26" t="s">
        <v>5</v>
      </c>
      <c r="F62" s="86">
        <v>1500</v>
      </c>
      <c r="G62" s="26">
        <v>0</v>
      </c>
      <c r="H62" s="167">
        <f t="shared" si="1"/>
        <v>1500</v>
      </c>
      <c r="I62" s="26" t="s">
        <v>33</v>
      </c>
      <c r="K62" t="s">
        <v>426</v>
      </c>
    </row>
    <row r="63" spans="1:14" ht="99.75" thickBot="1">
      <c r="A63" s="29">
        <v>2</v>
      </c>
      <c r="B63" s="29">
        <v>7</v>
      </c>
      <c r="C63" s="29">
        <v>8</v>
      </c>
      <c r="D63" s="93" t="s">
        <v>186</v>
      </c>
      <c r="E63" s="8" t="s">
        <v>5</v>
      </c>
      <c r="F63" s="5">
        <v>0</v>
      </c>
      <c r="G63" s="8">
        <v>0</v>
      </c>
      <c r="H63" s="167">
        <f t="shared" si="1"/>
        <v>0</v>
      </c>
      <c r="I63" s="8" t="s">
        <v>33</v>
      </c>
    </row>
    <row r="64" spans="1:14" ht="126" customHeight="1" thickBot="1">
      <c r="A64" s="29">
        <v>2</v>
      </c>
      <c r="B64" s="29">
        <v>7</v>
      </c>
      <c r="C64" s="29">
        <v>9</v>
      </c>
      <c r="D64" s="172" t="s">
        <v>187</v>
      </c>
      <c r="E64" s="88" t="s">
        <v>181</v>
      </c>
      <c r="F64" s="174">
        <v>0</v>
      </c>
      <c r="G64" s="167">
        <f>'Cost details'!F60/1000+'Cost details'!F71/1000</f>
        <v>29529.599999999999</v>
      </c>
      <c r="H64" s="167">
        <f t="shared" si="1"/>
        <v>29529.599999999999</v>
      </c>
      <c r="I64" s="88" t="s">
        <v>33</v>
      </c>
      <c r="K64" t="s">
        <v>103</v>
      </c>
    </row>
    <row r="65" spans="1:11" ht="174.75" customHeight="1" thickBot="1">
      <c r="A65" s="29">
        <v>2</v>
      </c>
      <c r="B65" s="29">
        <v>7</v>
      </c>
      <c r="C65" s="29">
        <v>10</v>
      </c>
      <c r="D65" s="94" t="s">
        <v>182</v>
      </c>
      <c r="E65" s="34" t="s">
        <v>35</v>
      </c>
      <c r="F65" s="136">
        <v>0</v>
      </c>
      <c r="G65" s="136">
        <v>0</v>
      </c>
      <c r="H65" s="167">
        <f t="shared" si="1"/>
        <v>0</v>
      </c>
      <c r="I65" s="34" t="s">
        <v>33</v>
      </c>
    </row>
    <row r="66" spans="1:11" ht="17.25" thickBot="1">
      <c r="D66" s="128" t="s">
        <v>308</v>
      </c>
      <c r="E66" s="165"/>
      <c r="F66" s="167">
        <f>F65+F64+F63+F62+F61+F60+F59+F58+F57+F56</f>
        <v>3000</v>
      </c>
      <c r="G66" s="167">
        <f>G65+G64+G63+G62+G61+G60+G59+G58+G57+G56</f>
        <v>59059.199999999997</v>
      </c>
      <c r="H66" s="167">
        <f t="shared" si="1"/>
        <v>62059.199999999997</v>
      </c>
      <c r="I66" s="88"/>
    </row>
    <row r="67" spans="1:11" ht="17.25" customHeight="1" thickBot="1">
      <c r="A67" s="29">
        <v>2</v>
      </c>
      <c r="D67" s="384" t="s">
        <v>188</v>
      </c>
      <c r="E67" s="385"/>
      <c r="F67" s="385"/>
      <c r="G67" s="385"/>
      <c r="H67" s="385"/>
      <c r="I67" s="45"/>
    </row>
    <row r="68" spans="1:11" ht="132.75" thickBot="1">
      <c r="A68" s="29">
        <v>2</v>
      </c>
      <c r="B68" s="29">
        <v>8</v>
      </c>
      <c r="C68" s="29">
        <v>1</v>
      </c>
      <c r="D68" s="38" t="s">
        <v>189</v>
      </c>
      <c r="E68" s="34" t="s">
        <v>190</v>
      </c>
      <c r="F68" s="34">
        <v>0</v>
      </c>
      <c r="G68" s="34">
        <v>0</v>
      </c>
      <c r="H68" s="167">
        <f>SUM(F68:G68)</f>
        <v>0</v>
      </c>
      <c r="I68" s="34" t="s">
        <v>12</v>
      </c>
    </row>
    <row r="69" spans="1:11" ht="259.5" customHeight="1" thickBot="1">
      <c r="A69" s="29">
        <v>2</v>
      </c>
      <c r="B69" s="29">
        <v>8</v>
      </c>
      <c r="C69" s="29">
        <v>2</v>
      </c>
      <c r="D69" s="38" t="s">
        <v>191</v>
      </c>
      <c r="E69" s="34" t="s">
        <v>190</v>
      </c>
      <c r="F69" s="34">
        <v>0</v>
      </c>
      <c r="G69" s="34">
        <v>0</v>
      </c>
      <c r="H69" s="167">
        <f>SUM(F69:G69)</f>
        <v>0</v>
      </c>
      <c r="I69" s="34" t="s">
        <v>12</v>
      </c>
    </row>
    <row r="70" spans="1:11" ht="198.75" thickBot="1">
      <c r="A70" s="29">
        <v>2</v>
      </c>
      <c r="B70" s="29">
        <v>8</v>
      </c>
      <c r="C70" s="29">
        <v>3</v>
      </c>
      <c r="D70" s="39" t="s">
        <v>192</v>
      </c>
      <c r="E70" s="26" t="s">
        <v>190</v>
      </c>
      <c r="F70" s="26">
        <v>0</v>
      </c>
      <c r="G70" s="167">
        <v>1500</v>
      </c>
      <c r="H70" s="167">
        <f>SUM(F70:G70)</f>
        <v>1500</v>
      </c>
      <c r="I70" s="26"/>
      <c r="K70" t="s">
        <v>382</v>
      </c>
    </row>
    <row r="71" spans="1:11" ht="309.60000000000002" customHeight="1" thickBot="1">
      <c r="A71" s="29">
        <v>2</v>
      </c>
      <c r="B71" s="29">
        <v>8</v>
      </c>
      <c r="C71" s="29">
        <v>4</v>
      </c>
      <c r="D71" s="38" t="s">
        <v>193</v>
      </c>
      <c r="E71" s="34" t="s">
        <v>190</v>
      </c>
      <c r="F71" s="167">
        <f>'Cost details'!F60/1000</f>
        <v>16788</v>
      </c>
      <c r="G71" s="34"/>
      <c r="H71" s="167">
        <f>SUM(F71:G71)</f>
        <v>16788</v>
      </c>
      <c r="I71" s="34"/>
      <c r="K71" t="s">
        <v>103</v>
      </c>
    </row>
    <row r="72" spans="1:11" ht="17.25" thickBot="1">
      <c r="D72" s="128" t="s">
        <v>310</v>
      </c>
      <c r="E72" s="165"/>
      <c r="F72" s="167">
        <f>F71+F70+F69+F68</f>
        <v>16788</v>
      </c>
      <c r="G72" s="167">
        <f>G71+G70+G69+G68</f>
        <v>1500</v>
      </c>
      <c r="H72" s="167">
        <f>SUM(F72:G72)</f>
        <v>18288</v>
      </c>
      <c r="I72" s="88"/>
    </row>
    <row r="73" spans="1:11" ht="17.25" customHeight="1" thickBot="1">
      <c r="A73" s="29">
        <v>2</v>
      </c>
      <c r="D73" s="384" t="s">
        <v>194</v>
      </c>
      <c r="E73" s="385"/>
      <c r="F73" s="385"/>
      <c r="G73" s="385"/>
      <c r="H73" s="385"/>
      <c r="I73" s="386"/>
    </row>
    <row r="74" spans="1:11" ht="165.75" thickBot="1">
      <c r="A74" s="29">
        <v>2</v>
      </c>
      <c r="B74" s="29">
        <v>9</v>
      </c>
      <c r="C74" s="29">
        <v>1</v>
      </c>
      <c r="D74" s="39" t="s">
        <v>195</v>
      </c>
      <c r="E74" s="26" t="s">
        <v>196</v>
      </c>
      <c r="F74" s="175">
        <v>0</v>
      </c>
      <c r="G74" s="175">
        <v>0</v>
      </c>
      <c r="H74" s="167">
        <f>SUM(F74:G74)</f>
        <v>0</v>
      </c>
      <c r="I74" s="26" t="s">
        <v>12</v>
      </c>
    </row>
    <row r="75" spans="1:11" ht="165.75" thickBot="1">
      <c r="A75" s="29">
        <v>2</v>
      </c>
      <c r="B75" s="29">
        <v>9</v>
      </c>
      <c r="C75" s="29">
        <v>2</v>
      </c>
      <c r="D75" s="38" t="s">
        <v>197</v>
      </c>
      <c r="E75" s="34" t="s">
        <v>32</v>
      </c>
      <c r="F75" s="176">
        <f>'Cost details'!F60/1000</f>
        <v>16788</v>
      </c>
      <c r="G75" s="176">
        <f>'Cost details'!B30/1000</f>
        <v>21292.94933333333</v>
      </c>
      <c r="H75" s="167">
        <f>SUM(F75:G75)</f>
        <v>38080.94933333333</v>
      </c>
      <c r="I75" s="34" t="s">
        <v>12</v>
      </c>
      <c r="K75" t="s">
        <v>103</v>
      </c>
    </row>
    <row r="76" spans="1:11" ht="17.25" thickBot="1">
      <c r="D76" s="128" t="s">
        <v>314</v>
      </c>
      <c r="E76" s="165"/>
      <c r="F76" s="167">
        <f>F75+F74</f>
        <v>16788</v>
      </c>
      <c r="G76" s="167">
        <f>G75+G74</f>
        <v>21292.94933333333</v>
      </c>
      <c r="H76" s="167">
        <f>SUM(F76:G76)</f>
        <v>38080.94933333333</v>
      </c>
      <c r="I76" s="88"/>
    </row>
    <row r="77" spans="1:11" ht="15" customHeight="1" thickBot="1">
      <c r="A77" s="29">
        <v>2</v>
      </c>
      <c r="D77" s="387" t="s">
        <v>198</v>
      </c>
      <c r="E77" s="388"/>
      <c r="F77" s="388"/>
      <c r="G77" s="388"/>
      <c r="H77" s="388"/>
      <c r="I77" s="389"/>
    </row>
    <row r="78" spans="1:11" ht="116.25" thickBot="1">
      <c r="A78" s="29">
        <v>2</v>
      </c>
      <c r="B78" s="29">
        <v>10</v>
      </c>
      <c r="C78" s="29">
        <v>1</v>
      </c>
      <c r="D78" s="38" t="s">
        <v>46</v>
      </c>
      <c r="E78" s="34" t="s">
        <v>5</v>
      </c>
      <c r="F78" s="160">
        <v>0</v>
      </c>
      <c r="G78" s="160">
        <v>0</v>
      </c>
      <c r="H78" s="167">
        <f>SUM(F78:G78)</f>
        <v>0</v>
      </c>
      <c r="I78" s="14" t="s">
        <v>68</v>
      </c>
    </row>
    <row r="79" spans="1:11" ht="389.45" customHeight="1" thickBot="1">
      <c r="A79" s="29">
        <v>2</v>
      </c>
      <c r="B79" s="29">
        <v>10</v>
      </c>
      <c r="C79" s="29">
        <v>2</v>
      </c>
      <c r="D79" s="38" t="s">
        <v>199</v>
      </c>
      <c r="E79" s="34" t="s">
        <v>5</v>
      </c>
      <c r="F79" s="34">
        <v>0</v>
      </c>
      <c r="G79" s="164">
        <v>0</v>
      </c>
      <c r="H79" s="167">
        <f>SUM(F79:G79)</f>
        <v>0</v>
      </c>
      <c r="I79" s="14" t="s">
        <v>43</v>
      </c>
    </row>
    <row r="80" spans="1:11" ht="132.75" thickBot="1">
      <c r="A80" s="29">
        <v>2</v>
      </c>
      <c r="B80" s="29">
        <v>10</v>
      </c>
      <c r="C80" s="29">
        <v>3</v>
      </c>
      <c r="D80" s="38" t="s">
        <v>200</v>
      </c>
      <c r="E80" s="34" t="s">
        <v>201</v>
      </c>
      <c r="F80" s="34">
        <v>0</v>
      </c>
      <c r="G80" s="24">
        <v>0</v>
      </c>
      <c r="H80" s="167">
        <f>SUM(F80:G80)</f>
        <v>0</v>
      </c>
      <c r="I80" s="8" t="s">
        <v>202</v>
      </c>
    </row>
    <row r="81" spans="1:14" ht="17.25" thickBot="1">
      <c r="D81" s="128" t="s">
        <v>315</v>
      </c>
      <c r="E81" s="165"/>
      <c r="F81" s="167">
        <f>F80+F79</f>
        <v>0</v>
      </c>
      <c r="G81" s="167">
        <f>G80+G79</f>
        <v>0</v>
      </c>
      <c r="H81" s="167">
        <f>SUM(F81:G81)</f>
        <v>0</v>
      </c>
      <c r="I81" s="88"/>
    </row>
    <row r="82" spans="1:14" ht="17.25" customHeight="1" thickBot="1">
      <c r="A82" s="29">
        <v>2</v>
      </c>
      <c r="D82" s="384" t="s">
        <v>203</v>
      </c>
      <c r="E82" s="385"/>
      <c r="F82" s="385"/>
      <c r="G82" s="385"/>
      <c r="H82" s="385"/>
      <c r="I82" s="386"/>
      <c r="J82" s="95"/>
      <c r="K82" s="95"/>
      <c r="L82" s="96"/>
      <c r="M82" s="96"/>
    </row>
    <row r="83" spans="1:14" ht="116.25" thickBot="1">
      <c r="A83" s="29">
        <v>2</v>
      </c>
      <c r="B83" s="29">
        <v>11</v>
      </c>
      <c r="C83" s="29">
        <v>1</v>
      </c>
      <c r="D83" s="38" t="s">
        <v>204</v>
      </c>
      <c r="E83" s="24" t="s">
        <v>154</v>
      </c>
      <c r="F83" s="34">
        <v>0</v>
      </c>
      <c r="G83" s="24">
        <v>0</v>
      </c>
      <c r="H83" s="167">
        <f t="shared" ref="H83:H92" si="2">SUM(F83:G83)</f>
        <v>0</v>
      </c>
      <c r="I83" s="11" t="s">
        <v>68</v>
      </c>
    </row>
    <row r="84" spans="1:14" ht="99.75" thickBot="1">
      <c r="A84" s="29">
        <v>2</v>
      </c>
      <c r="B84" s="29">
        <v>11</v>
      </c>
      <c r="C84" s="29">
        <v>2</v>
      </c>
      <c r="D84" s="38" t="s">
        <v>205</v>
      </c>
      <c r="E84" s="34" t="s">
        <v>154</v>
      </c>
      <c r="F84" s="24">
        <v>0</v>
      </c>
      <c r="G84" s="34">
        <v>0</v>
      </c>
      <c r="H84" s="167">
        <f t="shared" si="2"/>
        <v>0</v>
      </c>
      <c r="I84" s="11" t="s">
        <v>68</v>
      </c>
    </row>
    <row r="85" spans="1:14" ht="99.75" thickBot="1">
      <c r="A85" s="29">
        <v>2</v>
      </c>
      <c r="B85" s="29">
        <v>11</v>
      </c>
      <c r="C85" s="29">
        <v>3</v>
      </c>
      <c r="D85" s="38" t="s">
        <v>206</v>
      </c>
      <c r="E85" s="34" t="s">
        <v>42</v>
      </c>
      <c r="F85" s="24">
        <v>0</v>
      </c>
      <c r="G85" s="34">
        <v>0</v>
      </c>
      <c r="H85" s="167">
        <f t="shared" si="2"/>
        <v>0</v>
      </c>
      <c r="I85" s="11" t="s">
        <v>207</v>
      </c>
    </row>
    <row r="86" spans="1:14" ht="116.25" thickBot="1">
      <c r="A86" s="29">
        <v>2</v>
      </c>
      <c r="B86" s="29">
        <v>11</v>
      </c>
      <c r="C86" s="29">
        <v>4</v>
      </c>
      <c r="D86" s="38" t="s">
        <v>208</v>
      </c>
      <c r="E86" s="34" t="s">
        <v>42</v>
      </c>
      <c r="F86" s="24">
        <v>0</v>
      </c>
      <c r="G86" s="164">
        <v>0</v>
      </c>
      <c r="H86" s="167">
        <f t="shared" si="2"/>
        <v>0</v>
      </c>
      <c r="I86" s="11" t="s">
        <v>68</v>
      </c>
    </row>
    <row r="87" spans="1:14" ht="312.75" customHeight="1" thickBot="1">
      <c r="A87" s="29">
        <v>2</v>
      </c>
      <c r="B87" s="29">
        <v>11</v>
      </c>
      <c r="C87" s="29">
        <v>5</v>
      </c>
      <c r="D87" s="38" t="s">
        <v>209</v>
      </c>
      <c r="E87" s="34" t="s">
        <v>42</v>
      </c>
      <c r="F87" s="24">
        <v>0</v>
      </c>
      <c r="G87" s="34">
        <v>0</v>
      </c>
      <c r="H87" s="167">
        <f t="shared" si="2"/>
        <v>0</v>
      </c>
      <c r="I87" s="11" t="s">
        <v>43</v>
      </c>
    </row>
    <row r="88" spans="1:14" ht="99.75" thickBot="1">
      <c r="A88" s="29">
        <v>2</v>
      </c>
      <c r="B88" s="29">
        <v>11</v>
      </c>
      <c r="C88" s="29">
        <v>6</v>
      </c>
      <c r="D88" s="38" t="s">
        <v>210</v>
      </c>
      <c r="E88" s="34" t="s">
        <v>42</v>
      </c>
      <c r="F88" s="24">
        <v>0</v>
      </c>
      <c r="G88" s="34">
        <v>0</v>
      </c>
      <c r="H88" s="167">
        <f t="shared" si="2"/>
        <v>0</v>
      </c>
      <c r="I88" s="11" t="s">
        <v>68</v>
      </c>
    </row>
    <row r="89" spans="1:14" ht="148.5" customHeight="1" thickBot="1">
      <c r="A89" s="29">
        <v>2</v>
      </c>
      <c r="B89" s="29">
        <v>11</v>
      </c>
      <c r="C89" s="29">
        <v>7</v>
      </c>
      <c r="D89" s="38" t="s">
        <v>211</v>
      </c>
      <c r="E89" s="34" t="s">
        <v>5</v>
      </c>
      <c r="F89" s="24">
        <v>0</v>
      </c>
      <c r="G89" s="164">
        <v>0</v>
      </c>
      <c r="H89" s="167">
        <f t="shared" si="2"/>
        <v>0</v>
      </c>
      <c r="I89" s="8" t="s">
        <v>43</v>
      </c>
    </row>
    <row r="90" spans="1:14" ht="66.75" thickBot="1">
      <c r="A90" s="29">
        <v>2</v>
      </c>
      <c r="B90" s="29">
        <v>11</v>
      </c>
      <c r="C90" s="29">
        <v>8</v>
      </c>
      <c r="D90" s="34" t="s">
        <v>212</v>
      </c>
      <c r="E90" s="317" t="s">
        <v>5</v>
      </c>
      <c r="F90" s="24">
        <v>0</v>
      </c>
      <c r="G90" s="164">
        <v>0</v>
      </c>
      <c r="H90" s="167">
        <f t="shared" si="2"/>
        <v>0</v>
      </c>
      <c r="I90" s="11" t="s">
        <v>43</v>
      </c>
    </row>
    <row r="91" spans="1:14" ht="83.25" thickBot="1">
      <c r="A91" s="29">
        <v>2</v>
      </c>
      <c r="B91" s="29">
        <v>11</v>
      </c>
      <c r="C91" s="29">
        <v>9</v>
      </c>
      <c r="D91" s="38" t="s">
        <v>213</v>
      </c>
      <c r="E91" s="317" t="s">
        <v>5</v>
      </c>
      <c r="F91" s="24">
        <v>0</v>
      </c>
      <c r="G91" s="164">
        <v>0</v>
      </c>
      <c r="H91" s="167">
        <f t="shared" si="2"/>
        <v>0</v>
      </c>
      <c r="I91" s="11" t="s">
        <v>43</v>
      </c>
    </row>
    <row r="92" spans="1:14" ht="17.25" thickBot="1">
      <c r="D92" s="128" t="s">
        <v>316</v>
      </c>
      <c r="E92" s="165"/>
      <c r="F92" s="167">
        <f>F83+F84+F85+F86+F87+F88+F89+F90+F91</f>
        <v>0</v>
      </c>
      <c r="G92" s="167">
        <f>G83+G84+G85+G86+G87+G88+G89+G90+G91</f>
        <v>0</v>
      </c>
      <c r="H92" s="167">
        <f t="shared" si="2"/>
        <v>0</v>
      </c>
      <c r="I92" s="88"/>
    </row>
    <row r="93" spans="1:14" ht="17.25" customHeight="1" thickBot="1">
      <c r="A93" s="29">
        <v>2</v>
      </c>
      <c r="D93" s="384" t="s">
        <v>330</v>
      </c>
      <c r="E93" s="385"/>
      <c r="F93" s="385"/>
      <c r="G93" s="385"/>
      <c r="H93" s="385"/>
      <c r="I93" s="385"/>
      <c r="J93" s="95"/>
      <c r="K93" s="95"/>
      <c r="L93" s="95"/>
      <c r="M93" s="95"/>
      <c r="N93" s="95"/>
    </row>
    <row r="94" spans="1:14" ht="120" customHeight="1" thickBot="1">
      <c r="A94" s="29">
        <v>2</v>
      </c>
      <c r="B94" s="29">
        <v>12</v>
      </c>
      <c r="C94" s="29">
        <v>1</v>
      </c>
      <c r="D94" s="36" t="s">
        <v>214</v>
      </c>
      <c r="E94" s="97" t="s">
        <v>5</v>
      </c>
      <c r="F94" s="178">
        <v>0</v>
      </c>
      <c r="G94" s="178">
        <v>0</v>
      </c>
      <c r="H94" s="167">
        <f t="shared" ref="H94:H102" si="3">SUM(F94:G94)</f>
        <v>0</v>
      </c>
      <c r="I94" s="360" t="s">
        <v>68</v>
      </c>
    </row>
    <row r="95" spans="1:14" ht="116.25" thickBot="1">
      <c r="A95" s="29">
        <v>2</v>
      </c>
      <c r="B95" s="29">
        <v>12</v>
      </c>
      <c r="C95" s="29">
        <v>2</v>
      </c>
      <c r="D95" s="34" t="s">
        <v>215</v>
      </c>
      <c r="E95" s="37" t="s">
        <v>5</v>
      </c>
      <c r="F95" s="179">
        <v>0</v>
      </c>
      <c r="G95" s="179">
        <v>0</v>
      </c>
      <c r="H95" s="167">
        <f t="shared" si="3"/>
        <v>0</v>
      </c>
      <c r="I95" s="11" t="s">
        <v>68</v>
      </c>
    </row>
    <row r="96" spans="1:14" ht="132.75" thickBot="1">
      <c r="A96" s="29">
        <v>2</v>
      </c>
      <c r="B96" s="29">
        <v>12</v>
      </c>
      <c r="C96" s="29">
        <v>3</v>
      </c>
      <c r="D96" s="34" t="s">
        <v>216</v>
      </c>
      <c r="E96" s="361" t="s">
        <v>468</v>
      </c>
      <c r="F96" s="180"/>
      <c r="G96" s="180">
        <f>'Cost details'!F60/1000</f>
        <v>16788</v>
      </c>
      <c r="H96" s="167">
        <f t="shared" si="3"/>
        <v>16788</v>
      </c>
      <c r="I96" s="34" t="s">
        <v>217</v>
      </c>
      <c r="K96" s="333" t="s">
        <v>426</v>
      </c>
    </row>
    <row r="97" spans="1:11" ht="99.75" thickBot="1">
      <c r="A97" s="29">
        <v>2</v>
      </c>
      <c r="B97" s="29">
        <v>12</v>
      </c>
      <c r="C97" s="29">
        <v>4</v>
      </c>
      <c r="D97" s="34" t="s">
        <v>218</v>
      </c>
      <c r="E97" s="8" t="s">
        <v>219</v>
      </c>
      <c r="F97" s="180">
        <v>0</v>
      </c>
      <c r="G97" s="180">
        <f>'Cost details'!F60/1000</f>
        <v>16788</v>
      </c>
      <c r="H97" s="167">
        <f t="shared" si="3"/>
        <v>16788</v>
      </c>
      <c r="I97" s="34"/>
      <c r="K97" t="s">
        <v>103</v>
      </c>
    </row>
    <row r="98" spans="1:11" ht="132.75" thickBot="1">
      <c r="A98" s="29">
        <v>2</v>
      </c>
      <c r="B98" s="29">
        <v>12</v>
      </c>
      <c r="C98" s="29">
        <v>5</v>
      </c>
      <c r="D98" s="34" t="s">
        <v>220</v>
      </c>
      <c r="E98" s="37" t="s">
        <v>5</v>
      </c>
      <c r="F98" s="167">
        <v>0</v>
      </c>
      <c r="G98" s="179">
        <v>0</v>
      </c>
      <c r="H98" s="167">
        <f t="shared" si="3"/>
        <v>0</v>
      </c>
      <c r="I98" s="11" t="s">
        <v>43</v>
      </c>
    </row>
    <row r="99" spans="1:11" ht="99.75" thickBot="1">
      <c r="A99" s="29">
        <v>2</v>
      </c>
      <c r="B99" s="29">
        <v>12</v>
      </c>
      <c r="C99" s="29">
        <v>6</v>
      </c>
      <c r="D99" s="34" t="s">
        <v>221</v>
      </c>
      <c r="E99" s="37" t="s">
        <v>5</v>
      </c>
      <c r="F99" s="167">
        <v>0</v>
      </c>
      <c r="G99" s="179">
        <v>0</v>
      </c>
      <c r="H99" s="167">
        <f t="shared" si="3"/>
        <v>0</v>
      </c>
      <c r="I99" s="11" t="s">
        <v>68</v>
      </c>
    </row>
    <row r="100" spans="1:11" ht="409.6" customHeight="1" thickBot="1">
      <c r="A100" s="29">
        <v>2</v>
      </c>
      <c r="B100" s="29">
        <v>12</v>
      </c>
      <c r="C100" s="29">
        <v>7</v>
      </c>
      <c r="D100" s="34" t="s">
        <v>222</v>
      </c>
      <c r="E100" s="37" t="s">
        <v>5</v>
      </c>
      <c r="F100" s="181">
        <v>0</v>
      </c>
      <c r="G100" s="178">
        <v>0</v>
      </c>
      <c r="H100" s="167">
        <f t="shared" si="3"/>
        <v>0</v>
      </c>
      <c r="I100" s="11" t="s">
        <v>68</v>
      </c>
    </row>
    <row r="101" spans="1:11" ht="132.75" thickBot="1">
      <c r="A101" s="29">
        <v>2</v>
      </c>
      <c r="B101" s="29">
        <v>12</v>
      </c>
      <c r="C101" s="29">
        <v>8</v>
      </c>
      <c r="D101" s="34" t="s">
        <v>223</v>
      </c>
      <c r="E101" s="11" t="s">
        <v>224</v>
      </c>
      <c r="F101" s="180">
        <v>0</v>
      </c>
      <c r="G101" s="180">
        <f>'Cost details'!F60/1000</f>
        <v>16788</v>
      </c>
      <c r="H101" s="167">
        <f t="shared" si="3"/>
        <v>16788</v>
      </c>
      <c r="I101" s="11" t="s">
        <v>68</v>
      </c>
      <c r="K101" t="s">
        <v>103</v>
      </c>
    </row>
    <row r="102" spans="1:11" ht="17.25" thickBot="1">
      <c r="D102" s="128" t="s">
        <v>317</v>
      </c>
      <c r="E102" s="165"/>
      <c r="F102" s="167">
        <f>SUM(F94:F101)</f>
        <v>0</v>
      </c>
      <c r="G102" s="167">
        <f>SUM(G94:G101)</f>
        <v>50364</v>
      </c>
      <c r="H102" s="167">
        <f t="shared" si="3"/>
        <v>50364</v>
      </c>
      <c r="I102" s="88"/>
    </row>
    <row r="103" spans="1:11" ht="17.25" thickBot="1">
      <c r="A103" s="29">
        <v>2</v>
      </c>
      <c r="D103" s="384" t="s">
        <v>225</v>
      </c>
      <c r="E103" s="385"/>
      <c r="F103" s="385"/>
      <c r="G103" s="385"/>
      <c r="H103" s="385"/>
      <c r="I103" s="386"/>
    </row>
    <row r="104" spans="1:11" ht="83.25" thickBot="1">
      <c r="A104" s="29">
        <v>2</v>
      </c>
      <c r="B104" s="29">
        <v>13</v>
      </c>
      <c r="C104" s="29">
        <v>1</v>
      </c>
      <c r="D104" s="38" t="s">
        <v>226</v>
      </c>
      <c r="E104" s="37" t="s">
        <v>5</v>
      </c>
      <c r="F104" s="5">
        <v>0</v>
      </c>
      <c r="G104" s="5">
        <v>0</v>
      </c>
      <c r="H104" s="167">
        <f>SUM(F104:G104)</f>
        <v>0</v>
      </c>
      <c r="I104" s="11" t="s">
        <v>68</v>
      </c>
    </row>
    <row r="105" spans="1:11" ht="17.25" thickBot="1">
      <c r="D105" s="128" t="s">
        <v>331</v>
      </c>
      <c r="E105" s="165"/>
      <c r="F105" s="167">
        <f>F104</f>
        <v>0</v>
      </c>
      <c r="G105" s="167">
        <f>G104</f>
        <v>0</v>
      </c>
      <c r="H105" s="167">
        <f>SUM(F105:G105)</f>
        <v>0</v>
      </c>
      <c r="I105" s="88"/>
    </row>
    <row r="106" spans="1:11" ht="17.25" customHeight="1" thickBot="1">
      <c r="A106" s="29">
        <v>2</v>
      </c>
      <c r="B106" s="29">
        <v>13</v>
      </c>
      <c r="C106" s="29">
        <v>1</v>
      </c>
      <c r="D106" s="379" t="s">
        <v>227</v>
      </c>
      <c r="E106" s="380"/>
      <c r="F106" s="380"/>
      <c r="G106" s="380"/>
      <c r="H106" s="380"/>
      <c r="I106" s="380"/>
    </row>
    <row r="107" spans="1:11" ht="132.75" thickBot="1">
      <c r="A107" s="29">
        <v>2</v>
      </c>
      <c r="B107" s="29">
        <v>14</v>
      </c>
      <c r="C107" s="29">
        <v>1</v>
      </c>
      <c r="D107" s="38" t="s">
        <v>228</v>
      </c>
      <c r="E107" s="34" t="s">
        <v>229</v>
      </c>
      <c r="F107" s="34">
        <v>0</v>
      </c>
      <c r="G107" s="34">
        <v>0</v>
      </c>
      <c r="H107" s="167">
        <f t="shared" ref="H107:H113" si="4">SUM(F107:G107)</f>
        <v>0</v>
      </c>
      <c r="I107" s="30" t="s">
        <v>230</v>
      </c>
    </row>
    <row r="108" spans="1:11" ht="132.75" thickBot="1">
      <c r="A108" s="29">
        <v>2</v>
      </c>
      <c r="B108" s="29">
        <v>14</v>
      </c>
      <c r="C108" s="29">
        <v>2</v>
      </c>
      <c r="D108" s="192" t="s">
        <v>231</v>
      </c>
      <c r="E108" s="164" t="s">
        <v>229</v>
      </c>
      <c r="F108" s="34">
        <v>0</v>
      </c>
      <c r="G108" s="34">
        <v>0</v>
      </c>
      <c r="H108" s="167">
        <f t="shared" si="4"/>
        <v>0</v>
      </c>
      <c r="I108" s="34" t="s">
        <v>217</v>
      </c>
    </row>
    <row r="109" spans="1:11" ht="248.25" thickBot="1">
      <c r="A109" s="29">
        <v>2</v>
      </c>
      <c r="B109" s="29">
        <v>14</v>
      </c>
      <c r="C109" s="29">
        <v>3</v>
      </c>
      <c r="D109" s="39" t="s">
        <v>232</v>
      </c>
      <c r="E109" s="26" t="s">
        <v>229</v>
      </c>
      <c r="F109" s="182"/>
      <c r="G109" s="184">
        <v>15000</v>
      </c>
      <c r="H109" s="167">
        <f t="shared" si="4"/>
        <v>15000</v>
      </c>
      <c r="I109" s="26" t="s">
        <v>217</v>
      </c>
      <c r="K109" s="334" t="s">
        <v>427</v>
      </c>
    </row>
    <row r="110" spans="1:11" ht="153.75" customHeight="1" thickBot="1">
      <c r="A110" s="29">
        <v>2</v>
      </c>
      <c r="B110" s="29">
        <v>14</v>
      </c>
      <c r="C110" s="29">
        <v>4</v>
      </c>
      <c r="D110" s="39" t="s">
        <v>233</v>
      </c>
      <c r="E110" s="26" t="s">
        <v>229</v>
      </c>
      <c r="F110" s="183">
        <v>0</v>
      </c>
      <c r="G110" s="183">
        <v>15000</v>
      </c>
      <c r="H110" s="167">
        <f t="shared" si="4"/>
        <v>15000</v>
      </c>
      <c r="I110" s="26" t="s">
        <v>217</v>
      </c>
      <c r="K110" t="s">
        <v>426</v>
      </c>
    </row>
    <row r="111" spans="1:11" ht="149.25" thickBot="1">
      <c r="A111" s="29">
        <v>2</v>
      </c>
      <c r="B111" s="29">
        <v>14</v>
      </c>
      <c r="C111" s="29">
        <v>5</v>
      </c>
      <c r="D111" s="39" t="s">
        <v>234</v>
      </c>
      <c r="E111" s="26" t="s">
        <v>229</v>
      </c>
      <c r="F111" s="26">
        <v>0</v>
      </c>
      <c r="G111" s="26">
        <v>0</v>
      </c>
      <c r="H111" s="167">
        <f t="shared" si="4"/>
        <v>0</v>
      </c>
      <c r="I111" s="26" t="s">
        <v>217</v>
      </c>
    </row>
    <row r="112" spans="1:11" ht="116.25" thickBot="1">
      <c r="A112" s="29">
        <v>2</v>
      </c>
      <c r="B112" s="29">
        <v>14</v>
      </c>
      <c r="C112" s="29">
        <v>6</v>
      </c>
      <c r="D112" s="98" t="s">
        <v>235</v>
      </c>
      <c r="E112" s="99" t="s">
        <v>229</v>
      </c>
      <c r="F112" s="99">
        <v>0</v>
      </c>
      <c r="G112" s="99">
        <v>0</v>
      </c>
      <c r="H112" s="167">
        <f t="shared" si="4"/>
        <v>0</v>
      </c>
      <c r="I112" s="99" t="s">
        <v>217</v>
      </c>
    </row>
    <row r="113" spans="3:9" ht="17.25" thickBot="1">
      <c r="D113" s="128" t="s">
        <v>332</v>
      </c>
      <c r="E113" s="165"/>
      <c r="F113" s="167">
        <f>SUM(F107:F112)</f>
        <v>0</v>
      </c>
      <c r="G113" s="167">
        <f>SUM(G107:G112)</f>
        <v>30000</v>
      </c>
      <c r="H113" s="167">
        <f t="shared" si="4"/>
        <v>30000</v>
      </c>
      <c r="I113" s="88"/>
    </row>
    <row r="116" spans="3:9" ht="17.25" thickBot="1">
      <c r="C116" s="185"/>
      <c r="D116" s="149" t="s">
        <v>323</v>
      </c>
      <c r="E116" s="149"/>
      <c r="F116" s="149"/>
      <c r="G116" s="149"/>
      <c r="H116" s="149"/>
    </row>
    <row r="117" spans="3:9" ht="49.5">
      <c r="C117" s="185"/>
      <c r="D117" s="152"/>
      <c r="E117" s="153"/>
      <c r="F117" s="153" t="s">
        <v>355</v>
      </c>
      <c r="G117" s="153" t="s">
        <v>126</v>
      </c>
      <c r="H117" s="154" t="s">
        <v>318</v>
      </c>
    </row>
    <row r="118" spans="3:9" ht="16.5">
      <c r="C118" s="185"/>
      <c r="D118" s="155" t="str">
        <f>D8</f>
        <v>Ընդամենը Նպատակ 1</v>
      </c>
      <c r="E118" s="150"/>
      <c r="F118" s="186">
        <f t="shared" ref="F118:G118" si="5">F8</f>
        <v>0</v>
      </c>
      <c r="G118" s="186">
        <f t="shared" si="5"/>
        <v>179431.2</v>
      </c>
      <c r="H118" s="187">
        <f>+G118+F118</f>
        <v>179431.2</v>
      </c>
    </row>
    <row r="119" spans="3:9" ht="16.5">
      <c r="C119" s="185"/>
      <c r="D119" s="155" t="str">
        <f>D11</f>
        <v>Ընդամենը Նպատակ 2</v>
      </c>
      <c r="E119" s="150"/>
      <c r="F119" s="186">
        <f t="shared" ref="F119:G119" si="6">F11</f>
        <v>0</v>
      </c>
      <c r="G119" s="186">
        <f t="shared" si="6"/>
        <v>0</v>
      </c>
      <c r="H119" s="187">
        <f t="shared" ref="H119:H131" si="7">+G119+F119</f>
        <v>0</v>
      </c>
    </row>
    <row r="120" spans="3:9" ht="16.5">
      <c r="C120" s="185"/>
      <c r="D120" s="155" t="str">
        <f>D14</f>
        <v>Ընդամենը Նպատակ 3</v>
      </c>
      <c r="E120" s="150"/>
      <c r="F120" s="186">
        <f t="shared" ref="F120:G120" si="8">F14</f>
        <v>0</v>
      </c>
      <c r="G120" s="186">
        <f t="shared" si="8"/>
        <v>0</v>
      </c>
      <c r="H120" s="187">
        <f t="shared" si="7"/>
        <v>0</v>
      </c>
    </row>
    <row r="121" spans="3:9" ht="16.5">
      <c r="C121" s="185"/>
      <c r="D121" s="155" t="str">
        <f>D31</f>
        <v>Ընդամենը Նպատակ 4</v>
      </c>
      <c r="E121" s="150"/>
      <c r="F121" s="186">
        <f t="shared" ref="F121:G121" si="9">F31</f>
        <v>8394</v>
      </c>
      <c r="G121" s="186">
        <f t="shared" si="9"/>
        <v>917.322</v>
      </c>
      <c r="H121" s="187">
        <f t="shared" si="7"/>
        <v>9311.3220000000001</v>
      </c>
    </row>
    <row r="122" spans="3:9" ht="16.5">
      <c r="C122" s="185"/>
      <c r="D122" s="155" t="str">
        <f>D49</f>
        <v>Ընդամենը Նպատակ 5</v>
      </c>
      <c r="E122" s="150"/>
      <c r="F122" s="186">
        <f t="shared" ref="F122:G122" si="10">F49</f>
        <v>16788</v>
      </c>
      <c r="G122" s="186">
        <f t="shared" si="10"/>
        <v>27746.902999999998</v>
      </c>
      <c r="H122" s="187">
        <f t="shared" si="7"/>
        <v>44534.902999999998</v>
      </c>
    </row>
    <row r="123" spans="3:9" ht="16.5">
      <c r="C123" s="185"/>
      <c r="D123" s="155" t="str">
        <f>D54</f>
        <v>Ընդամենը Նպատակ 6</v>
      </c>
      <c r="E123" s="150"/>
      <c r="F123" s="186">
        <f t="shared" ref="F123:G123" si="11">F54</f>
        <v>0</v>
      </c>
      <c r="G123" s="186">
        <f t="shared" si="11"/>
        <v>0</v>
      </c>
      <c r="H123" s="187">
        <f t="shared" si="7"/>
        <v>0</v>
      </c>
    </row>
    <row r="124" spans="3:9" ht="16.5">
      <c r="C124" s="185"/>
      <c r="D124" s="155" t="str">
        <f>D66</f>
        <v>Ընդամենը Նպատակ 7</v>
      </c>
      <c r="E124" s="150"/>
      <c r="F124" s="186">
        <f t="shared" ref="F124:G124" si="12">F66</f>
        <v>3000</v>
      </c>
      <c r="G124" s="186">
        <f t="shared" si="12"/>
        <v>59059.199999999997</v>
      </c>
      <c r="H124" s="187">
        <f t="shared" si="7"/>
        <v>62059.199999999997</v>
      </c>
    </row>
    <row r="125" spans="3:9" ht="16.5">
      <c r="C125" s="185"/>
      <c r="D125" s="155" t="str">
        <f>D72</f>
        <v>Ընդամենը Նպատակ 8</v>
      </c>
      <c r="E125" s="150"/>
      <c r="F125" s="186">
        <f t="shared" ref="F125:G125" si="13">F72</f>
        <v>16788</v>
      </c>
      <c r="G125" s="186">
        <f t="shared" si="13"/>
        <v>1500</v>
      </c>
      <c r="H125" s="187">
        <f t="shared" si="7"/>
        <v>18288</v>
      </c>
    </row>
    <row r="126" spans="3:9" ht="16.5">
      <c r="C126" s="185"/>
      <c r="D126" s="155" t="str">
        <f>D76</f>
        <v>Ընդամենը Նպատակ 9</v>
      </c>
      <c r="E126" s="150"/>
      <c r="F126" s="186">
        <f t="shared" ref="F126:G126" si="14">F76</f>
        <v>16788</v>
      </c>
      <c r="G126" s="186">
        <f t="shared" si="14"/>
        <v>21292.94933333333</v>
      </c>
      <c r="H126" s="187">
        <f t="shared" si="7"/>
        <v>38080.94933333333</v>
      </c>
    </row>
    <row r="127" spans="3:9" ht="16.5">
      <c r="C127" s="185"/>
      <c r="D127" s="155" t="str">
        <f>D81</f>
        <v>Ընդամենը Նպատակ 10</v>
      </c>
      <c r="E127" s="150"/>
      <c r="F127" s="186">
        <f t="shared" ref="F127:G127" si="15">F81</f>
        <v>0</v>
      </c>
      <c r="G127" s="186">
        <f t="shared" si="15"/>
        <v>0</v>
      </c>
      <c r="H127" s="187">
        <f t="shared" si="7"/>
        <v>0</v>
      </c>
    </row>
    <row r="128" spans="3:9" ht="16.5">
      <c r="C128" s="185"/>
      <c r="D128" s="155" t="str">
        <f>D92</f>
        <v>Ընդամենը Նպատակ 11</v>
      </c>
      <c r="E128" s="150"/>
      <c r="F128" s="186">
        <f t="shared" ref="F128:G128" si="16">F92</f>
        <v>0</v>
      </c>
      <c r="G128" s="186">
        <f t="shared" si="16"/>
        <v>0</v>
      </c>
      <c r="H128" s="187">
        <f t="shared" si="7"/>
        <v>0</v>
      </c>
    </row>
    <row r="129" spans="3:8" ht="16.5">
      <c r="C129" s="185"/>
      <c r="D129" s="155" t="str">
        <f>D102</f>
        <v>Ընդամենը Նպատակ 12</v>
      </c>
      <c r="E129" s="150"/>
      <c r="F129" s="186">
        <f t="shared" ref="F129:G129" si="17">F102</f>
        <v>0</v>
      </c>
      <c r="G129" s="186">
        <f t="shared" si="17"/>
        <v>50364</v>
      </c>
      <c r="H129" s="187">
        <f t="shared" si="7"/>
        <v>50364</v>
      </c>
    </row>
    <row r="130" spans="3:8" ht="16.5">
      <c r="C130" s="185"/>
      <c r="D130" s="155" t="str">
        <f>D105</f>
        <v>Ընդամենը Նպատակ 13</v>
      </c>
      <c r="E130" s="150"/>
      <c r="F130" s="186">
        <f t="shared" ref="F130:G130" si="18">F105</f>
        <v>0</v>
      </c>
      <c r="G130" s="186">
        <f t="shared" si="18"/>
        <v>0</v>
      </c>
      <c r="H130" s="187">
        <f t="shared" si="7"/>
        <v>0</v>
      </c>
    </row>
    <row r="131" spans="3:8" ht="16.5">
      <c r="C131" s="185"/>
      <c r="D131" s="155" t="str">
        <f>D113</f>
        <v>Ընդամենը Նպատակ 14</v>
      </c>
      <c r="E131" s="150"/>
      <c r="F131" s="186">
        <f t="shared" ref="F131:G131" si="19">F113</f>
        <v>0</v>
      </c>
      <c r="G131" s="186">
        <f t="shared" si="19"/>
        <v>30000</v>
      </c>
      <c r="H131" s="187">
        <f t="shared" si="7"/>
        <v>30000</v>
      </c>
    </row>
    <row r="132" spans="3:8" ht="16.5">
      <c r="C132" s="185"/>
      <c r="D132" s="155"/>
      <c r="E132" s="150"/>
      <c r="F132" s="186"/>
      <c r="G132" s="186"/>
      <c r="H132" s="187"/>
    </row>
    <row r="133" spans="3:8" ht="17.25" thickBot="1">
      <c r="C133" s="185"/>
      <c r="D133" s="157" t="s">
        <v>397</v>
      </c>
      <c r="E133" s="158"/>
      <c r="F133" s="188">
        <f>SUM(F118:F131)</f>
        <v>61758</v>
      </c>
      <c r="G133" s="188">
        <f>SUM(G118:G131)</f>
        <v>370311.57433333335</v>
      </c>
      <c r="H133" s="189">
        <f>SUM(H118:H131)</f>
        <v>432069.57433333335</v>
      </c>
    </row>
    <row r="134" spans="3:8" ht="16.5">
      <c r="C134" s="185"/>
      <c r="D134" s="149"/>
      <c r="E134" s="149"/>
      <c r="F134" s="149"/>
      <c r="G134" s="149"/>
      <c r="H134" s="149"/>
    </row>
    <row r="135" spans="3:8">
      <c r="D135" s="322" t="s">
        <v>401</v>
      </c>
      <c r="E135" s="322"/>
      <c r="F135" s="322"/>
      <c r="G135" s="322"/>
      <c r="H135" s="322"/>
    </row>
    <row r="136" spans="3:8" ht="28.5">
      <c r="D136" s="323"/>
      <c r="E136" s="323"/>
      <c r="F136" s="324" t="s">
        <v>417</v>
      </c>
      <c r="G136" s="324">
        <v>2020</v>
      </c>
      <c r="H136" s="325" t="s">
        <v>418</v>
      </c>
    </row>
    <row r="137" spans="3:8">
      <c r="D137" s="323" t="s">
        <v>402</v>
      </c>
      <c r="E137" s="326">
        <f t="shared" ref="E137:H152" si="20">E118</f>
        <v>0</v>
      </c>
      <c r="F137" s="326">
        <f t="shared" si="20"/>
        <v>0</v>
      </c>
      <c r="G137" s="326">
        <f t="shared" si="20"/>
        <v>179431.2</v>
      </c>
      <c r="H137" s="326">
        <f t="shared" si="20"/>
        <v>179431.2</v>
      </c>
    </row>
    <row r="138" spans="3:8">
      <c r="D138" s="323" t="s">
        <v>403</v>
      </c>
      <c r="E138" s="326">
        <f t="shared" si="20"/>
        <v>0</v>
      </c>
      <c r="F138" s="326">
        <f t="shared" si="20"/>
        <v>0</v>
      </c>
      <c r="G138" s="326">
        <f t="shared" si="20"/>
        <v>0</v>
      </c>
      <c r="H138" s="326">
        <f t="shared" si="20"/>
        <v>0</v>
      </c>
    </row>
    <row r="139" spans="3:8">
      <c r="D139" s="323" t="s">
        <v>404</v>
      </c>
      <c r="E139" s="326">
        <f t="shared" si="20"/>
        <v>0</v>
      </c>
      <c r="F139" s="326">
        <f t="shared" si="20"/>
        <v>0</v>
      </c>
      <c r="G139" s="326">
        <f t="shared" si="20"/>
        <v>0</v>
      </c>
      <c r="H139" s="326">
        <f t="shared" si="20"/>
        <v>0</v>
      </c>
    </row>
    <row r="140" spans="3:8">
      <c r="D140" s="323" t="s">
        <v>405</v>
      </c>
      <c r="E140" s="326">
        <f t="shared" si="20"/>
        <v>0</v>
      </c>
      <c r="F140" s="326">
        <f t="shared" si="20"/>
        <v>8394</v>
      </c>
      <c r="G140" s="326">
        <f t="shared" si="20"/>
        <v>917.322</v>
      </c>
      <c r="H140" s="326">
        <f t="shared" si="20"/>
        <v>9311.3220000000001</v>
      </c>
    </row>
    <row r="141" spans="3:8">
      <c r="D141" s="323" t="s">
        <v>406</v>
      </c>
      <c r="E141" s="326">
        <f t="shared" si="20"/>
        <v>0</v>
      </c>
      <c r="F141" s="326">
        <f t="shared" si="20"/>
        <v>16788</v>
      </c>
      <c r="G141" s="326">
        <f t="shared" si="20"/>
        <v>27746.902999999998</v>
      </c>
      <c r="H141" s="326">
        <f t="shared" si="20"/>
        <v>44534.902999999998</v>
      </c>
    </row>
    <row r="142" spans="3:8">
      <c r="D142" s="323" t="s">
        <v>407</v>
      </c>
      <c r="E142" s="326">
        <f t="shared" si="20"/>
        <v>0</v>
      </c>
      <c r="F142" s="326">
        <f t="shared" si="20"/>
        <v>0</v>
      </c>
      <c r="G142" s="326">
        <f t="shared" si="20"/>
        <v>0</v>
      </c>
      <c r="H142" s="326">
        <f t="shared" si="20"/>
        <v>0</v>
      </c>
    </row>
    <row r="143" spans="3:8">
      <c r="D143" s="323" t="s">
        <v>408</v>
      </c>
      <c r="E143" s="326">
        <f t="shared" si="20"/>
        <v>0</v>
      </c>
      <c r="F143" s="326">
        <f t="shared" si="20"/>
        <v>3000</v>
      </c>
      <c r="G143" s="326">
        <f t="shared" si="20"/>
        <v>59059.199999999997</v>
      </c>
      <c r="H143" s="326">
        <f t="shared" si="20"/>
        <v>62059.199999999997</v>
      </c>
    </row>
    <row r="144" spans="3:8">
      <c r="D144" s="323" t="s">
        <v>409</v>
      </c>
      <c r="E144" s="326">
        <f t="shared" si="20"/>
        <v>0</v>
      </c>
      <c r="F144" s="326">
        <f t="shared" si="20"/>
        <v>16788</v>
      </c>
      <c r="G144" s="326">
        <f t="shared" si="20"/>
        <v>1500</v>
      </c>
      <c r="H144" s="326">
        <f t="shared" si="20"/>
        <v>18288</v>
      </c>
    </row>
    <row r="145" spans="4:8">
      <c r="D145" s="323" t="s">
        <v>410</v>
      </c>
      <c r="E145" s="326">
        <f t="shared" si="20"/>
        <v>0</v>
      </c>
      <c r="F145" s="326">
        <f t="shared" si="20"/>
        <v>16788</v>
      </c>
      <c r="G145" s="326">
        <f t="shared" si="20"/>
        <v>21292.94933333333</v>
      </c>
      <c r="H145" s="326">
        <f t="shared" si="20"/>
        <v>38080.94933333333</v>
      </c>
    </row>
    <row r="146" spans="4:8">
      <c r="D146" s="323" t="s">
        <v>411</v>
      </c>
      <c r="E146" s="326">
        <f t="shared" si="20"/>
        <v>0</v>
      </c>
      <c r="F146" s="326">
        <f t="shared" si="20"/>
        <v>0</v>
      </c>
      <c r="G146" s="326">
        <f t="shared" si="20"/>
        <v>0</v>
      </c>
      <c r="H146" s="326">
        <f t="shared" si="20"/>
        <v>0</v>
      </c>
    </row>
    <row r="147" spans="4:8">
      <c r="D147" s="323" t="s">
        <v>412</v>
      </c>
      <c r="E147" s="326">
        <f t="shared" si="20"/>
        <v>0</v>
      </c>
      <c r="F147" s="326">
        <f t="shared" si="20"/>
        <v>0</v>
      </c>
      <c r="G147" s="326">
        <f t="shared" si="20"/>
        <v>0</v>
      </c>
      <c r="H147" s="326">
        <f t="shared" si="20"/>
        <v>0</v>
      </c>
    </row>
    <row r="148" spans="4:8">
      <c r="D148" s="323" t="s">
        <v>413</v>
      </c>
      <c r="E148" s="326">
        <f t="shared" si="20"/>
        <v>0</v>
      </c>
      <c r="F148" s="326">
        <f t="shared" si="20"/>
        <v>0</v>
      </c>
      <c r="G148" s="326">
        <f t="shared" si="20"/>
        <v>50364</v>
      </c>
      <c r="H148" s="326">
        <f t="shared" si="20"/>
        <v>50364</v>
      </c>
    </row>
    <row r="149" spans="4:8">
      <c r="D149" s="323" t="s">
        <v>414</v>
      </c>
      <c r="E149" s="326">
        <f t="shared" si="20"/>
        <v>0</v>
      </c>
      <c r="F149" s="326">
        <f t="shared" si="20"/>
        <v>0</v>
      </c>
      <c r="G149" s="326">
        <f t="shared" si="20"/>
        <v>0</v>
      </c>
      <c r="H149" s="326">
        <f t="shared" si="20"/>
        <v>0</v>
      </c>
    </row>
    <row r="150" spans="4:8">
      <c r="D150" s="323" t="s">
        <v>415</v>
      </c>
      <c r="E150" s="326">
        <f t="shared" si="20"/>
        <v>0</v>
      </c>
      <c r="F150" s="326">
        <f t="shared" si="20"/>
        <v>0</v>
      </c>
      <c r="G150" s="326">
        <f t="shared" si="20"/>
        <v>30000</v>
      </c>
      <c r="H150" s="326">
        <f t="shared" si="20"/>
        <v>30000</v>
      </c>
    </row>
    <row r="151" spans="4:8">
      <c r="D151" s="323"/>
      <c r="E151" s="326"/>
      <c r="F151" s="326"/>
      <c r="G151" s="326"/>
      <c r="H151" s="326"/>
    </row>
    <row r="152" spans="4:8">
      <c r="D152" s="327" t="s">
        <v>416</v>
      </c>
      <c r="E152" s="328">
        <f t="shared" si="20"/>
        <v>0</v>
      </c>
      <c r="F152" s="328">
        <f t="shared" si="20"/>
        <v>61758</v>
      </c>
      <c r="G152" s="328">
        <f t="shared" si="20"/>
        <v>370311.57433333335</v>
      </c>
      <c r="H152" s="328">
        <f t="shared" si="20"/>
        <v>432069.57433333335</v>
      </c>
    </row>
    <row r="153" spans="4:8">
      <c r="D153" s="231"/>
    </row>
    <row r="155" spans="4:8">
      <c r="D155" s="103"/>
      <c r="E155" s="103"/>
      <c r="F155" s="329" t="s">
        <v>417</v>
      </c>
      <c r="G155" s="329">
        <v>2020</v>
      </c>
      <c r="H155" s="235" t="s">
        <v>431</v>
      </c>
    </row>
    <row r="156" spans="4:8">
      <c r="D156" s="103" t="s">
        <v>428</v>
      </c>
      <c r="E156" s="103"/>
      <c r="F156" s="331">
        <f>F7+F6</f>
        <v>0</v>
      </c>
      <c r="G156" s="331">
        <f>G7+G6</f>
        <v>179431.2</v>
      </c>
      <c r="H156" s="337">
        <f t="shared" ref="H156:H162" si="21">G156+F156</f>
        <v>179431.2</v>
      </c>
    </row>
    <row r="157" spans="4:8">
      <c r="D157" s="103" t="s">
        <v>427</v>
      </c>
      <c r="E157" s="103"/>
      <c r="F157" s="331">
        <f>F109</f>
        <v>0</v>
      </c>
      <c r="G157" s="331">
        <f>G109</f>
        <v>15000</v>
      </c>
      <c r="H157" s="337">
        <f t="shared" si="21"/>
        <v>15000</v>
      </c>
    </row>
    <row r="158" spans="4:8">
      <c r="D158" s="103" t="s">
        <v>426</v>
      </c>
      <c r="E158" s="103"/>
      <c r="F158" s="331">
        <f>F110+F96+F62+F57</f>
        <v>3000</v>
      </c>
      <c r="G158" s="331">
        <f>G110+G96+G62+G57</f>
        <v>31788</v>
      </c>
      <c r="H158" s="337">
        <f t="shared" si="21"/>
        <v>34788</v>
      </c>
    </row>
    <row r="159" spans="4:8">
      <c r="D159" s="103" t="s">
        <v>382</v>
      </c>
      <c r="E159" s="103"/>
      <c r="F159" s="331">
        <f>F70</f>
        <v>0</v>
      </c>
      <c r="G159" s="331">
        <f>G70</f>
        <v>1500</v>
      </c>
      <c r="H159" s="337">
        <f t="shared" si="21"/>
        <v>1500</v>
      </c>
    </row>
    <row r="160" spans="4:8">
      <c r="D160" s="103" t="s">
        <v>429</v>
      </c>
      <c r="E160" s="103"/>
      <c r="F160" s="331">
        <f>F101+F97+F75+F71+F64+F59+F39+F28</f>
        <v>58758</v>
      </c>
      <c r="G160" s="331">
        <f>G101+G97+G75+G71+G64+G59+G39+G28</f>
        <v>118842.37433333334</v>
      </c>
      <c r="H160" s="337">
        <f t="shared" si="21"/>
        <v>177600.37433333334</v>
      </c>
    </row>
    <row r="161" spans="1:8" s="231" customFormat="1">
      <c r="A161" s="29"/>
      <c r="B161" s="29"/>
      <c r="C161" s="29"/>
      <c r="D161" s="103" t="s">
        <v>470</v>
      </c>
      <c r="E161" s="103"/>
      <c r="F161" s="331">
        <f>F48</f>
        <v>0</v>
      </c>
      <c r="G161" s="331">
        <f>G48</f>
        <v>23750</v>
      </c>
      <c r="H161" s="337">
        <f t="shared" si="21"/>
        <v>23750</v>
      </c>
    </row>
    <row r="162" spans="1:8">
      <c r="D162" s="118" t="s">
        <v>416</v>
      </c>
      <c r="E162" s="118"/>
      <c r="F162" s="332">
        <f>SUBTOTAL(9,F156:F161)</f>
        <v>61758</v>
      </c>
      <c r="G162" s="332">
        <f>SUBTOTAL(9,G156:G161)</f>
        <v>370311.57433333335</v>
      </c>
      <c r="H162" s="337">
        <f t="shared" si="21"/>
        <v>432069.57433333335</v>
      </c>
    </row>
  </sheetData>
  <autoFilter ref="K1:K153"/>
  <mergeCells count="16">
    <mergeCell ref="D1:H1"/>
    <mergeCell ref="D3:I3"/>
    <mergeCell ref="F4:G4"/>
    <mergeCell ref="D15:H15"/>
    <mergeCell ref="D106:I106"/>
    <mergeCell ref="D9:I9"/>
    <mergeCell ref="D12:I12"/>
    <mergeCell ref="D77:I77"/>
    <mergeCell ref="D82:I82"/>
    <mergeCell ref="D93:I93"/>
    <mergeCell ref="D67:H67"/>
    <mergeCell ref="D103:I103"/>
    <mergeCell ref="D50:I50"/>
    <mergeCell ref="D55:I55"/>
    <mergeCell ref="D73:I73"/>
    <mergeCell ref="D32:I32"/>
  </mergeCells>
  <pageMargins left="0.7" right="0.7" top="0.75" bottom="0.75" header="0.3" footer="0.3"/>
  <pageSetup paperSize="9" scale="74" orientation="landscape" r:id="rId1"/>
  <rowBreaks count="6" manualBreakCount="6">
    <brk id="49" max="7" man="1"/>
    <brk id="54" max="7" man="1"/>
    <brk id="66" max="7" man="1"/>
    <brk id="81" max="7" man="1"/>
    <brk id="92" max="7" man="1"/>
    <brk id="10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L125"/>
  <sheetViews>
    <sheetView view="pageBreakPreview" topLeftCell="A13" zoomScale="93" zoomScaleNormal="78" zoomScaleSheetLayoutView="93" workbookViewId="0">
      <selection activeCell="D116" sqref="D116:I124"/>
    </sheetView>
  </sheetViews>
  <sheetFormatPr defaultRowHeight="15"/>
  <cols>
    <col min="1" max="1" width="2.28515625" bestFit="1" customWidth="1"/>
    <col min="2" max="2" width="3.42578125" style="29" bestFit="1" customWidth="1"/>
    <col min="3" max="3" width="4.28515625" style="29" customWidth="1"/>
    <col min="4" max="4" width="57.5703125" customWidth="1"/>
    <col min="5" max="5" width="27.5703125" customWidth="1"/>
    <col min="6" max="6" width="18.42578125" customWidth="1"/>
    <col min="7" max="7" width="18" customWidth="1"/>
    <col min="8" max="8" width="17.140625" customWidth="1"/>
    <col min="9" max="9" width="17.7109375" customWidth="1"/>
    <col min="10" max="10" width="16.7109375" customWidth="1"/>
  </cols>
  <sheetData>
    <row r="2" spans="1:12" ht="45" customHeight="1">
      <c r="D2" s="372" t="s">
        <v>321</v>
      </c>
      <c r="E2" s="373"/>
      <c r="F2" s="373"/>
      <c r="G2" s="373"/>
      <c r="H2" s="373"/>
      <c r="I2" s="161"/>
    </row>
    <row r="5" spans="1:12" ht="17.25" thickBot="1">
      <c r="D5" s="21" t="s">
        <v>322</v>
      </c>
      <c r="E5" s="21"/>
    </row>
    <row r="6" spans="1:12" ht="33" customHeight="1" thickBot="1">
      <c r="D6" s="396" t="s">
        <v>0</v>
      </c>
      <c r="E6" s="396" t="s">
        <v>1</v>
      </c>
      <c r="F6" s="402" t="s">
        <v>320</v>
      </c>
      <c r="G6" s="403"/>
      <c r="H6" s="403"/>
      <c r="I6" s="404"/>
      <c r="J6" s="396" t="s">
        <v>11</v>
      </c>
      <c r="K6" s="319"/>
    </row>
    <row r="7" spans="1:12" ht="17.25" thickBot="1">
      <c r="D7" s="397"/>
      <c r="E7" s="397"/>
      <c r="F7" s="362" t="s">
        <v>292</v>
      </c>
      <c r="G7" s="363" t="s">
        <v>293</v>
      </c>
      <c r="H7" s="363" t="s">
        <v>294</v>
      </c>
      <c r="I7" s="362" t="s">
        <v>467</v>
      </c>
      <c r="J7" s="397"/>
      <c r="K7" s="16"/>
    </row>
    <row r="8" spans="1:12" ht="72" customHeight="1" thickBot="1">
      <c r="A8" s="29">
        <v>3</v>
      </c>
      <c r="B8" s="29">
        <v>1</v>
      </c>
      <c r="C8" s="29">
        <v>1</v>
      </c>
      <c r="D8" s="1" t="s">
        <v>2</v>
      </c>
      <c r="E8" s="3" t="s">
        <v>3</v>
      </c>
      <c r="F8" s="127">
        <f>'Cost details'!B11/1000</f>
        <v>179431.2</v>
      </c>
      <c r="G8" s="101">
        <v>0</v>
      </c>
      <c r="H8" s="101">
        <v>0</v>
      </c>
      <c r="I8" s="365">
        <f>SUM(F8:H8)</f>
        <v>179431.2</v>
      </c>
      <c r="J8" s="13" t="s">
        <v>12</v>
      </c>
      <c r="K8" s="16"/>
      <c r="L8" t="s">
        <v>425</v>
      </c>
    </row>
    <row r="9" spans="1:12" ht="66.75" thickBot="1">
      <c r="A9" s="29">
        <v>3</v>
      </c>
      <c r="B9" s="29">
        <v>1</v>
      </c>
      <c r="C9" s="29">
        <v>2</v>
      </c>
      <c r="D9" s="34" t="s">
        <v>4</v>
      </c>
      <c r="E9" s="34" t="s">
        <v>5</v>
      </c>
      <c r="F9" s="36">
        <v>0</v>
      </c>
      <c r="G9" s="36">
        <v>0</v>
      </c>
      <c r="H9" s="36">
        <v>0</v>
      </c>
      <c r="I9" s="365">
        <f>SUM(F9:H9)</f>
        <v>0</v>
      </c>
      <c r="J9" s="13" t="s">
        <v>12</v>
      </c>
    </row>
    <row r="10" spans="1:12" ht="50.25" thickBot="1">
      <c r="A10" s="29">
        <v>3</v>
      </c>
      <c r="B10" s="29">
        <v>1</v>
      </c>
      <c r="C10" s="29">
        <v>4</v>
      </c>
      <c r="D10" s="7" t="s">
        <v>6</v>
      </c>
      <c r="E10" s="7" t="s">
        <v>5</v>
      </c>
      <c r="F10" s="9">
        <v>0</v>
      </c>
      <c r="G10" s="9">
        <v>0</v>
      </c>
      <c r="H10" s="9">
        <v>0</v>
      </c>
      <c r="I10" s="365">
        <f>SUM(F10:H10)</f>
        <v>0</v>
      </c>
      <c r="J10" s="42" t="s">
        <v>12</v>
      </c>
    </row>
    <row r="11" spans="1:12" s="135" customFormat="1" ht="17.25" thickBot="1">
      <c r="A11" s="129"/>
      <c r="B11" s="129"/>
      <c r="C11" s="129"/>
      <c r="D11" s="128" t="s">
        <v>301</v>
      </c>
      <c r="E11" s="130"/>
      <c r="F11" s="131">
        <f>F10+F9+F8</f>
        <v>179431.2</v>
      </c>
      <c r="G11" s="132">
        <f>G10+G9+G8</f>
        <v>0</v>
      </c>
      <c r="H11" s="133">
        <f>H10+H9+H8</f>
        <v>0</v>
      </c>
      <c r="I11" s="131">
        <f>SUM(F11:H11)</f>
        <v>179431.2</v>
      </c>
      <c r="J11" s="134"/>
    </row>
    <row r="12" spans="1:12" ht="17.25" thickBot="1">
      <c r="A12" s="29">
        <v>3</v>
      </c>
      <c r="D12" s="405" t="s">
        <v>66</v>
      </c>
      <c r="E12" s="405"/>
      <c r="F12" s="405"/>
      <c r="G12" s="405"/>
      <c r="H12" s="405"/>
      <c r="I12" s="405"/>
      <c r="J12" s="364"/>
    </row>
    <row r="13" spans="1:12" ht="99.75" thickBot="1">
      <c r="A13" s="29">
        <v>3</v>
      </c>
      <c r="B13" s="29">
        <v>2</v>
      </c>
      <c r="C13" s="29">
        <v>1</v>
      </c>
      <c r="D13" s="34" t="s">
        <v>7</v>
      </c>
      <c r="E13" s="37" t="s">
        <v>8</v>
      </c>
      <c r="F13" s="141">
        <v>0</v>
      </c>
      <c r="G13" s="141">
        <v>0</v>
      </c>
      <c r="H13" s="141">
        <v>0</v>
      </c>
      <c r="I13" s="365">
        <f>SUM(F13:H13)</f>
        <v>0</v>
      </c>
      <c r="J13" s="37" t="s">
        <v>12</v>
      </c>
    </row>
    <row r="14" spans="1:12" ht="50.25" thickBot="1">
      <c r="A14" s="29">
        <v>3</v>
      </c>
      <c r="B14" s="29">
        <v>2</v>
      </c>
      <c r="C14" s="29">
        <v>2</v>
      </c>
      <c r="D14" s="34" t="s">
        <v>9</v>
      </c>
      <c r="E14" s="37" t="s">
        <v>10</v>
      </c>
      <c r="F14" s="142">
        <v>0</v>
      </c>
      <c r="G14" s="142">
        <v>0</v>
      </c>
      <c r="H14" s="143">
        <v>2800000</v>
      </c>
      <c r="I14" s="365">
        <f>SUM(F14:H14)</f>
        <v>2800000</v>
      </c>
      <c r="J14" s="40"/>
      <c r="L14" t="s">
        <v>432</v>
      </c>
    </row>
    <row r="15" spans="1:12" ht="19.5" customHeight="1" thickBot="1">
      <c r="A15" s="29"/>
      <c r="D15" s="128" t="s">
        <v>302</v>
      </c>
      <c r="E15" s="130"/>
      <c r="F15" s="144">
        <f>F14+F13</f>
        <v>0</v>
      </c>
      <c r="G15" s="144">
        <f>G14+G13</f>
        <v>0</v>
      </c>
      <c r="H15" s="144">
        <f>H14+H13</f>
        <v>2800000</v>
      </c>
      <c r="I15" s="365">
        <f>SUM(F15:H15)</f>
        <v>2800000</v>
      </c>
      <c r="J15" s="134"/>
    </row>
    <row r="16" spans="1:12" ht="17.25" thickBot="1">
      <c r="A16" s="29">
        <v>3</v>
      </c>
      <c r="D16" s="399" t="s">
        <v>13</v>
      </c>
      <c r="E16" s="400"/>
      <c r="F16" s="400"/>
      <c r="G16" s="400"/>
      <c r="H16" s="400"/>
      <c r="I16" s="400"/>
      <c r="J16" s="401"/>
    </row>
    <row r="17" spans="1:12" ht="171.75" customHeight="1" thickBot="1">
      <c r="A17" s="29">
        <v>3</v>
      </c>
      <c r="B17" s="29">
        <v>3</v>
      </c>
      <c r="C17" s="29">
        <v>1</v>
      </c>
      <c r="D17" s="7" t="s">
        <v>14</v>
      </c>
      <c r="E17" s="7" t="s">
        <v>15</v>
      </c>
      <c r="F17" s="145">
        <v>0</v>
      </c>
      <c r="G17" s="145">
        <v>0</v>
      </c>
      <c r="H17" s="146"/>
      <c r="I17" s="365">
        <f>SUM(F17:H17)</f>
        <v>0</v>
      </c>
      <c r="J17" s="7" t="s">
        <v>12</v>
      </c>
    </row>
    <row r="18" spans="1:12" ht="131.25" customHeight="1" thickBot="1">
      <c r="A18" s="29">
        <v>3</v>
      </c>
      <c r="B18" s="29">
        <v>3</v>
      </c>
      <c r="C18" s="29">
        <v>2</v>
      </c>
      <c r="D18" s="38" t="s">
        <v>16</v>
      </c>
      <c r="E18" s="34" t="s">
        <v>17</v>
      </c>
      <c r="F18" s="145">
        <v>0</v>
      </c>
      <c r="G18" s="145">
        <v>0</v>
      </c>
      <c r="H18" s="145"/>
      <c r="I18" s="365">
        <f>SUM(F18:H18)</f>
        <v>0</v>
      </c>
      <c r="J18" s="34"/>
    </row>
    <row r="19" spans="1:12" ht="19.5" customHeight="1" thickBot="1">
      <c r="A19" s="29"/>
      <c r="D19" s="128" t="s">
        <v>303</v>
      </c>
      <c r="E19" s="130"/>
      <c r="F19" s="144">
        <f>F18+F17</f>
        <v>0</v>
      </c>
      <c r="G19" s="144">
        <f>G18+G17</f>
        <v>0</v>
      </c>
      <c r="H19" s="144">
        <f>H18+H17</f>
        <v>0</v>
      </c>
      <c r="I19" s="365">
        <f>SUM(F19:H19)</f>
        <v>0</v>
      </c>
      <c r="J19" s="134"/>
    </row>
    <row r="20" spans="1:12" ht="16.5" customHeight="1" thickBot="1">
      <c r="A20" s="29">
        <v>3</v>
      </c>
      <c r="D20" s="411" t="s">
        <v>18</v>
      </c>
      <c r="E20" s="412"/>
      <c r="F20" s="412"/>
      <c r="G20" s="412"/>
      <c r="H20" s="412"/>
      <c r="I20" s="412"/>
      <c r="J20" s="412"/>
      <c r="K20" s="320"/>
    </row>
    <row r="21" spans="1:12" ht="95.25" customHeight="1" thickBot="1">
      <c r="A21" s="29">
        <v>3</v>
      </c>
      <c r="B21" s="29">
        <v>4</v>
      </c>
      <c r="C21" s="29">
        <v>1</v>
      </c>
      <c r="D21" s="38" t="s">
        <v>19</v>
      </c>
      <c r="E21" s="34" t="s">
        <v>5</v>
      </c>
      <c r="F21" s="145">
        <v>0</v>
      </c>
      <c r="G21" s="145">
        <v>0</v>
      </c>
      <c r="H21" s="145">
        <v>0</v>
      </c>
      <c r="I21" s="34" t="s">
        <v>20</v>
      </c>
      <c r="J21" s="34" t="s">
        <v>12</v>
      </c>
    </row>
    <row r="22" spans="1:12" ht="19.5" customHeight="1" thickBot="1">
      <c r="A22" s="29"/>
      <c r="D22" s="128" t="s">
        <v>304</v>
      </c>
      <c r="E22" s="130"/>
      <c r="F22" s="144">
        <f>F21</f>
        <v>0</v>
      </c>
      <c r="G22" s="144">
        <f>G21</f>
        <v>0</v>
      </c>
      <c r="H22" s="144">
        <f>H21</f>
        <v>0</v>
      </c>
      <c r="I22" s="365">
        <f>SUM(F22:H22)</f>
        <v>0</v>
      </c>
      <c r="J22" s="134"/>
    </row>
    <row r="23" spans="1:12" ht="16.5" customHeight="1">
      <c r="A23" s="29">
        <v>3</v>
      </c>
      <c r="D23" s="413" t="s">
        <v>21</v>
      </c>
      <c r="E23" s="414"/>
      <c r="F23" s="414"/>
      <c r="G23" s="414"/>
      <c r="H23" s="414"/>
      <c r="I23" s="414"/>
      <c r="J23" s="415"/>
    </row>
    <row r="24" spans="1:12" ht="16.5" customHeight="1">
      <c r="A24" s="29">
        <v>3</v>
      </c>
      <c r="D24" s="416" t="s">
        <v>22</v>
      </c>
      <c r="E24" s="417"/>
      <c r="F24" s="417"/>
      <c r="G24" s="417"/>
      <c r="H24" s="417"/>
      <c r="I24" s="417"/>
      <c r="J24" s="418"/>
    </row>
    <row r="25" spans="1:12" ht="16.5" customHeight="1">
      <c r="A25" s="29">
        <v>3</v>
      </c>
      <c r="D25" s="419" t="s">
        <v>23</v>
      </c>
      <c r="E25" s="420"/>
      <c r="F25" s="420"/>
      <c r="G25" s="420"/>
      <c r="H25" s="420"/>
      <c r="I25" s="420"/>
      <c r="J25" s="421"/>
    </row>
    <row r="26" spans="1:12" ht="17.25" thickBot="1">
      <c r="A26" s="29">
        <v>3</v>
      </c>
      <c r="D26" s="406" t="s">
        <v>24</v>
      </c>
      <c r="E26" s="407"/>
      <c r="F26" s="407"/>
      <c r="G26" s="407"/>
      <c r="H26" s="407"/>
      <c r="I26" s="407"/>
      <c r="J26" s="408"/>
    </row>
    <row r="27" spans="1:12" ht="87" customHeight="1" thickBot="1">
      <c r="A27" s="29">
        <v>3</v>
      </c>
      <c r="B27" s="29">
        <v>5</v>
      </c>
      <c r="C27" s="29" t="s">
        <v>333</v>
      </c>
      <c r="D27" s="38" t="s">
        <v>25</v>
      </c>
      <c r="E27" s="34" t="s">
        <v>26</v>
      </c>
      <c r="F27" s="147">
        <f>'Cost details'!D137*1000</f>
        <v>369442.13728056458</v>
      </c>
      <c r="G27" s="147">
        <f>'Cost details'!E137*1000</f>
        <v>742391.70348812803</v>
      </c>
      <c r="H27" s="147">
        <f>'Cost details'!F137*1000</f>
        <v>706664.43113342673</v>
      </c>
      <c r="I27" s="365">
        <f>SUM(F27:H27)</f>
        <v>1818498.2719021193</v>
      </c>
      <c r="J27" s="34" t="s">
        <v>12</v>
      </c>
      <c r="L27" t="s">
        <v>433</v>
      </c>
    </row>
    <row r="28" spans="1:12" ht="87" customHeight="1" thickBot="1">
      <c r="A28" s="29"/>
      <c r="C28" s="29" t="s">
        <v>334</v>
      </c>
      <c r="D28" s="190" t="s">
        <v>335</v>
      </c>
      <c r="E28" s="126"/>
      <c r="F28" s="191">
        <f>'Cost details'!D135*1000</f>
        <v>832097.36765961011</v>
      </c>
      <c r="G28" s="191">
        <f>'Cost details'!E135*1000</f>
        <v>832097.36765961011</v>
      </c>
      <c r="H28" s="191"/>
      <c r="I28" s="365">
        <f>SUM(F28:H28)</f>
        <v>1664194.7353192202</v>
      </c>
      <c r="J28" s="169"/>
      <c r="L28" s="231" t="s">
        <v>433</v>
      </c>
    </row>
    <row r="29" spans="1:12" ht="86.25" customHeight="1">
      <c r="A29" s="29">
        <v>3</v>
      </c>
      <c r="B29" s="29">
        <v>5</v>
      </c>
      <c r="C29" s="29">
        <v>2</v>
      </c>
      <c r="D29" s="18" t="s">
        <v>27</v>
      </c>
      <c r="E29" s="394" t="s">
        <v>32</v>
      </c>
      <c r="F29" s="409">
        <f>'Cost details'!B24/1000</f>
        <v>3996.9029999999998</v>
      </c>
      <c r="G29" s="409">
        <f>F29</f>
        <v>3996.9029999999998</v>
      </c>
      <c r="H29" s="409">
        <f>'Cost details'!D24</f>
        <v>0</v>
      </c>
      <c r="I29" s="398">
        <f>SUM(F29:H33)</f>
        <v>7993.8059999999996</v>
      </c>
      <c r="J29" s="394" t="s">
        <v>33</v>
      </c>
      <c r="L29" t="s">
        <v>103</v>
      </c>
    </row>
    <row r="30" spans="1:12" ht="33">
      <c r="A30" s="29">
        <v>3</v>
      </c>
      <c r="D30" s="17" t="s">
        <v>28</v>
      </c>
      <c r="E30" s="395"/>
      <c r="F30" s="410"/>
      <c r="G30" s="410"/>
      <c r="H30" s="410"/>
      <c r="I30" s="395"/>
      <c r="J30" s="395"/>
    </row>
    <row r="31" spans="1:12" ht="66">
      <c r="A31" s="29">
        <v>3</v>
      </c>
      <c r="D31" s="17" t="s">
        <v>29</v>
      </c>
      <c r="E31" s="395"/>
      <c r="F31" s="410"/>
      <c r="G31" s="410"/>
      <c r="H31" s="410"/>
      <c r="I31" s="395"/>
      <c r="J31" s="395"/>
    </row>
    <row r="32" spans="1:12" ht="16.5">
      <c r="A32" s="29">
        <v>3</v>
      </c>
      <c r="D32" s="17" t="s">
        <v>30</v>
      </c>
      <c r="E32" s="395"/>
      <c r="F32" s="410"/>
      <c r="G32" s="410"/>
      <c r="H32" s="410"/>
      <c r="I32" s="395"/>
      <c r="J32" s="395"/>
    </row>
    <row r="33" spans="1:12" ht="83.25" thickBot="1">
      <c r="A33" s="29">
        <v>3</v>
      </c>
      <c r="D33" s="17" t="s">
        <v>31</v>
      </c>
      <c r="E33" s="395"/>
      <c r="F33" s="410"/>
      <c r="G33" s="410"/>
      <c r="H33" s="410"/>
      <c r="I33" s="395"/>
      <c r="J33" s="395"/>
    </row>
    <row r="34" spans="1:12" ht="50.25" thickBot="1">
      <c r="A34" s="29">
        <v>3</v>
      </c>
      <c r="B34" s="29">
        <v>5</v>
      </c>
      <c r="C34" s="29">
        <v>3</v>
      </c>
      <c r="D34" s="34" t="s">
        <v>34</v>
      </c>
      <c r="E34" s="34" t="s">
        <v>35</v>
      </c>
      <c r="F34" s="148">
        <f>('Cost details'!D113+'Cost details'!D114)*1000</f>
        <v>3169036</v>
      </c>
      <c r="G34" s="148">
        <f>'Cost details'!E115*1000</f>
        <v>2044128.0000000002</v>
      </c>
      <c r="H34" s="141">
        <v>0</v>
      </c>
      <c r="I34" s="366">
        <f>SUM(F34:H34)</f>
        <v>5213164</v>
      </c>
      <c r="J34" s="34" t="s">
        <v>12</v>
      </c>
      <c r="L34" t="s">
        <v>433</v>
      </c>
    </row>
    <row r="35" spans="1:12" ht="19.5" customHeight="1" thickBot="1">
      <c r="A35" s="29"/>
      <c r="D35" s="128" t="s">
        <v>305</v>
      </c>
      <c r="E35" s="130"/>
      <c r="F35" s="144">
        <f>SUM(F27:F34)</f>
        <v>4374572.4079401745</v>
      </c>
      <c r="G35" s="144">
        <f>SUM(G27:G34)</f>
        <v>3622613.974147738</v>
      </c>
      <c r="H35" s="144">
        <f>SUM(H27:H34)</f>
        <v>706664.43113342673</v>
      </c>
      <c r="I35" s="144">
        <f>SUM(I27:I34)</f>
        <v>8703850.8132213391</v>
      </c>
      <c r="J35" s="134"/>
    </row>
    <row r="36" spans="1:12" ht="17.25" thickBot="1">
      <c r="A36" s="29">
        <v>3</v>
      </c>
      <c r="D36" s="391" t="s">
        <v>36</v>
      </c>
      <c r="E36" s="392"/>
      <c r="F36" s="392"/>
      <c r="G36" s="392"/>
      <c r="H36" s="392"/>
      <c r="I36" s="392"/>
      <c r="J36" s="393"/>
    </row>
    <row r="37" spans="1:12" ht="131.25" customHeight="1" thickBot="1">
      <c r="A37" s="29">
        <v>3</v>
      </c>
      <c r="B37" s="29">
        <v>6</v>
      </c>
      <c r="C37" s="29">
        <v>1</v>
      </c>
      <c r="D37" s="7" t="s">
        <v>37</v>
      </c>
      <c r="E37" s="4" t="s">
        <v>67</v>
      </c>
      <c r="F37" s="125">
        <v>15000</v>
      </c>
      <c r="G37" s="125">
        <f>300000*500/2000</f>
        <v>75000</v>
      </c>
      <c r="H37" s="125">
        <f>300000*500/2000</f>
        <v>75000</v>
      </c>
      <c r="I37" s="125">
        <f>SUM(F37:H37)</f>
        <v>165000</v>
      </c>
      <c r="J37" s="7" t="s">
        <v>33</v>
      </c>
      <c r="K37" s="22"/>
      <c r="L37" s="333" t="s">
        <v>426</v>
      </c>
    </row>
    <row r="38" spans="1:12" ht="50.25" thickBot="1">
      <c r="A38" s="29">
        <v>3</v>
      </c>
      <c r="B38" s="29">
        <v>6</v>
      </c>
      <c r="C38" s="29">
        <v>2</v>
      </c>
      <c r="D38" s="7" t="s">
        <v>38</v>
      </c>
      <c r="E38" s="7" t="s">
        <v>5</v>
      </c>
      <c r="F38" s="125">
        <f>'Cost details'!F60/1000+'Cost details'!B37/1000</f>
        <v>17312.184000000001</v>
      </c>
      <c r="G38" s="137">
        <v>0</v>
      </c>
      <c r="H38" s="126">
        <v>0</v>
      </c>
      <c r="I38" s="125">
        <f>SUM(F38:H38)</f>
        <v>17312.184000000001</v>
      </c>
      <c r="J38" s="7" t="s">
        <v>12</v>
      </c>
      <c r="K38" s="22"/>
      <c r="L38" s="333" t="s">
        <v>103</v>
      </c>
    </row>
    <row r="39" spans="1:12" ht="150.75" customHeight="1" thickBot="1">
      <c r="A39" s="29">
        <v>3</v>
      </c>
      <c r="C39" s="29">
        <v>3</v>
      </c>
      <c r="D39" s="7" t="s">
        <v>39</v>
      </c>
      <c r="E39" s="7" t="s">
        <v>5</v>
      </c>
      <c r="F39" s="125">
        <v>0</v>
      </c>
      <c r="G39" s="7">
        <v>0</v>
      </c>
      <c r="H39" s="7">
        <v>0</v>
      </c>
      <c r="I39" s="125">
        <f>SUM(F39:H39)</f>
        <v>0</v>
      </c>
      <c r="J39" s="7" t="s">
        <v>12</v>
      </c>
      <c r="K39" s="22"/>
    </row>
    <row r="40" spans="1:12" ht="19.5" customHeight="1" thickBot="1">
      <c r="A40" s="29"/>
      <c r="D40" s="128" t="s">
        <v>307</v>
      </c>
      <c r="E40" s="130"/>
      <c r="F40" s="131">
        <f>F39+F38+F37</f>
        <v>32312.184000000001</v>
      </c>
      <c r="G40" s="131">
        <f>G39+G38+G37</f>
        <v>75000</v>
      </c>
      <c r="H40" s="131">
        <f>H39+H38+H37</f>
        <v>75000</v>
      </c>
      <c r="I40" s="130"/>
      <c r="J40" s="134"/>
    </row>
    <row r="41" spans="1:12" ht="17.25" customHeight="1" thickBot="1">
      <c r="A41" s="29">
        <v>3</v>
      </c>
      <c r="D41" s="379" t="s">
        <v>40</v>
      </c>
      <c r="E41" s="380"/>
      <c r="F41" s="380"/>
      <c r="G41" s="380"/>
      <c r="H41" s="380"/>
      <c r="I41" s="380"/>
      <c r="J41" s="380"/>
      <c r="K41" s="20"/>
    </row>
    <row r="42" spans="1:12" ht="99" customHeight="1" thickBot="1">
      <c r="A42" s="29">
        <v>3</v>
      </c>
      <c r="B42" s="29">
        <v>7</v>
      </c>
      <c r="C42" s="29">
        <v>1</v>
      </c>
      <c r="D42" s="38" t="s">
        <v>41</v>
      </c>
      <c r="E42" s="34" t="s">
        <v>42</v>
      </c>
      <c r="F42" s="34">
        <v>0</v>
      </c>
      <c r="G42" s="34">
        <v>0</v>
      </c>
      <c r="H42" s="7">
        <v>0</v>
      </c>
      <c r="I42" s="125">
        <f>SUM(F42:H42)</f>
        <v>0</v>
      </c>
      <c r="J42" s="10" t="s">
        <v>68</v>
      </c>
    </row>
    <row r="43" spans="1:12" ht="82.5" customHeight="1" thickBot="1">
      <c r="A43" s="29">
        <v>3</v>
      </c>
      <c r="B43" s="29">
        <v>7</v>
      </c>
      <c r="C43" s="29">
        <v>2</v>
      </c>
      <c r="D43" s="38" t="s">
        <v>45</v>
      </c>
      <c r="E43" s="4" t="s">
        <v>309</v>
      </c>
      <c r="F43" s="34">
        <v>0</v>
      </c>
      <c r="G43" s="34">
        <v>0</v>
      </c>
      <c r="H43" s="33">
        <v>0</v>
      </c>
      <c r="I43" s="125">
        <f>SUM(F43:H43)</f>
        <v>0</v>
      </c>
      <c r="J43" s="10" t="s">
        <v>43</v>
      </c>
    </row>
    <row r="44" spans="1:12" ht="120" customHeight="1" thickBot="1">
      <c r="A44" s="29">
        <v>3</v>
      </c>
      <c r="B44" s="29">
        <v>7</v>
      </c>
      <c r="C44" s="29">
        <v>3</v>
      </c>
      <c r="D44" s="38" t="s">
        <v>46</v>
      </c>
      <c r="E44" s="34" t="s">
        <v>5</v>
      </c>
      <c r="F44" s="4">
        <v>0</v>
      </c>
      <c r="G44" s="4">
        <v>0</v>
      </c>
      <c r="H44" s="8">
        <v>0</v>
      </c>
      <c r="I44" s="125">
        <f>SUM(F44:H44)</f>
        <v>0</v>
      </c>
      <c r="J44" s="6" t="s">
        <v>43</v>
      </c>
    </row>
    <row r="45" spans="1:12" ht="19.5" customHeight="1" thickBot="1">
      <c r="A45" s="29"/>
      <c r="D45" s="128" t="s">
        <v>308</v>
      </c>
      <c r="E45" s="130"/>
      <c r="F45" s="131">
        <f>F44+F43+F42</f>
        <v>0</v>
      </c>
      <c r="G45" s="131">
        <f>G44+G43+G42</f>
        <v>0</v>
      </c>
      <c r="H45" s="131">
        <f>H44+H43+H42</f>
        <v>0</v>
      </c>
      <c r="I45" s="125">
        <f>SUM(F45:H45)</f>
        <v>0</v>
      </c>
      <c r="J45" s="134"/>
    </row>
    <row r="46" spans="1:12" ht="17.25" thickBot="1">
      <c r="A46" s="29">
        <v>3</v>
      </c>
      <c r="D46" s="391" t="s">
        <v>47</v>
      </c>
      <c r="E46" s="392"/>
      <c r="F46" s="392"/>
      <c r="G46" s="392"/>
      <c r="H46" s="392"/>
      <c r="I46" s="392"/>
    </row>
    <row r="47" spans="1:12" ht="83.25" thickBot="1">
      <c r="A47" s="29">
        <v>3</v>
      </c>
      <c r="B47" s="29">
        <v>8</v>
      </c>
      <c r="C47" s="29">
        <v>1</v>
      </c>
      <c r="D47" s="15" t="s">
        <v>48</v>
      </c>
      <c r="E47" s="7" t="s">
        <v>42</v>
      </c>
      <c r="F47" s="7">
        <v>0</v>
      </c>
      <c r="G47" s="7">
        <v>0</v>
      </c>
      <c r="H47" s="7">
        <v>0</v>
      </c>
      <c r="I47" s="125">
        <f>SUM(F47:H47)</f>
        <v>0</v>
      </c>
      <c r="J47" s="10" t="s">
        <v>43</v>
      </c>
    </row>
    <row r="48" spans="1:12" ht="19.5" customHeight="1" thickBot="1">
      <c r="A48" s="29"/>
      <c r="D48" s="128" t="s">
        <v>310</v>
      </c>
      <c r="E48" s="130"/>
      <c r="F48" s="131">
        <f>F47</f>
        <v>0</v>
      </c>
      <c r="G48" s="131">
        <f>G47</f>
        <v>0</v>
      </c>
      <c r="H48" s="131">
        <f>H47</f>
        <v>0</v>
      </c>
      <c r="I48" s="125">
        <f>SUM(F48:H48)</f>
        <v>0</v>
      </c>
      <c r="J48" s="134"/>
    </row>
    <row r="49" spans="1:12" ht="17.25" thickBot="1">
      <c r="A49" s="29">
        <v>3</v>
      </c>
      <c r="D49" s="391" t="s">
        <v>49</v>
      </c>
      <c r="E49" s="392"/>
      <c r="F49" s="392"/>
      <c r="G49" s="392"/>
      <c r="H49" s="392"/>
      <c r="I49" s="392"/>
    </row>
    <row r="50" spans="1:12" ht="66.75" thickBot="1">
      <c r="A50" s="29">
        <v>3</v>
      </c>
      <c r="B50" s="29">
        <v>9</v>
      </c>
      <c r="C50" s="29">
        <v>1</v>
      </c>
      <c r="D50" s="24" t="s">
        <v>50</v>
      </c>
      <c r="E50" s="12" t="s">
        <v>5</v>
      </c>
      <c r="F50" s="5">
        <v>0</v>
      </c>
      <c r="G50" s="5">
        <v>0</v>
      </c>
      <c r="H50">
        <v>0</v>
      </c>
      <c r="I50" s="125">
        <f t="shared" ref="I50:I57" si="0">SUM(F50:H50)</f>
        <v>0</v>
      </c>
    </row>
    <row r="51" spans="1:12" ht="165.75" thickBot="1">
      <c r="A51" s="29">
        <v>3</v>
      </c>
      <c r="B51" s="29">
        <v>9</v>
      </c>
      <c r="C51" s="29">
        <v>2</v>
      </c>
      <c r="D51" s="15" t="s">
        <v>51</v>
      </c>
      <c r="E51" s="24" t="s">
        <v>5</v>
      </c>
      <c r="F51" s="4">
        <v>0</v>
      </c>
      <c r="G51" s="27">
        <v>0</v>
      </c>
      <c r="H51" s="28">
        <v>0</v>
      </c>
      <c r="I51" s="125">
        <f t="shared" si="0"/>
        <v>0</v>
      </c>
      <c r="J51" s="10" t="s">
        <v>68</v>
      </c>
    </row>
    <row r="52" spans="1:12" ht="201" customHeight="1" thickBot="1">
      <c r="A52" s="29">
        <v>3</v>
      </c>
      <c r="B52" s="29">
        <v>9</v>
      </c>
      <c r="C52" s="29">
        <v>3</v>
      </c>
      <c r="D52" s="34" t="s">
        <v>52</v>
      </c>
      <c r="E52" s="24" t="s">
        <v>319</v>
      </c>
      <c r="F52" s="125">
        <v>15000</v>
      </c>
      <c r="G52" s="125">
        <f>'Cost details'!F60/1000</f>
        <v>16788</v>
      </c>
      <c r="H52" s="125"/>
      <c r="I52" s="125">
        <f t="shared" si="0"/>
        <v>31788</v>
      </c>
      <c r="J52" s="10" t="s">
        <v>43</v>
      </c>
      <c r="L52" t="s">
        <v>103</v>
      </c>
    </row>
    <row r="53" spans="1:12" ht="132.75" customHeight="1" thickBot="1">
      <c r="A53" s="29">
        <v>3</v>
      </c>
      <c r="B53" s="29">
        <v>9</v>
      </c>
      <c r="C53" s="29">
        <v>4</v>
      </c>
      <c r="D53" s="34" t="s">
        <v>53</v>
      </c>
      <c r="E53" s="24" t="s">
        <v>5</v>
      </c>
      <c r="F53" s="138">
        <v>0</v>
      </c>
      <c r="G53" s="125">
        <v>15000</v>
      </c>
      <c r="H53" s="136">
        <v>0</v>
      </c>
      <c r="I53" s="125">
        <f t="shared" si="0"/>
        <v>15000</v>
      </c>
      <c r="J53" s="10" t="s">
        <v>68</v>
      </c>
      <c r="L53" t="s">
        <v>433</v>
      </c>
    </row>
    <row r="54" spans="1:12" ht="50.25" thickBot="1">
      <c r="A54" s="29">
        <v>3</v>
      </c>
      <c r="B54" s="29">
        <v>9</v>
      </c>
      <c r="C54" s="29">
        <v>5</v>
      </c>
      <c r="D54" s="42" t="s">
        <v>311</v>
      </c>
      <c r="E54" s="24" t="s">
        <v>5</v>
      </c>
      <c r="F54" s="138">
        <v>0</v>
      </c>
      <c r="G54" s="136">
        <v>0</v>
      </c>
      <c r="H54" s="136">
        <v>0</v>
      </c>
      <c r="I54" s="125">
        <f t="shared" si="0"/>
        <v>0</v>
      </c>
      <c r="J54" s="10"/>
    </row>
    <row r="55" spans="1:12" ht="50.25" thickBot="1">
      <c r="A55" s="29">
        <v>3</v>
      </c>
      <c r="B55" s="29">
        <v>9</v>
      </c>
      <c r="C55" s="29">
        <v>6</v>
      </c>
      <c r="D55" s="42" t="s">
        <v>312</v>
      </c>
      <c r="E55" s="24" t="s">
        <v>5</v>
      </c>
      <c r="F55" s="138">
        <v>0</v>
      </c>
      <c r="G55" s="136">
        <v>0</v>
      </c>
      <c r="H55" s="136">
        <v>0</v>
      </c>
      <c r="I55" s="125">
        <f t="shared" si="0"/>
        <v>0</v>
      </c>
      <c r="J55" s="11"/>
    </row>
    <row r="56" spans="1:12" ht="40.5" customHeight="1" thickBot="1">
      <c r="A56" s="29">
        <v>3</v>
      </c>
      <c r="B56" s="29">
        <v>9</v>
      </c>
      <c r="C56" s="29">
        <v>7</v>
      </c>
      <c r="D56" s="35" t="s">
        <v>313</v>
      </c>
      <c r="E56" s="24" t="s">
        <v>5</v>
      </c>
      <c r="F56" s="139">
        <v>0</v>
      </c>
      <c r="G56" s="138">
        <v>0</v>
      </c>
      <c r="H56" s="138">
        <v>0</v>
      </c>
      <c r="I56" s="125">
        <f t="shared" si="0"/>
        <v>0</v>
      </c>
      <c r="J56" s="2"/>
    </row>
    <row r="57" spans="1:12" ht="19.5" customHeight="1" thickBot="1">
      <c r="A57" s="29"/>
      <c r="D57" s="128" t="s">
        <v>314</v>
      </c>
      <c r="E57" s="130"/>
      <c r="F57" s="131">
        <f>F56+F55+F54+F53+F52+F51+F50</f>
        <v>15000</v>
      </c>
      <c r="G57" s="131">
        <f>G56+G55+G54+G53+G52+G51+G50</f>
        <v>31788</v>
      </c>
      <c r="H57" s="131">
        <f>H56+H55+H54+H53+H52+H51+H50</f>
        <v>0</v>
      </c>
      <c r="I57" s="125">
        <f t="shared" si="0"/>
        <v>46788</v>
      </c>
      <c r="J57" s="134"/>
    </row>
    <row r="58" spans="1:12" ht="17.25" customHeight="1" thickBot="1">
      <c r="A58" s="29">
        <v>3</v>
      </c>
      <c r="D58" s="379" t="s">
        <v>54</v>
      </c>
      <c r="E58" s="380"/>
      <c r="F58" s="380"/>
      <c r="G58" s="380"/>
      <c r="H58" s="380"/>
      <c r="I58" s="380"/>
      <c r="J58" s="380"/>
      <c r="K58" s="19"/>
      <c r="L58" s="20"/>
    </row>
    <row r="59" spans="1:12" ht="42.75" customHeight="1" thickBot="1">
      <c r="A59" s="29">
        <v>3</v>
      </c>
      <c r="B59" s="29">
        <v>10</v>
      </c>
      <c r="C59" s="29">
        <v>1</v>
      </c>
      <c r="D59" s="15" t="s">
        <v>55</v>
      </c>
      <c r="E59" s="7" t="s">
        <v>5</v>
      </c>
      <c r="F59" s="180">
        <v>15000</v>
      </c>
      <c r="G59" s="180">
        <v>0</v>
      </c>
      <c r="H59" s="180"/>
      <c r="I59" s="125">
        <f>SUM(F59:H59)</f>
        <v>15000</v>
      </c>
      <c r="J59" s="11" t="s">
        <v>44</v>
      </c>
      <c r="L59" s="333" t="s">
        <v>426</v>
      </c>
    </row>
    <row r="60" spans="1:12" ht="98.25" customHeight="1" thickBot="1">
      <c r="A60" s="29">
        <v>3</v>
      </c>
      <c r="B60" s="29">
        <v>10</v>
      </c>
      <c r="C60" s="29">
        <v>2</v>
      </c>
      <c r="D60" s="17" t="s">
        <v>56</v>
      </c>
      <c r="E60" s="10" t="s">
        <v>69</v>
      </c>
      <c r="F60" s="180"/>
      <c r="G60" s="180">
        <v>23750</v>
      </c>
      <c r="H60" s="180">
        <f>50000*475/1000</f>
        <v>23750</v>
      </c>
      <c r="I60" s="125">
        <f>SUM(F60:H60)</f>
        <v>47500</v>
      </c>
      <c r="J60" s="11" t="s">
        <v>44</v>
      </c>
      <c r="L60" t="s">
        <v>426</v>
      </c>
    </row>
    <row r="61" spans="1:12" ht="82.5" customHeight="1" thickBot="1">
      <c r="A61" s="29">
        <v>3</v>
      </c>
      <c r="D61" s="17" t="s">
        <v>57</v>
      </c>
      <c r="E61" s="10"/>
      <c r="F61" s="180"/>
      <c r="G61" s="367"/>
      <c r="H61" s="368"/>
      <c r="I61" s="318"/>
      <c r="J61" s="10"/>
    </row>
    <row r="62" spans="1:12" ht="19.5" customHeight="1" thickBot="1">
      <c r="A62" s="29"/>
      <c r="D62" s="128" t="s">
        <v>315</v>
      </c>
      <c r="E62" s="130"/>
      <c r="F62" s="131">
        <f>F60+F61+F59</f>
        <v>15000</v>
      </c>
      <c r="G62" s="131">
        <f>G60+G61+G59</f>
        <v>23750</v>
      </c>
      <c r="H62" s="131">
        <f>H60+H61+H59</f>
        <v>23750</v>
      </c>
      <c r="I62" s="131">
        <f>I60+I61+I59</f>
        <v>62500</v>
      </c>
      <c r="J62" s="134"/>
    </row>
    <row r="63" spans="1:12" ht="17.25" thickBot="1">
      <c r="A63" s="29">
        <v>3</v>
      </c>
      <c r="D63" s="399" t="s">
        <v>58</v>
      </c>
      <c r="E63" s="400"/>
      <c r="F63" s="400"/>
      <c r="G63" s="400"/>
      <c r="H63" s="400"/>
      <c r="I63" s="400"/>
    </row>
    <row r="64" spans="1:12" ht="66.75" thickBot="1">
      <c r="A64" s="29">
        <v>3</v>
      </c>
      <c r="B64" s="29">
        <v>11</v>
      </c>
      <c r="C64" s="29">
        <v>1</v>
      </c>
      <c r="D64" s="15" t="s">
        <v>59</v>
      </c>
      <c r="E64" s="7" t="s">
        <v>60</v>
      </c>
      <c r="F64" s="7">
        <v>0</v>
      </c>
      <c r="G64" s="7">
        <v>0</v>
      </c>
      <c r="H64" s="7">
        <v>0</v>
      </c>
      <c r="I64" s="125">
        <f>SUM(F64:H64)</f>
        <v>0</v>
      </c>
      <c r="J64" s="11" t="s">
        <v>44</v>
      </c>
    </row>
    <row r="65" spans="1:12" ht="66.75" thickBot="1">
      <c r="A65" s="29">
        <v>3</v>
      </c>
      <c r="B65" s="29">
        <v>11</v>
      </c>
      <c r="C65" s="29">
        <v>2</v>
      </c>
      <c r="D65" s="15" t="s">
        <v>61</v>
      </c>
      <c r="E65" s="7" t="s">
        <v>60</v>
      </c>
      <c r="F65" s="7">
        <v>0</v>
      </c>
      <c r="G65" s="7">
        <v>0</v>
      </c>
      <c r="H65" s="7">
        <v>0</v>
      </c>
      <c r="I65" s="125">
        <f>SUM(F65:H65)</f>
        <v>0</v>
      </c>
      <c r="J65" s="11" t="s">
        <v>44</v>
      </c>
    </row>
    <row r="66" spans="1:12" ht="115.5" customHeight="1" thickBot="1">
      <c r="A66" s="29">
        <v>3</v>
      </c>
      <c r="B66" s="29">
        <v>11</v>
      </c>
      <c r="C66" s="29">
        <v>3</v>
      </c>
      <c r="D66" s="15" t="s">
        <v>62</v>
      </c>
      <c r="E66" s="7" t="s">
        <v>60</v>
      </c>
      <c r="F66" s="7">
        <v>0</v>
      </c>
      <c r="G66" s="7">
        <v>0</v>
      </c>
      <c r="H66" s="7">
        <v>0</v>
      </c>
      <c r="I66" s="125">
        <f>SUM(F66:H66)</f>
        <v>0</v>
      </c>
      <c r="J66" s="11" t="s">
        <v>44</v>
      </c>
    </row>
    <row r="67" spans="1:12" ht="19.5" customHeight="1" thickBot="1">
      <c r="A67" s="29"/>
      <c r="D67" s="128" t="s">
        <v>316</v>
      </c>
      <c r="E67" s="130"/>
      <c r="F67" s="131">
        <f>F66+F65+F64</f>
        <v>0</v>
      </c>
      <c r="G67" s="131">
        <f>G66+G65+G64</f>
        <v>0</v>
      </c>
      <c r="H67" s="131">
        <f>H66+H65+H64</f>
        <v>0</v>
      </c>
      <c r="I67" s="125">
        <f>SUM(F67:H67)</f>
        <v>0</v>
      </c>
      <c r="J67" s="134"/>
    </row>
    <row r="68" spans="1:12" ht="17.25" thickBot="1">
      <c r="A68" s="29">
        <v>3</v>
      </c>
      <c r="D68" s="399" t="s">
        <v>63</v>
      </c>
      <c r="E68" s="400"/>
      <c r="F68" s="400"/>
      <c r="G68" s="400"/>
      <c r="H68" s="400"/>
      <c r="I68" s="400"/>
    </row>
    <row r="69" spans="1:12" ht="42" customHeight="1" thickBot="1">
      <c r="A69" s="29">
        <v>3</v>
      </c>
      <c r="B69" s="29">
        <v>12</v>
      </c>
      <c r="C69" s="29">
        <v>1</v>
      </c>
      <c r="D69" s="38" t="s">
        <v>64</v>
      </c>
      <c r="E69" s="38" t="s">
        <v>5</v>
      </c>
      <c r="F69" s="5">
        <v>0</v>
      </c>
      <c r="G69" s="4">
        <v>0</v>
      </c>
      <c r="H69" s="8">
        <v>0</v>
      </c>
      <c r="I69" s="125">
        <f>SUM(F69:H69)</f>
        <v>0</v>
      </c>
      <c r="J69" s="10" t="s">
        <v>68</v>
      </c>
    </row>
    <row r="70" spans="1:12" ht="39.75" customHeight="1" thickBot="1">
      <c r="A70" s="29">
        <v>3</v>
      </c>
      <c r="B70" s="29">
        <v>12</v>
      </c>
      <c r="C70" s="29">
        <v>2</v>
      </c>
      <c r="D70" s="38" t="s">
        <v>65</v>
      </c>
      <c r="E70" s="170" t="s">
        <v>5</v>
      </c>
      <c r="F70" s="180">
        <v>15000</v>
      </c>
      <c r="G70" s="136">
        <v>0</v>
      </c>
      <c r="H70" s="43">
        <v>0</v>
      </c>
      <c r="I70" s="125">
        <f>SUM(F70:H70)</f>
        <v>15000</v>
      </c>
      <c r="J70" s="10" t="s">
        <v>43</v>
      </c>
      <c r="L70" t="s">
        <v>434</v>
      </c>
    </row>
    <row r="71" spans="1:12" ht="19.5" customHeight="1" thickBot="1">
      <c r="A71" s="29"/>
      <c r="D71" s="128" t="s">
        <v>317</v>
      </c>
      <c r="E71" s="130"/>
      <c r="F71" s="131">
        <f>F70+F69</f>
        <v>15000</v>
      </c>
      <c r="G71" s="131">
        <f>G70+G69</f>
        <v>0</v>
      </c>
      <c r="H71" s="131">
        <f>H70+H69</f>
        <v>0</v>
      </c>
      <c r="I71" s="125">
        <f>SUM(F71:H71)</f>
        <v>15000</v>
      </c>
      <c r="J71" s="134"/>
    </row>
    <row r="72" spans="1:12" ht="17.25" thickBot="1">
      <c r="A72" s="29"/>
      <c r="D72" s="384" t="s">
        <v>336</v>
      </c>
      <c r="E72" s="385"/>
      <c r="F72" s="385"/>
      <c r="G72" s="385"/>
      <c r="H72" s="385"/>
      <c r="I72" s="385"/>
    </row>
    <row r="73" spans="1:12" s="220" customFormat="1" ht="91.5" customHeight="1" thickBot="1">
      <c r="A73" s="216">
        <v>3</v>
      </c>
      <c r="B73" s="216">
        <v>13</v>
      </c>
      <c r="C73" s="216">
        <v>1</v>
      </c>
      <c r="D73" s="217" t="s">
        <v>337</v>
      </c>
      <c r="E73" s="217" t="s">
        <v>5</v>
      </c>
      <c r="F73" s="218">
        <f>'Cost details'!L207*1000</f>
        <v>436767.98423451383</v>
      </c>
      <c r="G73" s="218">
        <f>'Cost details'!M207*1000</f>
        <v>472860.6804376134</v>
      </c>
      <c r="H73" s="218">
        <f>'Cost details'!N207*1000</f>
        <v>511288.89421841223</v>
      </c>
      <c r="I73" s="125">
        <f>SUM(F73:H73)</f>
        <v>1420917.5588905395</v>
      </c>
      <c r="J73" s="219"/>
      <c r="L73" s="220" t="s">
        <v>427</v>
      </c>
    </row>
    <row r="74" spans="1:12" ht="19.5" customHeight="1" thickBot="1">
      <c r="A74" s="29"/>
      <c r="D74" s="222" t="s">
        <v>331</v>
      </c>
      <c r="E74" s="130"/>
      <c r="F74" s="221">
        <f>F73</f>
        <v>436767.98423451383</v>
      </c>
      <c r="G74" s="221">
        <f>G73</f>
        <v>472860.6804376134</v>
      </c>
      <c r="H74" s="221">
        <f>H73</f>
        <v>511288.89421841223</v>
      </c>
      <c r="I74" s="125">
        <f>SUM(F74:H74)</f>
        <v>1420917.5588905395</v>
      </c>
      <c r="J74" s="134"/>
    </row>
    <row r="75" spans="1:12" s="231" customFormat="1" ht="17.25" thickBot="1">
      <c r="A75" s="29"/>
      <c r="B75" s="29"/>
      <c r="C75" s="29"/>
      <c r="D75" s="384" t="s">
        <v>471</v>
      </c>
      <c r="E75" s="385"/>
      <c r="F75" s="385"/>
      <c r="G75" s="385"/>
      <c r="H75" s="385"/>
      <c r="I75" s="385"/>
    </row>
    <row r="76" spans="1:12" s="220" customFormat="1" ht="91.5" customHeight="1" thickBot="1">
      <c r="A76" s="216">
        <v>3</v>
      </c>
      <c r="B76" s="216">
        <v>13</v>
      </c>
      <c r="C76" s="216">
        <v>1</v>
      </c>
      <c r="D76" s="217" t="s">
        <v>472</v>
      </c>
      <c r="E76" s="217" t="s">
        <v>5</v>
      </c>
      <c r="F76" s="218">
        <f>1000*475/3</f>
        <v>158333.33333333334</v>
      </c>
      <c r="G76" s="218">
        <f>F76</f>
        <v>158333.33333333334</v>
      </c>
      <c r="H76" s="218">
        <f>G76</f>
        <v>158333.33333333334</v>
      </c>
      <c r="I76" s="125">
        <f>SUM(F76:H76)</f>
        <v>475000</v>
      </c>
      <c r="J76" s="219"/>
      <c r="L76" s="220" t="s">
        <v>426</v>
      </c>
    </row>
    <row r="77" spans="1:12" s="231" customFormat="1" ht="19.5" customHeight="1" thickBot="1">
      <c r="A77" s="29"/>
      <c r="B77" s="29"/>
      <c r="C77" s="29"/>
      <c r="D77" s="222" t="s">
        <v>332</v>
      </c>
      <c r="E77" s="130"/>
      <c r="F77" s="221">
        <f>F76</f>
        <v>158333.33333333334</v>
      </c>
      <c r="G77" s="221">
        <f>G76</f>
        <v>158333.33333333334</v>
      </c>
      <c r="H77" s="221">
        <f>H76</f>
        <v>158333.33333333334</v>
      </c>
      <c r="I77" s="125">
        <f>SUM(F77:H77)</f>
        <v>475000</v>
      </c>
      <c r="J77" s="134"/>
    </row>
    <row r="80" spans="1:12" ht="17.25" thickBot="1">
      <c r="D80" s="149" t="s">
        <v>323</v>
      </c>
      <c r="E80" s="149"/>
      <c r="F80" s="149"/>
      <c r="G80" s="149"/>
      <c r="H80" s="149"/>
      <c r="I80" s="149"/>
    </row>
    <row r="81" spans="2:9" ht="49.5">
      <c r="D81" s="152"/>
      <c r="E81" s="153"/>
      <c r="F81" s="153" t="s">
        <v>292</v>
      </c>
      <c r="G81" s="153" t="s">
        <v>293</v>
      </c>
      <c r="H81" s="153" t="s">
        <v>294</v>
      </c>
      <c r="I81" s="154" t="s">
        <v>318</v>
      </c>
    </row>
    <row r="82" spans="2:9" ht="16.5">
      <c r="D82" s="155" t="str">
        <f>D11</f>
        <v>Ընդամենը Նպատակ 1</v>
      </c>
      <c r="E82" s="150"/>
      <c r="F82" s="151">
        <f>F11</f>
        <v>179431.2</v>
      </c>
      <c r="G82" s="151">
        <f>G11</f>
        <v>0</v>
      </c>
      <c r="H82" s="151">
        <f>H11</f>
        <v>0</v>
      </c>
      <c r="I82" s="156">
        <f t="shared" ref="I82:I94" si="1">SUM(F82:H82)</f>
        <v>179431.2</v>
      </c>
    </row>
    <row r="83" spans="2:9" ht="16.5">
      <c r="D83" s="155" t="str">
        <f>D15</f>
        <v>Ընդամենը Նպատակ 2</v>
      </c>
      <c r="E83" s="150"/>
      <c r="F83" s="151">
        <f>F15</f>
        <v>0</v>
      </c>
      <c r="G83" s="151">
        <f>G15</f>
        <v>0</v>
      </c>
      <c r="H83" s="151">
        <f>H15</f>
        <v>2800000</v>
      </c>
      <c r="I83" s="156">
        <f t="shared" si="1"/>
        <v>2800000</v>
      </c>
    </row>
    <row r="84" spans="2:9" ht="16.5">
      <c r="D84" s="155" t="str">
        <f>D19</f>
        <v>Ընդամենը Նպատակ 3</v>
      </c>
      <c r="E84" s="150"/>
      <c r="F84" s="151">
        <f>F19</f>
        <v>0</v>
      </c>
      <c r="G84" s="151">
        <f>G19</f>
        <v>0</v>
      </c>
      <c r="H84" s="151">
        <f>H19</f>
        <v>0</v>
      </c>
      <c r="I84" s="156">
        <f t="shared" si="1"/>
        <v>0</v>
      </c>
    </row>
    <row r="85" spans="2:9" ht="16.5">
      <c r="D85" s="155" t="str">
        <f>D22</f>
        <v>Ընդամենը Նպատակ 4</v>
      </c>
      <c r="E85" s="150"/>
      <c r="F85" s="151">
        <f>F22</f>
        <v>0</v>
      </c>
      <c r="G85" s="151">
        <f>G22</f>
        <v>0</v>
      </c>
      <c r="H85" s="151">
        <f>H22</f>
        <v>0</v>
      </c>
      <c r="I85" s="156">
        <f t="shared" si="1"/>
        <v>0</v>
      </c>
    </row>
    <row r="86" spans="2:9" ht="16.5">
      <c r="D86" s="155" t="str">
        <f>D35</f>
        <v>Ընդամենը Նպատակ 5</v>
      </c>
      <c r="E86" s="150"/>
      <c r="F86" s="151">
        <f>F35</f>
        <v>4374572.4079401745</v>
      </c>
      <c r="G86" s="151">
        <f>G35</f>
        <v>3622613.974147738</v>
      </c>
      <c r="H86" s="151">
        <f>H35</f>
        <v>706664.43113342673</v>
      </c>
      <c r="I86" s="156">
        <f t="shared" si="1"/>
        <v>8703850.8132213391</v>
      </c>
    </row>
    <row r="87" spans="2:9" ht="16.5">
      <c r="D87" s="155" t="str">
        <f>D40</f>
        <v>Ընդամենը Նպատակ 6</v>
      </c>
      <c r="E87" s="150"/>
      <c r="F87" s="151">
        <f>F40</f>
        <v>32312.184000000001</v>
      </c>
      <c r="G87" s="151">
        <f>G40</f>
        <v>75000</v>
      </c>
      <c r="H87" s="151">
        <f>H40</f>
        <v>75000</v>
      </c>
      <c r="I87" s="156">
        <f t="shared" si="1"/>
        <v>182312.18400000001</v>
      </c>
    </row>
    <row r="88" spans="2:9" ht="16.5">
      <c r="D88" s="155" t="str">
        <f>D45</f>
        <v>Ընդամենը Նպատակ 7</v>
      </c>
      <c r="E88" s="150"/>
      <c r="F88" s="151">
        <f>F45</f>
        <v>0</v>
      </c>
      <c r="G88" s="151">
        <f>G45</f>
        <v>0</v>
      </c>
      <c r="H88" s="151">
        <f>H45</f>
        <v>0</v>
      </c>
      <c r="I88" s="156">
        <f t="shared" si="1"/>
        <v>0</v>
      </c>
    </row>
    <row r="89" spans="2:9" ht="16.5">
      <c r="D89" s="155" t="str">
        <f>D48</f>
        <v>Ընդամենը Նպատակ 8</v>
      </c>
      <c r="E89" s="150"/>
      <c r="F89" s="151">
        <f>F48</f>
        <v>0</v>
      </c>
      <c r="G89" s="151">
        <f>G48</f>
        <v>0</v>
      </c>
      <c r="H89" s="151">
        <f>H48</f>
        <v>0</v>
      </c>
      <c r="I89" s="156">
        <f t="shared" si="1"/>
        <v>0</v>
      </c>
    </row>
    <row r="90" spans="2:9" ht="16.5">
      <c r="D90" s="155" t="str">
        <f>D57</f>
        <v>Ընդամենը Նպատակ 9</v>
      </c>
      <c r="E90" s="150"/>
      <c r="F90" s="151">
        <f>F57</f>
        <v>15000</v>
      </c>
      <c r="G90" s="151">
        <f>G57</f>
        <v>31788</v>
      </c>
      <c r="H90" s="151">
        <f>H57</f>
        <v>0</v>
      </c>
      <c r="I90" s="156">
        <f t="shared" si="1"/>
        <v>46788</v>
      </c>
    </row>
    <row r="91" spans="2:9" ht="16.5">
      <c r="D91" s="155" t="str">
        <f>D62</f>
        <v>Ընդամենը Նպատակ 10</v>
      </c>
      <c r="E91" s="150"/>
      <c r="F91" s="151">
        <f>F62</f>
        <v>15000</v>
      </c>
      <c r="G91" s="151">
        <f>G62</f>
        <v>23750</v>
      </c>
      <c r="H91" s="151">
        <f>H62</f>
        <v>23750</v>
      </c>
      <c r="I91" s="156">
        <f t="shared" si="1"/>
        <v>62500</v>
      </c>
    </row>
    <row r="92" spans="2:9" ht="16.5">
      <c r="D92" s="155" t="str">
        <f>D67</f>
        <v>Ընդամենը Նպատակ 11</v>
      </c>
      <c r="E92" s="150"/>
      <c r="F92" s="151">
        <f>F67</f>
        <v>0</v>
      </c>
      <c r="G92" s="151">
        <f>G67</f>
        <v>0</v>
      </c>
      <c r="H92" s="151">
        <f>H67</f>
        <v>0</v>
      </c>
      <c r="I92" s="156">
        <f t="shared" si="1"/>
        <v>0</v>
      </c>
    </row>
    <row r="93" spans="2:9" ht="16.5">
      <c r="D93" s="155" t="str">
        <f>D71</f>
        <v>Ընդամենը Նպատակ 12</v>
      </c>
      <c r="E93" s="150"/>
      <c r="F93" s="151">
        <f>F71</f>
        <v>15000</v>
      </c>
      <c r="G93" s="151">
        <f>G71</f>
        <v>0</v>
      </c>
      <c r="H93" s="151">
        <f>H71</f>
        <v>0</v>
      </c>
      <c r="I93" s="156">
        <f t="shared" si="1"/>
        <v>15000</v>
      </c>
    </row>
    <row r="94" spans="2:9" ht="16.5">
      <c r="D94" s="155" t="str">
        <f>D74</f>
        <v>Ընդամենը Նպատակ 13</v>
      </c>
      <c r="E94" s="150"/>
      <c r="F94" s="151">
        <f>F74</f>
        <v>436767.98423451383</v>
      </c>
      <c r="G94" s="151">
        <f t="shared" ref="G94:H94" si="2">G74</f>
        <v>472860.6804376134</v>
      </c>
      <c r="H94" s="151">
        <f t="shared" si="2"/>
        <v>511288.89421841223</v>
      </c>
      <c r="I94" s="156">
        <f t="shared" si="1"/>
        <v>1420917.5588905395</v>
      </c>
    </row>
    <row r="95" spans="2:9" s="231" customFormat="1" ht="16.5">
      <c r="B95" s="29"/>
      <c r="C95" s="29"/>
      <c r="D95" s="369" t="str">
        <f>D77</f>
        <v>Ընդամենը Նպատակ 14</v>
      </c>
      <c r="E95" s="370"/>
      <c r="F95" s="371">
        <f>F77</f>
        <v>158333.33333333334</v>
      </c>
      <c r="G95" s="371">
        <f t="shared" ref="G95:I95" si="3">G77</f>
        <v>158333.33333333334</v>
      </c>
      <c r="H95" s="371">
        <f t="shared" si="3"/>
        <v>158333.33333333334</v>
      </c>
      <c r="I95" s="371">
        <f t="shared" si="3"/>
        <v>475000</v>
      </c>
    </row>
    <row r="96" spans="2:9" ht="17.25" thickBot="1">
      <c r="D96" s="157" t="s">
        <v>396</v>
      </c>
      <c r="E96" s="158"/>
      <c r="F96" s="159">
        <f>SUM(F82:F95)</f>
        <v>5226417.1095080217</v>
      </c>
      <c r="G96" s="159">
        <f>SUM(G82:G95)</f>
        <v>4384345.9879186843</v>
      </c>
      <c r="H96" s="159">
        <f>SUM(H82:H95)</f>
        <v>4275036.658685172</v>
      </c>
      <c r="I96" s="159">
        <f>SUM(I82:I95)</f>
        <v>13885799.756111879</v>
      </c>
    </row>
    <row r="98" spans="4:9">
      <c r="D98" t="str">
        <f>D80</f>
        <v>Ծախսերի ամփոփ գնահատական, հազար դրամ</v>
      </c>
      <c r="E98" s="231"/>
      <c r="F98" s="231"/>
      <c r="G98" s="231"/>
      <c r="H98" s="231"/>
      <c r="I98" s="231"/>
    </row>
    <row r="99" spans="4:9" ht="24">
      <c r="D99" s="103"/>
      <c r="E99" s="103">
        <f t="shared" ref="E99" si="4">E81</f>
        <v>0</v>
      </c>
      <c r="F99" s="103">
        <f>2021</f>
        <v>2021</v>
      </c>
      <c r="G99" s="329">
        <v>2022</v>
      </c>
      <c r="H99" s="329">
        <v>2023</v>
      </c>
      <c r="I99" s="330" t="s">
        <v>418</v>
      </c>
    </row>
    <row r="100" spans="4:9">
      <c r="D100" s="103" t="s">
        <v>402</v>
      </c>
      <c r="E100" s="103">
        <f t="shared" ref="E100:I100" si="5">E82</f>
        <v>0</v>
      </c>
      <c r="F100" s="331">
        <f t="shared" si="5"/>
        <v>179431.2</v>
      </c>
      <c r="G100" s="331">
        <f t="shared" si="5"/>
        <v>0</v>
      </c>
      <c r="H100" s="331">
        <f t="shared" si="5"/>
        <v>0</v>
      </c>
      <c r="I100" s="331">
        <f t="shared" si="5"/>
        <v>179431.2</v>
      </c>
    </row>
    <row r="101" spans="4:9">
      <c r="D101" s="103" t="s">
        <v>403</v>
      </c>
      <c r="E101" s="103">
        <f t="shared" ref="E101:I101" si="6">E83</f>
        <v>0</v>
      </c>
      <c r="F101" s="331">
        <f t="shared" si="6"/>
        <v>0</v>
      </c>
      <c r="G101" s="331">
        <f t="shared" si="6"/>
        <v>0</v>
      </c>
      <c r="H101" s="331">
        <f t="shared" si="6"/>
        <v>2800000</v>
      </c>
      <c r="I101" s="331">
        <f t="shared" si="6"/>
        <v>2800000</v>
      </c>
    </row>
    <row r="102" spans="4:9">
      <c r="D102" s="103" t="s">
        <v>404</v>
      </c>
      <c r="E102" s="103">
        <f t="shared" ref="E102:I102" si="7">E84</f>
        <v>0</v>
      </c>
      <c r="F102" s="331">
        <f t="shared" si="7"/>
        <v>0</v>
      </c>
      <c r="G102" s="331">
        <f t="shared" si="7"/>
        <v>0</v>
      </c>
      <c r="H102" s="331">
        <f t="shared" si="7"/>
        <v>0</v>
      </c>
      <c r="I102" s="331">
        <f t="shared" si="7"/>
        <v>0</v>
      </c>
    </row>
    <row r="103" spans="4:9">
      <c r="D103" s="103" t="s">
        <v>405</v>
      </c>
      <c r="E103" s="103">
        <f t="shared" ref="E103:I103" si="8">E85</f>
        <v>0</v>
      </c>
      <c r="F103" s="331">
        <f t="shared" si="8"/>
        <v>0</v>
      </c>
      <c r="G103" s="331">
        <f t="shared" si="8"/>
        <v>0</v>
      </c>
      <c r="H103" s="331">
        <f t="shared" si="8"/>
        <v>0</v>
      </c>
      <c r="I103" s="331">
        <f t="shared" si="8"/>
        <v>0</v>
      </c>
    </row>
    <row r="104" spans="4:9">
      <c r="D104" s="103" t="s">
        <v>406</v>
      </c>
      <c r="E104" s="103">
        <f t="shared" ref="E104:I104" si="9">E86</f>
        <v>0</v>
      </c>
      <c r="F104" s="331">
        <f t="shared" si="9"/>
        <v>4374572.4079401745</v>
      </c>
      <c r="G104" s="331">
        <f t="shared" si="9"/>
        <v>3622613.974147738</v>
      </c>
      <c r="H104" s="331">
        <f t="shared" si="9"/>
        <v>706664.43113342673</v>
      </c>
      <c r="I104" s="331">
        <f t="shared" si="9"/>
        <v>8703850.8132213391</v>
      </c>
    </row>
    <row r="105" spans="4:9">
      <c r="D105" s="103" t="s">
        <v>407</v>
      </c>
      <c r="E105" s="103">
        <f t="shared" ref="E105:I105" si="10">E87</f>
        <v>0</v>
      </c>
      <c r="F105" s="331">
        <f t="shared" si="10"/>
        <v>32312.184000000001</v>
      </c>
      <c r="G105" s="331">
        <f t="shared" si="10"/>
        <v>75000</v>
      </c>
      <c r="H105" s="331">
        <f t="shared" si="10"/>
        <v>75000</v>
      </c>
      <c r="I105" s="331">
        <f t="shared" si="10"/>
        <v>182312.18400000001</v>
      </c>
    </row>
    <row r="106" spans="4:9">
      <c r="D106" s="103" t="s">
        <v>408</v>
      </c>
      <c r="E106" s="103">
        <f t="shared" ref="E106:I106" si="11">E88</f>
        <v>0</v>
      </c>
      <c r="F106" s="331">
        <f t="shared" si="11"/>
        <v>0</v>
      </c>
      <c r="G106" s="331">
        <f t="shared" si="11"/>
        <v>0</v>
      </c>
      <c r="H106" s="331">
        <f t="shared" si="11"/>
        <v>0</v>
      </c>
      <c r="I106" s="331">
        <f t="shared" si="11"/>
        <v>0</v>
      </c>
    </row>
    <row r="107" spans="4:9">
      <c r="D107" s="103" t="s">
        <v>409</v>
      </c>
      <c r="E107" s="103">
        <f t="shared" ref="E107:I107" si="12">E89</f>
        <v>0</v>
      </c>
      <c r="F107" s="331">
        <f t="shared" si="12"/>
        <v>0</v>
      </c>
      <c r="G107" s="331">
        <f t="shared" si="12"/>
        <v>0</v>
      </c>
      <c r="H107" s="331">
        <f t="shared" si="12"/>
        <v>0</v>
      </c>
      <c r="I107" s="331">
        <f t="shared" si="12"/>
        <v>0</v>
      </c>
    </row>
    <row r="108" spans="4:9">
      <c r="D108" s="103" t="s">
        <v>410</v>
      </c>
      <c r="E108" s="103">
        <f t="shared" ref="E108:I108" si="13">E90</f>
        <v>0</v>
      </c>
      <c r="F108" s="331">
        <f t="shared" si="13"/>
        <v>15000</v>
      </c>
      <c r="G108" s="331">
        <f t="shared" si="13"/>
        <v>31788</v>
      </c>
      <c r="H108" s="331">
        <f t="shared" si="13"/>
        <v>0</v>
      </c>
      <c r="I108" s="331">
        <f t="shared" si="13"/>
        <v>46788</v>
      </c>
    </row>
    <row r="109" spans="4:9">
      <c r="D109" s="103" t="s">
        <v>411</v>
      </c>
      <c r="E109" s="103">
        <f t="shared" ref="E109:I109" si="14">E91</f>
        <v>0</v>
      </c>
      <c r="F109" s="331">
        <f t="shared" si="14"/>
        <v>15000</v>
      </c>
      <c r="G109" s="331">
        <f t="shared" si="14"/>
        <v>23750</v>
      </c>
      <c r="H109" s="331">
        <f t="shared" si="14"/>
        <v>23750</v>
      </c>
      <c r="I109" s="331">
        <f t="shared" si="14"/>
        <v>62500</v>
      </c>
    </row>
    <row r="110" spans="4:9">
      <c r="D110" s="103" t="s">
        <v>412</v>
      </c>
      <c r="E110" s="103">
        <f t="shared" ref="E110:I110" si="15">E92</f>
        <v>0</v>
      </c>
      <c r="F110" s="331">
        <f t="shared" si="15"/>
        <v>0</v>
      </c>
      <c r="G110" s="331">
        <f t="shared" si="15"/>
        <v>0</v>
      </c>
      <c r="H110" s="331">
        <f t="shared" si="15"/>
        <v>0</v>
      </c>
      <c r="I110" s="331">
        <f t="shared" si="15"/>
        <v>0</v>
      </c>
    </row>
    <row r="111" spans="4:9">
      <c r="D111" s="103" t="s">
        <v>413</v>
      </c>
      <c r="E111" s="103">
        <f t="shared" ref="E111:I111" si="16">E93</f>
        <v>0</v>
      </c>
      <c r="F111" s="331">
        <f t="shared" si="16"/>
        <v>15000</v>
      </c>
      <c r="G111" s="331">
        <f t="shared" si="16"/>
        <v>0</v>
      </c>
      <c r="H111" s="331">
        <f t="shared" si="16"/>
        <v>0</v>
      </c>
      <c r="I111" s="331">
        <f t="shared" si="16"/>
        <v>15000</v>
      </c>
    </row>
    <row r="112" spans="4:9">
      <c r="D112" s="103" t="s">
        <v>414</v>
      </c>
      <c r="E112" s="103">
        <f t="shared" ref="E112:I113" si="17">E94</f>
        <v>0</v>
      </c>
      <c r="F112" s="331">
        <f t="shared" si="17"/>
        <v>436767.98423451383</v>
      </c>
      <c r="G112" s="331">
        <f t="shared" si="17"/>
        <v>472860.6804376134</v>
      </c>
      <c r="H112" s="331">
        <f t="shared" si="17"/>
        <v>511288.89421841223</v>
      </c>
      <c r="I112" s="331">
        <f t="shared" si="17"/>
        <v>1420917.5588905395</v>
      </c>
    </row>
    <row r="113" spans="2:9" s="231" customFormat="1">
      <c r="B113" s="29"/>
      <c r="C113" s="29"/>
      <c r="D113" s="103" t="s">
        <v>415</v>
      </c>
      <c r="E113" s="103"/>
      <c r="F113" s="331">
        <f t="shared" si="17"/>
        <v>158333.33333333334</v>
      </c>
      <c r="G113" s="331">
        <f t="shared" si="17"/>
        <v>158333.33333333334</v>
      </c>
      <c r="H113" s="331">
        <f t="shared" si="17"/>
        <v>158333.33333333334</v>
      </c>
      <c r="I113" s="331">
        <f t="shared" si="17"/>
        <v>475000</v>
      </c>
    </row>
    <row r="114" spans="2:9">
      <c r="D114" s="118" t="s">
        <v>419</v>
      </c>
      <c r="E114" s="103">
        <f t="shared" ref="E114:I114" si="18">E96</f>
        <v>0</v>
      </c>
      <c r="F114" s="331">
        <f t="shared" si="18"/>
        <v>5226417.1095080217</v>
      </c>
      <c r="G114" s="331">
        <f t="shared" si="18"/>
        <v>4384345.9879186843</v>
      </c>
      <c r="H114" s="331">
        <f t="shared" si="18"/>
        <v>4275036.658685172</v>
      </c>
      <c r="I114" s="331">
        <f t="shared" si="18"/>
        <v>13885799.756111879</v>
      </c>
    </row>
    <row r="116" spans="2:9">
      <c r="D116" s="233"/>
      <c r="E116" s="233"/>
      <c r="F116" s="103">
        <f>2021</f>
        <v>2021</v>
      </c>
      <c r="G116" s="329">
        <v>2022</v>
      </c>
      <c r="H116" s="329">
        <v>2023</v>
      </c>
      <c r="I116" s="233" t="s">
        <v>431</v>
      </c>
    </row>
    <row r="117" spans="2:9">
      <c r="D117" s="233" t="s">
        <v>434</v>
      </c>
      <c r="E117" s="233"/>
      <c r="F117" s="304">
        <f>F70</f>
        <v>15000</v>
      </c>
      <c r="G117" s="304">
        <f>G70</f>
        <v>0</v>
      </c>
      <c r="H117" s="304">
        <f>H70</f>
        <v>0</v>
      </c>
      <c r="I117" s="304">
        <f t="shared" ref="I117:I123" si="19">SUBTOTAL(9,F117:H117)</f>
        <v>15000</v>
      </c>
    </row>
    <row r="118" spans="2:9">
      <c r="D118" s="233" t="s">
        <v>432</v>
      </c>
      <c r="E118" s="233"/>
      <c r="F118" s="304">
        <f>F14</f>
        <v>0</v>
      </c>
      <c r="G118" s="304">
        <f>G14</f>
        <v>0</v>
      </c>
      <c r="H118" s="304">
        <f>H14</f>
        <v>2800000</v>
      </c>
      <c r="I118" s="304">
        <f t="shared" si="19"/>
        <v>2800000</v>
      </c>
    </row>
    <row r="119" spans="2:9">
      <c r="D119" s="233" t="s">
        <v>121</v>
      </c>
      <c r="E119" s="233"/>
      <c r="F119" s="304">
        <f>F8</f>
        <v>179431.2</v>
      </c>
      <c r="G119" s="304">
        <f>G8</f>
        <v>0</v>
      </c>
      <c r="H119" s="304">
        <f>H8</f>
        <v>0</v>
      </c>
      <c r="I119" s="304">
        <f t="shared" si="19"/>
        <v>179431.2</v>
      </c>
    </row>
    <row r="120" spans="2:9">
      <c r="D120" s="233" t="s">
        <v>433</v>
      </c>
      <c r="E120" s="233"/>
      <c r="F120" s="304">
        <f>F53+F34+F28+F27</f>
        <v>4370575.5049401745</v>
      </c>
      <c r="G120" s="304">
        <f>G53+G34+G28+G27</f>
        <v>3633617.071147738</v>
      </c>
      <c r="H120" s="304">
        <f>H53+H34+H28+H27</f>
        <v>706664.43113342673</v>
      </c>
      <c r="I120" s="304">
        <f t="shared" si="19"/>
        <v>8710857.0072213393</v>
      </c>
    </row>
    <row r="121" spans="2:9">
      <c r="D121" s="233" t="s">
        <v>427</v>
      </c>
      <c r="E121" s="233"/>
      <c r="F121" s="304">
        <f>+F73</f>
        <v>436767.98423451383</v>
      </c>
      <c r="G121" s="304">
        <f>+G73</f>
        <v>472860.6804376134</v>
      </c>
      <c r="H121" s="304">
        <f>+H73</f>
        <v>511288.89421841223</v>
      </c>
      <c r="I121" s="304">
        <f t="shared" si="19"/>
        <v>1420917.5588905395</v>
      </c>
    </row>
    <row r="122" spans="2:9">
      <c r="D122" s="233" t="s">
        <v>426</v>
      </c>
      <c r="E122" s="233"/>
      <c r="F122" s="304">
        <f>F60+F59+F37+F76</f>
        <v>188333.33333333334</v>
      </c>
      <c r="G122" s="304">
        <f t="shared" ref="G122:H122" si="20">G60+G59+G37+G76</f>
        <v>257083.33333333334</v>
      </c>
      <c r="H122" s="304">
        <f t="shared" si="20"/>
        <v>257083.33333333334</v>
      </c>
      <c r="I122" s="304">
        <f t="shared" si="19"/>
        <v>702500</v>
      </c>
    </row>
    <row r="123" spans="2:9">
      <c r="D123" s="233" t="s">
        <v>429</v>
      </c>
      <c r="E123" s="233"/>
      <c r="F123" s="304">
        <f>F52+F38+F29</f>
        <v>36309.087</v>
      </c>
      <c r="G123" s="304">
        <f>G52+G38+G29</f>
        <v>20784.902999999998</v>
      </c>
      <c r="H123" s="304">
        <f>H52+H38+H29</f>
        <v>0</v>
      </c>
      <c r="I123" s="304">
        <f t="shared" si="19"/>
        <v>57093.99</v>
      </c>
    </row>
    <row r="124" spans="2:9">
      <c r="D124" s="118" t="s">
        <v>419</v>
      </c>
      <c r="E124" s="233"/>
      <c r="F124" s="304">
        <f>SUBTOTAL(9,F117:F123)</f>
        <v>5226417.1095080217</v>
      </c>
      <c r="G124" s="304">
        <f>SUBTOTAL(9,G117:G123)</f>
        <v>4384345.9879186843</v>
      </c>
      <c r="H124" s="304">
        <f>SUBTOTAL(9,H117:H123)</f>
        <v>4275036.658685172</v>
      </c>
      <c r="I124" s="304">
        <f>SUM(I117:I123)</f>
        <v>13885799.756111881</v>
      </c>
    </row>
    <row r="125" spans="2:9">
      <c r="G125" s="79"/>
    </row>
  </sheetData>
  <autoFilter ref="L2:L114"/>
  <mergeCells count="27">
    <mergeCell ref="D75:I75"/>
    <mergeCell ref="D72:I72"/>
    <mergeCell ref="D68:I68"/>
    <mergeCell ref="D2:H2"/>
    <mergeCell ref="D49:I49"/>
    <mergeCell ref="D63:I63"/>
    <mergeCell ref="D58:J58"/>
    <mergeCell ref="D26:J26"/>
    <mergeCell ref="E29:E33"/>
    <mergeCell ref="F29:F33"/>
    <mergeCell ref="G29:G33"/>
    <mergeCell ref="H29:H33"/>
    <mergeCell ref="D20:J20"/>
    <mergeCell ref="D23:J23"/>
    <mergeCell ref="D24:J24"/>
    <mergeCell ref="D25:J25"/>
    <mergeCell ref="D36:J36"/>
    <mergeCell ref="J29:J33"/>
    <mergeCell ref="D46:I46"/>
    <mergeCell ref="J6:J7"/>
    <mergeCell ref="D41:J41"/>
    <mergeCell ref="I29:I33"/>
    <mergeCell ref="D6:D7"/>
    <mergeCell ref="E6:E7"/>
    <mergeCell ref="D16:J16"/>
    <mergeCell ref="F6:I6"/>
    <mergeCell ref="D12:I12"/>
  </mergeCells>
  <pageMargins left="0.42" right="0.47" top="0.75" bottom="0.75" header="0.3" footer="0.3"/>
  <pageSetup paperSize="9" scale="65" orientation="landscape" r:id="rId1"/>
  <rowBreaks count="5" manualBreakCount="5">
    <brk id="15" max="9" man="1"/>
    <brk id="22" max="9" man="1"/>
    <brk id="45" max="9" man="1"/>
    <brk id="62" max="9" man="1"/>
    <brk id="7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47"/>
  <sheetViews>
    <sheetView tabSelected="1" view="pageBreakPreview" zoomScale="77" zoomScaleNormal="73" zoomScaleSheetLayoutView="77" workbookViewId="0">
      <selection activeCell="D29" sqref="D29"/>
    </sheetView>
  </sheetViews>
  <sheetFormatPr defaultRowHeight="15"/>
  <cols>
    <col min="1" max="1" width="3.42578125" style="29" customWidth="1"/>
    <col min="2" max="2" width="3.5703125" style="29" customWidth="1"/>
    <col min="3" max="3" width="4.5703125" style="29" customWidth="1"/>
    <col min="4" max="4" width="57.5703125" customWidth="1"/>
    <col min="5" max="5" width="51.140625" customWidth="1"/>
    <col min="6" max="6" width="17.42578125" customWidth="1"/>
    <col min="7" max="8" width="16.5703125" customWidth="1"/>
    <col min="9" max="9" width="15" customWidth="1"/>
    <col min="10" max="10" width="18.42578125" customWidth="1"/>
    <col min="11" max="11" width="19.140625" customWidth="1"/>
    <col min="12" max="12" width="22" customWidth="1"/>
    <col min="13" max="13" width="48.5703125" customWidth="1"/>
  </cols>
  <sheetData>
    <row r="1" spans="1:12" ht="35.25" customHeight="1" thickBot="1">
      <c r="D1" s="426" t="s">
        <v>436</v>
      </c>
      <c r="E1" s="426" t="s">
        <v>354</v>
      </c>
      <c r="F1" s="422" t="s">
        <v>320</v>
      </c>
      <c r="G1" s="423"/>
      <c r="H1" s="423"/>
      <c r="I1" s="423"/>
      <c r="J1" s="423"/>
      <c r="K1" s="315"/>
      <c r="L1" s="316"/>
    </row>
    <row r="2" spans="1:12" ht="35.25" thickBot="1">
      <c r="D2" s="427"/>
      <c r="E2" s="427"/>
      <c r="F2" s="223" t="s">
        <v>355</v>
      </c>
      <c r="G2" s="224">
        <v>2020</v>
      </c>
      <c r="H2" s="224">
        <v>2021</v>
      </c>
      <c r="I2" s="224">
        <v>2022</v>
      </c>
      <c r="J2" s="225">
        <v>2023</v>
      </c>
      <c r="K2" s="315"/>
      <c r="L2" s="316"/>
    </row>
    <row r="3" spans="1:12" ht="87" thickBot="1">
      <c r="A3" s="296">
        <v>4</v>
      </c>
      <c r="B3" s="296">
        <v>1</v>
      </c>
      <c r="C3" s="297">
        <v>1</v>
      </c>
      <c r="D3" s="276" t="s">
        <v>367</v>
      </c>
      <c r="E3" s="277" t="s">
        <v>5</v>
      </c>
      <c r="F3" s="278">
        <v>0</v>
      </c>
      <c r="G3" s="278">
        <v>0</v>
      </c>
      <c r="H3" s="278">
        <v>0</v>
      </c>
      <c r="I3" s="278">
        <v>0</v>
      </c>
      <c r="J3" s="305">
        <v>0</v>
      </c>
      <c r="K3" s="273"/>
      <c r="L3" s="313"/>
    </row>
    <row r="4" spans="1:12" ht="111" customHeight="1" thickBot="1">
      <c r="A4" s="296"/>
      <c r="B4" s="296">
        <v>1</v>
      </c>
      <c r="C4" s="297">
        <v>2</v>
      </c>
      <c r="D4" s="276" t="s">
        <v>368</v>
      </c>
      <c r="E4" s="277" t="s">
        <v>356</v>
      </c>
      <c r="F4" s="279">
        <v>0</v>
      </c>
      <c r="G4" s="279">
        <v>0</v>
      </c>
      <c r="H4" s="279">
        <v>0</v>
      </c>
      <c r="I4" s="279">
        <v>0</v>
      </c>
      <c r="J4" s="306">
        <v>0</v>
      </c>
      <c r="K4" s="230"/>
      <c r="L4" s="314"/>
    </row>
    <row r="5" spans="1:12" ht="93" customHeight="1" thickBot="1">
      <c r="A5" s="296"/>
      <c r="B5" s="296">
        <v>1</v>
      </c>
      <c r="C5" s="297">
        <v>3</v>
      </c>
      <c r="D5" s="280" t="s">
        <v>357</v>
      </c>
      <c r="E5" s="279" t="s">
        <v>358</v>
      </c>
      <c r="F5" s="278">
        <v>0</v>
      </c>
      <c r="G5" s="278">
        <v>0</v>
      </c>
      <c r="H5" s="278">
        <v>0</v>
      </c>
      <c r="I5" s="278">
        <v>0</v>
      </c>
      <c r="J5" s="305">
        <v>0</v>
      </c>
      <c r="K5" s="273"/>
      <c r="L5" s="313"/>
    </row>
    <row r="6" spans="1:12" ht="106.5" customHeight="1" thickBot="1">
      <c r="A6" s="296"/>
      <c r="B6" s="296">
        <v>1</v>
      </c>
      <c r="C6" s="297">
        <v>4</v>
      </c>
      <c r="D6" s="280" t="s">
        <v>369</v>
      </c>
      <c r="E6" s="279" t="s">
        <v>359</v>
      </c>
      <c r="F6" s="278"/>
      <c r="G6" s="278"/>
      <c r="H6" s="278"/>
      <c r="I6" s="278"/>
      <c r="J6" s="306"/>
      <c r="K6" s="230"/>
      <c r="L6" s="314"/>
    </row>
    <row r="7" spans="1:12" ht="143.25" customHeight="1" thickBot="1">
      <c r="A7" s="296"/>
      <c r="B7" s="296">
        <v>1</v>
      </c>
      <c r="C7" s="297">
        <v>5</v>
      </c>
      <c r="D7" s="281" t="s">
        <v>370</v>
      </c>
      <c r="E7" s="282" t="s">
        <v>42</v>
      </c>
      <c r="F7" s="278"/>
      <c r="G7" s="278"/>
      <c r="H7" s="278"/>
      <c r="I7" s="278"/>
      <c r="J7" s="307"/>
      <c r="K7" s="227"/>
      <c r="L7" s="226"/>
    </row>
    <row r="8" spans="1:12" ht="100.5" customHeight="1" thickBot="1">
      <c r="A8" s="296"/>
      <c r="B8" s="296">
        <v>1</v>
      </c>
      <c r="C8" s="297">
        <v>6</v>
      </c>
      <c r="D8" s="280" t="s">
        <v>371</v>
      </c>
      <c r="E8" s="277" t="s">
        <v>375</v>
      </c>
      <c r="F8" s="278"/>
      <c r="G8" s="278"/>
      <c r="H8" s="278"/>
      <c r="I8" s="278"/>
      <c r="J8" s="307"/>
      <c r="K8" s="227"/>
      <c r="L8" s="226"/>
    </row>
    <row r="9" spans="1:12" ht="101.25" customHeight="1" thickBot="1">
      <c r="A9" s="296"/>
      <c r="B9" s="296">
        <v>1</v>
      </c>
      <c r="C9" s="297">
        <v>7</v>
      </c>
      <c r="D9" s="280" t="s">
        <v>435</v>
      </c>
      <c r="E9" s="277" t="s">
        <v>375</v>
      </c>
      <c r="F9" s="278"/>
      <c r="G9" s="278"/>
      <c r="H9" s="283">
        <f>331000*500/2/1000</f>
        <v>82750</v>
      </c>
      <c r="I9" s="283">
        <f>331000*500/2/1000</f>
        <v>82750</v>
      </c>
      <c r="J9" s="307"/>
      <c r="K9" s="227"/>
      <c r="L9" s="226"/>
    </row>
    <row r="10" spans="1:12" ht="52.5" thickBot="1">
      <c r="A10" s="296"/>
      <c r="B10" s="296">
        <v>1</v>
      </c>
      <c r="C10" s="297">
        <v>8</v>
      </c>
      <c r="D10" s="280" t="s">
        <v>372</v>
      </c>
      <c r="E10" s="279" t="s">
        <v>360</v>
      </c>
      <c r="F10" s="278"/>
      <c r="G10" s="278"/>
      <c r="H10" s="278"/>
      <c r="I10" s="278"/>
      <c r="J10" s="307"/>
      <c r="K10" s="227"/>
      <c r="L10" s="226"/>
    </row>
    <row r="11" spans="1:12" ht="87" thickBot="1">
      <c r="A11" s="296"/>
      <c r="B11" s="296">
        <v>1</v>
      </c>
      <c r="C11" s="297">
        <v>9</v>
      </c>
      <c r="D11" s="280" t="s">
        <v>373</v>
      </c>
      <c r="E11" s="277" t="s">
        <v>375</v>
      </c>
      <c r="F11" s="278"/>
      <c r="G11" s="278"/>
      <c r="H11" s="278"/>
      <c r="I11" s="278"/>
      <c r="J11" s="307"/>
      <c r="K11" s="227"/>
      <c r="L11" s="226"/>
    </row>
    <row r="12" spans="1:12" ht="242.25" thickBot="1">
      <c r="A12" s="296"/>
      <c r="B12" s="296">
        <v>1</v>
      </c>
      <c r="C12" s="297">
        <v>10</v>
      </c>
      <c r="D12" s="284" t="s">
        <v>374</v>
      </c>
      <c r="E12" s="277" t="s">
        <v>376</v>
      </c>
      <c r="F12" s="278"/>
      <c r="G12" s="278"/>
      <c r="H12" s="278"/>
      <c r="I12" s="278"/>
      <c r="J12" s="307"/>
      <c r="K12" s="227"/>
      <c r="L12" s="226"/>
    </row>
    <row r="13" spans="1:12" s="275" customFormat="1" ht="138.75" thickBot="1">
      <c r="A13" s="298"/>
      <c r="B13" s="298"/>
      <c r="C13" s="299"/>
      <c r="D13" s="285" t="s">
        <v>392</v>
      </c>
      <c r="E13" s="286"/>
      <c r="F13" s="287"/>
      <c r="G13" s="288">
        <f>('Cost details'!$E218-'Cost details'!$E214)*500/2000</f>
        <v>1427650</v>
      </c>
      <c r="H13" s="288">
        <f>('Cost details'!$E218-'Cost details'!$E214)*500/2000</f>
        <v>1427650</v>
      </c>
      <c r="I13" s="287"/>
      <c r="J13" s="308"/>
      <c r="K13" s="310"/>
      <c r="L13" s="274"/>
    </row>
    <row r="14" spans="1:12" s="275" customFormat="1" ht="18" thickBot="1">
      <c r="A14" s="298">
        <v>4</v>
      </c>
      <c r="B14" s="298">
        <v>1</v>
      </c>
      <c r="C14" s="299">
        <v>12</v>
      </c>
      <c r="D14" s="285" t="s">
        <v>393</v>
      </c>
      <c r="E14" s="286"/>
      <c r="F14" s="287"/>
      <c r="G14" s="288"/>
      <c r="H14" s="288">
        <f>'Cost details'!D232*500/1000</f>
        <v>1410137.93</v>
      </c>
      <c r="I14" s="288">
        <f>'Cost details'!D237*500/1000</f>
        <v>886986.34499999997</v>
      </c>
      <c r="J14" s="308"/>
      <c r="K14" s="310"/>
      <c r="L14" s="274"/>
    </row>
    <row r="15" spans="1:12" s="275" customFormat="1" ht="18" thickBot="1">
      <c r="A15" s="298">
        <v>4</v>
      </c>
      <c r="B15" s="298">
        <v>1</v>
      </c>
      <c r="C15" s="299">
        <v>13</v>
      </c>
      <c r="D15" s="285" t="s">
        <v>459</v>
      </c>
      <c r="E15" s="286"/>
      <c r="F15" s="287"/>
      <c r="G15" s="288">
        <f>'Cost details'!E227/2000</f>
        <v>131500</v>
      </c>
      <c r="H15" s="288">
        <f>G15</f>
        <v>131500</v>
      </c>
      <c r="I15" s="288"/>
      <c r="J15" s="308"/>
      <c r="K15" s="310"/>
      <c r="L15" s="274"/>
    </row>
    <row r="16" spans="1:12" s="220" customFormat="1" ht="18" thickBot="1">
      <c r="A16" s="300"/>
      <c r="B16" s="300"/>
      <c r="C16" s="301"/>
      <c r="D16" s="284" t="s">
        <v>301</v>
      </c>
      <c r="E16" s="289"/>
      <c r="F16" s="290">
        <f>SUM(F3:F14)</f>
        <v>0</v>
      </c>
      <c r="G16" s="290">
        <f>SUM(G3:G15)</f>
        <v>1559150</v>
      </c>
      <c r="H16" s="290">
        <f>SUM(H3:H15)</f>
        <v>3052037.9299999997</v>
      </c>
      <c r="I16" s="290">
        <f>SUM(I3:I15)</f>
        <v>969736.34499999997</v>
      </c>
      <c r="J16" s="309">
        <f>SUM(J3:J14)</f>
        <v>0</v>
      </c>
      <c r="K16" s="311"/>
      <c r="L16" s="272"/>
    </row>
    <row r="17" spans="1:12" s="231" customFormat="1" ht="18" thickBot="1">
      <c r="A17" s="296"/>
      <c r="B17" s="296"/>
      <c r="C17" s="297"/>
      <c r="D17" s="424" t="s">
        <v>395</v>
      </c>
      <c r="E17" s="424"/>
      <c r="F17" s="424"/>
      <c r="G17" s="424"/>
      <c r="H17" s="424"/>
      <c r="I17" s="424"/>
      <c r="J17" s="425"/>
      <c r="K17" s="312"/>
      <c r="L17" s="256"/>
    </row>
    <row r="18" spans="1:12" ht="35.25" thickBot="1">
      <c r="A18" s="296">
        <v>4</v>
      </c>
      <c r="B18" s="296">
        <v>2</v>
      </c>
      <c r="C18" s="297">
        <v>1</v>
      </c>
      <c r="D18" s="291" t="s">
        <v>361</v>
      </c>
      <c r="E18" s="292" t="s">
        <v>362</v>
      </c>
      <c r="F18" s="278">
        <v>0</v>
      </c>
      <c r="G18" s="288">
        <v>7500</v>
      </c>
      <c r="H18" s="288">
        <v>7500</v>
      </c>
      <c r="I18" s="278">
        <v>0</v>
      </c>
      <c r="J18" s="307">
        <v>0</v>
      </c>
      <c r="K18" s="227"/>
      <c r="L18" s="226"/>
    </row>
    <row r="19" spans="1:12" ht="83.25" customHeight="1" thickBot="1">
      <c r="A19" s="296">
        <v>4</v>
      </c>
      <c r="B19" s="296">
        <v>2</v>
      </c>
      <c r="C19" s="297">
        <v>2</v>
      </c>
      <c r="D19" s="293" t="s">
        <v>363</v>
      </c>
      <c r="E19" s="277" t="s">
        <v>394</v>
      </c>
      <c r="F19" s="321">
        <v>0</v>
      </c>
      <c r="G19" s="288">
        <v>6000</v>
      </c>
      <c r="H19" s="288">
        <v>6000</v>
      </c>
      <c r="I19" s="321">
        <v>0</v>
      </c>
      <c r="J19" s="307">
        <v>0</v>
      </c>
      <c r="K19" s="228"/>
      <c r="L19" s="229"/>
    </row>
    <row r="20" spans="1:12" ht="50.25" customHeight="1" thickBot="1">
      <c r="A20" s="296">
        <v>4</v>
      </c>
      <c r="B20" s="296">
        <v>2</v>
      </c>
      <c r="C20" s="297">
        <v>3</v>
      </c>
      <c r="D20" s="293" t="s">
        <v>364</v>
      </c>
      <c r="E20" s="277"/>
      <c r="F20" s="321">
        <v>0</v>
      </c>
      <c r="G20" s="288">
        <f>200000*475/2000</f>
        <v>47500</v>
      </c>
      <c r="H20" s="288">
        <f>200000*475/2000</f>
        <v>47500</v>
      </c>
      <c r="I20" s="321">
        <v>0</v>
      </c>
      <c r="J20" s="307">
        <v>0</v>
      </c>
      <c r="K20" s="228"/>
      <c r="L20" s="229"/>
    </row>
    <row r="21" spans="1:12" ht="50.25" customHeight="1" thickBot="1">
      <c r="A21" s="296">
        <v>4</v>
      </c>
      <c r="B21" s="296">
        <v>2</v>
      </c>
      <c r="C21" s="297">
        <v>4</v>
      </c>
      <c r="D21" s="293" t="s">
        <v>365</v>
      </c>
      <c r="E21" s="277"/>
      <c r="F21" s="321">
        <v>0</v>
      </c>
      <c r="G21" s="288">
        <f>300000*475/2000</f>
        <v>71250</v>
      </c>
      <c r="H21" s="288">
        <f>300000*475/2000</f>
        <v>71250</v>
      </c>
      <c r="I21" s="321">
        <v>0</v>
      </c>
      <c r="J21" s="307">
        <v>0</v>
      </c>
      <c r="K21" s="228"/>
      <c r="L21" s="229"/>
    </row>
    <row r="22" spans="1:12" ht="50.25" customHeight="1" thickBot="1">
      <c r="A22" s="296">
        <v>4</v>
      </c>
      <c r="B22" s="296">
        <v>2</v>
      </c>
      <c r="C22" s="297">
        <v>5</v>
      </c>
      <c r="D22" s="294" t="s">
        <v>366</v>
      </c>
      <c r="E22" s="277"/>
      <c r="F22" s="321">
        <v>0</v>
      </c>
      <c r="G22" s="288">
        <f>250000*475/2000</f>
        <v>59375</v>
      </c>
      <c r="H22" s="288">
        <f>250000*475/2000</f>
        <v>59375</v>
      </c>
      <c r="I22" s="321">
        <v>0</v>
      </c>
      <c r="J22" s="307">
        <v>0</v>
      </c>
      <c r="K22" s="228"/>
      <c r="L22" s="229"/>
    </row>
    <row r="23" spans="1:12" ht="18" thickBot="1">
      <c r="D23" s="295" t="s">
        <v>302</v>
      </c>
      <c r="E23" s="182"/>
      <c r="F23" s="288">
        <f>SUM(F18:F22)</f>
        <v>0</v>
      </c>
      <c r="G23" s="288">
        <f t="shared" ref="G23:J23" si="0">SUM(G18:G22)</f>
        <v>191625</v>
      </c>
      <c r="H23" s="288">
        <f t="shared" si="0"/>
        <v>191625</v>
      </c>
      <c r="I23" s="288">
        <f t="shared" si="0"/>
        <v>0</v>
      </c>
      <c r="J23" s="288">
        <f t="shared" si="0"/>
        <v>0</v>
      </c>
    </row>
    <row r="27" spans="1:12" ht="16.5">
      <c r="D27" s="149" t="s">
        <v>323</v>
      </c>
    </row>
    <row r="28" spans="1:12" s="231" customFormat="1" ht="49.5">
      <c r="A28" s="29"/>
      <c r="B28" s="29"/>
      <c r="C28" s="29"/>
      <c r="D28" s="150"/>
      <c r="E28" s="233"/>
      <c r="F28" s="303" t="s">
        <v>355</v>
      </c>
      <c r="G28" s="302" t="s">
        <v>126</v>
      </c>
      <c r="H28" s="302" t="s">
        <v>292</v>
      </c>
      <c r="I28" s="302" t="s">
        <v>293</v>
      </c>
      <c r="J28" s="302" t="s">
        <v>294</v>
      </c>
      <c r="K28" s="303" t="s">
        <v>318</v>
      </c>
    </row>
    <row r="29" spans="1:12">
      <c r="D29" s="233" t="str">
        <f>D16</f>
        <v>Ընդամենը Նպատակ 1</v>
      </c>
      <c r="E29" s="233"/>
      <c r="F29" s="304">
        <f>F16</f>
        <v>0</v>
      </c>
      <c r="G29" s="304">
        <f t="shared" ref="G29:J29" si="1">G16</f>
        <v>1559150</v>
      </c>
      <c r="H29" s="304">
        <f t="shared" si="1"/>
        <v>3052037.9299999997</v>
      </c>
      <c r="I29" s="304">
        <f t="shared" si="1"/>
        <v>969736.34499999997</v>
      </c>
      <c r="J29" s="304">
        <f t="shared" si="1"/>
        <v>0</v>
      </c>
      <c r="K29" s="304">
        <f>SUM(F29:J29)</f>
        <v>5580924.2749999994</v>
      </c>
    </row>
    <row r="30" spans="1:12">
      <c r="D30" s="233" t="str">
        <f>D23</f>
        <v>Ընդամենը Նպատակ 2</v>
      </c>
      <c r="E30" s="233"/>
      <c r="F30" s="304">
        <f>F23</f>
        <v>0</v>
      </c>
      <c r="G30" s="304">
        <f t="shared" ref="G30:J30" si="2">G23</f>
        <v>191625</v>
      </c>
      <c r="H30" s="304">
        <f t="shared" si="2"/>
        <v>191625</v>
      </c>
      <c r="I30" s="304">
        <f t="shared" si="2"/>
        <v>0</v>
      </c>
      <c r="J30" s="304">
        <f t="shared" si="2"/>
        <v>0</v>
      </c>
      <c r="K30" s="304">
        <f>SUM(F30:J30)</f>
        <v>383250</v>
      </c>
    </row>
    <row r="31" spans="1:12">
      <c r="D31" s="233" t="s">
        <v>398</v>
      </c>
      <c r="E31" s="233"/>
      <c r="F31" s="304">
        <f>F30+F29</f>
        <v>0</v>
      </c>
      <c r="G31" s="304">
        <f t="shared" ref="G31:K31" si="3">G30+G29</f>
        <v>1750775</v>
      </c>
      <c r="H31" s="304">
        <f t="shared" si="3"/>
        <v>3243662.9299999997</v>
      </c>
      <c r="I31" s="304">
        <f t="shared" si="3"/>
        <v>969736.34499999997</v>
      </c>
      <c r="J31" s="304">
        <f t="shared" si="3"/>
        <v>0</v>
      </c>
      <c r="K31" s="304">
        <f t="shared" si="3"/>
        <v>5964174.2749999994</v>
      </c>
    </row>
    <row r="34" spans="4:11">
      <c r="D34" t="s">
        <v>473</v>
      </c>
    </row>
    <row r="35" spans="4:11" ht="24">
      <c r="D35" s="233"/>
      <c r="E35" s="233">
        <f t="shared" ref="E35:J38" si="4">E28</f>
        <v>0</v>
      </c>
      <c r="F35" s="324" t="s">
        <v>417</v>
      </c>
      <c r="G35" s="324">
        <v>2020</v>
      </c>
      <c r="H35" s="324">
        <f>2021</f>
        <v>2021</v>
      </c>
      <c r="I35" s="329">
        <v>2022</v>
      </c>
      <c r="J35" s="329">
        <v>2023</v>
      </c>
      <c r="K35" s="330" t="s">
        <v>418</v>
      </c>
    </row>
    <row r="36" spans="4:11">
      <c r="D36" s="103" t="s">
        <v>402</v>
      </c>
      <c r="E36" s="233">
        <f t="shared" si="4"/>
        <v>0</v>
      </c>
      <c r="F36" s="304">
        <f t="shared" si="4"/>
        <v>0</v>
      </c>
      <c r="G36" s="304">
        <f t="shared" si="4"/>
        <v>1559150</v>
      </c>
      <c r="H36" s="304">
        <f t="shared" si="4"/>
        <v>3052037.9299999997</v>
      </c>
      <c r="I36" s="304">
        <f t="shared" si="4"/>
        <v>969736.34499999997</v>
      </c>
      <c r="J36" s="304">
        <f t="shared" si="4"/>
        <v>0</v>
      </c>
      <c r="K36" s="304">
        <f t="shared" ref="K36" si="5">K29</f>
        <v>5580924.2749999994</v>
      </c>
    </row>
    <row r="37" spans="4:11">
      <c r="D37" s="103" t="s">
        <v>403</v>
      </c>
      <c r="E37" s="233">
        <f t="shared" si="4"/>
        <v>0</v>
      </c>
      <c r="F37" s="304">
        <f t="shared" si="4"/>
        <v>0</v>
      </c>
      <c r="G37" s="304">
        <f t="shared" si="4"/>
        <v>191625</v>
      </c>
      <c r="H37" s="304">
        <f t="shared" si="4"/>
        <v>191625</v>
      </c>
      <c r="I37" s="304">
        <f t="shared" si="4"/>
        <v>0</v>
      </c>
      <c r="J37" s="304">
        <f t="shared" si="4"/>
        <v>0</v>
      </c>
      <c r="K37" s="304">
        <f t="shared" ref="K37" si="6">K30</f>
        <v>383250</v>
      </c>
    </row>
    <row r="38" spans="4:11">
      <c r="D38" s="233" t="s">
        <v>420</v>
      </c>
      <c r="E38" s="233">
        <f t="shared" si="4"/>
        <v>0</v>
      </c>
      <c r="F38" s="304">
        <f t="shared" si="4"/>
        <v>0</v>
      </c>
      <c r="G38" s="304">
        <f t="shared" si="4"/>
        <v>1750775</v>
      </c>
      <c r="H38" s="304">
        <f t="shared" si="4"/>
        <v>3243662.9299999997</v>
      </c>
      <c r="I38" s="304">
        <f t="shared" si="4"/>
        <v>969736.34499999997</v>
      </c>
      <c r="J38" s="304">
        <f t="shared" si="4"/>
        <v>0</v>
      </c>
      <c r="K38" s="304">
        <f t="shared" ref="K38" si="7">K31</f>
        <v>5964174.2749999994</v>
      </c>
    </row>
    <row r="41" spans="4:11" ht="24">
      <c r="D41" s="233"/>
      <c r="E41" s="233"/>
      <c r="F41" s="324" t="s">
        <v>417</v>
      </c>
      <c r="G41" s="324">
        <v>2020</v>
      </c>
      <c r="H41" s="324">
        <f>2021</f>
        <v>2021</v>
      </c>
      <c r="I41" s="329">
        <v>2022</v>
      </c>
      <c r="J41" s="329">
        <v>2023</v>
      </c>
      <c r="K41" s="330" t="s">
        <v>439</v>
      </c>
    </row>
    <row r="42" spans="4:11">
      <c r="D42" s="233" t="s">
        <v>437</v>
      </c>
      <c r="E42" s="233"/>
      <c r="F42" s="304"/>
      <c r="G42" s="304"/>
      <c r="H42" s="304">
        <f>'E-justice'!H9</f>
        <v>82750</v>
      </c>
      <c r="I42" s="304">
        <f>'E-justice'!I9</f>
        <v>82750</v>
      </c>
      <c r="J42" s="304"/>
      <c r="K42" s="304">
        <f>SUM(F42:J42)</f>
        <v>165500</v>
      </c>
    </row>
    <row r="43" spans="4:11">
      <c r="D43" s="233" t="s">
        <v>384</v>
      </c>
      <c r="E43" s="233"/>
      <c r="F43" s="304"/>
      <c r="G43" s="304"/>
      <c r="H43" s="304">
        <f>'E-justice'!H14</f>
        <v>1410137.93</v>
      </c>
      <c r="I43" s="304">
        <f>'E-justice'!I14</f>
        <v>886986.34499999997</v>
      </c>
      <c r="J43" s="304"/>
      <c r="K43" s="304">
        <f>SUM(F43:J43)</f>
        <v>2297124.2749999999</v>
      </c>
    </row>
    <row r="44" spans="4:11">
      <c r="D44" s="233" t="s">
        <v>381</v>
      </c>
      <c r="E44" s="233"/>
      <c r="F44" s="304"/>
      <c r="G44" s="304">
        <v>75000</v>
      </c>
      <c r="H44" s="304">
        <f>75000+'Cost details'!E222/2000</f>
        <v>140750</v>
      </c>
      <c r="I44" s="304">
        <f>'Cost details'!E222/2000</f>
        <v>65750</v>
      </c>
      <c r="J44" s="304"/>
      <c r="K44" s="304">
        <f>SUM(F44:J44)</f>
        <v>281500</v>
      </c>
    </row>
    <row r="45" spans="4:11">
      <c r="D45" s="233" t="s">
        <v>382</v>
      </c>
      <c r="E45" s="233"/>
      <c r="F45" s="304"/>
      <c r="G45" s="304">
        <v>62500</v>
      </c>
      <c r="H45" s="304">
        <f>G45+'Cost details'!E226/2000</f>
        <v>88800</v>
      </c>
      <c r="I45" s="304">
        <f>'Cost details'!E226/2000</f>
        <v>26300</v>
      </c>
      <c r="J45" s="304"/>
      <c r="K45" s="304">
        <f>SUM(F45:J45)</f>
        <v>177600</v>
      </c>
    </row>
    <row r="46" spans="4:11">
      <c r="D46" s="233" t="s">
        <v>383</v>
      </c>
      <c r="E46" s="233"/>
      <c r="F46" s="304"/>
      <c r="G46" s="304">
        <f>75000+G23</f>
        <v>266625</v>
      </c>
      <c r="H46" s="304">
        <f>75000+'Cost details'!E223/2000+H23</f>
        <v>306075</v>
      </c>
      <c r="I46" s="304">
        <f>'Cost details'!E223/2000+I23</f>
        <v>39450</v>
      </c>
      <c r="J46" s="304"/>
      <c r="K46" s="304">
        <f>SUM(F46:J46)</f>
        <v>612150</v>
      </c>
    </row>
    <row r="47" spans="4:11">
      <c r="D47" s="233" t="s">
        <v>440</v>
      </c>
      <c r="E47" s="233"/>
      <c r="F47" s="304">
        <f t="shared" ref="F47:K47" si="8">SUM(F42:F46)</f>
        <v>0</v>
      </c>
      <c r="G47" s="304">
        <f t="shared" si="8"/>
        <v>404125</v>
      </c>
      <c r="H47" s="304">
        <f t="shared" si="8"/>
        <v>2028512.93</v>
      </c>
      <c r="I47" s="304">
        <f t="shared" si="8"/>
        <v>1101236.345</v>
      </c>
      <c r="J47" s="304">
        <f t="shared" si="8"/>
        <v>0</v>
      </c>
      <c r="K47" s="337">
        <f t="shared" si="8"/>
        <v>3533874.2749999999</v>
      </c>
    </row>
  </sheetData>
  <mergeCells count="4">
    <mergeCell ref="F1:J1"/>
    <mergeCell ref="D17:J17"/>
    <mergeCell ref="D1:D2"/>
    <mergeCell ref="E1:E2"/>
  </mergeCells>
  <pageMargins left="0.7" right="0.7" top="0.75" bottom="0.75" header="0.3" footer="0.3"/>
  <pageSetup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G31" sqref="G31"/>
    </sheetView>
  </sheetViews>
  <sheetFormatPr defaultRowHeight="14.25"/>
  <cols>
    <col min="1" max="1" width="54.28515625" style="322" customWidth="1"/>
    <col min="2" max="7" width="15" style="322" customWidth="1"/>
    <col min="8" max="16384" width="9.140625" style="322"/>
  </cols>
  <sheetData>
    <row r="1" spans="1:7">
      <c r="A1" s="322" t="s">
        <v>323</v>
      </c>
    </row>
    <row r="2" spans="1:7" ht="71.25">
      <c r="A2" s="323"/>
      <c r="B2" s="346" t="s">
        <v>355</v>
      </c>
      <c r="C2" s="347" t="s">
        <v>126</v>
      </c>
      <c r="D2" s="347" t="s">
        <v>292</v>
      </c>
      <c r="E2" s="347" t="s">
        <v>293</v>
      </c>
      <c r="F2" s="347" t="s">
        <v>294</v>
      </c>
      <c r="G2" s="346" t="s">
        <v>399</v>
      </c>
    </row>
    <row r="3" spans="1:7">
      <c r="A3" s="323" t="str">
        <f>'ST Action Plan'!D133</f>
        <v>ԸՆԴԱՄԵՆԸ (2019-2020)</v>
      </c>
      <c r="B3" s="335">
        <f>'ST Action Plan'!F133</f>
        <v>61758</v>
      </c>
      <c r="C3" s="335">
        <f>'ST Action Plan'!G133</f>
        <v>370311.57433333335</v>
      </c>
      <c r="D3" s="335"/>
      <c r="E3" s="335"/>
      <c r="F3" s="335"/>
      <c r="G3" s="335">
        <f>SUM(B3:F3)</f>
        <v>432069.57433333335</v>
      </c>
    </row>
    <row r="4" spans="1:7">
      <c r="A4" s="323" t="str">
        <f>'LT Action Plan'!D96</f>
        <v>ԸՆԴԱՄԵՆԸ (2021-2023)</v>
      </c>
      <c r="B4" s="335"/>
      <c r="C4" s="335"/>
      <c r="D4" s="335">
        <f>'LT Action Plan'!F96</f>
        <v>5226417.1095080217</v>
      </c>
      <c r="E4" s="335">
        <f>'LT Action Plan'!G96</f>
        <v>4384345.9879186843</v>
      </c>
      <c r="F4" s="335">
        <f>'LT Action Plan'!H96</f>
        <v>4275036.658685172</v>
      </c>
      <c r="G4" s="335">
        <f t="shared" ref="G4:G6" si="0">SUM(B4:F4)</f>
        <v>13885799.756111877</v>
      </c>
    </row>
    <row r="5" spans="1:7">
      <c r="A5" s="323" t="str">
        <f>'E-justice'!D31</f>
        <v>ԸՆԴԱՄԵՆԸ Էլեկտրոնային արդարադատություն</v>
      </c>
      <c r="B5" s="335">
        <f>'E-justice'!F31</f>
        <v>0</v>
      </c>
      <c r="C5" s="335">
        <f>'E-justice'!G31</f>
        <v>1750775</v>
      </c>
      <c r="D5" s="335">
        <f>'E-justice'!H31</f>
        <v>3243662.9299999997</v>
      </c>
      <c r="E5" s="335">
        <f>'E-justice'!I31</f>
        <v>969736.34499999997</v>
      </c>
      <c r="F5" s="335">
        <f>'E-justice'!J31</f>
        <v>0</v>
      </c>
      <c r="G5" s="335">
        <f t="shared" si="0"/>
        <v>5964174.2749999994</v>
      </c>
    </row>
    <row r="6" spans="1:7" ht="15">
      <c r="A6" s="327" t="s">
        <v>400</v>
      </c>
      <c r="B6" s="348">
        <f>SUM(B3:B5)</f>
        <v>61758</v>
      </c>
      <c r="C6" s="348">
        <f t="shared" ref="C6:F6" si="1">SUM(C3:C5)</f>
        <v>2121086.5743333334</v>
      </c>
      <c r="D6" s="348">
        <f t="shared" si="1"/>
        <v>8470080.0395080224</v>
      </c>
      <c r="E6" s="348">
        <f t="shared" si="1"/>
        <v>5354082.332918684</v>
      </c>
      <c r="F6" s="348">
        <f t="shared" si="1"/>
        <v>4275036.658685172</v>
      </c>
      <c r="G6" s="348">
        <f t="shared" si="0"/>
        <v>20282043.605445214</v>
      </c>
    </row>
    <row r="8" spans="1:7">
      <c r="A8" s="322" t="str">
        <f>A1</f>
        <v>Ծախսերի ամփոփ գնահատական, հազար դրամ</v>
      </c>
    </row>
    <row r="9" spans="1:7" ht="24">
      <c r="A9" s="103"/>
      <c r="B9" s="329" t="s">
        <v>417</v>
      </c>
      <c r="C9" s="329">
        <v>2020</v>
      </c>
      <c r="D9" s="329">
        <f>2021</f>
        <v>2021</v>
      </c>
      <c r="E9" s="329">
        <v>2022</v>
      </c>
      <c r="F9" s="329">
        <v>2023</v>
      </c>
      <c r="G9" s="330" t="s">
        <v>418</v>
      </c>
    </row>
    <row r="10" spans="1:7">
      <c r="A10" s="103" t="s">
        <v>421</v>
      </c>
      <c r="B10" s="331">
        <f t="shared" ref="B10:G13" si="2">B3</f>
        <v>61758</v>
      </c>
      <c r="C10" s="331">
        <f t="shared" si="2"/>
        <v>370311.57433333335</v>
      </c>
      <c r="D10" s="331">
        <f t="shared" si="2"/>
        <v>0</v>
      </c>
      <c r="E10" s="331">
        <f t="shared" si="2"/>
        <v>0</v>
      </c>
      <c r="F10" s="331">
        <f t="shared" si="2"/>
        <v>0</v>
      </c>
      <c r="G10" s="331">
        <f t="shared" si="2"/>
        <v>432069.57433333335</v>
      </c>
    </row>
    <row r="11" spans="1:7">
      <c r="A11" s="103" t="s">
        <v>422</v>
      </c>
      <c r="B11" s="331">
        <f t="shared" si="2"/>
        <v>0</v>
      </c>
      <c r="C11" s="331">
        <f t="shared" si="2"/>
        <v>0</v>
      </c>
      <c r="D11" s="331">
        <f t="shared" si="2"/>
        <v>5226417.1095080217</v>
      </c>
      <c r="E11" s="331">
        <f t="shared" si="2"/>
        <v>4384345.9879186843</v>
      </c>
      <c r="F11" s="331">
        <f t="shared" si="2"/>
        <v>4275036.658685172</v>
      </c>
      <c r="G11" s="331">
        <f t="shared" si="2"/>
        <v>13885799.756111877</v>
      </c>
    </row>
    <row r="12" spans="1:7">
      <c r="A12" s="103" t="s">
        <v>423</v>
      </c>
      <c r="B12" s="331">
        <f t="shared" si="2"/>
        <v>0</v>
      </c>
      <c r="C12" s="331">
        <f t="shared" si="2"/>
        <v>1750775</v>
      </c>
      <c r="D12" s="331">
        <f t="shared" si="2"/>
        <v>3243662.9299999997</v>
      </c>
      <c r="E12" s="331">
        <f t="shared" si="2"/>
        <v>969736.34499999997</v>
      </c>
      <c r="F12" s="331">
        <f t="shared" si="2"/>
        <v>0</v>
      </c>
      <c r="G12" s="331">
        <f t="shared" si="2"/>
        <v>5964174.2749999994</v>
      </c>
    </row>
    <row r="13" spans="1:7">
      <c r="A13" s="118" t="s">
        <v>424</v>
      </c>
      <c r="B13" s="332">
        <f t="shared" si="2"/>
        <v>61758</v>
      </c>
      <c r="C13" s="332">
        <f t="shared" si="2"/>
        <v>2121086.5743333334</v>
      </c>
      <c r="D13" s="332">
        <f t="shared" si="2"/>
        <v>8470080.0395080224</v>
      </c>
      <c r="E13" s="332">
        <f t="shared" si="2"/>
        <v>5354082.332918684</v>
      </c>
      <c r="F13" s="332">
        <f t="shared" si="2"/>
        <v>4275036.658685172</v>
      </c>
      <c r="G13" s="332">
        <f t="shared" si="2"/>
        <v>20282043.605445214</v>
      </c>
    </row>
    <row r="19" spans="1:9" ht="18">
      <c r="A19" s="349" t="s">
        <v>442</v>
      </c>
    </row>
    <row r="20" spans="1:9">
      <c r="A20" s="103" t="s">
        <v>451</v>
      </c>
      <c r="B20" s="344" t="s">
        <v>443</v>
      </c>
      <c r="C20" s="352">
        <v>2020</v>
      </c>
      <c r="D20" s="352">
        <v>2021</v>
      </c>
      <c r="E20" s="352">
        <v>2022</v>
      </c>
      <c r="F20" s="352">
        <v>2023</v>
      </c>
      <c r="G20" s="344" t="s">
        <v>81</v>
      </c>
      <c r="I20" s="350">
        <v>526</v>
      </c>
    </row>
    <row r="21" spans="1:9">
      <c r="A21" s="103" t="s">
        <v>444</v>
      </c>
      <c r="B21" s="336">
        <f>'ST Action Plan'!F152</f>
        <v>61758</v>
      </c>
      <c r="C21" s="336">
        <f>'ST Action Plan'!G152</f>
        <v>370311.57433333335</v>
      </c>
      <c r="D21" s="336"/>
      <c r="E21" s="336"/>
      <c r="F21" s="336"/>
      <c r="G21" s="336">
        <f>SUM(B21:F21)</f>
        <v>432069.57433333335</v>
      </c>
    </row>
    <row r="22" spans="1:9">
      <c r="A22" s="103" t="s">
        <v>445</v>
      </c>
      <c r="B22" s="336"/>
      <c r="C22" s="336"/>
      <c r="D22" s="336">
        <f>'LT Action Plan'!F124</f>
        <v>5226417.1095080217</v>
      </c>
      <c r="E22" s="336">
        <f>'LT Action Plan'!G124</f>
        <v>4384345.9879186843</v>
      </c>
      <c r="F22" s="336">
        <f>'LT Action Plan'!H124</f>
        <v>4275036.658685172</v>
      </c>
      <c r="G22" s="336">
        <f t="shared" ref="G22:G28" si="3">SUM(B22:F22)</f>
        <v>13885799.756111877</v>
      </c>
    </row>
    <row r="23" spans="1:9">
      <c r="A23" s="103" t="s">
        <v>446</v>
      </c>
      <c r="B23" s="336">
        <f>'E-justice'!F31</f>
        <v>0</v>
      </c>
      <c r="C23" s="336">
        <f>'E-justice'!G31</f>
        <v>1750775</v>
      </c>
      <c r="D23" s="336">
        <f>'E-justice'!H31</f>
        <v>3243662.9299999997</v>
      </c>
      <c r="E23" s="336">
        <f>'E-justice'!I31</f>
        <v>969736.34499999997</v>
      </c>
      <c r="F23" s="336">
        <f>'E-justice'!J31</f>
        <v>0</v>
      </c>
      <c r="G23" s="336">
        <f t="shared" si="3"/>
        <v>5964174.2749999994</v>
      </c>
    </row>
    <row r="24" spans="1:9">
      <c r="A24" s="118" t="s">
        <v>447</v>
      </c>
      <c r="B24" s="353">
        <f>SUM(B21:B23)</f>
        <v>61758</v>
      </c>
      <c r="C24" s="353">
        <f t="shared" ref="C24:F24" si="4">SUM(C21:C23)</f>
        <v>2121086.5743333334</v>
      </c>
      <c r="D24" s="353">
        <f t="shared" si="4"/>
        <v>8470080.0395080224</v>
      </c>
      <c r="E24" s="353">
        <f t="shared" si="4"/>
        <v>5354082.332918684</v>
      </c>
      <c r="F24" s="353">
        <f t="shared" si="4"/>
        <v>4275036.658685172</v>
      </c>
      <c r="G24" s="353">
        <f t="shared" si="3"/>
        <v>20282043.605445214</v>
      </c>
    </row>
    <row r="25" spans="1:9">
      <c r="A25" s="118" t="s">
        <v>460</v>
      </c>
      <c r="B25" s="353"/>
      <c r="C25" s="353"/>
      <c r="D25" s="353">
        <f>'Cost details'!D169*1000</f>
        <v>3302760.5</v>
      </c>
      <c r="E25" s="353">
        <f>'Cost details'!E169*1000</f>
        <v>2044128</v>
      </c>
      <c r="F25" s="353"/>
      <c r="G25" s="353"/>
    </row>
    <row r="26" spans="1:9">
      <c r="A26" s="118" t="s">
        <v>462</v>
      </c>
      <c r="B26" s="353">
        <f t="shared" ref="B26:G26" si="5">B24-B25</f>
        <v>61758</v>
      </c>
      <c r="C26" s="353">
        <f t="shared" si="5"/>
        <v>2121086.5743333334</v>
      </c>
      <c r="D26" s="353">
        <f t="shared" si="5"/>
        <v>5167319.5395080224</v>
      </c>
      <c r="E26" s="353">
        <f t="shared" si="5"/>
        <v>3309954.332918684</v>
      </c>
      <c r="F26" s="353">
        <f t="shared" si="5"/>
        <v>4275036.658685172</v>
      </c>
      <c r="G26" s="353">
        <f t="shared" si="5"/>
        <v>20282043.605445214</v>
      </c>
    </row>
    <row r="27" spans="1:9">
      <c r="A27" s="103" t="s">
        <v>461</v>
      </c>
      <c r="B27" s="336">
        <f t="shared" ref="B27:G27" si="6">B26/$I$20</f>
        <v>117.4106463878327</v>
      </c>
      <c r="C27" s="336">
        <f t="shared" si="6"/>
        <v>4032.4839816223071</v>
      </c>
      <c r="D27" s="336">
        <f t="shared" si="6"/>
        <v>9823.8014059087873</v>
      </c>
      <c r="E27" s="336">
        <f t="shared" si="6"/>
        <v>6292.6888458530111</v>
      </c>
      <c r="F27" s="336">
        <f t="shared" si="6"/>
        <v>8127.4461191733308</v>
      </c>
      <c r="G27" s="336">
        <f t="shared" si="6"/>
        <v>38559.018261302685</v>
      </c>
    </row>
    <row r="28" spans="1:9">
      <c r="A28" s="354" t="s">
        <v>450</v>
      </c>
      <c r="B28" s="336"/>
      <c r="C28" s="336"/>
      <c r="D28" s="336">
        <v>5000</v>
      </c>
      <c r="E28" s="336">
        <v>5500</v>
      </c>
      <c r="F28" s="336">
        <v>5500</v>
      </c>
      <c r="G28" s="353">
        <f t="shared" si="3"/>
        <v>16000</v>
      </c>
    </row>
    <row r="29" spans="1:9" ht="24">
      <c r="A29" s="355" t="s">
        <v>463</v>
      </c>
      <c r="B29" s="336"/>
      <c r="C29" s="336">
        <v>1200</v>
      </c>
      <c r="D29" s="336"/>
      <c r="E29" s="336"/>
      <c r="F29" s="336"/>
      <c r="G29" s="336"/>
    </row>
    <row r="30" spans="1:9">
      <c r="A30" s="103"/>
      <c r="B30" s="336"/>
      <c r="C30" s="336"/>
      <c r="D30" s="336"/>
      <c r="E30" s="336"/>
      <c r="F30" s="336"/>
      <c r="G30" s="336"/>
    </row>
    <row r="31" spans="1:9">
      <c r="A31" s="103" t="s">
        <v>449</v>
      </c>
      <c r="B31" s="336">
        <f>B27-B28-B29-B30</f>
        <v>117.4106463878327</v>
      </c>
      <c r="C31" s="336">
        <f t="shared" ref="C31:G31" si="7">C27-C28-C29-C30</f>
        <v>2832.4839816223071</v>
      </c>
      <c r="D31" s="336">
        <f t="shared" si="7"/>
        <v>4823.8014059087873</v>
      </c>
      <c r="E31" s="336">
        <f t="shared" si="7"/>
        <v>792.68884585301112</v>
      </c>
      <c r="F31" s="336">
        <f t="shared" si="7"/>
        <v>2627.4461191733308</v>
      </c>
      <c r="G31" s="336">
        <f t="shared" si="7"/>
        <v>22559.018261302685</v>
      </c>
    </row>
    <row r="32" spans="1:9">
      <c r="B32" s="351"/>
      <c r="C32" s="351"/>
      <c r="D32" s="351"/>
      <c r="E32" s="351"/>
      <c r="F32" s="351"/>
      <c r="G32" s="351"/>
    </row>
    <row r="33" spans="1:1">
      <c r="A33" s="322" t="s">
        <v>448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O252"/>
  <sheetViews>
    <sheetView topLeftCell="A208" workbookViewId="0">
      <selection activeCell="A219" sqref="A219:E219"/>
    </sheetView>
  </sheetViews>
  <sheetFormatPr defaultRowHeight="15"/>
  <cols>
    <col min="1" max="1" width="49.140625" customWidth="1"/>
    <col min="2" max="2" width="12.7109375" customWidth="1"/>
    <col min="3" max="3" width="15.28515625" customWidth="1"/>
    <col min="4" max="4" width="14.5703125" customWidth="1"/>
    <col min="5" max="5" width="13.140625" customWidth="1"/>
    <col min="6" max="6" width="12.7109375" bestFit="1" customWidth="1"/>
    <col min="7" max="7" width="13.85546875" bestFit="1" customWidth="1"/>
    <col min="8" max="8" width="12.7109375" bestFit="1" customWidth="1"/>
    <col min="9" max="9" width="12.140625" customWidth="1"/>
  </cols>
  <sheetData>
    <row r="1" spans="1:2">
      <c r="A1" t="s">
        <v>121</v>
      </c>
    </row>
    <row r="2" spans="1:2">
      <c r="A2" t="s">
        <v>122</v>
      </c>
      <c r="B2" s="32">
        <v>20</v>
      </c>
    </row>
    <row r="3" spans="1:2">
      <c r="A3" t="s">
        <v>123</v>
      </c>
      <c r="B3" s="79">
        <v>7.5</v>
      </c>
    </row>
    <row r="4" spans="1:2">
      <c r="A4" t="s">
        <v>298</v>
      </c>
      <c r="B4" s="32">
        <v>66140</v>
      </c>
    </row>
    <row r="5" spans="1:2">
      <c r="A5" t="s">
        <v>295</v>
      </c>
      <c r="B5" s="79">
        <v>0.5</v>
      </c>
    </row>
    <row r="6" spans="1:2">
      <c r="A6" t="s">
        <v>299</v>
      </c>
      <c r="B6" s="32">
        <f>B4*B3*B2*12*B5</f>
        <v>59526000</v>
      </c>
    </row>
    <row r="7" spans="1:2">
      <c r="A7" t="s">
        <v>296</v>
      </c>
      <c r="B7" s="32">
        <v>30</v>
      </c>
    </row>
    <row r="8" spans="1:2">
      <c r="A8" t="s">
        <v>297</v>
      </c>
      <c r="B8" s="32">
        <v>300000</v>
      </c>
    </row>
    <row r="9" spans="1:2">
      <c r="A9" t="s">
        <v>300</v>
      </c>
      <c r="B9" s="32">
        <f>B8*B7*12</f>
        <v>108000000</v>
      </c>
    </row>
    <row r="10" spans="1:2" ht="24" customHeight="1">
      <c r="A10" s="80" t="s">
        <v>124</v>
      </c>
      <c r="B10" s="32">
        <f>B6*0.2</f>
        <v>11905200</v>
      </c>
    </row>
    <row r="11" spans="1:2">
      <c r="A11" t="s">
        <v>125</v>
      </c>
      <c r="B11" s="32">
        <f>B10+B6+B9</f>
        <v>179431200</v>
      </c>
    </row>
    <row r="12" spans="1:2">
      <c r="B12" s="79"/>
    </row>
    <row r="13" spans="1:2">
      <c r="B13" s="79"/>
    </row>
    <row r="14" spans="1:2">
      <c r="A14" t="s">
        <v>238</v>
      </c>
      <c r="B14" t="s">
        <v>239</v>
      </c>
    </row>
    <row r="15" spans="1:2">
      <c r="A15" t="s">
        <v>116</v>
      </c>
      <c r="B15">
        <f>9+5</f>
        <v>14</v>
      </c>
    </row>
    <row r="16" spans="1:2">
      <c r="A16" t="s">
        <v>240</v>
      </c>
      <c r="B16">
        <v>40</v>
      </c>
    </row>
    <row r="17" spans="1:2">
      <c r="A17" t="s">
        <v>241</v>
      </c>
      <c r="B17" s="32">
        <f>E78</f>
        <v>131046</v>
      </c>
    </row>
    <row r="18" spans="1:2">
      <c r="A18" t="s">
        <v>242</v>
      </c>
      <c r="B18" s="32">
        <f>B17*B16/C$78*B15</f>
        <v>917322</v>
      </c>
    </row>
    <row r="20" spans="1:2">
      <c r="B20" t="s">
        <v>243</v>
      </c>
    </row>
    <row r="21" spans="1:2">
      <c r="A21" t="s">
        <v>116</v>
      </c>
      <c r="B21">
        <f>244/2</f>
        <v>122</v>
      </c>
    </row>
    <row r="22" spans="1:2">
      <c r="A22" t="s">
        <v>240</v>
      </c>
      <c r="B22">
        <v>20</v>
      </c>
    </row>
    <row r="23" spans="1:2">
      <c r="A23" t="s">
        <v>241</v>
      </c>
      <c r="B23" s="32">
        <f>B17</f>
        <v>131046</v>
      </c>
    </row>
    <row r="24" spans="1:2">
      <c r="A24" t="s">
        <v>242</v>
      </c>
      <c r="B24" s="32">
        <f>B23*B22/C$78*B21</f>
        <v>3996903</v>
      </c>
    </row>
    <row r="26" spans="1:2">
      <c r="B26" t="s">
        <v>328</v>
      </c>
    </row>
    <row r="27" spans="1:2">
      <c r="A27" t="s">
        <v>116</v>
      </c>
      <c r="B27">
        <f>B80+B81</f>
        <v>682</v>
      </c>
    </row>
    <row r="28" spans="1:2">
      <c r="A28" t="s">
        <v>240</v>
      </c>
      <c r="B28">
        <v>40</v>
      </c>
    </row>
    <row r="29" spans="1:2">
      <c r="A29" t="s">
        <v>329</v>
      </c>
      <c r="B29" s="32">
        <f>E80</f>
        <v>23416</v>
      </c>
    </row>
    <row r="30" spans="1:2">
      <c r="A30" t="s">
        <v>242</v>
      </c>
      <c r="B30" s="32">
        <f>B29*B28/C$80*B27</f>
        <v>21292949.333333332</v>
      </c>
    </row>
    <row r="33" spans="1:2">
      <c r="B33" t="s">
        <v>306</v>
      </c>
    </row>
    <row r="34" spans="1:2">
      <c r="A34" t="s">
        <v>116</v>
      </c>
      <c r="B34">
        <v>8</v>
      </c>
    </row>
    <row r="35" spans="1:2">
      <c r="A35" t="s">
        <v>240</v>
      </c>
      <c r="B35">
        <v>40</v>
      </c>
    </row>
    <row r="36" spans="1:2">
      <c r="A36" t="s">
        <v>241</v>
      </c>
      <c r="B36" s="32">
        <f>B23</f>
        <v>131046</v>
      </c>
    </row>
    <row r="37" spans="1:2">
      <c r="A37" t="s">
        <v>242</v>
      </c>
      <c r="B37" s="32">
        <f>B36*B35/C$78*B34</f>
        <v>524184</v>
      </c>
    </row>
    <row r="52" spans="1:6">
      <c r="A52" t="s">
        <v>70</v>
      </c>
    </row>
    <row r="53" spans="1:6" ht="30">
      <c r="A53" s="59" t="s">
        <v>115</v>
      </c>
      <c r="B53" s="64" t="s">
        <v>78</v>
      </c>
      <c r="C53" s="64" t="s">
        <v>79</v>
      </c>
      <c r="D53" s="64" t="s">
        <v>82</v>
      </c>
      <c r="E53" s="64" t="s">
        <v>80</v>
      </c>
      <c r="F53" s="65" t="s">
        <v>81</v>
      </c>
    </row>
    <row r="54" spans="1:6">
      <c r="A54" s="62" t="s">
        <v>71</v>
      </c>
      <c r="B54" s="50" t="s">
        <v>83</v>
      </c>
      <c r="C54" s="50">
        <v>5</v>
      </c>
      <c r="D54" s="50">
        <v>1</v>
      </c>
      <c r="E54" s="66">
        <v>700000</v>
      </c>
      <c r="F54" s="67">
        <f>+E54*D54*C54</f>
        <v>3500000</v>
      </c>
    </row>
    <row r="55" spans="1:6">
      <c r="A55" s="62" t="s">
        <v>72</v>
      </c>
      <c r="B55" s="50" t="s">
        <v>83</v>
      </c>
      <c r="C55" s="50">
        <v>5</v>
      </c>
      <c r="D55" s="50">
        <v>2</v>
      </c>
      <c r="E55" s="66">
        <v>425000</v>
      </c>
      <c r="F55" s="67">
        <f>+E55*D55*C55</f>
        <v>4250000</v>
      </c>
    </row>
    <row r="56" spans="1:6">
      <c r="A56" s="62" t="s">
        <v>73</v>
      </c>
      <c r="B56" s="50" t="s">
        <v>83</v>
      </c>
      <c r="C56" s="50">
        <v>4</v>
      </c>
      <c r="D56" s="50">
        <v>1</v>
      </c>
      <c r="E56" s="66">
        <v>560000</v>
      </c>
      <c r="F56" s="67">
        <f>+E56*D56*C56</f>
        <v>2240000</v>
      </c>
    </row>
    <row r="57" spans="1:6">
      <c r="A57" s="62" t="s">
        <v>74</v>
      </c>
      <c r="B57" s="50" t="s">
        <v>84</v>
      </c>
      <c r="C57" s="50">
        <v>200</v>
      </c>
      <c r="D57" s="50"/>
      <c r="E57" s="66">
        <v>20000</v>
      </c>
      <c r="F57" s="67">
        <f>+E57*C57</f>
        <v>4000000</v>
      </c>
    </row>
    <row r="58" spans="1:6">
      <c r="A58" s="62" t="s">
        <v>75</v>
      </c>
      <c r="B58" s="50"/>
      <c r="C58" s="50"/>
      <c r="D58" s="50"/>
      <c r="E58" s="66"/>
      <c r="F58" s="67">
        <f>SUM(F54:F57)</f>
        <v>13990000</v>
      </c>
    </row>
    <row r="59" spans="1:6">
      <c r="A59" s="62" t="s">
        <v>76</v>
      </c>
      <c r="B59" s="50"/>
      <c r="C59" s="50"/>
      <c r="D59" s="50"/>
      <c r="E59" s="66"/>
      <c r="F59" s="67">
        <f>F58*0.2</f>
        <v>2798000</v>
      </c>
    </row>
    <row r="60" spans="1:6">
      <c r="A60" s="63" t="s">
        <v>77</v>
      </c>
      <c r="B60" s="56"/>
      <c r="C60" s="56"/>
      <c r="D60" s="56"/>
      <c r="E60" s="68"/>
      <c r="F60" s="69">
        <f>F59+F58</f>
        <v>16788000</v>
      </c>
    </row>
    <row r="61" spans="1:6">
      <c r="E61" s="32"/>
      <c r="F61" s="32"/>
    </row>
    <row r="62" spans="1:6">
      <c r="E62" s="32"/>
      <c r="F62" s="32"/>
    </row>
    <row r="63" spans="1:6">
      <c r="A63" s="59" t="s">
        <v>85</v>
      </c>
      <c r="B63" s="60"/>
      <c r="C63" s="60"/>
      <c r="D63" s="60"/>
      <c r="E63" s="70"/>
      <c r="F63" s="71"/>
    </row>
    <row r="64" spans="1:6">
      <c r="A64" s="62" t="s">
        <v>86</v>
      </c>
      <c r="B64" s="50"/>
      <c r="C64" s="50">
        <v>4</v>
      </c>
      <c r="D64" s="50">
        <v>1</v>
      </c>
      <c r="E64" s="72">
        <v>454500</v>
      </c>
      <c r="F64" s="51">
        <f>+E64*D64*C64</f>
        <v>1818000</v>
      </c>
    </row>
    <row r="65" spans="1:10">
      <c r="A65" s="62" t="s">
        <v>87</v>
      </c>
      <c r="B65" s="50"/>
      <c r="C65" s="50">
        <v>4</v>
      </c>
      <c r="D65" s="50">
        <v>1</v>
      </c>
      <c r="E65" s="72">
        <v>725000</v>
      </c>
      <c r="F65" s="51">
        <f>+E65*D65*C65</f>
        <v>2900000</v>
      </c>
    </row>
    <row r="66" spans="1:10">
      <c r="A66" s="62" t="s">
        <v>88</v>
      </c>
      <c r="B66" s="50"/>
      <c r="C66" s="50">
        <v>4</v>
      </c>
      <c r="D66" s="50">
        <v>1</v>
      </c>
      <c r="E66" s="72">
        <v>487500</v>
      </c>
      <c r="F66" s="51">
        <f>+E66*D66*C66</f>
        <v>1950000</v>
      </c>
    </row>
    <row r="67" spans="1:10">
      <c r="A67" s="62" t="s">
        <v>89</v>
      </c>
      <c r="B67" s="50"/>
      <c r="C67" s="50">
        <v>4</v>
      </c>
      <c r="D67" s="50">
        <v>1</v>
      </c>
      <c r="E67" s="72">
        <v>487500</v>
      </c>
      <c r="F67" s="51">
        <f>+E67*D67*C67</f>
        <v>1950000</v>
      </c>
    </row>
    <row r="68" spans="1:10">
      <c r="A68" s="62" t="s">
        <v>90</v>
      </c>
      <c r="B68" s="50"/>
      <c r="C68" s="50">
        <v>4</v>
      </c>
      <c r="D68" s="50">
        <v>1</v>
      </c>
      <c r="E68" s="72">
        <v>500000</v>
      </c>
      <c r="F68" s="51">
        <f>+E68*D68*C68</f>
        <v>2000000</v>
      </c>
    </row>
    <row r="69" spans="1:10">
      <c r="A69" s="62" t="s">
        <v>75</v>
      </c>
      <c r="B69" s="50"/>
      <c r="C69" s="50"/>
      <c r="D69" s="50"/>
      <c r="E69" s="72"/>
      <c r="F69" s="51">
        <f>SUM(F64:F68)</f>
        <v>10618000</v>
      </c>
      <c r="H69" s="31"/>
    </row>
    <row r="70" spans="1:10">
      <c r="A70" s="62" t="s">
        <v>76</v>
      </c>
      <c r="B70" s="50"/>
      <c r="C70" s="50"/>
      <c r="D70" s="50"/>
      <c r="E70" s="72"/>
      <c r="F70" s="51">
        <f>F69*0.2</f>
        <v>2123600</v>
      </c>
    </row>
    <row r="71" spans="1:10">
      <c r="A71" s="63" t="s">
        <v>77</v>
      </c>
      <c r="B71" s="56"/>
      <c r="C71" s="56"/>
      <c r="D71" s="56"/>
      <c r="E71" s="73"/>
      <c r="F71" s="58">
        <f>F70+F69</f>
        <v>12741600</v>
      </c>
    </row>
    <row r="72" spans="1:10">
      <c r="E72" s="32"/>
      <c r="F72" s="32"/>
    </row>
    <row r="73" spans="1:10">
      <c r="A73" s="74" t="s">
        <v>91</v>
      </c>
      <c r="B73" s="75"/>
      <c r="C73" s="75"/>
      <c r="D73" s="75"/>
      <c r="E73" s="76"/>
      <c r="F73" s="77">
        <f>F71+F60</f>
        <v>29529600</v>
      </c>
    </row>
    <row r="76" spans="1:10">
      <c r="A76" t="s">
        <v>92</v>
      </c>
    </row>
    <row r="77" spans="1:10">
      <c r="A77" s="59"/>
      <c r="B77" s="60" t="s">
        <v>327</v>
      </c>
      <c r="C77" s="60" t="s">
        <v>94</v>
      </c>
      <c r="D77" s="60"/>
      <c r="E77" s="61" t="s">
        <v>100</v>
      </c>
    </row>
    <row r="78" spans="1:10">
      <c r="A78" s="62" t="s">
        <v>93</v>
      </c>
      <c r="B78" s="50">
        <v>229</v>
      </c>
      <c r="C78" s="50">
        <v>80</v>
      </c>
      <c r="D78" s="50"/>
      <c r="E78" s="51">
        <v>131046</v>
      </c>
      <c r="F78" s="32"/>
      <c r="G78" s="32"/>
      <c r="H78" s="32"/>
      <c r="I78" s="32"/>
      <c r="J78" s="32"/>
    </row>
    <row r="79" spans="1:10">
      <c r="A79" s="62" t="s">
        <v>95</v>
      </c>
      <c r="B79" s="50">
        <v>327</v>
      </c>
      <c r="C79" s="50">
        <v>80</v>
      </c>
      <c r="D79" s="50"/>
      <c r="E79" s="51">
        <v>158109</v>
      </c>
      <c r="F79" s="32"/>
      <c r="G79" s="32"/>
      <c r="H79" s="32"/>
      <c r="I79" s="32"/>
      <c r="J79" s="32"/>
    </row>
    <row r="80" spans="1:10">
      <c r="A80" s="62" t="s">
        <v>96</v>
      </c>
      <c r="B80" s="50">
        <v>650</v>
      </c>
      <c r="C80" s="50">
        <v>30</v>
      </c>
      <c r="D80" s="50"/>
      <c r="E80" s="51">
        <v>23416</v>
      </c>
      <c r="F80" s="32"/>
      <c r="G80" s="32"/>
      <c r="H80" s="32"/>
      <c r="I80" s="32"/>
      <c r="J80" s="32"/>
    </row>
    <row r="81" spans="1:10">
      <c r="A81" s="62" t="s">
        <v>97</v>
      </c>
      <c r="B81" s="171">
        <v>32</v>
      </c>
      <c r="C81" s="50">
        <v>30</v>
      </c>
      <c r="D81" s="50"/>
      <c r="E81" s="51">
        <v>62590</v>
      </c>
      <c r="F81" s="32"/>
      <c r="G81" s="32"/>
      <c r="H81" s="32"/>
      <c r="I81" s="32"/>
      <c r="J81" s="32"/>
    </row>
    <row r="82" spans="1:10">
      <c r="A82" s="62" t="s">
        <v>98</v>
      </c>
      <c r="B82" s="50"/>
      <c r="C82" s="50">
        <v>30</v>
      </c>
      <c r="D82" s="50"/>
      <c r="E82" s="51">
        <v>107777</v>
      </c>
      <c r="F82" s="32"/>
      <c r="G82" s="32"/>
      <c r="H82" s="32"/>
      <c r="I82" s="32"/>
      <c r="J82" s="32"/>
    </row>
    <row r="83" spans="1:10">
      <c r="A83" s="63" t="s">
        <v>99</v>
      </c>
      <c r="B83" s="56"/>
      <c r="C83" s="56">
        <v>30</v>
      </c>
      <c r="D83" s="56"/>
      <c r="E83" s="57">
        <v>57828</v>
      </c>
      <c r="F83" s="32"/>
      <c r="G83" s="32"/>
      <c r="H83" s="32"/>
      <c r="I83" s="32"/>
      <c r="J83" s="32"/>
    </row>
    <row r="84" spans="1:10">
      <c r="E84" s="32"/>
      <c r="F84" s="32"/>
      <c r="G84" s="32"/>
      <c r="H84" s="32"/>
      <c r="I84" s="32"/>
      <c r="J84" s="32"/>
    </row>
    <row r="85" spans="1:10">
      <c r="E85" s="32"/>
      <c r="F85" s="32"/>
      <c r="G85" s="32"/>
      <c r="H85" s="32"/>
      <c r="I85" s="32"/>
      <c r="J85" s="32"/>
    </row>
    <row r="86" spans="1:10">
      <c r="A86" t="s">
        <v>101</v>
      </c>
      <c r="C86" t="s">
        <v>109</v>
      </c>
      <c r="E86" s="32"/>
      <c r="F86" s="32"/>
      <c r="G86" s="32"/>
      <c r="H86" s="32"/>
      <c r="I86" s="32"/>
      <c r="J86" s="32"/>
    </row>
    <row r="87" spans="1:10">
      <c r="A87" s="46" t="s">
        <v>105</v>
      </c>
      <c r="B87" s="47"/>
      <c r="C87" s="47"/>
      <c r="D87" s="47"/>
      <c r="E87" s="48">
        <f>E88+E89</f>
        <v>220000</v>
      </c>
      <c r="F87" s="32"/>
      <c r="G87" s="32"/>
      <c r="H87" s="32"/>
      <c r="I87" s="32"/>
      <c r="J87" s="32"/>
    </row>
    <row r="88" spans="1:10">
      <c r="A88" s="49" t="s">
        <v>102</v>
      </c>
      <c r="B88" s="50" t="s">
        <v>110</v>
      </c>
      <c r="C88" s="50">
        <v>2</v>
      </c>
      <c r="D88" s="50">
        <v>65000</v>
      </c>
      <c r="E88" s="51">
        <f>D88*C88</f>
        <v>130000</v>
      </c>
      <c r="F88" s="32"/>
      <c r="G88" s="32"/>
      <c r="H88" s="32"/>
      <c r="I88" s="32"/>
      <c r="J88" s="32"/>
    </row>
    <row r="89" spans="1:10">
      <c r="A89" s="49" t="s">
        <v>103</v>
      </c>
      <c r="B89" s="50" t="s">
        <v>111</v>
      </c>
      <c r="C89" s="50">
        <v>18</v>
      </c>
      <c r="D89" s="50">
        <v>5000</v>
      </c>
      <c r="E89" s="51">
        <f>D89*C89</f>
        <v>90000</v>
      </c>
      <c r="F89" s="32"/>
      <c r="G89" s="32"/>
      <c r="H89" s="32"/>
      <c r="I89" s="32"/>
      <c r="J89" s="32"/>
    </row>
    <row r="90" spans="1:10">
      <c r="A90" s="52" t="s">
        <v>104</v>
      </c>
      <c r="B90" s="53"/>
      <c r="C90" s="53"/>
      <c r="D90" s="53"/>
      <c r="E90" s="54">
        <f>SUM(E91:E93)</f>
        <v>69500</v>
      </c>
      <c r="F90" s="32"/>
      <c r="G90" s="32"/>
      <c r="H90" s="32"/>
      <c r="I90" s="32"/>
      <c r="J90" s="32"/>
    </row>
    <row r="91" spans="1:10">
      <c r="A91" s="49" t="s">
        <v>106</v>
      </c>
      <c r="B91" s="50" t="s">
        <v>112</v>
      </c>
      <c r="C91" s="50">
        <v>2</v>
      </c>
      <c r="D91" s="50">
        <v>25000</v>
      </c>
      <c r="E91" s="51">
        <f>D91*C91</f>
        <v>50000</v>
      </c>
      <c r="F91" s="32"/>
      <c r="G91" s="32"/>
      <c r="H91" s="32"/>
      <c r="I91" s="32"/>
      <c r="J91" s="32"/>
    </row>
    <row r="92" spans="1:10">
      <c r="A92" s="49" t="s">
        <v>107</v>
      </c>
      <c r="B92" s="50" t="s">
        <v>113</v>
      </c>
      <c r="C92" s="50">
        <v>3</v>
      </c>
      <c r="D92" s="50">
        <v>5000</v>
      </c>
      <c r="E92" s="51">
        <f>D92*C92</f>
        <v>15000</v>
      </c>
      <c r="F92" s="32"/>
      <c r="G92" s="32"/>
      <c r="H92" s="32"/>
      <c r="I92" s="32"/>
      <c r="J92" s="32"/>
    </row>
    <row r="93" spans="1:10">
      <c r="A93" s="49" t="s">
        <v>108</v>
      </c>
      <c r="B93" s="50" t="s">
        <v>114</v>
      </c>
      <c r="C93" s="50">
        <v>3</v>
      </c>
      <c r="D93" s="50">
        <v>1500</v>
      </c>
      <c r="E93" s="51">
        <f>D93*C93</f>
        <v>4500</v>
      </c>
      <c r="F93" s="32"/>
      <c r="G93" s="32"/>
      <c r="H93" s="32"/>
      <c r="I93" s="32"/>
      <c r="J93" s="32"/>
    </row>
    <row r="94" spans="1:10">
      <c r="A94" s="49"/>
      <c r="B94" s="50"/>
      <c r="C94" s="50"/>
      <c r="D94" s="50"/>
      <c r="E94" s="51"/>
      <c r="F94" s="32"/>
      <c r="G94" s="32"/>
      <c r="H94" s="32"/>
      <c r="I94" s="32"/>
      <c r="J94" s="32"/>
    </row>
    <row r="95" spans="1:10">
      <c r="A95" s="49" t="s">
        <v>116</v>
      </c>
      <c r="B95" s="50"/>
      <c r="C95" s="50"/>
      <c r="D95" s="50"/>
      <c r="E95" s="51">
        <v>20</v>
      </c>
      <c r="F95" s="32"/>
      <c r="G95" s="32"/>
      <c r="H95" s="32"/>
      <c r="I95" s="32"/>
      <c r="J95" s="32"/>
    </row>
    <row r="96" spans="1:10">
      <c r="A96" s="49" t="s">
        <v>117</v>
      </c>
      <c r="B96" s="50"/>
      <c r="C96" s="50"/>
      <c r="D96" s="50"/>
      <c r="E96" s="51">
        <f>+E95*E90</f>
        <v>1390000</v>
      </c>
      <c r="F96" s="32"/>
      <c r="G96" s="32"/>
      <c r="H96" s="32"/>
      <c r="I96" s="32"/>
      <c r="J96" s="32"/>
    </row>
    <row r="97" spans="1:10">
      <c r="A97" s="49" t="s">
        <v>118</v>
      </c>
      <c r="B97" s="50"/>
      <c r="C97" s="50"/>
      <c r="D97" s="50"/>
      <c r="E97" s="51">
        <f>E96+E87</f>
        <v>1610000</v>
      </c>
      <c r="F97" s="32"/>
      <c r="G97" s="32"/>
      <c r="H97" s="32"/>
      <c r="I97" s="32"/>
      <c r="J97" s="32"/>
    </row>
    <row r="98" spans="1:10">
      <c r="A98" s="49" t="s">
        <v>119</v>
      </c>
      <c r="B98" s="50"/>
      <c r="C98" s="50"/>
      <c r="D98" s="50"/>
      <c r="E98" s="51">
        <f>E97*0.2</f>
        <v>322000</v>
      </c>
      <c r="F98" s="32"/>
      <c r="G98" s="32"/>
      <c r="H98" s="32"/>
      <c r="I98" s="32"/>
      <c r="J98" s="32"/>
    </row>
    <row r="99" spans="1:10">
      <c r="A99" s="55" t="s">
        <v>120</v>
      </c>
      <c r="B99" s="56"/>
      <c r="C99" s="56"/>
      <c r="D99" s="56"/>
      <c r="E99" s="58">
        <f>E98+E97</f>
        <v>1932000</v>
      </c>
      <c r="F99" s="32"/>
      <c r="G99" s="32"/>
      <c r="H99" s="32"/>
      <c r="I99" s="32"/>
      <c r="J99" s="32"/>
    </row>
    <row r="100" spans="1:10">
      <c r="E100" s="32"/>
      <c r="F100" s="32"/>
      <c r="G100" s="32"/>
      <c r="H100" s="32"/>
      <c r="I100" s="32"/>
      <c r="J100" s="32"/>
    </row>
    <row r="101" spans="1:10">
      <c r="E101" s="32"/>
      <c r="F101" s="32"/>
      <c r="G101" s="32"/>
      <c r="H101" s="32"/>
      <c r="I101" s="32"/>
      <c r="J101" s="32"/>
    </row>
    <row r="102" spans="1:10">
      <c r="A102" s="114" t="s">
        <v>244</v>
      </c>
      <c r="B102" s="103"/>
      <c r="C102" s="102"/>
      <c r="D102" s="102"/>
      <c r="E102" s="102"/>
      <c r="F102" s="102"/>
      <c r="G102" s="102"/>
      <c r="H102" s="102"/>
      <c r="I102" s="102"/>
      <c r="J102" s="32"/>
    </row>
    <row r="103" spans="1:10">
      <c r="A103" s="103"/>
      <c r="B103" s="103"/>
      <c r="C103" s="102"/>
      <c r="D103" s="102"/>
      <c r="E103" s="102"/>
      <c r="F103" s="102"/>
      <c r="G103" s="102"/>
      <c r="H103" s="102"/>
      <c r="I103" s="102"/>
      <c r="J103" s="32"/>
    </row>
    <row r="104" spans="1:10">
      <c r="A104" s="103" t="s">
        <v>245</v>
      </c>
      <c r="B104" s="103">
        <f>SUM(B105:B108)</f>
        <v>49</v>
      </c>
      <c r="C104" s="102"/>
      <c r="D104" s="102"/>
      <c r="E104" s="102"/>
      <c r="F104" s="102"/>
      <c r="G104" s="102"/>
      <c r="H104" s="102"/>
      <c r="I104" s="102"/>
      <c r="J104" s="32"/>
    </row>
    <row r="105" spans="1:10">
      <c r="A105" s="103" t="s">
        <v>246</v>
      </c>
      <c r="B105" s="103">
        <v>7</v>
      </c>
      <c r="C105" s="102"/>
      <c r="D105" s="102"/>
      <c r="E105" s="102"/>
      <c r="F105" s="102"/>
      <c r="G105" s="102"/>
      <c r="H105" s="102"/>
      <c r="I105" s="102"/>
      <c r="J105" s="32"/>
    </row>
    <row r="106" spans="1:10">
      <c r="A106" s="103" t="s">
        <v>247</v>
      </c>
      <c r="B106" s="103">
        <v>38</v>
      </c>
      <c r="C106" s="102"/>
      <c r="D106" s="102"/>
      <c r="E106" s="102"/>
      <c r="F106" s="102"/>
      <c r="G106" s="102"/>
      <c r="H106" s="102"/>
      <c r="I106" s="102"/>
    </row>
    <row r="107" spans="1:10">
      <c r="A107" s="103" t="s">
        <v>248</v>
      </c>
      <c r="B107" s="103">
        <v>4</v>
      </c>
      <c r="C107" s="102"/>
      <c r="D107" s="102"/>
      <c r="E107" s="102"/>
      <c r="F107" s="102"/>
      <c r="G107" s="102"/>
      <c r="H107" s="102"/>
      <c r="I107" s="102"/>
    </row>
    <row r="108" spans="1:10">
      <c r="A108" s="102"/>
      <c r="B108" s="102"/>
      <c r="C108" s="102"/>
      <c r="D108" s="102"/>
      <c r="E108" s="102"/>
      <c r="F108" s="102"/>
      <c r="G108" s="102"/>
      <c r="H108" s="102"/>
      <c r="I108" s="102"/>
    </row>
    <row r="109" spans="1:10">
      <c r="A109" s="102"/>
      <c r="B109" s="102"/>
      <c r="C109" s="102"/>
      <c r="D109" s="102"/>
      <c r="E109" s="102"/>
      <c r="F109" s="102"/>
      <c r="G109" s="102"/>
      <c r="H109" s="102"/>
    </row>
    <row r="110" spans="1:10">
      <c r="A110" s="103"/>
      <c r="B110" s="103">
        <v>2019</v>
      </c>
      <c r="C110" s="104">
        <v>2020</v>
      </c>
      <c r="D110" s="104">
        <v>2021</v>
      </c>
      <c r="E110" s="104">
        <v>2022</v>
      </c>
      <c r="F110" s="104">
        <v>2023</v>
      </c>
      <c r="G110" s="104" t="s">
        <v>81</v>
      </c>
      <c r="H110" s="102"/>
    </row>
    <row r="111" spans="1:10">
      <c r="A111" s="103" t="s">
        <v>249</v>
      </c>
      <c r="B111" s="103"/>
      <c r="C111" s="103"/>
      <c r="D111" s="103"/>
      <c r="E111" s="103"/>
      <c r="F111" s="103"/>
      <c r="G111" s="103" t="s">
        <v>81</v>
      </c>
      <c r="H111" s="102"/>
    </row>
    <row r="112" spans="1:10">
      <c r="A112" s="105" t="s">
        <v>250</v>
      </c>
      <c r="B112" s="105">
        <f t="shared" ref="B112:G112" si="0">SUM(B113:B117)</f>
        <v>0</v>
      </c>
      <c r="C112" s="105">
        <f t="shared" si="0"/>
        <v>0</v>
      </c>
      <c r="D112" s="338">
        <f t="shared" si="0"/>
        <v>4712.8984299999993</v>
      </c>
      <c r="E112" s="338">
        <f t="shared" si="0"/>
        <v>2931.114345</v>
      </c>
      <c r="F112" s="105">
        <f t="shared" si="0"/>
        <v>0</v>
      </c>
      <c r="G112" s="106">
        <f t="shared" si="0"/>
        <v>7644.0127750000011</v>
      </c>
      <c r="H112" s="102"/>
    </row>
    <row r="113" spans="1:10">
      <c r="A113" s="103" t="s">
        <v>246</v>
      </c>
      <c r="B113" s="103"/>
      <c r="C113" s="107"/>
      <c r="D113" s="339">
        <f>2860.6+114.424</f>
        <v>2975.0239999999999</v>
      </c>
      <c r="E113" s="339"/>
      <c r="F113" s="339"/>
      <c r="G113" s="331">
        <f>SUM(B113:F113)</f>
        <v>2975.0239999999999</v>
      </c>
      <c r="H113" s="102"/>
    </row>
    <row r="114" spans="1:10">
      <c r="A114" s="103" t="s">
        <v>247</v>
      </c>
      <c r="B114" s="103"/>
      <c r="C114" s="107"/>
      <c r="D114" s="339">
        <f>186.55+7.462</f>
        <v>194.012</v>
      </c>
      <c r="E114" s="339"/>
      <c r="F114" s="339"/>
      <c r="G114" s="331">
        <f>SUM(B114:F114)</f>
        <v>194.012</v>
      </c>
      <c r="H114" s="102"/>
    </row>
    <row r="115" spans="1:10">
      <c r="A115" s="103" t="s">
        <v>248</v>
      </c>
      <c r="B115" s="103"/>
      <c r="C115" s="107"/>
      <c r="D115" s="339"/>
      <c r="E115" s="339">
        <f>1960.7+83.428</f>
        <v>2044.1280000000002</v>
      </c>
      <c r="F115" s="339"/>
      <c r="G115" s="331">
        <f>SUM(B115:F115)</f>
        <v>2044.1280000000002</v>
      </c>
      <c r="H115" s="102"/>
    </row>
    <row r="116" spans="1:10">
      <c r="A116" s="103" t="s">
        <v>251</v>
      </c>
      <c r="B116" s="103"/>
      <c r="C116" s="107"/>
      <c r="D116" s="339">
        <f>D232*500/1000000</f>
        <v>1410.1379300000001</v>
      </c>
      <c r="E116" s="339">
        <f>D237*500/1000000</f>
        <v>886.98634500000003</v>
      </c>
      <c r="F116" s="339"/>
      <c r="G116" s="331">
        <f>SUM(B116:F116)</f>
        <v>2297.1242750000001</v>
      </c>
      <c r="H116" s="102"/>
    </row>
    <row r="117" spans="1:10">
      <c r="A117" s="103" t="s">
        <v>252</v>
      </c>
      <c r="B117" s="103"/>
      <c r="C117" s="107"/>
      <c r="D117" s="339">
        <v>133.72449999999981</v>
      </c>
      <c r="E117" s="339"/>
      <c r="F117" s="339"/>
      <c r="G117" s="340">
        <f>SUM(B117:F117)</f>
        <v>133.72449999999981</v>
      </c>
      <c r="H117" s="102"/>
    </row>
    <row r="118" spans="1:10">
      <c r="A118" s="102"/>
      <c r="B118" s="109"/>
      <c r="C118" s="102"/>
      <c r="D118" s="102"/>
      <c r="E118" s="102"/>
      <c r="F118" s="102"/>
      <c r="G118" s="102"/>
      <c r="H118" s="102"/>
      <c r="I118" s="102"/>
    </row>
    <row r="119" spans="1:10">
      <c r="A119" s="102"/>
      <c r="B119" s="109"/>
      <c r="C119" s="102"/>
      <c r="D119" s="102"/>
      <c r="E119" s="102"/>
      <c r="F119" s="102"/>
      <c r="G119" s="102"/>
      <c r="H119" s="102"/>
      <c r="I119" s="102"/>
    </row>
    <row r="120" spans="1:10">
      <c r="A120" s="102"/>
      <c r="B120" s="110"/>
      <c r="C120" s="102"/>
      <c r="D120" s="102"/>
      <c r="E120" s="102"/>
      <c r="F120" s="102"/>
      <c r="G120" s="102"/>
      <c r="H120" s="102"/>
      <c r="I120" s="102"/>
    </row>
    <row r="121" spans="1:10">
      <c r="A121" s="102" t="s">
        <v>253</v>
      </c>
      <c r="B121" s="102"/>
      <c r="C121" s="102"/>
      <c r="D121" s="102"/>
      <c r="E121" s="102"/>
      <c r="F121" s="102"/>
      <c r="G121" s="102"/>
      <c r="H121" s="102"/>
      <c r="I121" s="102"/>
    </row>
    <row r="122" spans="1:10">
      <c r="A122" s="102" t="s">
        <v>254</v>
      </c>
      <c r="B122" s="102"/>
      <c r="C122" s="102"/>
      <c r="D122" s="111">
        <f>D169</f>
        <v>3302.7604999999999</v>
      </c>
      <c r="E122" s="111">
        <f>E169</f>
        <v>2044.1279999999999</v>
      </c>
      <c r="F122" s="112"/>
      <c r="G122" s="112"/>
      <c r="H122" s="111">
        <f>SUM(B122:G122)</f>
        <v>5346.8885</v>
      </c>
      <c r="I122" s="102"/>
    </row>
    <row r="123" spans="1:10">
      <c r="A123" s="102" t="s">
        <v>255</v>
      </c>
      <c r="B123" s="102"/>
      <c r="C123" s="102"/>
      <c r="D123" s="102"/>
      <c r="E123" s="102"/>
      <c r="F123" s="102"/>
      <c r="G123" s="102"/>
      <c r="H123" s="102"/>
      <c r="I123" s="102"/>
    </row>
    <row r="124" spans="1:10" s="231" customFormat="1">
      <c r="A124" s="102"/>
      <c r="B124" s="102"/>
      <c r="C124" s="102"/>
      <c r="D124" s="102"/>
      <c r="E124" s="102"/>
      <c r="F124" s="102"/>
      <c r="G124" s="102"/>
      <c r="H124" s="102"/>
      <c r="I124" s="102"/>
    </row>
    <row r="125" spans="1:10">
      <c r="A125" s="102" t="s">
        <v>465</v>
      </c>
      <c r="B125" s="102"/>
      <c r="C125" s="102"/>
      <c r="D125" s="102"/>
      <c r="E125" s="102"/>
      <c r="F125" s="102"/>
      <c r="G125" s="102"/>
      <c r="H125" s="102"/>
      <c r="I125" s="102"/>
    </row>
    <row r="126" spans="1:10">
      <c r="A126" s="103"/>
      <c r="B126" s="103">
        <v>2019</v>
      </c>
      <c r="C126" s="103">
        <v>2020</v>
      </c>
      <c r="D126" s="103">
        <v>2021</v>
      </c>
      <c r="E126" s="103">
        <v>2022</v>
      </c>
      <c r="F126" s="103">
        <v>2023</v>
      </c>
      <c r="G126" s="103" t="s">
        <v>81</v>
      </c>
      <c r="H126" s="103">
        <v>2024</v>
      </c>
      <c r="I126" s="102"/>
      <c r="J126" s="102"/>
    </row>
    <row r="127" spans="1:10">
      <c r="A127" s="103" t="s">
        <v>256</v>
      </c>
      <c r="B127" s="103">
        <v>244</v>
      </c>
      <c r="C127" s="103"/>
      <c r="D127" s="103"/>
      <c r="E127" s="103"/>
      <c r="F127" s="103"/>
      <c r="G127" s="103"/>
      <c r="H127" s="103"/>
      <c r="I127" s="102"/>
      <c r="J127" s="102"/>
    </row>
    <row r="128" spans="1:10">
      <c r="A128" s="103" t="s">
        <v>257</v>
      </c>
      <c r="B128" s="103"/>
      <c r="C128" s="103"/>
      <c r="D128" s="103">
        <v>25</v>
      </c>
      <c r="E128" s="103">
        <v>45</v>
      </c>
      <c r="F128" s="103">
        <v>50</v>
      </c>
      <c r="G128" s="103"/>
      <c r="H128" s="103"/>
      <c r="I128" s="102"/>
      <c r="J128" s="102"/>
    </row>
    <row r="129" spans="1:10">
      <c r="A129" s="103" t="s">
        <v>258</v>
      </c>
      <c r="B129" s="103"/>
      <c r="C129" s="113">
        <f>C128/B130</f>
        <v>0</v>
      </c>
      <c r="D129" s="113">
        <f>D128/C130</f>
        <v>0.10245901639344263</v>
      </c>
      <c r="E129" s="113">
        <f>E128/D130</f>
        <v>0.16728624535315986</v>
      </c>
      <c r="F129" s="113">
        <f>F128/E130</f>
        <v>0.15923566878980891</v>
      </c>
      <c r="G129" s="113"/>
      <c r="H129" s="113">
        <f>H128/F130</f>
        <v>0</v>
      </c>
      <c r="I129" s="102"/>
      <c r="J129" s="102"/>
    </row>
    <row r="130" spans="1:10">
      <c r="A130" s="103" t="s">
        <v>259</v>
      </c>
      <c r="B130" s="103">
        <f>B127+B128</f>
        <v>244</v>
      </c>
      <c r="C130" s="103">
        <f>B130+C128</f>
        <v>244</v>
      </c>
      <c r="D130" s="103">
        <f>C130+D128</f>
        <v>269</v>
      </c>
      <c r="E130" s="103">
        <f>D130+E128</f>
        <v>314</v>
      </c>
      <c r="F130" s="103">
        <f>E130+F128</f>
        <v>364</v>
      </c>
      <c r="G130" s="103"/>
      <c r="H130" s="103">
        <f>F130+H128</f>
        <v>364</v>
      </c>
      <c r="I130" s="102"/>
      <c r="J130" s="102"/>
    </row>
    <row r="131" spans="1:10">
      <c r="A131" s="114" t="s">
        <v>260</v>
      </c>
      <c r="B131" s="114"/>
      <c r="C131" s="114"/>
      <c r="D131" s="115">
        <f>D130/$C$130-1</f>
        <v>0.10245901639344268</v>
      </c>
      <c r="E131" s="115">
        <f>E130/$C$130-1</f>
        <v>0.28688524590163933</v>
      </c>
      <c r="F131" s="115">
        <f>F130/$C$130-1</f>
        <v>0.49180327868852469</v>
      </c>
      <c r="G131" s="115"/>
      <c r="H131" s="115">
        <f>H130/$C$130-1</f>
        <v>0.49180327868852469</v>
      </c>
      <c r="I131" s="102"/>
      <c r="J131" s="102"/>
    </row>
    <row r="132" spans="1:10">
      <c r="A132" s="103"/>
      <c r="B132" s="103"/>
      <c r="C132" s="103"/>
      <c r="D132" s="103"/>
      <c r="E132" s="103"/>
      <c r="F132" s="103"/>
      <c r="G132" s="103"/>
      <c r="H132" s="103"/>
      <c r="I132" s="102"/>
      <c r="J132" s="102"/>
    </row>
    <row r="133" spans="1:10">
      <c r="A133" s="103" t="s">
        <v>261</v>
      </c>
      <c r="B133" s="103"/>
      <c r="C133" s="103"/>
      <c r="D133" s="116">
        <v>0.3</v>
      </c>
      <c r="E133" s="116">
        <v>0.3</v>
      </c>
      <c r="F133" s="103"/>
      <c r="G133" s="103"/>
      <c r="H133" s="103"/>
      <c r="I133" s="102"/>
      <c r="J133" s="102"/>
    </row>
    <row r="134" spans="1:10">
      <c r="A134" s="103" t="s">
        <v>262</v>
      </c>
      <c r="B134" s="108">
        <v>2773.6578921987002</v>
      </c>
      <c r="C134" s="108">
        <f>B134*(1+C133)*(1+C129)</f>
        <v>2773.6578921987002</v>
      </c>
      <c r="D134" s="108"/>
      <c r="E134" s="108">
        <f>D134*(1+E133)*(1+E129)</f>
        <v>0</v>
      </c>
      <c r="F134" s="108">
        <f>E134*(1+F133)*(1+F129)</f>
        <v>0</v>
      </c>
      <c r="G134" s="108"/>
      <c r="H134" s="108">
        <f>F134*(1+H133)*(1+H129)</f>
        <v>0</v>
      </c>
      <c r="I134" s="102"/>
      <c r="J134" s="102"/>
    </row>
    <row r="135" spans="1:10">
      <c r="A135" s="103" t="s">
        <v>263</v>
      </c>
      <c r="B135" s="108"/>
      <c r="C135" s="108"/>
      <c r="D135" s="117">
        <f>C134*D133</f>
        <v>832.09736765961009</v>
      </c>
      <c r="E135" s="117">
        <f>C134*E133</f>
        <v>832.09736765961009</v>
      </c>
      <c r="F135" s="117"/>
      <c r="G135" s="117"/>
      <c r="H135" s="117"/>
      <c r="I135" s="102"/>
      <c r="J135" s="102"/>
    </row>
    <row r="136" spans="1:10">
      <c r="A136" s="103" t="s">
        <v>264</v>
      </c>
      <c r="B136" s="108"/>
      <c r="C136" s="108">
        <f>C134+C135</f>
        <v>2773.6578921987002</v>
      </c>
      <c r="D136" s="108">
        <f>C136+D135</f>
        <v>3605.7552598583102</v>
      </c>
      <c r="E136" s="108">
        <f>D136+E135</f>
        <v>4437.8526275179202</v>
      </c>
      <c r="F136" s="108">
        <f>E136+F135</f>
        <v>4437.8526275179202</v>
      </c>
      <c r="G136" s="108"/>
      <c r="H136" s="108">
        <f>F136+H135</f>
        <v>4437.8526275179202</v>
      </c>
      <c r="I136" s="102"/>
      <c r="J136" s="102"/>
    </row>
    <row r="137" spans="1:10">
      <c r="A137" s="103" t="s">
        <v>265</v>
      </c>
      <c r="B137" s="108"/>
      <c r="C137" s="108"/>
      <c r="D137" s="117">
        <f>D136*D129</f>
        <v>369.44213728056457</v>
      </c>
      <c r="E137" s="117">
        <f>E136*E129</f>
        <v>742.39170348812797</v>
      </c>
      <c r="F137" s="117">
        <f>F136*F129</f>
        <v>706.66443113342677</v>
      </c>
      <c r="G137" s="117"/>
      <c r="H137" s="117">
        <f>H136*H129</f>
        <v>0</v>
      </c>
      <c r="I137" s="102"/>
      <c r="J137" s="102"/>
    </row>
    <row r="138" spans="1:10">
      <c r="A138" s="118" t="s">
        <v>266</v>
      </c>
      <c r="B138" s="119"/>
      <c r="C138" s="119">
        <f>C136+C137</f>
        <v>2773.6578921987002</v>
      </c>
      <c r="D138" s="119">
        <f>D136+D137</f>
        <v>3975.1973971388747</v>
      </c>
      <c r="E138" s="119">
        <f>D138+E135+E137</f>
        <v>5549.6864682866126</v>
      </c>
      <c r="F138" s="119">
        <f>E138+F135+F137</f>
        <v>6256.3508994200392</v>
      </c>
      <c r="G138" s="119"/>
      <c r="H138" s="119">
        <f>F138+H135+H137</f>
        <v>6256.3508994200392</v>
      </c>
      <c r="I138" s="102"/>
      <c r="J138" s="102"/>
    </row>
    <row r="139" spans="1:10">
      <c r="A139" s="103"/>
      <c r="B139" s="108"/>
      <c r="C139" s="108"/>
      <c r="D139" s="108"/>
      <c r="E139" s="108"/>
      <c r="F139" s="108"/>
      <c r="G139" s="108"/>
      <c r="H139" s="108"/>
      <c r="I139" s="102"/>
      <c r="J139" s="102"/>
    </row>
    <row r="140" spans="1:10">
      <c r="A140" s="103" t="s">
        <v>267</v>
      </c>
      <c r="B140" s="108">
        <v>4749.6208080098604</v>
      </c>
      <c r="C140" s="108">
        <f>B140</f>
        <v>4749.6208080098604</v>
      </c>
      <c r="D140" s="108">
        <f>C140*(1+D129)</f>
        <v>5236.2622842403789</v>
      </c>
      <c r="E140" s="108">
        <f>D140*(1+E129)</f>
        <v>6112.2169414553118</v>
      </c>
      <c r="F140" s="108">
        <f>E140*(1+F129)</f>
        <v>7085.4998939163488</v>
      </c>
      <c r="G140" s="108"/>
      <c r="H140" s="108">
        <f>F140*(1+H129)</f>
        <v>7085.4998939163488</v>
      </c>
      <c r="I140" s="102"/>
      <c r="J140" s="102"/>
    </row>
    <row r="141" spans="1:10">
      <c r="A141" s="103"/>
      <c r="B141" s="108"/>
      <c r="C141" s="108"/>
      <c r="D141" s="108"/>
      <c r="E141" s="108"/>
      <c r="F141" s="108"/>
      <c r="G141" s="108"/>
      <c r="H141" s="108"/>
      <c r="I141" s="102"/>
      <c r="J141" s="102"/>
    </row>
    <row r="142" spans="1:10">
      <c r="A142" s="103" t="s">
        <v>268</v>
      </c>
      <c r="B142" s="108">
        <f>B140+B134</f>
        <v>7523.2787002085606</v>
      </c>
      <c r="C142" s="108">
        <f>C140+C134</f>
        <v>7523.2787002085606</v>
      </c>
      <c r="D142" s="108">
        <f>D140+D138</f>
        <v>9211.4596813792541</v>
      </c>
      <c r="E142" s="108">
        <f>E140+E138</f>
        <v>11661.903409741924</v>
      </c>
      <c r="F142" s="108">
        <f>F140+F138</f>
        <v>13341.850793336387</v>
      </c>
      <c r="G142" s="108"/>
      <c r="H142" s="108">
        <f>H140+H138</f>
        <v>13341.850793336387</v>
      </c>
      <c r="I142" s="102"/>
      <c r="J142" s="102"/>
    </row>
    <row r="143" spans="1:10">
      <c r="A143" s="103" t="s">
        <v>269</v>
      </c>
      <c r="B143" s="108"/>
      <c r="C143" s="108">
        <f>C142-$B$71</f>
        <v>7523.2787002085606</v>
      </c>
      <c r="D143" s="108">
        <f>D142-$B$71</f>
        <v>9211.4596813792541</v>
      </c>
      <c r="E143" s="108">
        <f>E142-$B$71</f>
        <v>11661.903409741924</v>
      </c>
      <c r="F143" s="108">
        <f>F142-$B$71</f>
        <v>13341.850793336387</v>
      </c>
      <c r="G143" s="108"/>
      <c r="H143" s="108">
        <f>H142-$B$71</f>
        <v>13341.850793336387</v>
      </c>
      <c r="I143" s="102"/>
      <c r="J143" s="102"/>
    </row>
    <row r="144" spans="1:10">
      <c r="A144" s="103"/>
      <c r="B144" s="103"/>
      <c r="C144" s="103"/>
      <c r="D144" s="108">
        <f>D143-C143</f>
        <v>1688.1809811706935</v>
      </c>
      <c r="E144" s="108">
        <f>E143-C143</f>
        <v>4138.6247095333638</v>
      </c>
      <c r="F144" s="108">
        <f>F142-C143</f>
        <v>5818.5720931278265</v>
      </c>
      <c r="G144" s="103"/>
      <c r="H144" s="103"/>
      <c r="I144" s="102"/>
      <c r="J144" s="102"/>
    </row>
    <row r="145" spans="1:10">
      <c r="A145" s="103"/>
      <c r="B145" s="103"/>
      <c r="C145" s="103"/>
      <c r="D145" s="103"/>
      <c r="E145" s="103"/>
      <c r="F145" s="103"/>
      <c r="G145" s="103"/>
      <c r="H145" s="103"/>
      <c r="I145" s="102"/>
      <c r="J145" s="102"/>
    </row>
    <row r="146" spans="1:10">
      <c r="A146" s="103" t="s">
        <v>270</v>
      </c>
      <c r="B146" s="108">
        <v>4857.3888997914364</v>
      </c>
      <c r="C146" s="108">
        <f>B146</f>
        <v>4857.3888997914364</v>
      </c>
      <c r="D146" s="108">
        <f>C146*(1+D147)</f>
        <v>4857.3888997914364</v>
      </c>
      <c r="E146" s="108">
        <f>D146*(1+E147)</f>
        <v>4857.3888997914364</v>
      </c>
      <c r="F146" s="108">
        <f>E146*(1+F147)</f>
        <v>5100.2583447810084</v>
      </c>
      <c r="G146" s="108"/>
      <c r="H146" s="108">
        <f>F146*(1+H147)</f>
        <v>5355.2712620200591</v>
      </c>
      <c r="I146" s="102"/>
      <c r="J146" s="102"/>
    </row>
    <row r="147" spans="1:10">
      <c r="A147" s="103" t="s">
        <v>271</v>
      </c>
      <c r="B147" s="103"/>
      <c r="C147" s="103"/>
      <c r="D147" s="113">
        <v>0</v>
      </c>
      <c r="E147" s="113">
        <v>0</v>
      </c>
      <c r="F147" s="113">
        <v>0.05</v>
      </c>
      <c r="G147" s="113"/>
      <c r="H147" s="120">
        <v>0.05</v>
      </c>
      <c r="I147" s="102"/>
      <c r="J147" s="102"/>
    </row>
    <row r="148" spans="1:10">
      <c r="A148" s="103"/>
      <c r="B148" s="103"/>
      <c r="C148" s="103"/>
      <c r="D148" s="103"/>
      <c r="E148" s="103"/>
      <c r="F148" s="103"/>
      <c r="G148" s="103"/>
      <c r="H148" s="103"/>
      <c r="I148" s="102"/>
      <c r="J148" s="102"/>
    </row>
    <row r="149" spans="1:10">
      <c r="A149" s="103"/>
      <c r="B149" s="103"/>
      <c r="C149" s="103"/>
      <c r="D149" s="103"/>
      <c r="E149" s="103"/>
      <c r="F149" s="103"/>
      <c r="G149" s="103"/>
      <c r="H149" s="103"/>
      <c r="I149" s="102"/>
      <c r="J149" s="102"/>
    </row>
    <row r="150" spans="1:10">
      <c r="A150" s="103" t="s">
        <v>272</v>
      </c>
      <c r="B150" s="108">
        <f t="shared" ref="B150:H150" si="1">B146+B142</f>
        <v>12380.667599999997</v>
      </c>
      <c r="C150" s="108">
        <f t="shared" si="1"/>
        <v>12380.667599999997</v>
      </c>
      <c r="D150" s="108">
        <f t="shared" si="1"/>
        <v>14068.848581170691</v>
      </c>
      <c r="E150" s="108">
        <f t="shared" si="1"/>
        <v>16519.292309533361</v>
      </c>
      <c r="F150" s="108">
        <f t="shared" si="1"/>
        <v>18442.109138117397</v>
      </c>
      <c r="G150" s="108"/>
      <c r="H150" s="108">
        <f t="shared" si="1"/>
        <v>18697.122055356445</v>
      </c>
      <c r="I150" s="102"/>
      <c r="J150" s="102"/>
    </row>
    <row r="151" spans="1:10">
      <c r="A151" s="105" t="s">
        <v>273</v>
      </c>
      <c r="B151" s="105"/>
      <c r="C151" s="106">
        <f>C150-$B150</f>
        <v>0</v>
      </c>
      <c r="D151" s="106">
        <f>D150-$B150</f>
        <v>1688.1809811706935</v>
      </c>
      <c r="E151" s="106">
        <f>E150-$B150</f>
        <v>4138.6247095333638</v>
      </c>
      <c r="F151" s="106">
        <f>F150-$B150</f>
        <v>6061.4415381174003</v>
      </c>
      <c r="G151" s="106"/>
      <c r="H151" s="106">
        <f>H150-$B150</f>
        <v>6316.4544553564483</v>
      </c>
      <c r="I151" s="102"/>
      <c r="J151" s="102"/>
    </row>
    <row r="152" spans="1:10">
      <c r="A152" s="105" t="s">
        <v>274</v>
      </c>
      <c r="B152" s="103"/>
      <c r="C152" s="113">
        <f>C150/$B$150-1</f>
        <v>0</v>
      </c>
      <c r="D152" s="113">
        <f>D150/$B$150-1</f>
        <v>0.13635621565114087</v>
      </c>
      <c r="E152" s="113">
        <f>E150/$B$150-1</f>
        <v>0.33428122321395382</v>
      </c>
      <c r="F152" s="113">
        <f>F150/$B$150-1</f>
        <v>0.48958923169194857</v>
      </c>
      <c r="G152" s="113"/>
      <c r="H152" s="113">
        <f>H150/$B$150-1</f>
        <v>0.51018690263168431</v>
      </c>
      <c r="I152" s="102"/>
      <c r="J152" s="102"/>
    </row>
    <row r="153" spans="1:10">
      <c r="A153" s="102"/>
      <c r="B153" s="102"/>
      <c r="C153" s="102"/>
      <c r="D153" s="102"/>
      <c r="E153" s="102"/>
      <c r="F153" s="102"/>
      <c r="G153" s="102"/>
      <c r="H153" s="102"/>
      <c r="I153" s="102"/>
    </row>
    <row r="154" spans="1:10">
      <c r="A154" s="102"/>
      <c r="B154" s="102"/>
      <c r="C154" s="102"/>
      <c r="D154" s="102"/>
      <c r="E154" s="102"/>
      <c r="F154" s="102"/>
      <c r="G154" s="102"/>
      <c r="H154" s="102"/>
      <c r="I154" s="102"/>
    </row>
    <row r="155" spans="1:10">
      <c r="A155" s="102"/>
      <c r="B155" s="102"/>
      <c r="C155" s="102"/>
      <c r="D155" s="102"/>
      <c r="E155" s="102"/>
      <c r="F155" s="102"/>
      <c r="G155" s="102"/>
      <c r="H155" s="102"/>
      <c r="I155" s="102"/>
    </row>
    <row r="156" spans="1:10">
      <c r="A156" s="102" t="s">
        <v>275</v>
      </c>
      <c r="B156" s="102"/>
      <c r="C156" s="102"/>
      <c r="D156" s="102"/>
      <c r="E156" s="102"/>
      <c r="F156" s="102"/>
      <c r="G156" s="102"/>
      <c r="H156" s="102"/>
      <c r="I156" s="102"/>
    </row>
    <row r="157" spans="1:10" ht="24">
      <c r="A157" s="121"/>
      <c r="B157" s="103">
        <v>2019</v>
      </c>
      <c r="C157" s="103">
        <v>2020</v>
      </c>
      <c r="D157" s="103">
        <v>2021</v>
      </c>
      <c r="E157" s="103">
        <v>2022</v>
      </c>
      <c r="F157" s="103">
        <v>2023</v>
      </c>
      <c r="G157" s="344" t="s">
        <v>441</v>
      </c>
      <c r="H157" s="103">
        <v>2024</v>
      </c>
      <c r="I157" s="103"/>
      <c r="J157" s="102"/>
    </row>
    <row r="158" spans="1:10">
      <c r="A158" s="103" t="s">
        <v>276</v>
      </c>
      <c r="B158" s="331">
        <f t="shared" ref="B158:F158" si="2">B150</f>
        <v>12380.667599999997</v>
      </c>
      <c r="C158" s="331">
        <f t="shared" si="2"/>
        <v>12380.667599999997</v>
      </c>
      <c r="D158" s="331">
        <f t="shared" si="2"/>
        <v>14068.848581170691</v>
      </c>
      <c r="E158" s="331">
        <f t="shared" si="2"/>
        <v>16519.292309533361</v>
      </c>
      <c r="F158" s="331">
        <f t="shared" si="2"/>
        <v>18442.109138117397</v>
      </c>
      <c r="G158" s="331">
        <f>SUM(B158:F158)</f>
        <v>73791.585228821437</v>
      </c>
      <c r="H158" s="331">
        <f>H150</f>
        <v>18697.122055356445</v>
      </c>
      <c r="I158" s="108"/>
      <c r="J158" s="102"/>
    </row>
    <row r="159" spans="1:10">
      <c r="A159" s="103" t="s">
        <v>277</v>
      </c>
      <c r="B159" s="331">
        <f>B112</f>
        <v>0</v>
      </c>
      <c r="C159" s="331">
        <f t="shared" ref="C159:F159" si="3">C112</f>
        <v>0</v>
      </c>
      <c r="D159" s="331">
        <f t="shared" si="3"/>
        <v>4712.8984299999993</v>
      </c>
      <c r="E159" s="331">
        <f t="shared" si="3"/>
        <v>2931.114345</v>
      </c>
      <c r="F159" s="331">
        <f t="shared" si="3"/>
        <v>0</v>
      </c>
      <c r="G159" s="331">
        <f t="shared" ref="G159:G172" si="4">SUM(B159:F159)</f>
        <v>7644.0127749999992</v>
      </c>
      <c r="H159" s="331" t="e">
        <f>#REF!</f>
        <v>#REF!</v>
      </c>
      <c r="I159" s="108"/>
      <c r="J159" s="102"/>
    </row>
    <row r="160" spans="1:10">
      <c r="A160" s="103"/>
      <c r="B160" s="331"/>
      <c r="C160" s="331"/>
      <c r="D160" s="331"/>
      <c r="E160" s="331"/>
      <c r="F160" s="331"/>
      <c r="G160" s="331">
        <f t="shared" si="4"/>
        <v>0</v>
      </c>
      <c r="H160" s="331"/>
      <c r="I160" s="103"/>
      <c r="J160" s="102"/>
    </row>
    <row r="161" spans="1:10">
      <c r="A161" s="103" t="s">
        <v>278</v>
      </c>
      <c r="B161" s="331"/>
      <c r="C161" s="331">
        <f>C151</f>
        <v>0</v>
      </c>
      <c r="D161" s="331">
        <f>D151</f>
        <v>1688.1809811706935</v>
      </c>
      <c r="E161" s="331">
        <f>E151</f>
        <v>4138.6247095333638</v>
      </c>
      <c r="F161" s="331">
        <f>F151</f>
        <v>6061.4415381174003</v>
      </c>
      <c r="G161" s="331">
        <f t="shared" si="4"/>
        <v>11888.247228821458</v>
      </c>
      <c r="H161" s="331">
        <f>H151</f>
        <v>6316.4544553564483</v>
      </c>
      <c r="I161" s="108"/>
      <c r="J161" s="102"/>
    </row>
    <row r="162" spans="1:10">
      <c r="A162" s="103" t="s">
        <v>279</v>
      </c>
      <c r="B162" s="331"/>
      <c r="C162" s="331">
        <f>C159</f>
        <v>0</v>
      </c>
      <c r="D162" s="331">
        <f>D159</f>
        <v>4712.8984299999993</v>
      </c>
      <c r="E162" s="331">
        <f>E159</f>
        <v>2931.114345</v>
      </c>
      <c r="F162" s="331">
        <f>F159</f>
        <v>0</v>
      </c>
      <c r="G162" s="331">
        <f t="shared" si="4"/>
        <v>7644.0127749999992</v>
      </c>
      <c r="H162" s="331" t="e">
        <f>H159</f>
        <v>#REF!</v>
      </c>
      <c r="I162" s="108"/>
      <c r="J162" s="102"/>
    </row>
    <row r="163" spans="1:10">
      <c r="A163" s="105" t="s">
        <v>280</v>
      </c>
      <c r="B163" s="341"/>
      <c r="C163" s="341">
        <f t="shared" ref="C163:H163" si="5">C162+C161</f>
        <v>0</v>
      </c>
      <c r="D163" s="341">
        <f t="shared" si="5"/>
        <v>6401.0794111706928</v>
      </c>
      <c r="E163" s="341">
        <f t="shared" si="5"/>
        <v>7069.7390545333637</v>
      </c>
      <c r="F163" s="341">
        <f t="shared" si="5"/>
        <v>6061.4415381174003</v>
      </c>
      <c r="G163" s="331">
        <f t="shared" si="4"/>
        <v>19532.260003821459</v>
      </c>
      <c r="H163" s="341" t="e">
        <f t="shared" si="5"/>
        <v>#REF!</v>
      </c>
      <c r="I163" s="106"/>
      <c r="J163" s="102"/>
    </row>
    <row r="164" spans="1:10">
      <c r="A164" s="103"/>
      <c r="B164" s="331"/>
      <c r="C164" s="331"/>
      <c r="D164" s="331"/>
      <c r="E164" s="331"/>
      <c r="F164" s="331"/>
      <c r="G164" s="331">
        <f t="shared" si="4"/>
        <v>0</v>
      </c>
      <c r="H164" s="331"/>
      <c r="I164" s="103"/>
      <c r="J164" s="102"/>
    </row>
    <row r="165" spans="1:10">
      <c r="A165" s="105" t="s">
        <v>281</v>
      </c>
      <c r="B165" s="341">
        <f>B169+B170</f>
        <v>0</v>
      </c>
      <c r="C165" s="341">
        <f t="shared" ref="C165:H165" si="6">C169+C170</f>
        <v>0</v>
      </c>
      <c r="D165" s="341">
        <f t="shared" si="6"/>
        <v>3302.7604999999999</v>
      </c>
      <c r="E165" s="341">
        <f t="shared" si="6"/>
        <v>2044.1279999999999</v>
      </c>
      <c r="F165" s="341">
        <f t="shared" si="6"/>
        <v>0</v>
      </c>
      <c r="G165" s="331">
        <f t="shared" si="4"/>
        <v>5346.8885</v>
      </c>
      <c r="H165" s="341">
        <f t="shared" si="6"/>
        <v>0</v>
      </c>
      <c r="I165" s="122"/>
      <c r="J165" s="102"/>
    </row>
    <row r="166" spans="1:10">
      <c r="A166" s="123" t="s">
        <v>282</v>
      </c>
      <c r="B166" s="331"/>
      <c r="C166" s="331"/>
      <c r="D166" s="331"/>
      <c r="E166" s="331"/>
      <c r="F166" s="331"/>
      <c r="G166" s="331">
        <f t="shared" si="4"/>
        <v>0</v>
      </c>
      <c r="H166" s="331"/>
      <c r="I166" s="103"/>
      <c r="J166" s="102"/>
    </row>
    <row r="167" spans="1:10">
      <c r="A167" s="123" t="s">
        <v>283</v>
      </c>
      <c r="B167" s="331">
        <f>B122</f>
        <v>0</v>
      </c>
      <c r="C167" s="331">
        <f>C122</f>
        <v>0</v>
      </c>
      <c r="D167" s="331">
        <f>D169</f>
        <v>3302.7604999999999</v>
      </c>
      <c r="E167" s="331">
        <f>E122</f>
        <v>2044.1279999999999</v>
      </c>
      <c r="F167" s="331">
        <f>F122</f>
        <v>0</v>
      </c>
      <c r="G167" s="331">
        <f t="shared" si="4"/>
        <v>5346.8885</v>
      </c>
      <c r="H167" s="331">
        <f>G122</f>
        <v>0</v>
      </c>
      <c r="I167" s="108"/>
      <c r="J167" s="102"/>
    </row>
    <row r="168" spans="1:10">
      <c r="A168" s="103"/>
      <c r="B168" s="331"/>
      <c r="C168" s="331"/>
      <c r="D168" s="331"/>
      <c r="E168" s="331"/>
      <c r="F168" s="331"/>
      <c r="G168" s="331">
        <f t="shared" si="4"/>
        <v>0</v>
      </c>
      <c r="H168" s="331"/>
      <c r="I168" s="103"/>
      <c r="J168" s="102"/>
    </row>
    <row r="169" spans="1:10">
      <c r="A169" s="123" t="s">
        <v>284</v>
      </c>
      <c r="B169" s="331">
        <f>B180</f>
        <v>0</v>
      </c>
      <c r="C169" s="331">
        <f>C180</f>
        <v>0</v>
      </c>
      <c r="D169" s="331">
        <f>D180</f>
        <v>3302.7604999999999</v>
      </c>
      <c r="E169" s="331">
        <f>E180</f>
        <v>2044.1279999999999</v>
      </c>
      <c r="F169" s="331">
        <f>F122</f>
        <v>0</v>
      </c>
      <c r="G169" s="331">
        <f t="shared" si="4"/>
        <v>5346.8885</v>
      </c>
      <c r="H169" s="331">
        <f>G122</f>
        <v>0</v>
      </c>
      <c r="I169" s="108"/>
      <c r="J169" s="102"/>
    </row>
    <row r="170" spans="1:10">
      <c r="A170" s="123" t="s">
        <v>285</v>
      </c>
      <c r="B170" s="331"/>
      <c r="C170" s="331"/>
      <c r="D170" s="331"/>
      <c r="E170" s="331"/>
      <c r="F170" s="331"/>
      <c r="G170" s="331">
        <f t="shared" si="4"/>
        <v>0</v>
      </c>
      <c r="H170" s="331"/>
      <c r="I170" s="103"/>
      <c r="J170" s="102"/>
    </row>
    <row r="171" spans="1:10">
      <c r="A171" s="103"/>
      <c r="B171" s="331"/>
      <c r="C171" s="331"/>
      <c r="D171" s="331"/>
      <c r="E171" s="331"/>
      <c r="F171" s="331"/>
      <c r="G171" s="331">
        <f t="shared" si="4"/>
        <v>0</v>
      </c>
      <c r="H171" s="331"/>
      <c r="I171" s="103"/>
      <c r="J171" s="102"/>
    </row>
    <row r="172" spans="1:10">
      <c r="A172" s="105" t="s">
        <v>286</v>
      </c>
      <c r="B172" s="342">
        <f>B165-B163</f>
        <v>0</v>
      </c>
      <c r="C172" s="342">
        <f t="shared" ref="C172:H172" si="7">C165-C163</f>
        <v>0</v>
      </c>
      <c r="D172" s="342">
        <f t="shared" si="7"/>
        <v>-3098.3189111706929</v>
      </c>
      <c r="E172" s="342">
        <f t="shared" si="7"/>
        <v>-5025.611054533364</v>
      </c>
      <c r="F172" s="342">
        <f t="shared" si="7"/>
        <v>-6061.4415381174003</v>
      </c>
      <c r="G172" s="342">
        <f t="shared" si="4"/>
        <v>-14185.371503821458</v>
      </c>
      <c r="H172" s="342" t="e">
        <f t="shared" si="7"/>
        <v>#REF!</v>
      </c>
      <c r="I172" s="124"/>
      <c r="J172" s="102"/>
    </row>
    <row r="173" spans="1:10">
      <c r="A173" s="102"/>
      <c r="B173" s="102"/>
      <c r="C173" s="102"/>
      <c r="D173" s="102"/>
      <c r="E173" s="102"/>
      <c r="F173" s="102"/>
      <c r="G173" s="102"/>
      <c r="H173" s="102"/>
      <c r="I173" s="102"/>
    </row>
    <row r="174" spans="1:10">
      <c r="A174" s="102"/>
      <c r="B174" s="102"/>
      <c r="C174" s="102"/>
      <c r="D174" s="102"/>
      <c r="E174" s="102"/>
      <c r="F174" s="102"/>
      <c r="G174" s="102"/>
      <c r="H174" s="102"/>
      <c r="I174" s="102"/>
    </row>
    <row r="175" spans="1:10">
      <c r="A175" s="102"/>
      <c r="B175" s="102"/>
      <c r="C175" s="102"/>
      <c r="D175" s="102"/>
      <c r="E175" s="102"/>
      <c r="F175" s="102"/>
      <c r="G175" s="102"/>
      <c r="H175" s="102"/>
      <c r="I175" s="102"/>
    </row>
    <row r="176" spans="1:10" ht="24">
      <c r="A176" s="103" t="s">
        <v>466</v>
      </c>
      <c r="B176" s="329" t="s">
        <v>287</v>
      </c>
      <c r="C176" s="330" t="s">
        <v>288</v>
      </c>
      <c r="D176" s="329">
        <v>2021</v>
      </c>
      <c r="E176" s="329">
        <v>2022</v>
      </c>
      <c r="F176" s="102"/>
      <c r="G176" s="102"/>
      <c r="H176" s="102"/>
      <c r="I176" s="102"/>
    </row>
    <row r="177" spans="1:15">
      <c r="A177" s="103"/>
      <c r="B177" s="103"/>
      <c r="C177" s="103"/>
      <c r="D177" s="103"/>
      <c r="E177" s="103"/>
      <c r="F177" s="102"/>
      <c r="G177" s="102"/>
      <c r="H177" s="102"/>
      <c r="I177" s="102"/>
    </row>
    <row r="178" spans="1:15">
      <c r="A178" s="118" t="s">
        <v>289</v>
      </c>
      <c r="B178" s="119">
        <f>B179+B180</f>
        <v>12380.667600000001</v>
      </c>
      <c r="C178" s="119">
        <f>C179+C180</f>
        <v>12481.3855</v>
      </c>
      <c r="D178" s="119">
        <f>D179+D180</f>
        <v>15332.4038</v>
      </c>
      <c r="E178" s="119">
        <f>E179+E180</f>
        <v>14254.215900000001</v>
      </c>
      <c r="F178" s="102"/>
      <c r="G178" s="102"/>
      <c r="H178" s="102"/>
      <c r="I178" s="102"/>
    </row>
    <row r="179" spans="1:15" ht="24.75">
      <c r="A179" s="343" t="s">
        <v>290</v>
      </c>
      <c r="B179" s="108">
        <v>12380.667600000001</v>
      </c>
      <c r="C179" s="108">
        <v>12481.3855</v>
      </c>
      <c r="D179" s="108">
        <v>12029.6433</v>
      </c>
      <c r="E179" s="108">
        <v>12210.0879</v>
      </c>
      <c r="F179" s="102"/>
      <c r="G179" s="102"/>
      <c r="H179" s="102"/>
      <c r="I179" s="102"/>
    </row>
    <row r="180" spans="1:15">
      <c r="A180" s="103" t="s">
        <v>291</v>
      </c>
      <c r="B180" s="108"/>
      <c r="C180" s="108">
        <v>0</v>
      </c>
      <c r="D180" s="108">
        <v>3302.7604999999999</v>
      </c>
      <c r="E180" s="108">
        <v>2044.1279999999999</v>
      </c>
      <c r="F180" s="102"/>
      <c r="G180" s="102"/>
      <c r="H180" s="102"/>
      <c r="I180" s="102"/>
    </row>
    <row r="181" spans="1:15">
      <c r="A181" s="102"/>
      <c r="B181" s="102"/>
      <c r="C181" s="102"/>
      <c r="D181" s="102"/>
      <c r="E181" s="102"/>
      <c r="F181" s="102"/>
      <c r="G181" s="102"/>
      <c r="H181" s="102"/>
      <c r="I181" s="102"/>
    </row>
    <row r="182" spans="1:15">
      <c r="A182" s="102"/>
      <c r="B182" s="102"/>
      <c r="C182" s="102"/>
      <c r="D182" s="102"/>
      <c r="E182" s="102"/>
      <c r="F182" s="102"/>
      <c r="G182" s="102"/>
      <c r="H182" s="102"/>
      <c r="I182" s="102"/>
    </row>
    <row r="183" spans="1:15">
      <c r="A183" s="102" t="s">
        <v>353</v>
      </c>
      <c r="B183" s="102"/>
      <c r="C183" s="102"/>
      <c r="D183" s="102"/>
      <c r="E183" s="102"/>
      <c r="F183" s="102"/>
      <c r="G183" s="102"/>
      <c r="H183" s="102"/>
      <c r="I183" s="102"/>
    </row>
    <row r="185" spans="1:15">
      <c r="A185" s="193"/>
      <c r="B185" s="194">
        <v>2011</v>
      </c>
      <c r="C185" s="194">
        <v>2012</v>
      </c>
      <c r="D185" s="194">
        <v>2013</v>
      </c>
      <c r="E185" s="194">
        <v>2014</v>
      </c>
      <c r="F185" s="194">
        <v>2015</v>
      </c>
      <c r="G185" s="194">
        <v>2016</v>
      </c>
      <c r="H185" s="194">
        <v>2017</v>
      </c>
      <c r="I185" s="194">
        <v>2018</v>
      </c>
      <c r="J185" s="194">
        <v>2019</v>
      </c>
      <c r="K185" s="194">
        <v>2020</v>
      </c>
      <c r="L185" s="194">
        <v>2021</v>
      </c>
      <c r="M185" s="194">
        <v>2022</v>
      </c>
      <c r="N185" s="194">
        <v>2023</v>
      </c>
      <c r="O185" s="194">
        <v>2024</v>
      </c>
    </row>
    <row r="186" spans="1:15">
      <c r="A186" s="193" t="s">
        <v>338</v>
      </c>
      <c r="B186" s="193">
        <v>2962</v>
      </c>
      <c r="C186" s="193">
        <v>3102</v>
      </c>
      <c r="D186" s="193">
        <v>3219</v>
      </c>
      <c r="E186" s="193">
        <v>3666</v>
      </c>
      <c r="F186" s="193">
        <v>4600</v>
      </c>
      <c r="G186" s="193">
        <v>5264</v>
      </c>
      <c r="H186" s="193">
        <v>5891</v>
      </c>
      <c r="I186" s="193">
        <v>6688</v>
      </c>
      <c r="J186" s="195">
        <f>I186*(1+I190)</f>
        <v>7526.2638395670983</v>
      </c>
      <c r="K186" s="195">
        <f>J186*(1+K189)</f>
        <v>7902.5770315454538</v>
      </c>
      <c r="L186" s="195">
        <f t="shared" ref="L186:O186" si="8">K186*(1+L189)</f>
        <v>8139.6543424918173</v>
      </c>
      <c r="M186" s="195">
        <f t="shared" si="8"/>
        <v>8383.8439727665718</v>
      </c>
      <c r="N186" s="195">
        <f t="shared" si="8"/>
        <v>8635.3592919495695</v>
      </c>
      <c r="O186" s="195">
        <f t="shared" si="8"/>
        <v>8894.4200707080563</v>
      </c>
    </row>
    <row r="187" spans="1:15">
      <c r="A187" s="193" t="s">
        <v>339</v>
      </c>
      <c r="B187" s="193">
        <v>32</v>
      </c>
      <c r="C187" s="193">
        <v>32</v>
      </c>
      <c r="D187" s="193">
        <v>43</v>
      </c>
      <c r="E187" s="193">
        <v>43</v>
      </c>
      <c r="F187" s="193">
        <v>43</v>
      </c>
      <c r="G187" s="193">
        <v>43</v>
      </c>
      <c r="H187" s="193">
        <v>43</v>
      </c>
      <c r="I187" s="193">
        <v>43</v>
      </c>
      <c r="J187" s="196">
        <v>43</v>
      </c>
      <c r="K187" s="197">
        <f>K186/K188</f>
        <v>87.80641146161615</v>
      </c>
      <c r="L187" s="197">
        <f>L186/L188</f>
        <v>90.440603805464633</v>
      </c>
      <c r="M187" s="197">
        <f t="shared" ref="M187:O187" si="9">M186/M188</f>
        <v>93.15382191962857</v>
      </c>
      <c r="N187" s="197">
        <f t="shared" si="9"/>
        <v>95.948436577217436</v>
      </c>
      <c r="O187" s="197">
        <f t="shared" si="9"/>
        <v>98.826889674533959</v>
      </c>
    </row>
    <row r="188" spans="1:15">
      <c r="A188" s="198" t="s">
        <v>340</v>
      </c>
      <c r="B188" s="199">
        <f t="shared" ref="B188:C188" si="10">B186/B187</f>
        <v>92.5625</v>
      </c>
      <c r="C188" s="199">
        <f t="shared" si="10"/>
        <v>96.9375</v>
      </c>
      <c r="D188" s="199">
        <f>D186/D187</f>
        <v>74.860465116279073</v>
      </c>
      <c r="E188" s="199">
        <f>E186/E187</f>
        <v>85.255813953488371</v>
      </c>
      <c r="F188" s="199">
        <f t="shared" ref="F188:I188" si="11">F186/F187</f>
        <v>106.97674418604652</v>
      </c>
      <c r="G188" s="199">
        <f t="shared" si="11"/>
        <v>122.41860465116279</v>
      </c>
      <c r="H188" s="199">
        <f t="shared" si="11"/>
        <v>137</v>
      </c>
      <c r="I188" s="199">
        <f t="shared" si="11"/>
        <v>155.53488372093022</v>
      </c>
      <c r="J188" s="200">
        <f>J186/J187</f>
        <v>175.02939161783951</v>
      </c>
      <c r="K188" s="198">
        <v>90</v>
      </c>
      <c r="L188" s="200">
        <f>K188</f>
        <v>90</v>
      </c>
      <c r="M188" s="200">
        <f t="shared" ref="M188:N188" si="12">L188</f>
        <v>90</v>
      </c>
      <c r="N188" s="200">
        <f t="shared" si="12"/>
        <v>90</v>
      </c>
      <c r="O188" s="200">
        <f>N188</f>
        <v>90</v>
      </c>
    </row>
    <row r="189" spans="1:15">
      <c r="A189" s="201" t="s">
        <v>341</v>
      </c>
      <c r="B189" s="199"/>
      <c r="C189" s="202">
        <f>(C186-B186)/B186</f>
        <v>4.7265361242403783E-2</v>
      </c>
      <c r="D189" s="202">
        <f t="shared" ref="D189:I189" si="13">(D186-C186)/C186</f>
        <v>3.7717601547388784E-2</v>
      </c>
      <c r="E189" s="202">
        <f t="shared" si="13"/>
        <v>0.13886300093196646</v>
      </c>
      <c r="F189" s="202">
        <f t="shared" si="13"/>
        <v>0.25477359519912712</v>
      </c>
      <c r="G189" s="202">
        <f t="shared" si="13"/>
        <v>0.14434782608695651</v>
      </c>
      <c r="H189" s="202">
        <f t="shared" si="13"/>
        <v>0.11911094224924013</v>
      </c>
      <c r="I189" s="202">
        <f t="shared" si="13"/>
        <v>0.13529112205058563</v>
      </c>
      <c r="J189" s="203">
        <f>I190</f>
        <v>0.12533849275823836</v>
      </c>
      <c r="K189" s="204">
        <v>0.05</v>
      </c>
      <c r="L189" s="204">
        <v>0.03</v>
      </c>
      <c r="M189" s="204">
        <v>0.03</v>
      </c>
      <c r="N189" s="204">
        <v>0.03</v>
      </c>
      <c r="O189" s="205">
        <v>0.03</v>
      </c>
    </row>
    <row r="190" spans="1:15">
      <c r="A190" s="201" t="s">
        <v>342</v>
      </c>
      <c r="B190" s="199"/>
      <c r="C190" s="202"/>
      <c r="D190" s="202"/>
      <c r="E190" s="202"/>
      <c r="F190" s="202"/>
      <c r="G190" s="202"/>
      <c r="H190" s="202"/>
      <c r="I190" s="202">
        <f>SUM(C189:I189)/7</f>
        <v>0.12533849275823836</v>
      </c>
      <c r="J190" s="198"/>
      <c r="K190" s="198"/>
      <c r="L190" s="198"/>
      <c r="M190" s="198"/>
      <c r="N190" s="198"/>
      <c r="O190" s="198"/>
    </row>
    <row r="191" spans="1:15">
      <c r="A191" s="201"/>
      <c r="B191" s="199"/>
      <c r="C191" s="202"/>
      <c r="D191" s="202"/>
      <c r="E191" s="202"/>
      <c r="F191" s="202"/>
      <c r="G191" s="202"/>
      <c r="H191" s="202"/>
      <c r="I191" s="202"/>
      <c r="J191" s="198"/>
      <c r="K191" s="198"/>
      <c r="L191" s="198"/>
      <c r="M191" s="198"/>
      <c r="N191" s="198"/>
      <c r="O191" s="198"/>
    </row>
    <row r="192" spans="1:15">
      <c r="A192" s="193" t="s">
        <v>343</v>
      </c>
      <c r="B192" s="206"/>
      <c r="C192" s="207"/>
      <c r="D192" s="207">
        <v>363</v>
      </c>
      <c r="E192" s="207">
        <v>1334</v>
      </c>
      <c r="F192" s="207">
        <v>2588</v>
      </c>
      <c r="G192" s="207">
        <v>4750</v>
      </c>
      <c r="H192" s="207">
        <v>5865</v>
      </c>
      <c r="I192" s="207">
        <v>7021</v>
      </c>
      <c r="J192" s="208">
        <v>9829</v>
      </c>
      <c r="K192" s="208">
        <v>10811</v>
      </c>
      <c r="L192" s="208">
        <v>11892</v>
      </c>
      <c r="M192" s="208">
        <v>13081</v>
      </c>
      <c r="N192" s="208">
        <v>14389</v>
      </c>
      <c r="O192" s="208">
        <v>15828</v>
      </c>
    </row>
    <row r="193" spans="1:15">
      <c r="A193" s="193" t="s">
        <v>344</v>
      </c>
      <c r="B193" s="193"/>
      <c r="C193" s="193"/>
      <c r="D193" s="193"/>
      <c r="E193" s="193"/>
      <c r="F193" s="193"/>
      <c r="G193" s="193">
        <v>647</v>
      </c>
      <c r="H193" s="193">
        <v>862</v>
      </c>
      <c r="I193" s="193">
        <v>1182</v>
      </c>
      <c r="J193" s="195">
        <v>1654</v>
      </c>
      <c r="K193" s="209">
        <f t="shared" ref="K193:O193" si="14">J193*(1+K196)</f>
        <v>1819.4</v>
      </c>
      <c r="L193" s="209">
        <f t="shared" si="14"/>
        <v>2001.3400000000004</v>
      </c>
      <c r="M193" s="209">
        <f t="shared" si="14"/>
        <v>2201.4740000000006</v>
      </c>
      <c r="N193" s="209">
        <f t="shared" si="14"/>
        <v>2421.6214000000009</v>
      </c>
      <c r="O193" s="209">
        <f t="shared" si="14"/>
        <v>2663.7835400000013</v>
      </c>
    </row>
    <row r="194" spans="1:15">
      <c r="A194" s="193" t="s">
        <v>345</v>
      </c>
      <c r="B194" s="193"/>
      <c r="C194" s="193"/>
      <c r="D194" s="193">
        <v>6</v>
      </c>
      <c r="E194" s="193">
        <v>6</v>
      </c>
      <c r="F194" s="193">
        <v>6</v>
      </c>
      <c r="G194" s="193">
        <v>10</v>
      </c>
      <c r="H194" s="193">
        <v>10</v>
      </c>
      <c r="I194" s="193">
        <v>10</v>
      </c>
      <c r="J194" s="198">
        <v>10</v>
      </c>
      <c r="K194" s="210">
        <f>K193/K195</f>
        <v>24.258666666666667</v>
      </c>
      <c r="L194" s="210">
        <f t="shared" ref="L194:O194" si="15">L193/L195</f>
        <v>26.684533333333338</v>
      </c>
      <c r="M194" s="210">
        <f t="shared" si="15"/>
        <v>29.352986666666673</v>
      </c>
      <c r="N194" s="210">
        <f t="shared" si="15"/>
        <v>32.288285333333349</v>
      </c>
      <c r="O194" s="210">
        <f t="shared" si="15"/>
        <v>35.517113866666683</v>
      </c>
    </row>
    <row r="195" spans="1:15">
      <c r="A195" s="198" t="s">
        <v>346</v>
      </c>
      <c r="B195" s="198"/>
      <c r="C195" s="198"/>
      <c r="D195" s="198"/>
      <c r="E195" s="198"/>
      <c r="F195" s="198"/>
      <c r="G195" s="195">
        <f>G193/G194</f>
        <v>64.7</v>
      </c>
      <c r="H195" s="195">
        <f t="shared" ref="H195:I195" si="16">H193/H194</f>
        <v>86.2</v>
      </c>
      <c r="I195" s="195">
        <f t="shared" si="16"/>
        <v>118.2</v>
      </c>
      <c r="J195" s="195">
        <f>J193/J194</f>
        <v>165.4</v>
      </c>
      <c r="K195" s="211">
        <v>75</v>
      </c>
      <c r="L195" s="211">
        <v>75</v>
      </c>
      <c r="M195" s="211">
        <v>75</v>
      </c>
      <c r="N195" s="211">
        <v>75</v>
      </c>
      <c r="O195" s="211">
        <v>75</v>
      </c>
    </row>
    <row r="196" spans="1:15">
      <c r="A196" s="201" t="s">
        <v>341</v>
      </c>
      <c r="B196" s="198"/>
      <c r="C196" s="198"/>
      <c r="D196" s="198"/>
      <c r="E196" s="198"/>
      <c r="F196" s="198"/>
      <c r="G196" s="198"/>
      <c r="H196" s="202">
        <f t="shared" ref="H196:I196" si="17">(H193-G193)/G193</f>
        <v>0.33230293663060279</v>
      </c>
      <c r="I196" s="202">
        <f t="shared" si="17"/>
        <v>0.37122969837587005</v>
      </c>
      <c r="J196" s="204">
        <v>0.4</v>
      </c>
      <c r="K196" s="204">
        <v>0.1</v>
      </c>
      <c r="L196" s="204">
        <v>0.1</v>
      </c>
      <c r="M196" s="204">
        <v>0.1</v>
      </c>
      <c r="N196" s="204">
        <v>0.1</v>
      </c>
      <c r="O196" s="204">
        <v>0.1</v>
      </c>
    </row>
    <row r="197" spans="1:15">
      <c r="A197" s="201" t="s">
        <v>342</v>
      </c>
      <c r="B197" s="198"/>
      <c r="C197" s="198"/>
      <c r="D197" s="198"/>
      <c r="E197" s="198"/>
      <c r="F197" s="198"/>
      <c r="G197" s="198"/>
      <c r="H197" s="198"/>
      <c r="I197" s="203">
        <f>(I196+H196)/2</f>
        <v>0.35176631750323639</v>
      </c>
      <c r="J197" s="198"/>
      <c r="K197" s="198"/>
      <c r="L197" s="198"/>
      <c r="M197" s="198"/>
      <c r="N197" s="198"/>
      <c r="O197" s="198"/>
    </row>
    <row r="198" spans="1:15">
      <c r="A198" s="198"/>
      <c r="B198" s="198"/>
      <c r="C198" s="198"/>
      <c r="D198" s="198"/>
      <c r="E198" s="198"/>
      <c r="F198" s="198"/>
      <c r="G198" s="198"/>
      <c r="H198" s="198"/>
      <c r="I198" s="198"/>
      <c r="J198" s="198"/>
      <c r="K198" s="198"/>
      <c r="L198" s="198"/>
      <c r="M198" s="198"/>
      <c r="N198" s="198"/>
      <c r="O198" s="198"/>
    </row>
    <row r="199" spans="1:15">
      <c r="A199" s="198" t="s">
        <v>347</v>
      </c>
      <c r="B199" s="198"/>
      <c r="C199" s="198"/>
      <c r="D199" s="198"/>
      <c r="E199" s="198">
        <v>1</v>
      </c>
      <c r="F199" s="198">
        <v>1</v>
      </c>
      <c r="G199" s="198">
        <v>1</v>
      </c>
      <c r="H199" s="198">
        <v>1</v>
      </c>
      <c r="I199" s="198">
        <v>1</v>
      </c>
      <c r="J199" s="198">
        <v>1</v>
      </c>
      <c r="K199" s="198">
        <v>2</v>
      </c>
      <c r="L199" s="198">
        <v>2</v>
      </c>
      <c r="M199" s="198">
        <v>2</v>
      </c>
      <c r="N199" s="198">
        <v>2</v>
      </c>
      <c r="O199" s="198">
        <v>2</v>
      </c>
    </row>
    <row r="200" spans="1:15">
      <c r="A200" s="198"/>
      <c r="B200" s="198"/>
      <c r="C200" s="198"/>
      <c r="D200" s="198"/>
      <c r="E200" s="198"/>
      <c r="F200" s="198"/>
      <c r="G200" s="198"/>
      <c r="H200" s="198"/>
      <c r="I200" s="198"/>
      <c r="J200" s="198"/>
      <c r="K200" s="198"/>
      <c r="L200" s="198"/>
      <c r="M200" s="198"/>
      <c r="N200" s="198"/>
      <c r="O200" s="198"/>
    </row>
    <row r="201" spans="1:15">
      <c r="A201" s="201" t="s">
        <v>348</v>
      </c>
      <c r="B201" s="195">
        <f t="shared" ref="B201:O201" si="18">B187+B194+B199+1</f>
        <v>33</v>
      </c>
      <c r="C201" s="195">
        <f t="shared" si="18"/>
        <v>33</v>
      </c>
      <c r="D201" s="195">
        <f t="shared" si="18"/>
        <v>50</v>
      </c>
      <c r="E201" s="195">
        <f t="shared" si="18"/>
        <v>51</v>
      </c>
      <c r="F201" s="195">
        <f t="shared" si="18"/>
        <v>51</v>
      </c>
      <c r="G201" s="195">
        <f t="shared" si="18"/>
        <v>55</v>
      </c>
      <c r="H201" s="195">
        <f t="shared" si="18"/>
        <v>55</v>
      </c>
      <c r="I201" s="195">
        <f t="shared" si="18"/>
        <v>55</v>
      </c>
      <c r="J201" s="195">
        <f t="shared" si="18"/>
        <v>55</v>
      </c>
      <c r="K201" s="195">
        <f t="shared" si="18"/>
        <v>115.06507812828282</v>
      </c>
      <c r="L201" s="195">
        <f t="shared" si="18"/>
        <v>120.12513713879797</v>
      </c>
      <c r="M201" s="195">
        <f t="shared" si="18"/>
        <v>125.50680858629525</v>
      </c>
      <c r="N201" s="195">
        <f t="shared" si="18"/>
        <v>131.23672191055078</v>
      </c>
      <c r="O201" s="195">
        <f t="shared" si="18"/>
        <v>137.34400354120064</v>
      </c>
    </row>
    <row r="202" spans="1:15">
      <c r="A202" s="201"/>
      <c r="B202" s="195"/>
      <c r="C202" s="195"/>
      <c r="D202" s="195"/>
      <c r="E202" s="195"/>
      <c r="F202" s="195"/>
      <c r="G202" s="195"/>
      <c r="H202" s="195"/>
      <c r="I202" s="195"/>
      <c r="J202" s="195"/>
      <c r="K202" s="195"/>
      <c r="L202" s="195"/>
      <c r="M202" s="195"/>
      <c r="N202" s="195"/>
      <c r="O202" s="195"/>
    </row>
    <row r="203" spans="1:15">
      <c r="A203" s="198" t="s">
        <v>349</v>
      </c>
      <c r="B203" s="195"/>
      <c r="C203" s="195"/>
      <c r="D203" s="195"/>
      <c r="E203" s="195"/>
      <c r="F203" s="212"/>
      <c r="G203" s="213">
        <v>6.7065960000000002</v>
      </c>
      <c r="H203" s="213">
        <v>6.7065960000000002</v>
      </c>
      <c r="I203" s="213">
        <v>6.7065960000000002</v>
      </c>
      <c r="J203" s="213">
        <v>6.7065960000000002</v>
      </c>
      <c r="K203" s="213">
        <v>6.7065960000000002</v>
      </c>
      <c r="L203" s="213">
        <v>6.7065960000000002</v>
      </c>
      <c r="M203" s="213">
        <v>6.7065960000000002</v>
      </c>
      <c r="N203" s="213">
        <v>6.7065960000000002</v>
      </c>
      <c r="O203" s="213">
        <v>6.7065960000000002</v>
      </c>
    </row>
    <row r="204" spans="1:15">
      <c r="A204" s="198" t="s">
        <v>350</v>
      </c>
      <c r="B204" s="198"/>
      <c r="C204" s="198"/>
      <c r="D204" s="198"/>
      <c r="E204" s="198"/>
      <c r="F204" s="198"/>
      <c r="G204" s="213">
        <v>8.4093199999999992</v>
      </c>
      <c r="H204" s="213">
        <v>8.4093199999999992</v>
      </c>
      <c r="I204" s="213">
        <v>8.4093199999999992</v>
      </c>
      <c r="J204" s="213">
        <v>8.4093199999999992</v>
      </c>
      <c r="K204" s="213">
        <v>8.4093199999999992</v>
      </c>
      <c r="L204" s="213">
        <v>8.4093199999999992</v>
      </c>
      <c r="M204" s="213">
        <v>8.4093199999999992</v>
      </c>
      <c r="N204" s="213">
        <v>8.4093199999999992</v>
      </c>
      <c r="O204" s="213">
        <v>8.4093199999999992</v>
      </c>
    </row>
    <row r="205" spans="1:15">
      <c r="A205" s="198"/>
      <c r="B205" s="198"/>
      <c r="C205" s="198"/>
      <c r="D205" s="198"/>
      <c r="E205" s="198"/>
      <c r="F205" s="198"/>
      <c r="G205" s="198"/>
      <c r="H205" s="198"/>
      <c r="I205" s="198"/>
      <c r="J205" s="198"/>
      <c r="K205" s="198"/>
      <c r="L205" s="198"/>
      <c r="M205" s="198"/>
      <c r="N205" s="198"/>
      <c r="O205" s="198"/>
    </row>
    <row r="206" spans="1:15">
      <c r="A206" s="201" t="s">
        <v>351</v>
      </c>
      <c r="B206" s="212">
        <v>152.43299999999999</v>
      </c>
      <c r="C206" s="212">
        <v>180.0078</v>
      </c>
      <c r="D206" s="212">
        <v>260.06959999999998</v>
      </c>
      <c r="E206" s="212">
        <v>275.45190000000002</v>
      </c>
      <c r="F206" s="212">
        <v>290.83420000000001</v>
      </c>
      <c r="G206" s="212">
        <v>377.27210000000002</v>
      </c>
      <c r="H206" s="212">
        <v>377.27210000000002</v>
      </c>
      <c r="I206" s="212">
        <v>377.27210000000002</v>
      </c>
      <c r="J206" s="212">
        <v>377.27210000000002</v>
      </c>
      <c r="K206" s="214">
        <f>K203*K201+K204</f>
        <v>780.10431271482901</v>
      </c>
      <c r="L206" s="214">
        <f t="shared" ref="L206:O206" si="19">L203*L201+L204</f>
        <v>814.04008423451387</v>
      </c>
      <c r="M206" s="214">
        <f t="shared" si="19"/>
        <v>850.13278043761341</v>
      </c>
      <c r="N206" s="214">
        <f t="shared" si="19"/>
        <v>888.56099421841225</v>
      </c>
      <c r="O206" s="214">
        <f t="shared" si="19"/>
        <v>929.52006477340205</v>
      </c>
    </row>
    <row r="207" spans="1:15">
      <c r="A207" s="198" t="s">
        <v>352</v>
      </c>
      <c r="B207" s="198"/>
      <c r="C207" s="198"/>
      <c r="D207" s="198"/>
      <c r="E207" s="198"/>
      <c r="F207" s="198"/>
      <c r="G207" s="198"/>
      <c r="H207" s="198"/>
      <c r="I207" s="198"/>
      <c r="J207" s="198"/>
      <c r="K207" s="215">
        <f>K206-$J206</f>
        <v>402.83221271482898</v>
      </c>
      <c r="L207" s="215">
        <f t="shared" ref="L207:O207" si="20">L206-$J206</f>
        <v>436.76798423451385</v>
      </c>
      <c r="M207" s="215">
        <f t="shared" si="20"/>
        <v>472.86068043761338</v>
      </c>
      <c r="N207" s="215">
        <f t="shared" si="20"/>
        <v>511.28889421841222</v>
      </c>
      <c r="O207" s="215">
        <f t="shared" si="20"/>
        <v>552.24796477340203</v>
      </c>
    </row>
    <row r="211" spans="1:7" ht="23.25">
      <c r="A211" s="428" t="s">
        <v>377</v>
      </c>
      <c r="B211" s="428"/>
      <c r="C211" s="428"/>
      <c r="D211" s="428"/>
      <c r="E211" s="231"/>
    </row>
    <row r="212" spans="1:7" ht="18.75">
      <c r="A212" s="250" t="s">
        <v>378</v>
      </c>
      <c r="B212" s="231"/>
      <c r="C212" s="429" t="s">
        <v>379</v>
      </c>
      <c r="D212" s="429"/>
      <c r="E212" s="249" t="s">
        <v>380</v>
      </c>
    </row>
    <row r="213" spans="1:7">
      <c r="A213" s="231"/>
      <c r="B213" s="231"/>
      <c r="C213" s="231"/>
      <c r="D213" s="231"/>
      <c r="E213" s="231"/>
    </row>
    <row r="214" spans="1:7">
      <c r="A214" s="253" t="s">
        <v>437</v>
      </c>
      <c r="B214" s="254"/>
      <c r="C214" s="254"/>
      <c r="D214" s="254"/>
      <c r="E214" s="259">
        <v>331000</v>
      </c>
    </row>
    <row r="215" spans="1:7">
      <c r="A215" s="255" t="s">
        <v>381</v>
      </c>
      <c r="B215" s="256"/>
      <c r="C215" s="256"/>
      <c r="D215" s="256"/>
      <c r="E215" s="260">
        <v>300000</v>
      </c>
    </row>
    <row r="216" spans="1:7">
      <c r="A216" s="255" t="s">
        <v>382</v>
      </c>
      <c r="B216" s="256"/>
      <c r="C216" s="256"/>
      <c r="D216" s="256"/>
      <c r="E216" s="260">
        <v>250000</v>
      </c>
      <c r="F216" s="252"/>
      <c r="G216" s="232"/>
    </row>
    <row r="217" spans="1:7" ht="15.75" thickBot="1">
      <c r="A217" s="255" t="s">
        <v>383</v>
      </c>
      <c r="B217" s="256"/>
      <c r="C217" s="256"/>
      <c r="D217" s="256"/>
      <c r="E217" s="260">
        <v>300000</v>
      </c>
    </row>
    <row r="218" spans="1:7">
      <c r="A218" s="257"/>
      <c r="B218" s="258"/>
      <c r="C218" s="258"/>
      <c r="D218" s="258"/>
      <c r="E218" s="271">
        <v>6041600</v>
      </c>
    </row>
    <row r="219" spans="1:7" ht="35.25" customHeight="1">
      <c r="A219" s="430" t="s">
        <v>438</v>
      </c>
      <c r="B219" s="431"/>
      <c r="C219" s="431"/>
      <c r="D219" s="431"/>
      <c r="E219" s="431"/>
    </row>
    <row r="220" spans="1:7" s="231" customFormat="1">
      <c r="A220" s="345"/>
      <c r="B220" s="345"/>
      <c r="C220" s="345"/>
      <c r="D220" s="345"/>
      <c r="E220" s="345">
        <v>526</v>
      </c>
    </row>
    <row r="221" spans="1:7" s="231" customFormat="1" ht="26.25" customHeight="1">
      <c r="A221" s="356" t="s">
        <v>452</v>
      </c>
      <c r="B221" s="356" t="s">
        <v>453</v>
      </c>
      <c r="C221" s="356" t="s">
        <v>456</v>
      </c>
      <c r="D221" s="356" t="s">
        <v>457</v>
      </c>
      <c r="E221" s="356" t="s">
        <v>458</v>
      </c>
    </row>
    <row r="222" spans="1:7" s="231" customFormat="1">
      <c r="A222" s="356" t="s">
        <v>433</v>
      </c>
      <c r="B222" s="356">
        <v>500</v>
      </c>
      <c r="C222" s="356"/>
      <c r="D222" s="357">
        <f t="shared" ref="D222:D227" si="21">B222*$C$227</f>
        <v>250000</v>
      </c>
      <c r="E222" s="357">
        <f t="shared" ref="E222:E227" si="22">D222*E$220</f>
        <v>131500000</v>
      </c>
    </row>
    <row r="223" spans="1:7" s="231" customFormat="1">
      <c r="A223" s="356" t="s">
        <v>464</v>
      </c>
      <c r="B223" s="356">
        <f>B224+B225</f>
        <v>300</v>
      </c>
      <c r="C223" s="356"/>
      <c r="D223" s="357">
        <f t="shared" si="21"/>
        <v>150000</v>
      </c>
      <c r="E223" s="357">
        <f t="shared" si="22"/>
        <v>78900000</v>
      </c>
    </row>
    <row r="224" spans="1:7" s="231" customFormat="1">
      <c r="A224" s="358" t="s">
        <v>454</v>
      </c>
      <c r="B224" s="358">
        <v>200</v>
      </c>
      <c r="C224" s="356"/>
      <c r="D224" s="359">
        <f t="shared" si="21"/>
        <v>100000</v>
      </c>
      <c r="E224" s="357">
        <f t="shared" si="22"/>
        <v>52600000</v>
      </c>
    </row>
    <row r="225" spans="1:5" s="231" customFormat="1">
      <c r="A225" s="358" t="s">
        <v>455</v>
      </c>
      <c r="B225" s="358">
        <v>100</v>
      </c>
      <c r="C225" s="356"/>
      <c r="D225" s="359">
        <f t="shared" si="21"/>
        <v>50000</v>
      </c>
      <c r="E225" s="357">
        <f t="shared" si="22"/>
        <v>26300000</v>
      </c>
    </row>
    <row r="226" spans="1:5" s="231" customFormat="1">
      <c r="A226" s="356" t="s">
        <v>382</v>
      </c>
      <c r="B226" s="356">
        <v>200</v>
      </c>
      <c r="C226" s="356"/>
      <c r="D226" s="357">
        <f t="shared" si="21"/>
        <v>100000</v>
      </c>
      <c r="E226" s="357">
        <f t="shared" si="22"/>
        <v>52600000</v>
      </c>
    </row>
    <row r="227" spans="1:5" s="231" customFormat="1">
      <c r="A227" s="356" t="s">
        <v>430</v>
      </c>
      <c r="B227" s="358">
        <f>B226+B223+B222</f>
        <v>1000</v>
      </c>
      <c r="C227" s="356">
        <v>500</v>
      </c>
      <c r="D227" s="357">
        <f t="shared" si="21"/>
        <v>500000</v>
      </c>
      <c r="E227" s="357">
        <f t="shared" si="22"/>
        <v>263000000</v>
      </c>
    </row>
    <row r="228" spans="1:5" s="231" customFormat="1">
      <c r="A228" s="345"/>
      <c r="B228" s="345"/>
      <c r="C228" s="345"/>
      <c r="D228" s="345"/>
      <c r="E228" s="345"/>
    </row>
    <row r="229" spans="1:5">
      <c r="A229" s="231"/>
      <c r="B229" s="231"/>
      <c r="C229" s="231"/>
      <c r="D229" s="231"/>
      <c r="E229" s="252"/>
    </row>
    <row r="230" spans="1:5">
      <c r="A230" s="251" t="s">
        <v>384</v>
      </c>
      <c r="B230" s="231"/>
      <c r="C230" s="231"/>
      <c r="D230" s="231"/>
      <c r="E230" s="252"/>
    </row>
    <row r="231" spans="1:5" ht="105" customHeight="1">
      <c r="A231" s="233"/>
      <c r="B231" s="233"/>
      <c r="C231" s="234" t="s">
        <v>385</v>
      </c>
      <c r="D231" s="261" t="s">
        <v>386</v>
      </c>
      <c r="E231" s="268"/>
    </row>
    <row r="232" spans="1:5">
      <c r="A232" s="235" t="s">
        <v>387</v>
      </c>
      <c r="B232" s="235"/>
      <c r="C232" s="236">
        <v>4198877.0999999996</v>
      </c>
      <c r="D232" s="262">
        <v>2820275.86</v>
      </c>
      <c r="E232" s="270">
        <v>2540789.0630630627</v>
      </c>
    </row>
    <row r="233" spans="1:5">
      <c r="A233" s="233"/>
      <c r="B233" s="233" t="s">
        <v>388</v>
      </c>
      <c r="C233" s="237">
        <v>2728164.1</v>
      </c>
      <c r="D233" s="263">
        <v>1636898.46</v>
      </c>
      <c r="E233" s="268">
        <v>1474683.297297297</v>
      </c>
    </row>
    <row r="234" spans="1:5">
      <c r="A234" s="233"/>
      <c r="B234" s="233" t="s">
        <v>389</v>
      </c>
      <c r="C234" s="237">
        <v>718339</v>
      </c>
      <c r="D234" s="263">
        <v>431003.4</v>
      </c>
      <c r="E234" s="268">
        <v>388291.35135135136</v>
      </c>
    </row>
    <row r="235" spans="1:5">
      <c r="A235" s="233"/>
      <c r="B235" s="233" t="s">
        <v>378</v>
      </c>
      <c r="C235" s="237">
        <v>452476</v>
      </c>
      <c r="D235" s="263">
        <v>452476</v>
      </c>
      <c r="E235" s="268">
        <v>407636.03603603598</v>
      </c>
    </row>
    <row r="236" spans="1:5">
      <c r="A236" s="233"/>
      <c r="B236" s="233" t="s">
        <v>390</v>
      </c>
      <c r="C236" s="237">
        <v>299898</v>
      </c>
      <c r="D236" s="263">
        <v>299898</v>
      </c>
      <c r="E236" s="268">
        <v>270178.37837837834</v>
      </c>
    </row>
    <row r="237" spans="1:5">
      <c r="A237" s="235" t="s">
        <v>391</v>
      </c>
      <c r="B237" s="235"/>
      <c r="C237" s="236">
        <v>2712591.62</v>
      </c>
      <c r="D237" s="262">
        <v>1773972.69</v>
      </c>
      <c r="E237" s="270">
        <v>1598173.5945945943</v>
      </c>
    </row>
    <row r="238" spans="1:5">
      <c r="A238" s="233"/>
      <c r="B238" s="233" t="s">
        <v>388</v>
      </c>
      <c r="C238" s="237">
        <v>1872756.33</v>
      </c>
      <c r="D238" s="263">
        <v>1123653.8</v>
      </c>
      <c r="E238" s="268">
        <v>1012300.7207207207</v>
      </c>
    </row>
    <row r="239" spans="1:5">
      <c r="A239" s="233"/>
      <c r="B239" s="233" t="s">
        <v>389</v>
      </c>
      <c r="C239" s="237">
        <v>499261</v>
      </c>
      <c r="D239" s="263">
        <v>299556.59999999998</v>
      </c>
      <c r="E239" s="268">
        <v>269870.81081081077</v>
      </c>
    </row>
    <row r="240" spans="1:5">
      <c r="A240" s="233"/>
      <c r="B240" s="233" t="s">
        <v>378</v>
      </c>
      <c r="C240" s="237">
        <v>180103.29</v>
      </c>
      <c r="D240" s="263">
        <v>180103.29</v>
      </c>
      <c r="E240" s="268">
        <v>162255.21621621621</v>
      </c>
    </row>
    <row r="241" spans="1:5" ht="15.75" thickBot="1">
      <c r="A241" s="240"/>
      <c r="B241" s="240" t="s">
        <v>390</v>
      </c>
      <c r="C241" s="241">
        <v>160471</v>
      </c>
      <c r="D241" s="264">
        <v>170659</v>
      </c>
      <c r="E241" s="259">
        <v>153746.84684684683</v>
      </c>
    </row>
    <row r="242" spans="1:5">
      <c r="A242" s="242" t="s">
        <v>81</v>
      </c>
      <c r="B242" s="243"/>
      <c r="C242" s="244">
        <v>6911468.7199999997</v>
      </c>
      <c r="D242" s="265">
        <v>4594248.55</v>
      </c>
      <c r="E242" s="271">
        <v>4138962.6576576573</v>
      </c>
    </row>
    <row r="243" spans="1:5">
      <c r="A243" s="245"/>
      <c r="B243" s="238" t="s">
        <v>388</v>
      </c>
      <c r="C243" s="239">
        <v>4600920.43</v>
      </c>
      <c r="D243" s="266">
        <v>2760552.26</v>
      </c>
      <c r="E243" s="268">
        <v>2486984.0180180175</v>
      </c>
    </row>
    <row r="244" spans="1:5">
      <c r="A244" s="245"/>
      <c r="B244" s="238" t="s">
        <v>389</v>
      </c>
      <c r="C244" s="239">
        <v>1217600</v>
      </c>
      <c r="D244" s="266">
        <v>730560</v>
      </c>
      <c r="E244" s="268">
        <v>658162.16216216213</v>
      </c>
    </row>
    <row r="245" spans="1:5">
      <c r="A245" s="245"/>
      <c r="B245" s="238" t="s">
        <v>378</v>
      </c>
      <c r="C245" s="239">
        <v>632579.29</v>
      </c>
      <c r="D245" s="266">
        <v>632579.29</v>
      </c>
      <c r="E245" s="268">
        <v>569891.25225225219</v>
      </c>
    </row>
    <row r="246" spans="1:5" ht="15.75" thickBot="1">
      <c r="A246" s="246"/>
      <c r="B246" s="247" t="s">
        <v>390</v>
      </c>
      <c r="C246" s="248">
        <v>460369</v>
      </c>
      <c r="D246" s="267">
        <v>470557</v>
      </c>
      <c r="E246" s="269">
        <v>423925.22522522521</v>
      </c>
    </row>
    <row r="247" spans="1:5">
      <c r="A247" s="231"/>
      <c r="B247" s="231"/>
      <c r="C247" s="232"/>
      <c r="D247" s="232"/>
      <c r="E247" s="231"/>
    </row>
    <row r="252" spans="1:5" s="231" customFormat="1"/>
  </sheetData>
  <mergeCells count="3">
    <mergeCell ref="A211:D211"/>
    <mergeCell ref="C212:D212"/>
    <mergeCell ref="A219:E2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ST Action Plan</vt:lpstr>
      <vt:lpstr>LT Action Plan</vt:lpstr>
      <vt:lpstr>E-justice</vt:lpstr>
      <vt:lpstr>Costing summary</vt:lpstr>
      <vt:lpstr>Cost details</vt:lpstr>
      <vt:lpstr>'E-justice'!Print_Area</vt:lpstr>
      <vt:lpstr>'LT Action Plan'!Print_Area</vt:lpstr>
      <vt:lpstr>'ST Action Plan'!Print_Area</vt:lpstr>
      <vt:lpstr>'LT Action Plan'!Print_Titles</vt:lpstr>
      <vt:lpstr>'ST Action Plan'!Print_Titles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Пользователь Windows</dc:creator>
  <cp:lastModifiedBy>Gohar Hakobyan</cp:lastModifiedBy>
  <cp:lastPrinted>2019-09-19T14:36:50Z</cp:lastPrinted>
  <dcterms:created xsi:type="dcterms:W3CDTF">2019-08-30T18:37:11Z</dcterms:created>
  <dcterms:modified xsi:type="dcterms:W3CDTF">2019-10-07T12:19:09Z</dcterms:modified>
  <cp:keywords>Mulberry 2.0</cp:keywords>
</cp:coreProperties>
</file>