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KGMSN lracuchich berac\նիստ գնացող\attachments_1328667\"/>
    </mc:Choice>
  </mc:AlternateContent>
  <bookViews>
    <workbookView xWindow="-105" yWindow="-105" windowWidth="20370" windowHeight="12210" tabRatio="891" firstSheet="1" activeTab="12"/>
  </bookViews>
  <sheets>
    <sheet name="Հավելված N 1 " sheetId="89" r:id="rId1"/>
    <sheet name="Հավելված N 2 " sheetId="88" r:id="rId2"/>
    <sheet name="Հավելված N 3" sheetId="82" r:id="rId3"/>
    <sheet name="Հավելված N 4" sheetId="65" r:id="rId4"/>
    <sheet name="Հավելված N 5" sheetId="32" r:id="rId5"/>
    <sheet name="Հավելված N 6" sheetId="81" r:id="rId6"/>
    <sheet name="Հավելված N 7" sheetId="79" r:id="rId7"/>
    <sheet name="Հավելված N 8" sheetId="86" r:id="rId8"/>
    <sheet name="Հավելված N 9" sheetId="87" r:id="rId9"/>
    <sheet name="Հավելված N 10" sheetId="73" r:id="rId10"/>
    <sheet name="Հավելված N 11" sheetId="93" r:id="rId11"/>
    <sheet name="Հավելված N 12" sheetId="80" r:id="rId12"/>
    <sheet name="Հավելված N 13" sheetId="91" r:id="rId13"/>
  </sheets>
  <definedNames>
    <definedName name="a" localSheetId="0">#REF!</definedName>
    <definedName name="a" localSheetId="11">#REF!</definedName>
    <definedName name="a" localSheetId="12">#REF!</definedName>
    <definedName name="a" localSheetId="1">#REF!</definedName>
    <definedName name="a" localSheetId="2">#REF!</definedName>
    <definedName name="a" localSheetId="3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AgencyCode" localSheetId="0">#REF!</definedName>
    <definedName name="AgencyCode" localSheetId="12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2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åû" localSheetId="6">#REF!</definedName>
    <definedName name="åû" localSheetId="7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12">#REF!</definedName>
    <definedName name="davit" localSheetId="1">#REF!</definedName>
    <definedName name="davit" localSheetId="2">#REF!</definedName>
    <definedName name="davit" localSheetId="6">#REF!</definedName>
    <definedName name="davit" localSheetId="7">#REF!</definedName>
    <definedName name="davit" localSheetId="8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12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0">#REF!</definedName>
    <definedName name="ggg" localSheetId="12">#REF!</definedName>
    <definedName name="ggg" localSheetId="1">#REF!</definedName>
    <definedName name="ggg" localSheetId="2">#REF!</definedName>
    <definedName name="ggg" localSheetId="6">#REF!</definedName>
    <definedName name="ggg" localSheetId="7">#REF!</definedName>
    <definedName name="ggg" localSheetId="8">#REF!</definedName>
    <definedName name="ggg">#REF!</definedName>
    <definedName name="hav">#REF!</definedName>
    <definedName name="mas" localSheetId="6">#REF!</definedName>
    <definedName name="mas" localSheetId="7">#REF!</definedName>
    <definedName name="mas">#REF!</definedName>
    <definedName name="mass" localSheetId="6">#REF!</definedName>
    <definedName name="mass" localSheetId="7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12">#REF!</definedName>
    <definedName name="PANature" localSheetId="1">#REF!</definedName>
    <definedName name="PANature" localSheetId="2">#REF!</definedName>
    <definedName name="PANature" localSheetId="4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Type" localSheetId="0">#REF!</definedName>
    <definedName name="PAType" localSheetId="12">#REF!</definedName>
    <definedName name="PAType" localSheetId="1">#REF!</definedName>
    <definedName name="PAType" localSheetId="2">#REF!</definedName>
    <definedName name="PAType" localSheetId="4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0">#REF!</definedName>
    <definedName name="Performance2" localSheetId="12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11">#REF!</definedName>
    <definedName name="x" localSheetId="6">#REF!</definedName>
    <definedName name="x" localSheetId="7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12">#REF!</definedName>
    <definedName name="Հավելված" localSheetId="1">#REF!</definedName>
    <definedName name="Հավելված" localSheetId="2">#REF!</definedName>
    <definedName name="Հավելված" localSheetId="6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6">#REF!</definedName>
    <definedName name="Հավելված10" localSheetId="7">#REF!</definedName>
    <definedName name="Հավելված10">#REF!</definedName>
    <definedName name="Հավելված11" localSheetId="6">#REF!</definedName>
    <definedName name="Հավելված11" localSheetId="7">#REF!</definedName>
    <definedName name="Հավելված11">#REF!</definedName>
    <definedName name="Հավելված20" localSheetId="6">#REF!</definedName>
    <definedName name="Հավելված20" localSheetId="7">#REF!</definedName>
    <definedName name="Հավելված20">#REF!</definedName>
    <definedName name="Հավելված9" localSheetId="6">#REF!</definedName>
    <definedName name="Հավելված9" localSheetId="7">#REF!</definedName>
    <definedName name="Հավելված9">#REF!</definedName>
    <definedName name="Մաս" localSheetId="0">#REF!</definedName>
    <definedName name="Մաս" localSheetId="12">#REF!</definedName>
    <definedName name="Մաս" localSheetId="1">#REF!</definedName>
    <definedName name="Մաս" localSheetId="2">#REF!</definedName>
    <definedName name="Մաս" localSheetId="6">#REF!</definedName>
    <definedName name="Մաս" localSheetId="7">#REF!</definedName>
    <definedName name="Մաս" localSheetId="8">#REF!</definedName>
    <definedName name="Մաս">#REF!</definedName>
    <definedName name="շախմատիստ" localSheetId="0">#REF!</definedName>
    <definedName name="շախմատիստ" localSheetId="12">#REF!</definedName>
    <definedName name="շախմատիստ" localSheetId="1">#REF!</definedName>
    <definedName name="շախմատիստ" localSheetId="2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11" i="80" l="1"/>
  <c r="I112" i="80"/>
  <c r="I116" i="80"/>
  <c r="H34" i="91" l="1"/>
  <c r="I34" i="91"/>
  <c r="G34" i="91"/>
  <c r="K134" i="93"/>
  <c r="L134" i="93"/>
  <c r="J134" i="93"/>
  <c r="H292" i="32"/>
  <c r="I292" i="32"/>
  <c r="G292" i="32"/>
  <c r="L25" i="73" l="1"/>
  <c r="I78" i="80" l="1"/>
  <c r="E91" i="81"/>
  <c r="E92" i="79"/>
  <c r="E83" i="81"/>
  <c r="I66" i="80"/>
  <c r="F109" i="79"/>
  <c r="E109" i="79"/>
  <c r="G94" i="81"/>
  <c r="H94" i="81"/>
  <c r="E94" i="81"/>
  <c r="E21" i="79"/>
  <c r="I104" i="80" l="1"/>
  <c r="I24" i="80" l="1"/>
  <c r="I23" i="80" s="1"/>
  <c r="I22" i="80" s="1"/>
  <c r="D105" i="79"/>
  <c r="G91" i="81"/>
  <c r="H91" i="81"/>
  <c r="F92" i="81" l="1"/>
  <c r="D92" i="81" l="1"/>
  <c r="G105" i="79" s="1"/>
  <c r="E105" i="79" l="1"/>
  <c r="E104" i="79" s="1"/>
  <c r="F105" i="79"/>
  <c r="F104" i="79" s="1"/>
  <c r="G36" i="86"/>
  <c r="I87" i="32" s="1"/>
  <c r="G33" i="86"/>
  <c r="I86" i="32" l="1"/>
  <c r="I85" i="32" s="1"/>
  <c r="I84" i="32" s="1"/>
  <c r="I83" i="32" s="1"/>
  <c r="I81" i="32" s="1"/>
  <c r="I52" i="91"/>
  <c r="I51" i="91" s="1"/>
  <c r="I50" i="91" s="1"/>
  <c r="I49" i="91" s="1"/>
  <c r="I48" i="91" s="1"/>
  <c r="I46" i="91" s="1"/>
  <c r="I44" i="91" s="1"/>
  <c r="I42" i="91" s="1"/>
  <c r="I40" i="91" s="1"/>
  <c r="I38" i="91" s="1"/>
  <c r="I36" i="91" s="1"/>
  <c r="H87" i="32"/>
  <c r="H52" i="91" l="1"/>
  <c r="H51" i="91" s="1"/>
  <c r="H50" i="91" s="1"/>
  <c r="H49" i="91" s="1"/>
  <c r="H48" i="91" s="1"/>
  <c r="H46" i="91" s="1"/>
  <c r="H44" i="91" s="1"/>
  <c r="H42" i="91" s="1"/>
  <c r="H40" i="91" s="1"/>
  <c r="H38" i="91" s="1"/>
  <c r="H36" i="91" s="1"/>
  <c r="G87" i="32"/>
  <c r="H86" i="32"/>
  <c r="H85" i="32" s="1"/>
  <c r="H84" i="32" s="1"/>
  <c r="H83" i="32" s="1"/>
  <c r="H81" i="32" s="1"/>
  <c r="I79" i="32"/>
  <c r="L42" i="93"/>
  <c r="L25" i="93"/>
  <c r="I77" i="32" l="1"/>
  <c r="I23" i="65"/>
  <c r="L43" i="73" s="1"/>
  <c r="H79" i="32"/>
  <c r="K42" i="93"/>
  <c r="G86" i="32"/>
  <c r="G85" i="32" s="1"/>
  <c r="G84" i="32" s="1"/>
  <c r="G83" i="32" s="1"/>
  <c r="G81" i="32" s="1"/>
  <c r="G52" i="91"/>
  <c r="G51" i="91" s="1"/>
  <c r="G50" i="91" s="1"/>
  <c r="G49" i="91" s="1"/>
  <c r="G48" i="91" s="1"/>
  <c r="G46" i="91" s="1"/>
  <c r="G44" i="91" s="1"/>
  <c r="G42" i="91" s="1"/>
  <c r="G40" i="91" s="1"/>
  <c r="G38" i="91" s="1"/>
  <c r="G36" i="91" s="1"/>
  <c r="I71" i="91"/>
  <c r="I70" i="91" s="1"/>
  <c r="I69" i="91" s="1"/>
  <c r="I68" i="91" s="1"/>
  <c r="I67" i="91" s="1"/>
  <c r="I65" i="91" s="1"/>
  <c r="I63" i="91" s="1"/>
  <c r="I61" i="91" s="1"/>
  <c r="I59" i="91" s="1"/>
  <c r="I57" i="91" s="1"/>
  <c r="I55" i="91" s="1"/>
  <c r="I53" i="91" s="1"/>
  <c r="H77" i="32" l="1"/>
  <c r="H23" i="65"/>
  <c r="K43" i="73" s="1"/>
  <c r="G79" i="32"/>
  <c r="J42" i="93"/>
  <c r="G264" i="32"/>
  <c r="G71" i="91" s="1"/>
  <c r="G70" i="91" s="1"/>
  <c r="G69" i="91" s="1"/>
  <c r="G68" i="91" s="1"/>
  <c r="G67" i="91" s="1"/>
  <c r="G65" i="91" s="1"/>
  <c r="G63" i="91" s="1"/>
  <c r="G61" i="91" s="1"/>
  <c r="G59" i="91" s="1"/>
  <c r="G57" i="91" s="1"/>
  <c r="G55" i="91" s="1"/>
  <c r="G53" i="91" s="1"/>
  <c r="G77" i="32" l="1"/>
  <c r="G23" i="65"/>
  <c r="J43" i="73" s="1"/>
  <c r="G263" i="32"/>
  <c r="G262" i="32" s="1"/>
  <c r="G261" i="32" s="1"/>
  <c r="G260" i="32" s="1"/>
  <c r="G258" i="32" s="1"/>
  <c r="H264" i="32"/>
  <c r="I263" i="32"/>
  <c r="I262" i="32" s="1"/>
  <c r="I261" i="32" s="1"/>
  <c r="I260" i="32" s="1"/>
  <c r="I258" i="32" s="1"/>
  <c r="L56" i="93" s="1"/>
  <c r="G256" i="32" l="1"/>
  <c r="J56" i="93"/>
  <c r="H263" i="32"/>
  <c r="H262" i="32" s="1"/>
  <c r="H261" i="32" s="1"/>
  <c r="H260" i="32" s="1"/>
  <c r="H258" i="32" s="1"/>
  <c r="K56" i="93" s="1"/>
  <c r="H71" i="91"/>
  <c r="H70" i="91" s="1"/>
  <c r="H69" i="91" s="1"/>
  <c r="H68" i="91" s="1"/>
  <c r="H67" i="91" s="1"/>
  <c r="H65" i="91" s="1"/>
  <c r="H63" i="91" s="1"/>
  <c r="H61" i="91" s="1"/>
  <c r="H59" i="91" s="1"/>
  <c r="H57" i="91" s="1"/>
  <c r="H55" i="91" s="1"/>
  <c r="H53" i="91" s="1"/>
  <c r="J55" i="93"/>
  <c r="G33" i="91"/>
  <c r="I256" i="32"/>
  <c r="G254" i="32"/>
  <c r="G252" i="32" s="1"/>
  <c r="G250" i="32" s="1"/>
  <c r="G248" i="32" s="1"/>
  <c r="G27" i="65" l="1"/>
  <c r="G26" i="65" s="1"/>
  <c r="J57" i="73"/>
  <c r="J56" i="73" s="1"/>
  <c r="H256" i="32"/>
  <c r="I33" i="91"/>
  <c r="H33" i="91"/>
  <c r="I254" i="32"/>
  <c r="I252" i="32" s="1"/>
  <c r="I250" i="32" s="1"/>
  <c r="I248" i="32" s="1"/>
  <c r="I27" i="65"/>
  <c r="H254" i="32" l="1"/>
  <c r="H252" i="32" s="1"/>
  <c r="H250" i="32" s="1"/>
  <c r="H248" i="32" s="1"/>
  <c r="H27" i="65"/>
  <c r="I26" i="65"/>
  <c r="L55" i="93"/>
  <c r="L57" i="73"/>
  <c r="L56" i="73" s="1"/>
  <c r="H26" i="65"/>
  <c r="K55" i="93"/>
  <c r="K57" i="73"/>
  <c r="K56" i="73" s="1"/>
  <c r="I291" i="32"/>
  <c r="I290" i="32" s="1"/>
  <c r="I289" i="32" s="1"/>
  <c r="I287" i="32" s="1"/>
  <c r="I285" i="32" s="1"/>
  <c r="I40" i="65" s="1"/>
  <c r="I284" i="32"/>
  <c r="H291" i="32"/>
  <c r="H290" i="32" s="1"/>
  <c r="H289" i="32" s="1"/>
  <c r="H287" i="32" s="1"/>
  <c r="H285" i="32" s="1"/>
  <c r="H40" i="65" s="1"/>
  <c r="H284" i="32"/>
  <c r="H151" i="32"/>
  <c r="G151" i="32"/>
  <c r="L100" i="73" l="1"/>
  <c r="L149" i="93"/>
  <c r="K149" i="93"/>
  <c r="K100" i="73"/>
  <c r="H31" i="91"/>
  <c r="H30" i="91" s="1"/>
  <c r="H29" i="91" s="1"/>
  <c r="H28" i="91" s="1"/>
  <c r="H26" i="91" s="1"/>
  <c r="H24" i="91" s="1"/>
  <c r="H22" i="91" s="1"/>
  <c r="H20" i="91" s="1"/>
  <c r="H18" i="91" s="1"/>
  <c r="H16" i="91" s="1"/>
  <c r="H14" i="91" s="1"/>
  <c r="H13" i="91" s="1"/>
  <c r="H11" i="91" s="1"/>
  <c r="H283" i="32"/>
  <c r="H282" i="32" s="1"/>
  <c r="H281" i="32" s="1"/>
  <c r="H279" i="32" s="1"/>
  <c r="H277" i="32" s="1"/>
  <c r="I31" i="91"/>
  <c r="I30" i="91" s="1"/>
  <c r="I29" i="91" s="1"/>
  <c r="I28" i="91" s="1"/>
  <c r="I26" i="91" s="1"/>
  <c r="I24" i="91" s="1"/>
  <c r="I22" i="91" s="1"/>
  <c r="I20" i="91" s="1"/>
  <c r="I18" i="91" s="1"/>
  <c r="I16" i="91" s="1"/>
  <c r="I14" i="91" s="1"/>
  <c r="I13" i="91" s="1"/>
  <c r="I11" i="91" s="1"/>
  <c r="I283" i="32"/>
  <c r="I282" i="32" s="1"/>
  <c r="I281" i="32" s="1"/>
  <c r="I279" i="32" s="1"/>
  <c r="I277" i="32" s="1"/>
  <c r="I275" i="32" l="1"/>
  <c r="I273" i="32" s="1"/>
  <c r="I271" i="32" s="1"/>
  <c r="I269" i="32" s="1"/>
  <c r="I267" i="32" s="1"/>
  <c r="I266" i="32" s="1"/>
  <c r="I39" i="65"/>
  <c r="H275" i="32"/>
  <c r="H273" i="32" s="1"/>
  <c r="H271" i="32" s="1"/>
  <c r="H269" i="32" s="1"/>
  <c r="H267" i="32" s="1"/>
  <c r="H266" i="32" s="1"/>
  <c r="H39" i="65"/>
  <c r="H38" i="65" l="1"/>
  <c r="H37" i="65" s="1"/>
  <c r="K96" i="73"/>
  <c r="K95" i="73" s="1"/>
  <c r="K94" i="73" s="1"/>
  <c r="K145" i="93"/>
  <c r="K144" i="93" s="1"/>
  <c r="I38" i="65"/>
  <c r="I37" i="65" s="1"/>
  <c r="L96" i="73"/>
  <c r="L95" i="73" s="1"/>
  <c r="L94" i="73" s="1"/>
  <c r="L145" i="93"/>
  <c r="L144" i="93" s="1"/>
  <c r="G72" i="32"/>
  <c r="G71" i="32" s="1"/>
  <c r="G70" i="32" s="1"/>
  <c r="G69" i="32" s="1"/>
  <c r="G68" i="32" s="1"/>
  <c r="G66" i="32" s="1"/>
  <c r="G64" i="32" l="1"/>
  <c r="J73" i="93"/>
  <c r="J72" i="93" s="1"/>
  <c r="D165" i="79"/>
  <c r="D161" i="79"/>
  <c r="E149" i="79"/>
  <c r="E147" i="79" s="1"/>
  <c r="D157" i="79"/>
  <c r="D156" i="79"/>
  <c r="D155" i="79"/>
  <c r="D154" i="79"/>
  <c r="D153" i="79"/>
  <c r="D152" i="79"/>
  <c r="D151" i="79"/>
  <c r="D150" i="79"/>
  <c r="D146" i="79"/>
  <c r="D145" i="79"/>
  <c r="D144" i="79"/>
  <c r="D143" i="79"/>
  <c r="D142" i="79"/>
  <c r="D141" i="79"/>
  <c r="D140" i="79"/>
  <c r="D139" i="79"/>
  <c r="D138" i="79"/>
  <c r="D137" i="79"/>
  <c r="D136" i="79"/>
  <c r="D135" i="79"/>
  <c r="D134" i="79"/>
  <c r="D133" i="79"/>
  <c r="D132" i="79"/>
  <c r="D131" i="79"/>
  <c r="D130" i="79"/>
  <c r="D129" i="79"/>
  <c r="D128" i="79"/>
  <c r="D127" i="79"/>
  <c r="D126" i="79"/>
  <c r="D125" i="79"/>
  <c r="D124" i="79"/>
  <c r="D123" i="79"/>
  <c r="D122" i="79"/>
  <c r="D121" i="79"/>
  <c r="D120" i="79"/>
  <c r="F108" i="79"/>
  <c r="E106" i="79"/>
  <c r="G32" i="65" l="1"/>
  <c r="G62" i="32"/>
  <c r="F106" i="79"/>
  <c r="H72" i="32"/>
  <c r="H71" i="32" s="1"/>
  <c r="H70" i="32" s="1"/>
  <c r="H69" i="32" s="1"/>
  <c r="H68" i="32" s="1"/>
  <c r="H66" i="32" s="1"/>
  <c r="G189" i="32"/>
  <c r="E14" i="87"/>
  <c r="E13" i="87" s="1"/>
  <c r="E11" i="87" s="1"/>
  <c r="D14" i="88" s="1"/>
  <c r="D12" i="88" s="1"/>
  <c r="D11" i="88" s="1"/>
  <c r="D99" i="79"/>
  <c r="E90" i="79"/>
  <c r="D93" i="79"/>
  <c r="D87" i="79"/>
  <c r="D85" i="79"/>
  <c r="D83" i="79"/>
  <c r="D81" i="79"/>
  <c r="D80" i="79"/>
  <c r="D78" i="79"/>
  <c r="D77" i="79"/>
  <c r="F74" i="79"/>
  <c r="E74" i="79"/>
  <c r="F72" i="79"/>
  <c r="E72" i="79"/>
  <c r="D75" i="79"/>
  <c r="D73" i="79"/>
  <c r="D71" i="79"/>
  <c r="D70" i="79"/>
  <c r="D69" i="79"/>
  <c r="D68" i="79"/>
  <c r="D67" i="79"/>
  <c r="D66" i="79"/>
  <c r="D62" i="79"/>
  <c r="D64" i="79"/>
  <c r="F63" i="79"/>
  <c r="F62" i="79" s="1"/>
  <c r="E63" i="79"/>
  <c r="E62" i="79" s="1"/>
  <c r="F59" i="79"/>
  <c r="F58" i="79" s="1"/>
  <c r="D59" i="79"/>
  <c r="E58" i="79"/>
  <c r="F57" i="79"/>
  <c r="F56" i="79" s="1"/>
  <c r="D57" i="79"/>
  <c r="E56" i="79"/>
  <c r="F54" i="79"/>
  <c r="E54" i="79"/>
  <c r="D55" i="79"/>
  <c r="F52" i="79"/>
  <c r="E52" i="79"/>
  <c r="E51" i="79" s="1"/>
  <c r="D53" i="79"/>
  <c r="D52" i="79"/>
  <c r="E49" i="79"/>
  <c r="F50" i="79"/>
  <c r="F49" i="79" s="1"/>
  <c r="D50" i="79"/>
  <c r="D48" i="79"/>
  <c r="F47" i="79"/>
  <c r="E47" i="79"/>
  <c r="J74" i="73" l="1"/>
  <c r="J73" i="73" s="1"/>
  <c r="G31" i="65"/>
  <c r="E45" i="79"/>
  <c r="H64" i="32"/>
  <c r="K73" i="93"/>
  <c r="K72" i="93" s="1"/>
  <c r="E88" i="79"/>
  <c r="G41" i="32"/>
  <c r="F102" i="79"/>
  <c r="E102" i="79"/>
  <c r="G130" i="32"/>
  <c r="G129" i="32" s="1"/>
  <c r="E39" i="79"/>
  <c r="D40" i="79"/>
  <c r="F33" i="79"/>
  <c r="D34" i="79"/>
  <c r="E33" i="79"/>
  <c r="F32" i="79"/>
  <c r="F31" i="79" s="1"/>
  <c r="D32" i="79"/>
  <c r="E31" i="79"/>
  <c r="D38" i="79"/>
  <c r="F37" i="79"/>
  <c r="E37" i="79"/>
  <c r="F29" i="79"/>
  <c r="E29" i="79"/>
  <c r="D30" i="79"/>
  <c r="F23" i="79"/>
  <c r="E23" i="79"/>
  <c r="D24" i="79"/>
  <c r="D22" i="79"/>
  <c r="D21" i="79"/>
  <c r="E17" i="79"/>
  <c r="D19" i="79"/>
  <c r="D18" i="79"/>
  <c r="F91" i="81"/>
  <c r="G42" i="86"/>
  <c r="G40" i="86" s="1"/>
  <c r="I111" i="32" s="1"/>
  <c r="H89" i="81"/>
  <c r="G89" i="81"/>
  <c r="F93" i="81"/>
  <c r="I18" i="80"/>
  <c r="I16" i="80"/>
  <c r="I50" i="32"/>
  <c r="H32" i="65" l="1"/>
  <c r="K74" i="73" s="1"/>
  <c r="K73" i="73" s="1"/>
  <c r="H62" i="32"/>
  <c r="I15" i="80"/>
  <c r="I14" i="80" s="1"/>
  <c r="E100" i="79"/>
  <c r="G102" i="32"/>
  <c r="G101" i="32" s="1"/>
  <c r="G100" i="32" s="1"/>
  <c r="G99" i="32" s="1"/>
  <c r="G98" i="32" s="1"/>
  <c r="G96" i="32" s="1"/>
  <c r="I49" i="32"/>
  <c r="I48" i="32" s="1"/>
  <c r="I47" i="32" s="1"/>
  <c r="I46" i="32" s="1"/>
  <c r="I44" i="32" s="1"/>
  <c r="L37" i="93" s="1"/>
  <c r="H50" i="32"/>
  <c r="H49" i="32" s="1"/>
  <c r="H48" i="32" s="1"/>
  <c r="H47" i="32" s="1"/>
  <c r="H46" i="32" s="1"/>
  <c r="H44" i="32" s="1"/>
  <c r="K37" i="93" s="1"/>
  <c r="G50" i="32"/>
  <c r="G49" i="32" s="1"/>
  <c r="G48" i="32" s="1"/>
  <c r="G47" i="32" s="1"/>
  <c r="G46" i="32" s="1"/>
  <c r="G44" i="32" s="1"/>
  <c r="J37" i="93" s="1"/>
  <c r="F100" i="79"/>
  <c r="H102" i="32"/>
  <c r="H101" i="32" s="1"/>
  <c r="H100" i="32" s="1"/>
  <c r="H99" i="32" s="1"/>
  <c r="H98" i="32" s="1"/>
  <c r="H96" i="32" s="1"/>
  <c r="I21" i="80"/>
  <c r="F89" i="81"/>
  <c r="E35" i="79"/>
  <c r="G236" i="32" s="1"/>
  <c r="G235" i="32" s="1"/>
  <c r="G234" i="32" s="1"/>
  <c r="G233" i="32" s="1"/>
  <c r="G232" i="32" s="1"/>
  <c r="G230" i="32" s="1"/>
  <c r="J85" i="93" s="1"/>
  <c r="J84" i="93" s="1"/>
  <c r="E27" i="79"/>
  <c r="G229" i="32" s="1"/>
  <c r="G228" i="32" s="1"/>
  <c r="G227" i="32" s="1"/>
  <c r="G226" i="32" s="1"/>
  <c r="G225" i="32" s="1"/>
  <c r="G223" i="32" s="1"/>
  <c r="J21" i="93" s="1"/>
  <c r="F27" i="79"/>
  <c r="H229" i="32" s="1"/>
  <c r="H228" i="32" s="1"/>
  <c r="H227" i="32" s="1"/>
  <c r="H226" i="32" s="1"/>
  <c r="H225" i="32" s="1"/>
  <c r="H223" i="32" s="1"/>
  <c r="K21" i="93" s="1"/>
  <c r="E89" i="81"/>
  <c r="D93" i="81"/>
  <c r="G108" i="79" s="1"/>
  <c r="D89" i="81" l="1"/>
  <c r="G104" i="79"/>
  <c r="G102" i="79" s="1"/>
  <c r="H94" i="32"/>
  <c r="H29" i="65" s="1"/>
  <c r="K62" i="93"/>
  <c r="G94" i="32"/>
  <c r="G29" i="65" s="1"/>
  <c r="J62" i="93"/>
  <c r="G221" i="32"/>
  <c r="G18" i="65" s="1"/>
  <c r="J21" i="73" s="1"/>
  <c r="G106" i="79"/>
  <c r="I72" i="32"/>
  <c r="I71" i="32" s="1"/>
  <c r="I70" i="32" s="1"/>
  <c r="I69" i="32" s="1"/>
  <c r="I68" i="32" s="1"/>
  <c r="I66" i="32" s="1"/>
  <c r="D91" i="81"/>
  <c r="E25" i="79"/>
  <c r="G22" i="86"/>
  <c r="G21" i="86"/>
  <c r="G20" i="86"/>
  <c r="G19" i="86"/>
  <c r="I52" i="80"/>
  <c r="I55" i="80"/>
  <c r="I56" i="80"/>
  <c r="I57" i="80"/>
  <c r="I58" i="80"/>
  <c r="I59" i="80"/>
  <c r="I60" i="80"/>
  <c r="I61" i="80"/>
  <c r="H77" i="81"/>
  <c r="F77" i="81"/>
  <c r="E77" i="81"/>
  <c r="H75" i="81"/>
  <c r="F75" i="81"/>
  <c r="E75" i="81"/>
  <c r="F69" i="81"/>
  <c r="H69" i="81"/>
  <c r="E69" i="81"/>
  <c r="E58" i="81"/>
  <c r="F58" i="81"/>
  <c r="H58" i="81"/>
  <c r="F50" i="81"/>
  <c r="D50" i="81" s="1"/>
  <c r="G57" i="79" s="1"/>
  <c r="G56" i="79" s="1"/>
  <c r="H49" i="81"/>
  <c r="G49" i="81"/>
  <c r="E49" i="81"/>
  <c r="F48" i="81"/>
  <c r="D48" i="81" s="1"/>
  <c r="G55" i="79" s="1"/>
  <c r="G54" i="79" s="1"/>
  <c r="H47" i="81"/>
  <c r="G47" i="81"/>
  <c r="E47" i="81"/>
  <c r="G44" i="81"/>
  <c r="H44" i="81"/>
  <c r="E44" i="81"/>
  <c r="F46" i="81"/>
  <c r="D46" i="81" s="1"/>
  <c r="G53" i="79" s="1"/>
  <c r="F53" i="79" s="1"/>
  <c r="F51" i="79" s="1"/>
  <c r="F41" i="81"/>
  <c r="D41" i="81" s="1"/>
  <c r="G48" i="79" s="1"/>
  <c r="G47" i="79" s="1"/>
  <c r="H40" i="81"/>
  <c r="G40" i="81"/>
  <c r="E40" i="81"/>
  <c r="G68" i="81"/>
  <c r="D68" i="81" s="1"/>
  <c r="G75" i="79" s="1"/>
  <c r="G74" i="79" s="1"/>
  <c r="H67" i="81"/>
  <c r="F67" i="81"/>
  <c r="E67" i="81"/>
  <c r="G66" i="81"/>
  <c r="D66" i="81" s="1"/>
  <c r="G73" i="79" s="1"/>
  <c r="G72" i="79" s="1"/>
  <c r="H65" i="81"/>
  <c r="F65" i="81"/>
  <c r="E65" i="81"/>
  <c r="G61" i="81"/>
  <c r="D61" i="81" s="1"/>
  <c r="G68" i="79" s="1"/>
  <c r="G59" i="81"/>
  <c r="D59" i="81" s="1"/>
  <c r="G66" i="79" s="1"/>
  <c r="G55" i="81"/>
  <c r="D55" i="81" s="1"/>
  <c r="G62" i="79" s="1"/>
  <c r="I62" i="80"/>
  <c r="F45" i="79" l="1"/>
  <c r="H130" i="32" s="1"/>
  <c r="H129" i="32" s="1"/>
  <c r="G70" i="81"/>
  <c r="D70" i="81" s="1"/>
  <c r="G77" i="79" s="1"/>
  <c r="F77" i="79" s="1"/>
  <c r="G100" i="79"/>
  <c r="I102" i="32"/>
  <c r="I101" i="32" s="1"/>
  <c r="I100" i="32" s="1"/>
  <c r="I99" i="32" s="1"/>
  <c r="I98" i="32" s="1"/>
  <c r="I96" i="32" s="1"/>
  <c r="I64" i="32"/>
  <c r="L73" i="93"/>
  <c r="L72" i="93" s="1"/>
  <c r="K63" i="73"/>
  <c r="J63" i="73"/>
  <c r="E77" i="79"/>
  <c r="G78" i="81"/>
  <c r="D78" i="81" s="1"/>
  <c r="G85" i="79" s="1"/>
  <c r="I38" i="80"/>
  <c r="G76" i="81"/>
  <c r="D76" i="81" s="1"/>
  <c r="G83" i="79" s="1"/>
  <c r="G64" i="81"/>
  <c r="D64" i="81" s="1"/>
  <c r="G71" i="79" s="1"/>
  <c r="F40" i="81"/>
  <c r="F49" i="81"/>
  <c r="D49" i="81" s="1"/>
  <c r="F47" i="81"/>
  <c r="D47" i="81" s="1"/>
  <c r="G67" i="81"/>
  <c r="D67" i="81" s="1"/>
  <c r="G65" i="81"/>
  <c r="D65" i="81" s="1"/>
  <c r="I32" i="65" l="1"/>
  <c r="L74" i="73" s="1"/>
  <c r="L73" i="73" s="1"/>
  <c r="I62" i="32"/>
  <c r="D40" i="81"/>
  <c r="I94" i="32"/>
  <c r="I29" i="65" s="1"/>
  <c r="L63" i="73" s="1"/>
  <c r="L62" i="93"/>
  <c r="E85" i="79"/>
  <c r="E84" i="79" s="1"/>
  <c r="G84" i="79"/>
  <c r="F85" i="79"/>
  <c r="F84" i="79" s="1"/>
  <c r="G77" i="81"/>
  <c r="D77" i="81" s="1"/>
  <c r="F83" i="79"/>
  <c r="F82" i="79" s="1"/>
  <c r="G82" i="79"/>
  <c r="E83" i="79"/>
  <c r="E82" i="79" s="1"/>
  <c r="E71" i="79"/>
  <c r="F71" i="79"/>
  <c r="G75" i="81"/>
  <c r="D75" i="81" s="1"/>
  <c r="G83" i="81" l="1"/>
  <c r="H83" i="81"/>
  <c r="F31" i="81" l="1"/>
  <c r="G31" i="81"/>
  <c r="H31" i="81"/>
  <c r="I86" i="80"/>
  <c r="I83" i="80"/>
  <c r="I79" i="80"/>
  <c r="H20" i="81"/>
  <c r="E20" i="81"/>
  <c r="I74" i="80"/>
  <c r="I71" i="80"/>
  <c r="I67" i="80"/>
  <c r="E32" i="81" l="1"/>
  <c r="D32" i="81" s="1"/>
  <c r="G32" i="79" s="1"/>
  <c r="G31" i="79" s="1"/>
  <c r="F22" i="81"/>
  <c r="D22" i="81" s="1"/>
  <c r="G22" i="79" s="1"/>
  <c r="E31" i="81" l="1"/>
  <c r="F87" i="81"/>
  <c r="F85" i="81" s="1"/>
  <c r="G87" i="81"/>
  <c r="G85" i="81" s="1"/>
  <c r="E87" i="81"/>
  <c r="E85" i="81" s="1"/>
  <c r="G81" i="81"/>
  <c r="H81" i="81"/>
  <c r="E81" i="81"/>
  <c r="H138" i="81"/>
  <c r="G138" i="81"/>
  <c r="F138" i="81"/>
  <c r="E138" i="81"/>
  <c r="F136" i="81"/>
  <c r="G136" i="81"/>
  <c r="E136" i="81"/>
  <c r="H99" i="81"/>
  <c r="D103" i="81"/>
  <c r="G123" i="79" s="1"/>
  <c r="D102" i="81"/>
  <c r="G122" i="79" s="1"/>
  <c r="D101" i="81"/>
  <c r="G121" i="79" s="1"/>
  <c r="D100" i="81"/>
  <c r="G120" i="79" s="1"/>
  <c r="D110" i="81"/>
  <c r="G130" i="79" s="1"/>
  <c r="D109" i="81"/>
  <c r="G129" i="79" s="1"/>
  <c r="D108" i="81"/>
  <c r="G128" i="79" s="1"/>
  <c r="D107" i="81"/>
  <c r="G127" i="79" s="1"/>
  <c r="D106" i="81"/>
  <c r="G126" i="79" s="1"/>
  <c r="D105" i="81"/>
  <c r="G125" i="79" s="1"/>
  <c r="D104" i="81"/>
  <c r="G124" i="79" s="1"/>
  <c r="D118" i="81"/>
  <c r="G138" i="79" s="1"/>
  <c r="D117" i="81"/>
  <c r="G137" i="79" s="1"/>
  <c r="D116" i="81"/>
  <c r="G136" i="79" s="1"/>
  <c r="D115" i="81"/>
  <c r="G135" i="79" s="1"/>
  <c r="D114" i="81"/>
  <c r="G134" i="79" s="1"/>
  <c r="D113" i="81"/>
  <c r="G133" i="79" s="1"/>
  <c r="D112" i="81"/>
  <c r="G132" i="79" s="1"/>
  <c r="D111" i="81"/>
  <c r="G131" i="79" s="1"/>
  <c r="D126" i="81"/>
  <c r="G146" i="79" s="1"/>
  <c r="D125" i="81"/>
  <c r="G145" i="79" s="1"/>
  <c r="D124" i="81"/>
  <c r="G144" i="79" s="1"/>
  <c r="D123" i="81"/>
  <c r="G143" i="79" s="1"/>
  <c r="D122" i="81"/>
  <c r="G142" i="79" s="1"/>
  <c r="D121" i="81"/>
  <c r="G141" i="79" s="1"/>
  <c r="D120" i="81"/>
  <c r="G140" i="79" s="1"/>
  <c r="D119" i="81"/>
  <c r="G139" i="79" s="1"/>
  <c r="G99" i="81"/>
  <c r="F99" i="81"/>
  <c r="E99" i="81"/>
  <c r="I123" i="80"/>
  <c r="I122" i="80"/>
  <c r="I120" i="80"/>
  <c r="I121" i="80"/>
  <c r="I119" i="80"/>
  <c r="F121" i="79" l="1"/>
  <c r="E121" i="79"/>
  <c r="F122" i="79"/>
  <c r="E122" i="79"/>
  <c r="F123" i="79"/>
  <c r="E123" i="79"/>
  <c r="F135" i="79"/>
  <c r="E135" i="79"/>
  <c r="F136" i="79"/>
  <c r="E136" i="79"/>
  <c r="F124" i="79"/>
  <c r="E124" i="79"/>
  <c r="F139" i="79"/>
  <c r="E139" i="79"/>
  <c r="F142" i="79"/>
  <c r="E142" i="79"/>
  <c r="F144" i="79"/>
  <c r="E144" i="79"/>
  <c r="F126" i="79"/>
  <c r="E126" i="79"/>
  <c r="F125" i="79"/>
  <c r="E125" i="79"/>
  <c r="F127" i="79"/>
  <c r="E127" i="79"/>
  <c r="F138" i="79"/>
  <c r="E138" i="79"/>
  <c r="F128" i="79"/>
  <c r="E128" i="79"/>
  <c r="F137" i="79"/>
  <c r="E137" i="79"/>
  <c r="F132" i="79"/>
  <c r="E132" i="79"/>
  <c r="F129" i="79"/>
  <c r="E129" i="79"/>
  <c r="F140" i="79"/>
  <c r="E140" i="79"/>
  <c r="F146" i="79"/>
  <c r="E146" i="79"/>
  <c r="F133" i="79"/>
  <c r="E133" i="79"/>
  <c r="F130" i="79"/>
  <c r="E130" i="79"/>
  <c r="F141" i="79"/>
  <c r="E141" i="79"/>
  <c r="F143" i="79"/>
  <c r="E143" i="79"/>
  <c r="F145" i="79"/>
  <c r="E145" i="79"/>
  <c r="F131" i="79"/>
  <c r="E131" i="79"/>
  <c r="F134" i="79"/>
  <c r="E134" i="79"/>
  <c r="F120" i="79"/>
  <c r="G119" i="79"/>
  <c r="E120" i="79"/>
  <c r="I118" i="80"/>
  <c r="I117" i="80" s="1"/>
  <c r="D99" i="81"/>
  <c r="G117" i="79" l="1"/>
  <c r="G114" i="79" s="1"/>
  <c r="I175" i="32" s="1"/>
  <c r="I174" i="32" s="1"/>
  <c r="I173" i="32" s="1"/>
  <c r="I172" i="32" s="1"/>
  <c r="I171" i="32" s="1"/>
  <c r="I169" i="32" s="1"/>
  <c r="L78" i="93" s="1"/>
  <c r="L77" i="93" s="1"/>
  <c r="I182" i="32"/>
  <c r="E119" i="79"/>
  <c r="F119" i="79"/>
  <c r="I167" i="80"/>
  <c r="I166" i="80" s="1"/>
  <c r="H137" i="81" s="1"/>
  <c r="F117" i="79" l="1"/>
  <c r="F114" i="79" s="1"/>
  <c r="H175" i="32" s="1"/>
  <c r="H174" i="32" s="1"/>
  <c r="H173" i="32" s="1"/>
  <c r="H172" i="32" s="1"/>
  <c r="H171" i="32" s="1"/>
  <c r="H169" i="32" s="1"/>
  <c r="K78" i="93" s="1"/>
  <c r="K77" i="93" s="1"/>
  <c r="E117" i="79"/>
  <c r="E114" i="79" s="1"/>
  <c r="G175" i="32" s="1"/>
  <c r="G174" i="32" s="1"/>
  <c r="G173" i="32" s="1"/>
  <c r="G172" i="32" s="1"/>
  <c r="G171" i="32" s="1"/>
  <c r="G169" i="32" s="1"/>
  <c r="J78" i="93" s="1"/>
  <c r="J77" i="93" s="1"/>
  <c r="H182" i="32"/>
  <c r="G182" i="32"/>
  <c r="D137" i="81"/>
  <c r="G161" i="79" s="1"/>
  <c r="H136" i="81"/>
  <c r="I165" i="80"/>
  <c r="I164" i="80" s="1"/>
  <c r="I163" i="80" s="1"/>
  <c r="F161" i="79" l="1"/>
  <c r="F160" i="79" s="1"/>
  <c r="F158" i="79" s="1"/>
  <c r="H196" i="32" s="1"/>
  <c r="H195" i="32" s="1"/>
  <c r="H194" i="32" s="1"/>
  <c r="H193" i="32" s="1"/>
  <c r="H192" i="32" s="1"/>
  <c r="H190" i="32" s="1"/>
  <c r="K128" i="93" s="1"/>
  <c r="K127" i="93" s="1"/>
  <c r="K126" i="93" s="1"/>
  <c r="G160" i="79"/>
  <c r="G158" i="79" s="1"/>
  <c r="I196" i="32" s="1"/>
  <c r="I195" i="32" s="1"/>
  <c r="I194" i="32" s="1"/>
  <c r="I193" i="32" s="1"/>
  <c r="I192" i="32" s="1"/>
  <c r="I190" i="32" s="1"/>
  <c r="L128" i="93" s="1"/>
  <c r="L127" i="93" s="1"/>
  <c r="L126" i="93" s="1"/>
  <c r="E161" i="79"/>
  <c r="E160" i="79" s="1"/>
  <c r="E158" i="79" s="1"/>
  <c r="D139" i="81"/>
  <c r="G165" i="79" s="1"/>
  <c r="I103" i="80"/>
  <c r="I102" i="80"/>
  <c r="I101" i="80"/>
  <c r="I100" i="80"/>
  <c r="I99" i="80" s="1"/>
  <c r="I97" i="80"/>
  <c r="I96" i="80"/>
  <c r="I95" i="80"/>
  <c r="I93" i="80"/>
  <c r="I94" i="80"/>
  <c r="I92" i="80" l="1"/>
  <c r="I91" i="80" s="1"/>
  <c r="F165" i="79"/>
  <c r="F164" i="79" s="1"/>
  <c r="F162" i="79" s="1"/>
  <c r="H203" i="32" s="1"/>
  <c r="H202" i="32" s="1"/>
  <c r="H201" i="32" s="1"/>
  <c r="H200" i="32" s="1"/>
  <c r="H199" i="32" s="1"/>
  <c r="H197" i="32" s="1"/>
  <c r="K137" i="93" s="1"/>
  <c r="K136" i="93" s="1"/>
  <c r="G164" i="79"/>
  <c r="G162" i="79" s="1"/>
  <c r="I203" i="32" s="1"/>
  <c r="I202" i="32" s="1"/>
  <c r="I201" i="32" s="1"/>
  <c r="I200" i="32" s="1"/>
  <c r="I199" i="32" s="1"/>
  <c r="I197" i="32" s="1"/>
  <c r="L137" i="93" s="1"/>
  <c r="L136" i="93" s="1"/>
  <c r="E165" i="79"/>
  <c r="E164" i="79" s="1"/>
  <c r="E162" i="79" s="1"/>
  <c r="G203" i="32" s="1"/>
  <c r="G202" i="32" s="1"/>
  <c r="G201" i="32" s="1"/>
  <c r="G200" i="32" s="1"/>
  <c r="G199" i="32" s="1"/>
  <c r="G197" i="32" s="1"/>
  <c r="J137" i="93" s="1"/>
  <c r="J136" i="93" s="1"/>
  <c r="G196" i="32"/>
  <c r="G195" i="32" s="1"/>
  <c r="G194" i="32" s="1"/>
  <c r="G193" i="32" s="1"/>
  <c r="G192" i="32" s="1"/>
  <c r="G190" i="32" s="1"/>
  <c r="F84" i="81"/>
  <c r="H88" i="81"/>
  <c r="H87" i="81" s="1"/>
  <c r="H85" i="81" s="1"/>
  <c r="E112" i="79" l="1"/>
  <c r="J128" i="93"/>
  <c r="J127" i="93" s="1"/>
  <c r="J126" i="93" s="1"/>
  <c r="F83" i="81"/>
  <c r="F81" i="81" s="1"/>
  <c r="D138" i="81"/>
  <c r="D136" i="81"/>
  <c r="D84" i="81"/>
  <c r="G93" i="79" s="1"/>
  <c r="I130" i="80"/>
  <c r="I131" i="80"/>
  <c r="I132" i="80"/>
  <c r="I133" i="80"/>
  <c r="I134" i="80"/>
  <c r="I135" i="80"/>
  <c r="I136" i="80"/>
  <c r="I137" i="80"/>
  <c r="I138" i="80"/>
  <c r="I139" i="80"/>
  <c r="I140" i="80"/>
  <c r="I141" i="80"/>
  <c r="I142" i="80"/>
  <c r="I143" i="80"/>
  <c r="I144" i="80"/>
  <c r="I145" i="80"/>
  <c r="I146" i="80"/>
  <c r="I147" i="80"/>
  <c r="I148" i="80"/>
  <c r="I149" i="80"/>
  <c r="I150" i="80"/>
  <c r="I151" i="80"/>
  <c r="I152" i="80"/>
  <c r="I153" i="80"/>
  <c r="I154" i="80"/>
  <c r="I155" i="80"/>
  <c r="I156" i="80"/>
  <c r="I157" i="80"/>
  <c r="I158" i="80"/>
  <c r="I159" i="80"/>
  <c r="I160" i="80"/>
  <c r="I161" i="80"/>
  <c r="H128" i="81"/>
  <c r="H129" i="81"/>
  <c r="H130" i="81"/>
  <c r="H131" i="81"/>
  <c r="H132" i="81"/>
  <c r="H133" i="81"/>
  <c r="H134" i="81"/>
  <c r="H135" i="81"/>
  <c r="E127" i="81"/>
  <c r="E97" i="81" s="1"/>
  <c r="F127" i="81"/>
  <c r="F97" i="81" s="1"/>
  <c r="G127" i="81"/>
  <c r="G97" i="81" s="1"/>
  <c r="F93" i="79" l="1"/>
  <c r="F92" i="79" s="1"/>
  <c r="F90" i="79" s="1"/>
  <c r="G92" i="79"/>
  <c r="G90" i="79" s="1"/>
  <c r="H127" i="81"/>
  <c r="H97" i="81" s="1"/>
  <c r="D88" i="81"/>
  <c r="D135" i="81"/>
  <c r="G157" i="79" s="1"/>
  <c r="F157" i="79" s="1"/>
  <c r="D134" i="81"/>
  <c r="G156" i="79" s="1"/>
  <c r="F156" i="79" s="1"/>
  <c r="D133" i="81"/>
  <c r="G155" i="79" s="1"/>
  <c r="F155" i="79" s="1"/>
  <c r="D132" i="81"/>
  <c r="G154" i="79" s="1"/>
  <c r="F154" i="79" s="1"/>
  <c r="D131" i="81"/>
  <c r="G153" i="79" s="1"/>
  <c r="F153" i="79" s="1"/>
  <c r="D130" i="81"/>
  <c r="G152" i="79" s="1"/>
  <c r="F152" i="79" s="1"/>
  <c r="D129" i="81"/>
  <c r="G151" i="79" s="1"/>
  <c r="F151" i="79" s="1"/>
  <c r="I129" i="80"/>
  <c r="I128" i="80" s="1"/>
  <c r="D128" i="81"/>
  <c r="G150" i="79" s="1"/>
  <c r="G99" i="79" l="1"/>
  <c r="G98" i="79"/>
  <c r="F99" i="79"/>
  <c r="F98" i="79" s="1"/>
  <c r="E99" i="79"/>
  <c r="E98" i="79" s="1"/>
  <c r="E96" i="79" s="1"/>
  <c r="G88" i="79"/>
  <c r="I41" i="32"/>
  <c r="F150" i="79"/>
  <c r="F149" i="79" s="1"/>
  <c r="F147" i="79" s="1"/>
  <c r="F112" i="79" s="1"/>
  <c r="G149" i="79"/>
  <c r="G147" i="79" s="1"/>
  <c r="G112" i="79" s="1"/>
  <c r="F88" i="79"/>
  <c r="H41" i="32"/>
  <c r="D83" i="81"/>
  <c r="D87" i="81"/>
  <c r="I127" i="80"/>
  <c r="I126" i="80" s="1"/>
  <c r="D127" i="81"/>
  <c r="I125" i="80" l="1"/>
  <c r="I189" i="32"/>
  <c r="G14" i="87"/>
  <c r="G13" i="87" s="1"/>
  <c r="G11" i="87" s="1"/>
  <c r="F14" i="88" s="1"/>
  <c r="F12" i="88" s="1"/>
  <c r="F11" i="88" s="1"/>
  <c r="D8" i="89" s="1"/>
  <c r="H189" i="32"/>
  <c r="F14" i="87"/>
  <c r="F13" i="87" s="1"/>
  <c r="F11" i="87" s="1"/>
  <c r="E14" i="88" s="1"/>
  <c r="E12" i="88" s="1"/>
  <c r="E11" i="88" s="1"/>
  <c r="E94" i="79"/>
  <c r="G57" i="32"/>
  <c r="G56" i="32" s="1"/>
  <c r="G55" i="32" s="1"/>
  <c r="G54" i="32" s="1"/>
  <c r="G53" i="32" s="1"/>
  <c r="G51" i="32" s="1"/>
  <c r="I115" i="80"/>
  <c r="G42" i="32" l="1"/>
  <c r="G22" i="65" s="1"/>
  <c r="J38" i="73" s="1"/>
  <c r="J97" i="93"/>
  <c r="I114" i="80"/>
  <c r="I113" i="80" s="1"/>
  <c r="F96" i="81" s="1"/>
  <c r="F94" i="81" s="1"/>
  <c r="I158" i="32"/>
  <c r="G111" i="79" l="1"/>
  <c r="G109" i="79" s="1"/>
  <c r="I107" i="80"/>
  <c r="I82" i="80"/>
  <c r="F21" i="81"/>
  <c r="F20" i="81" s="1"/>
  <c r="G20" i="81" l="1"/>
  <c r="E20" i="79"/>
  <c r="E15" i="79" s="1"/>
  <c r="I151" i="32"/>
  <c r="F45" i="81"/>
  <c r="E13" i="79" l="1"/>
  <c r="G220" i="32"/>
  <c r="D45" i="81"/>
  <c r="G52" i="79" s="1"/>
  <c r="G51" i="79" s="1"/>
  <c r="F44" i="81"/>
  <c r="D44" i="81" s="1"/>
  <c r="E56" i="81"/>
  <c r="G57" i="81" l="1"/>
  <c r="D57" i="81" l="1"/>
  <c r="H56" i="81"/>
  <c r="G56" i="81"/>
  <c r="G42" i="81"/>
  <c r="H42" i="81"/>
  <c r="E42" i="81"/>
  <c r="G51" i="81"/>
  <c r="H51" i="81"/>
  <c r="E51" i="81"/>
  <c r="E38" i="81" l="1"/>
  <c r="H38" i="81"/>
  <c r="G38" i="81"/>
  <c r="F56" i="81"/>
  <c r="D56" i="81" l="1"/>
  <c r="G64" i="79" s="1"/>
  <c r="G63" i="79" s="1"/>
  <c r="F52" i="81"/>
  <c r="F51" i="81" s="1"/>
  <c r="F43" i="81"/>
  <c r="F42" i="81" s="1"/>
  <c r="F38" i="81" l="1"/>
  <c r="D52" i="81"/>
  <c r="G59" i="79" s="1"/>
  <c r="G58" i="79" s="1"/>
  <c r="D43" i="81"/>
  <c r="G50" i="79" s="1"/>
  <c r="G49" i="79" s="1"/>
  <c r="G45" i="79" s="1"/>
  <c r="I130" i="32" l="1"/>
  <c r="I129" i="32" s="1"/>
  <c r="D81" i="81"/>
  <c r="G17" i="81"/>
  <c r="H17" i="81"/>
  <c r="E17" i="81"/>
  <c r="F19" i="81"/>
  <c r="F17" i="81" s="1"/>
  <c r="D19" i="81" l="1"/>
  <c r="G19" i="79" s="1"/>
  <c r="F19" i="79" s="1"/>
  <c r="D85" i="81"/>
  <c r="D18" i="81"/>
  <c r="G18" i="79" s="1"/>
  <c r="G28" i="86"/>
  <c r="I34" i="32" s="1"/>
  <c r="G60" i="32" l="1"/>
  <c r="I60" i="32"/>
  <c r="I33" i="32"/>
  <c r="I32" i="32" s="1"/>
  <c r="I31" i="32" s="1"/>
  <c r="I30" i="32" s="1"/>
  <c r="I28" i="32" s="1"/>
  <c r="L32" i="93" s="1"/>
  <c r="G34" i="32"/>
  <c r="G33" i="32" s="1"/>
  <c r="G32" i="32" s="1"/>
  <c r="G31" i="32" s="1"/>
  <c r="G30" i="32" s="1"/>
  <c r="G28" i="32" s="1"/>
  <c r="J32" i="93" s="1"/>
  <c r="H34" i="32"/>
  <c r="H33" i="32" s="1"/>
  <c r="H32" i="32" s="1"/>
  <c r="H31" i="32" s="1"/>
  <c r="H30" i="32" s="1"/>
  <c r="H28" i="32" s="1"/>
  <c r="K32" i="93" s="1"/>
  <c r="H60" i="32"/>
  <c r="F18" i="79"/>
  <c r="F17" i="79" s="1"/>
  <c r="G17" i="79"/>
  <c r="D17" i="81"/>
  <c r="F79" i="81"/>
  <c r="H79" i="81"/>
  <c r="E79" i="81"/>
  <c r="G72" i="81"/>
  <c r="I35" i="80"/>
  <c r="G80" i="81" s="1"/>
  <c r="G79" i="81" s="1"/>
  <c r="I34" i="80"/>
  <c r="G71" i="81" s="1"/>
  <c r="G69" i="81" s="1"/>
  <c r="I33" i="80"/>
  <c r="G63" i="81" s="1"/>
  <c r="D63" i="81" s="1"/>
  <c r="G70" i="79" s="1"/>
  <c r="I32" i="80"/>
  <c r="G62" i="81" s="1"/>
  <c r="D62" i="81" s="1"/>
  <c r="G69" i="79" s="1"/>
  <c r="I31" i="80"/>
  <c r="F72" i="81"/>
  <c r="H72" i="81"/>
  <c r="E72" i="81"/>
  <c r="D74" i="81"/>
  <c r="G81" i="79" s="1"/>
  <c r="D73" i="81"/>
  <c r="G80" i="79" s="1"/>
  <c r="I27" i="80" l="1"/>
  <c r="H53" i="81"/>
  <c r="F53" i="81"/>
  <c r="I31" i="65"/>
  <c r="H31" i="65"/>
  <c r="F69" i="79"/>
  <c r="E69" i="79"/>
  <c r="F70" i="79"/>
  <c r="E70" i="79"/>
  <c r="G79" i="79"/>
  <c r="F79" i="79"/>
  <c r="E53" i="81"/>
  <c r="E36" i="81" s="1"/>
  <c r="I26" i="80"/>
  <c r="H36" i="81"/>
  <c r="F36" i="81"/>
  <c r="G60" i="81"/>
  <c r="G58" i="81" s="1"/>
  <c r="G53" i="81" s="1"/>
  <c r="D80" i="81"/>
  <c r="G87" i="79" s="1"/>
  <c r="D71" i="81"/>
  <c r="G78" i="79" s="1"/>
  <c r="F33" i="81"/>
  <c r="H33" i="81"/>
  <c r="G35" i="81"/>
  <c r="D35" i="81" s="1"/>
  <c r="G40" i="79" s="1"/>
  <c r="G30" i="81"/>
  <c r="D30" i="81" s="1"/>
  <c r="G38" i="79" s="1"/>
  <c r="G37" i="79" s="1"/>
  <c r="H29" i="81"/>
  <c r="F29" i="81"/>
  <c r="E29" i="81"/>
  <c r="I106" i="80"/>
  <c r="I105" i="80" s="1"/>
  <c r="F78" i="79" l="1"/>
  <c r="F76" i="79" s="1"/>
  <c r="E78" i="79"/>
  <c r="E76" i="79" s="1"/>
  <c r="G76" i="79"/>
  <c r="G39" i="79"/>
  <c r="G35" i="79" s="1"/>
  <c r="I236" i="32" s="1"/>
  <c r="I235" i="32" s="1"/>
  <c r="I234" i="32" s="1"/>
  <c r="I233" i="32" s="1"/>
  <c r="I232" i="32" s="1"/>
  <c r="I230" i="32" s="1"/>
  <c r="L85" i="93" s="1"/>
  <c r="L84" i="93" s="1"/>
  <c r="F40" i="79"/>
  <c r="F39" i="79" s="1"/>
  <c r="F35" i="79" s="1"/>
  <c r="F87" i="79"/>
  <c r="F86" i="79" s="1"/>
  <c r="G86" i="79"/>
  <c r="E87" i="79"/>
  <c r="E86" i="79" s="1"/>
  <c r="E79" i="79"/>
  <c r="D60" i="81"/>
  <c r="G67" i="79" s="1"/>
  <c r="I98" i="80"/>
  <c r="I90" i="80" s="1"/>
  <c r="I89" i="80" s="1"/>
  <c r="G33" i="81"/>
  <c r="G29" i="81"/>
  <c r="H236" i="32" l="1"/>
  <c r="H235" i="32" s="1"/>
  <c r="H234" i="32" s="1"/>
  <c r="H233" i="32" s="1"/>
  <c r="H232" i="32" s="1"/>
  <c r="H230" i="32" s="1"/>
  <c r="F25" i="79"/>
  <c r="E67" i="79"/>
  <c r="E65" i="79" s="1"/>
  <c r="E60" i="79" s="1"/>
  <c r="F67" i="79"/>
  <c r="F65" i="79" s="1"/>
  <c r="F60" i="79" s="1"/>
  <c r="G65" i="79"/>
  <c r="G60" i="79" s="1"/>
  <c r="G36" i="81"/>
  <c r="D29" i="81"/>
  <c r="D51" i="81"/>
  <c r="I87" i="80"/>
  <c r="I84" i="80"/>
  <c r="I80" i="80"/>
  <c r="I85" i="80"/>
  <c r="I77" i="80" l="1"/>
  <c r="H221" i="32"/>
  <c r="H18" i="65" s="1"/>
  <c r="K21" i="73" s="1"/>
  <c r="K85" i="93"/>
  <c r="K84" i="93" s="1"/>
  <c r="E43" i="79"/>
  <c r="E41" i="79" s="1"/>
  <c r="E11" i="79" s="1"/>
  <c r="G132" i="32"/>
  <c r="G131" i="32" s="1"/>
  <c r="G128" i="32" s="1"/>
  <c r="G127" i="32" s="1"/>
  <c r="F43" i="79"/>
  <c r="F41" i="79" s="1"/>
  <c r="H132" i="32"/>
  <c r="H131" i="32" s="1"/>
  <c r="H128" i="32" s="1"/>
  <c r="H127" i="32" s="1"/>
  <c r="G43" i="79"/>
  <c r="G41" i="79" s="1"/>
  <c r="I132" i="32"/>
  <c r="I131" i="32" s="1"/>
  <c r="I128" i="32" s="1"/>
  <c r="I127" i="32" s="1"/>
  <c r="I81" i="80"/>
  <c r="E34" i="81"/>
  <c r="E33" i="81" s="1"/>
  <c r="E28" i="81"/>
  <c r="E27" i="81" s="1"/>
  <c r="H27" i="81"/>
  <c r="H25" i="81" s="1"/>
  <c r="G27" i="81"/>
  <c r="G25" i="81" s="1"/>
  <c r="I75" i="80"/>
  <c r="E25" i="81" l="1"/>
  <c r="D33" i="81"/>
  <c r="D31" i="81"/>
  <c r="I76" i="80"/>
  <c r="D42" i="81"/>
  <c r="D38" i="81"/>
  <c r="D34" i="81"/>
  <c r="G34" i="79" s="1"/>
  <c r="G33" i="79" s="1"/>
  <c r="D28" i="81"/>
  <c r="G30" i="79" s="1"/>
  <c r="G29" i="79" s="1"/>
  <c r="F27" i="81"/>
  <c r="F25" i="81" s="1"/>
  <c r="G27" i="79" l="1"/>
  <c r="I229" i="32"/>
  <c r="I228" i="32" s="1"/>
  <c r="I227" i="32" s="1"/>
  <c r="I226" i="32" s="1"/>
  <c r="I225" i="32" s="1"/>
  <c r="I223" i="32" s="1"/>
  <c r="G25" i="79"/>
  <c r="D25" i="81"/>
  <c r="D27" i="81"/>
  <c r="I221" i="32" l="1"/>
  <c r="I18" i="65" s="1"/>
  <c r="L21" i="73" s="1"/>
  <c r="L21" i="93"/>
  <c r="H23" i="81"/>
  <c r="H15" i="81" s="1"/>
  <c r="H13" i="81" s="1"/>
  <c r="G23" i="81"/>
  <c r="G15" i="81" s="1"/>
  <c r="G13" i="81" s="1"/>
  <c r="E23" i="81"/>
  <c r="E15" i="81" s="1"/>
  <c r="E13" i="81" s="1"/>
  <c r="G24" i="86" l="1"/>
  <c r="G26" i="86"/>
  <c r="G23" i="86"/>
  <c r="G18" i="86" s="1"/>
  <c r="G16" i="86" l="1"/>
  <c r="G15" i="86" s="1"/>
  <c r="G14" i="86"/>
  <c r="G12" i="86" l="1"/>
  <c r="I247" i="32" s="1"/>
  <c r="I246" i="32"/>
  <c r="I245" i="32" s="1"/>
  <c r="I244" i="32" s="1"/>
  <c r="I243" i="32" s="1"/>
  <c r="I241" i="32" s="1"/>
  <c r="G247" i="32"/>
  <c r="G246" i="32" s="1"/>
  <c r="G245" i="32" s="1"/>
  <c r="G244" i="32" s="1"/>
  <c r="G243" i="32" s="1"/>
  <c r="G241" i="32" s="1"/>
  <c r="H247" i="32"/>
  <c r="H246" i="32" s="1"/>
  <c r="H245" i="32" s="1"/>
  <c r="H244" i="32" s="1"/>
  <c r="H243" i="32" s="1"/>
  <c r="H241" i="32" s="1"/>
  <c r="I126" i="32"/>
  <c r="H239" i="32" l="1"/>
  <c r="K49" i="93"/>
  <c r="G239" i="32"/>
  <c r="G25" i="65" s="1"/>
  <c r="J49" i="93"/>
  <c r="I239" i="32"/>
  <c r="I237" i="32" s="1"/>
  <c r="L49" i="93"/>
  <c r="G126" i="32"/>
  <c r="G125" i="32" s="1"/>
  <c r="G124" i="32" s="1"/>
  <c r="G123" i="32" s="1"/>
  <c r="G122" i="32" s="1"/>
  <c r="G120" i="32" s="1"/>
  <c r="I125" i="32"/>
  <c r="I124" i="32" s="1"/>
  <c r="I123" i="32" s="1"/>
  <c r="I122" i="32" s="1"/>
  <c r="I120" i="32" s="1"/>
  <c r="H126" i="32"/>
  <c r="H125" i="32" s="1"/>
  <c r="H124" i="32" s="1"/>
  <c r="H123" i="32" s="1"/>
  <c r="H122" i="32" s="1"/>
  <c r="H120" i="32" s="1"/>
  <c r="G237" i="32"/>
  <c r="H237" i="32"/>
  <c r="H25" i="65"/>
  <c r="G11" i="86"/>
  <c r="G39" i="86" l="1"/>
  <c r="I25" i="65"/>
  <c r="G10" i="86"/>
  <c r="H24" i="65"/>
  <c r="K48" i="93"/>
  <c r="K50" i="73"/>
  <c r="K49" i="73" s="1"/>
  <c r="H118" i="32"/>
  <c r="H20" i="65" s="1"/>
  <c r="K28" i="93"/>
  <c r="K27" i="93" s="1"/>
  <c r="I24" i="65"/>
  <c r="L48" i="93"/>
  <c r="L50" i="73"/>
  <c r="L49" i="73" s="1"/>
  <c r="G24" i="65"/>
  <c r="J48" i="93"/>
  <c r="J50" i="73"/>
  <c r="J49" i="73" s="1"/>
  <c r="I118" i="32"/>
  <c r="I116" i="32" s="1"/>
  <c r="I114" i="32" s="1"/>
  <c r="I112" i="32" s="1"/>
  <c r="L28" i="93"/>
  <c r="L27" i="93" s="1"/>
  <c r="G118" i="32"/>
  <c r="G116" i="32" s="1"/>
  <c r="G114" i="32" s="1"/>
  <c r="G112" i="32" s="1"/>
  <c r="J28" i="93"/>
  <c r="J27" i="93" s="1"/>
  <c r="H111" i="32"/>
  <c r="H110" i="32" s="1"/>
  <c r="H109" i="32" s="1"/>
  <c r="H108" i="32" s="1"/>
  <c r="H107" i="32" s="1"/>
  <c r="H105" i="32" s="1"/>
  <c r="G111" i="32"/>
  <c r="G110" i="32" s="1"/>
  <c r="G109" i="32" s="1"/>
  <c r="G108" i="32" s="1"/>
  <c r="G107" i="32" s="1"/>
  <c r="G105" i="32" s="1"/>
  <c r="I110" i="32"/>
  <c r="I109" i="32" s="1"/>
  <c r="I108" i="32" s="1"/>
  <c r="I107" i="32" s="1"/>
  <c r="I105" i="32" s="1"/>
  <c r="G20" i="65"/>
  <c r="G181" i="32"/>
  <c r="G180" i="32" s="1"/>
  <c r="G179" i="32" s="1"/>
  <c r="G178" i="32" s="1"/>
  <c r="G176" i="32" s="1"/>
  <c r="J109" i="93" l="1"/>
  <c r="H116" i="32"/>
  <c r="H114" i="32" s="1"/>
  <c r="H112" i="32" s="1"/>
  <c r="I103" i="32"/>
  <c r="I92" i="32" s="1"/>
  <c r="L66" i="93"/>
  <c r="J29" i="73"/>
  <c r="H103" i="32"/>
  <c r="H92" i="32" s="1"/>
  <c r="K66" i="93"/>
  <c r="G103" i="32"/>
  <c r="G92" i="32" s="1"/>
  <c r="J66" i="93"/>
  <c r="J61" i="93" s="1"/>
  <c r="K29" i="73"/>
  <c r="I20" i="65"/>
  <c r="H30" i="65"/>
  <c r="I181" i="32"/>
  <c r="I180" i="32" s="1"/>
  <c r="I179" i="32" s="1"/>
  <c r="I178" i="32" s="1"/>
  <c r="I176" i="32" s="1"/>
  <c r="L109" i="93" s="1"/>
  <c r="I72" i="80"/>
  <c r="I69" i="80" s="1"/>
  <c r="I68" i="80"/>
  <c r="I65" i="80" s="1"/>
  <c r="I30" i="65" l="1"/>
  <c r="L29" i="73"/>
  <c r="G30" i="65"/>
  <c r="J67" i="73" s="1"/>
  <c r="J62" i="73" s="1"/>
  <c r="I28" i="65"/>
  <c r="L61" i="93"/>
  <c r="L67" i="73"/>
  <c r="L62" i="73" s="1"/>
  <c r="H28" i="65"/>
  <c r="K61" i="93"/>
  <c r="K67" i="73"/>
  <c r="K62" i="73" s="1"/>
  <c r="G28" i="65"/>
  <c r="G40" i="32"/>
  <c r="G39" i="32" s="1"/>
  <c r="G38" i="32" s="1"/>
  <c r="G37" i="32" s="1"/>
  <c r="G35" i="32" s="1"/>
  <c r="I64" i="80"/>
  <c r="I63" i="80" s="1"/>
  <c r="F24" i="81"/>
  <c r="H181" i="32"/>
  <c r="H180" i="32" s="1"/>
  <c r="H179" i="32" s="1"/>
  <c r="H178" i="32" s="1"/>
  <c r="H176" i="32" s="1"/>
  <c r="K109" i="93" s="1"/>
  <c r="I40" i="32"/>
  <c r="I39" i="32" s="1"/>
  <c r="I38" i="32" s="1"/>
  <c r="I37" i="32" s="1"/>
  <c r="I35" i="32" s="1"/>
  <c r="I26" i="32" l="1"/>
  <c r="L92" i="93"/>
  <c r="G26" i="32"/>
  <c r="J92" i="93"/>
  <c r="J91" i="93" s="1"/>
  <c r="J83" i="93" s="1"/>
  <c r="I21" i="65"/>
  <c r="G24" i="32"/>
  <c r="G22" i="32" s="1"/>
  <c r="G21" i="65"/>
  <c r="G19" i="65" s="1"/>
  <c r="D21" i="81"/>
  <c r="G21" i="79" s="1"/>
  <c r="D24" i="81"/>
  <c r="G24" i="79" s="1"/>
  <c r="G23" i="79" s="1"/>
  <c r="F23" i="81"/>
  <c r="H40" i="32"/>
  <c r="H39" i="32" s="1"/>
  <c r="H38" i="32" s="1"/>
  <c r="H37" i="32" s="1"/>
  <c r="H35" i="32" s="1"/>
  <c r="H188" i="32"/>
  <c r="H187" i="32" s="1"/>
  <c r="H186" i="32" s="1"/>
  <c r="H185" i="32" s="1"/>
  <c r="L33" i="73" l="1"/>
  <c r="H26" i="32"/>
  <c r="H21" i="65" s="1"/>
  <c r="K92" i="93"/>
  <c r="J33" i="73"/>
  <c r="J28" i="73" s="1"/>
  <c r="F21" i="79"/>
  <c r="F20" i="79" s="1"/>
  <c r="F15" i="79" s="1"/>
  <c r="G20" i="79"/>
  <c r="G15" i="79" s="1"/>
  <c r="D20" i="81"/>
  <c r="F15" i="81"/>
  <c r="F13" i="81" s="1"/>
  <c r="D23" i="81"/>
  <c r="G20" i="32"/>
  <c r="I188" i="32"/>
  <c r="I187" i="32" s="1"/>
  <c r="I186" i="32" s="1"/>
  <c r="I185" i="32" s="1"/>
  <c r="G188" i="32"/>
  <c r="G187" i="32" s="1"/>
  <c r="G186" i="32" s="1"/>
  <c r="G185" i="32" s="1"/>
  <c r="K33" i="73" l="1"/>
  <c r="G13" i="79"/>
  <c r="I220" i="32"/>
  <c r="F13" i="79"/>
  <c r="H220" i="32"/>
  <c r="D15" i="81"/>
  <c r="I157" i="32" l="1"/>
  <c r="I156" i="32" s="1"/>
  <c r="I155" i="32" s="1"/>
  <c r="I154" i="32" s="1"/>
  <c r="G158" i="32"/>
  <c r="G157" i="32" s="1"/>
  <c r="G156" i="32" s="1"/>
  <c r="G155" i="32" s="1"/>
  <c r="G154" i="32" s="1"/>
  <c r="H158" i="32"/>
  <c r="H157" i="32" s="1"/>
  <c r="H156" i="32" s="1"/>
  <c r="H155" i="32" s="1"/>
  <c r="H154" i="32" s="1"/>
  <c r="I25" i="80" l="1"/>
  <c r="I13" i="80" s="1"/>
  <c r="G219" i="32" l="1"/>
  <c r="G218" i="32" s="1"/>
  <c r="I219" i="32"/>
  <c r="I218" i="32" s="1"/>
  <c r="H219" i="32"/>
  <c r="H218" i="32" s="1"/>
  <c r="I217" i="32" l="1"/>
  <c r="I216" i="32" s="1"/>
  <c r="I214" i="32" s="1"/>
  <c r="L15" i="93" s="1"/>
  <c r="L14" i="93" s="1"/>
  <c r="L13" i="93" s="1"/>
  <c r="G217" i="32"/>
  <c r="G216" i="32" s="1"/>
  <c r="G214" i="32" s="1"/>
  <c r="J15" i="93" s="1"/>
  <c r="J14" i="93" s="1"/>
  <c r="J13" i="93" s="1"/>
  <c r="H217" i="32"/>
  <c r="H216" i="32" s="1"/>
  <c r="H214" i="32" s="1"/>
  <c r="K15" i="93" s="1"/>
  <c r="K14" i="93" s="1"/>
  <c r="K13" i="93" s="1"/>
  <c r="G212" i="32" l="1"/>
  <c r="H212" i="32"/>
  <c r="I212" i="32"/>
  <c r="I17" i="65" s="1"/>
  <c r="L15" i="73" s="1"/>
  <c r="L14" i="73" s="1"/>
  <c r="I16" i="65" l="1"/>
  <c r="G210" i="32"/>
  <c r="G17" i="65"/>
  <c r="J15" i="73" s="1"/>
  <c r="J14" i="73" s="1"/>
  <c r="H210" i="32"/>
  <c r="H17" i="65"/>
  <c r="K15" i="73" s="1"/>
  <c r="K14" i="73" s="1"/>
  <c r="I210" i="32"/>
  <c r="I208" i="32" s="1"/>
  <c r="H208" i="32" l="1"/>
  <c r="H206" i="32" s="1"/>
  <c r="H204" i="32" s="1"/>
  <c r="G208" i="32"/>
  <c r="G206" i="32" s="1"/>
  <c r="G204" i="32" s="1"/>
  <c r="H16" i="65"/>
  <c r="G16" i="65"/>
  <c r="I206" i="32"/>
  <c r="I204" i="32" s="1"/>
  <c r="H183" i="32" l="1"/>
  <c r="H167" i="32" s="1"/>
  <c r="G183" i="32"/>
  <c r="G167" i="32" s="1"/>
  <c r="J120" i="93" l="1"/>
  <c r="J119" i="93" s="1"/>
  <c r="K120" i="93"/>
  <c r="K119" i="93" s="1"/>
  <c r="G165" i="32"/>
  <c r="G35" i="65"/>
  <c r="H165" i="32"/>
  <c r="H35" i="65"/>
  <c r="J118" i="93" l="1"/>
  <c r="K118" i="93"/>
  <c r="K84" i="73"/>
  <c r="J84" i="73"/>
  <c r="G163" i="32"/>
  <c r="G161" i="32" s="1"/>
  <c r="G159" i="32" s="1"/>
  <c r="H163" i="32"/>
  <c r="H161" i="32" s="1"/>
  <c r="H159" i="32" s="1"/>
  <c r="I152" i="32" l="1"/>
  <c r="L105" i="93" s="1"/>
  <c r="L104" i="93" s="1"/>
  <c r="L103" i="93" s="1"/>
  <c r="G152" i="32" l="1"/>
  <c r="H152" i="32"/>
  <c r="K105" i="93" s="1"/>
  <c r="K104" i="93" s="1"/>
  <c r="K103" i="93" s="1"/>
  <c r="G150" i="32"/>
  <c r="G149" i="32" s="1"/>
  <c r="G148" i="32" s="1"/>
  <c r="G147" i="32" s="1"/>
  <c r="G145" i="32" s="1"/>
  <c r="G143" i="32" s="1"/>
  <c r="H150" i="32"/>
  <c r="H149" i="32" s="1"/>
  <c r="H148" i="32" s="1"/>
  <c r="H147" i="32" s="1"/>
  <c r="H145" i="32" s="1"/>
  <c r="H143" i="32" s="1"/>
  <c r="J105" i="93" l="1"/>
  <c r="J104" i="93" s="1"/>
  <c r="J103" i="93" s="1"/>
  <c r="J155" i="93"/>
  <c r="J154" i="93" s="1"/>
  <c r="K155" i="93"/>
  <c r="K154" i="93" s="1"/>
  <c r="K143" i="93" s="1"/>
  <c r="H141" i="32"/>
  <c r="G141" i="32"/>
  <c r="H11" i="81" l="1"/>
  <c r="G11" i="81"/>
  <c r="E11" i="81"/>
  <c r="D36" i="81" l="1"/>
  <c r="D53" i="81"/>
  <c r="D79" i="81" l="1"/>
  <c r="D72" i="81"/>
  <c r="D96" i="81"/>
  <c r="D97" i="81"/>
  <c r="D69" i="81" l="1"/>
  <c r="D58" i="81"/>
  <c r="F96" i="79"/>
  <c r="D94" i="81"/>
  <c r="F94" i="79" l="1"/>
  <c r="F11" i="79" s="1"/>
  <c r="H57" i="32"/>
  <c r="H56" i="32" s="1"/>
  <c r="H55" i="32" s="1"/>
  <c r="H54" i="32" s="1"/>
  <c r="H53" i="32" s="1"/>
  <c r="H51" i="32" s="1"/>
  <c r="I183" i="32"/>
  <c r="I167" i="32" s="1"/>
  <c r="F11" i="81"/>
  <c r="D11" i="81" s="1"/>
  <c r="D13" i="81"/>
  <c r="L120" i="93" l="1"/>
  <c r="L119" i="93" s="1"/>
  <c r="H42" i="32"/>
  <c r="K97" i="93"/>
  <c r="K91" i="93" s="1"/>
  <c r="K83" i="93" s="1"/>
  <c r="K11" i="93" s="1"/>
  <c r="I165" i="32"/>
  <c r="I163" i="32" s="1"/>
  <c r="I161" i="32" s="1"/>
  <c r="I159" i="32" s="1"/>
  <c r="I35" i="65"/>
  <c r="H22" i="65"/>
  <c r="H19" i="65" s="1"/>
  <c r="H24" i="32"/>
  <c r="H22" i="32" s="1"/>
  <c r="G96" i="79"/>
  <c r="I150" i="32"/>
  <c r="I149" i="32" s="1"/>
  <c r="I148" i="32" s="1"/>
  <c r="I147" i="32" s="1"/>
  <c r="I145" i="32" s="1"/>
  <c r="I143" i="32" s="1"/>
  <c r="H34" i="65"/>
  <c r="G34" i="65"/>
  <c r="H139" i="32"/>
  <c r="H137" i="32" s="1"/>
  <c r="H135" i="32" s="1"/>
  <c r="G139" i="32"/>
  <c r="G137" i="32" s="1"/>
  <c r="G135" i="32" s="1"/>
  <c r="L118" i="93" l="1"/>
  <c r="I141" i="32"/>
  <c r="L155" i="93"/>
  <c r="L154" i="93" s="1"/>
  <c r="L143" i="93" s="1"/>
  <c r="L84" i="73"/>
  <c r="G33" i="65"/>
  <c r="G15" i="65" s="1"/>
  <c r="J80" i="73"/>
  <c r="J79" i="73" s="1"/>
  <c r="J13" i="73" s="1"/>
  <c r="H33" i="65"/>
  <c r="K80" i="73"/>
  <c r="K79" i="73" s="1"/>
  <c r="K38" i="73"/>
  <c r="K28" i="73" s="1"/>
  <c r="K13" i="73" s="1"/>
  <c r="G94" i="79"/>
  <c r="G11" i="79" s="1"/>
  <c r="I57" i="32"/>
  <c r="I56" i="32" s="1"/>
  <c r="I55" i="32" s="1"/>
  <c r="I54" i="32" s="1"/>
  <c r="I53" i="32" s="1"/>
  <c r="I51" i="32" s="1"/>
  <c r="H90" i="32"/>
  <c r="H88" i="32" s="1"/>
  <c r="H75" i="32" s="1"/>
  <c r="H73" i="32" s="1"/>
  <c r="H133" i="32"/>
  <c r="G90" i="32"/>
  <c r="G88" i="32" s="1"/>
  <c r="G75" i="32" s="1"/>
  <c r="G73" i="32" s="1"/>
  <c r="G133" i="32"/>
  <c r="H20" i="32"/>
  <c r="H58" i="32"/>
  <c r="G58" i="32"/>
  <c r="G18" i="32" s="1"/>
  <c r="G16" i="32" s="1"/>
  <c r="I139" i="32"/>
  <c r="I137" i="32" s="1"/>
  <c r="I135" i="32" s="1"/>
  <c r="I133" i="32" s="1"/>
  <c r="H15" i="65" l="1"/>
  <c r="H13" i="65" s="1"/>
  <c r="C18" i="82" s="1"/>
  <c r="H18" i="32"/>
  <c r="H16" i="32" s="1"/>
  <c r="K11" i="73"/>
  <c r="I42" i="32"/>
  <c r="L97" i="93"/>
  <c r="L91" i="93" s="1"/>
  <c r="L83" i="93" s="1"/>
  <c r="L11" i="93" s="1"/>
  <c r="I22" i="65"/>
  <c r="I19" i="65" s="1"/>
  <c r="I24" i="32"/>
  <c r="I22" i="32" s="1"/>
  <c r="I20" i="32" s="1"/>
  <c r="I58" i="32"/>
  <c r="I90" i="32"/>
  <c r="I88" i="32" s="1"/>
  <c r="I75" i="32" s="1"/>
  <c r="I73" i="32" s="1"/>
  <c r="I34" i="65"/>
  <c r="I18" i="32" l="1"/>
  <c r="I16" i="32" s="1"/>
  <c r="I33" i="65"/>
  <c r="L80" i="73"/>
  <c r="L79" i="73" s="1"/>
  <c r="G15" i="32"/>
  <c r="L38" i="73"/>
  <c r="H15" i="32"/>
  <c r="H13" i="32" s="1"/>
  <c r="C16" i="82"/>
  <c r="C14" i="82" s="1"/>
  <c r="C12" i="82" s="1"/>
  <c r="C10" i="82" s="1"/>
  <c r="I15" i="65" l="1"/>
  <c r="I13" i="65" s="1"/>
  <c r="D18" i="82" s="1"/>
  <c r="L28" i="73"/>
  <c r="L13" i="73" s="1"/>
  <c r="I15" i="32"/>
  <c r="I13" i="32" s="1"/>
  <c r="L11" i="73" l="1"/>
  <c r="D9" i="89"/>
  <c r="D10" i="89" s="1"/>
  <c r="D16" i="82"/>
  <c r="D14" i="82" s="1"/>
  <c r="D12" i="82" s="1"/>
  <c r="D10" i="82" s="1"/>
  <c r="G284" i="32"/>
  <c r="G291" i="32"/>
  <c r="G290" i="32" s="1"/>
  <c r="G289" i="32" s="1"/>
  <c r="G287" i="32" s="1"/>
  <c r="G285" i="32" s="1"/>
  <c r="G40" i="65" s="1"/>
  <c r="J100" i="73" l="1"/>
  <c r="J149" i="93"/>
  <c r="G283" i="32"/>
  <c r="G282" i="32" s="1"/>
  <c r="G281" i="32" s="1"/>
  <c r="G279" i="32" s="1"/>
  <c r="G277" i="32" s="1"/>
  <c r="G31" i="91"/>
  <c r="G30" i="91" s="1"/>
  <c r="G29" i="91" s="1"/>
  <c r="G28" i="91" s="1"/>
  <c r="G26" i="91" s="1"/>
  <c r="G24" i="91" s="1"/>
  <c r="G22" i="91" s="1"/>
  <c r="G20" i="91" s="1"/>
  <c r="G18" i="91" s="1"/>
  <c r="G16" i="91" s="1"/>
  <c r="G14" i="91" s="1"/>
  <c r="G13" i="91" s="1"/>
  <c r="G11" i="91" s="1"/>
  <c r="G275" i="32" l="1"/>
  <c r="G273" i="32" s="1"/>
  <c r="G271" i="32" s="1"/>
  <c r="G269" i="32" s="1"/>
  <c r="G267" i="32" s="1"/>
  <c r="G266" i="32" s="1"/>
  <c r="G13" i="32" s="1"/>
  <c r="G39" i="65"/>
  <c r="G38" i="65" l="1"/>
  <c r="G37" i="65" s="1"/>
  <c r="G13" i="65" s="1"/>
  <c r="J145" i="93"/>
  <c r="J144" i="93" s="1"/>
  <c r="J143" i="93" s="1"/>
  <c r="J11" i="93" s="1"/>
  <c r="J96" i="73"/>
  <c r="J95" i="73" s="1"/>
  <c r="J94" i="73" s="1"/>
  <c r="J11" i="73" s="1"/>
  <c r="B18" i="82" l="1"/>
  <c r="B16" i="82" s="1"/>
  <c r="B14" i="82" s="1"/>
  <c r="B12" i="82" s="1"/>
  <c r="B10" i="82" s="1"/>
</calcChain>
</file>

<file path=xl/sharedStrings.xml><?xml version="1.0" encoding="utf-8"?>
<sst xmlns="http://schemas.openxmlformats.org/spreadsheetml/2006/main" count="1759" uniqueCount="655">
  <si>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</si>
  <si>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</si>
  <si>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</si>
  <si>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</si>
  <si>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</si>
  <si>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</si>
  <si>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</si>
  <si>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</si>
  <si>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</si>
  <si>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</si>
  <si>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</si>
  <si>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</si>
  <si>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</si>
  <si>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</si>
  <si>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</si>
  <si>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</si>
  <si>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</si>
  <si>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</si>
  <si>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</si>
  <si>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</si>
  <si>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</si>
  <si>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</si>
  <si>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</si>
  <si>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</si>
  <si>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</si>
  <si>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</si>
  <si>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</si>
  <si>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</si>
  <si>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</si>
  <si>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</si>
  <si>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</si>
  <si>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</si>
  <si>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</si>
  <si>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</si>
  <si>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</si>
  <si>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</si>
  <si>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</si>
  <si>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</si>
  <si>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</si>
  <si>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</si>
  <si>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</si>
  <si>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</si>
  <si>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</si>
  <si>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</si>
  <si>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</si>
  <si>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</si>
  <si>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</si>
  <si>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</si>
  <si>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</si>
  <si>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</si>
  <si>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</si>
  <si>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</si>
  <si>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</si>
  <si>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</si>
  <si>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</si>
  <si>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</si>
  <si>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</si>
  <si>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</si>
  <si>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</si>
  <si>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</si>
  <si>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</si>
  <si>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</si>
  <si>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</si>
  <si>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</si>
  <si>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</si>
  <si>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</si>
  <si>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</si>
  <si>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</si>
  <si>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</si>
  <si>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</si>
  <si>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</si>
  <si>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</si>
  <si>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</si>
  <si>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</si>
  <si>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Խումբ N 01</t>
  </si>
  <si>
    <t>Դաս N 01</t>
  </si>
  <si>
    <t xml:space="preserve"> ՄԱՍ III. ԾԱՌԱՅՈՒԹՅՈՒՆՆԵՐ</t>
  </si>
  <si>
    <t>դրամ</t>
  </si>
  <si>
    <t>Բաժին N 09</t>
  </si>
  <si>
    <t>Նախադպրոցական կրթություն</t>
  </si>
  <si>
    <t>ՀԲՄ</t>
  </si>
  <si>
    <t>ՄԱ</t>
  </si>
  <si>
    <t>1236-32002</t>
  </si>
  <si>
    <t xml:space="preserve"> Մանկապարտեզների շենքերի վերակառուցում, հիմնանորոգում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</si>
  <si>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</si>
  <si>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</si>
  <si>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</si>
  <si>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</si>
  <si>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</si>
  <si>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</si>
  <si>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</si>
  <si>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</si>
  <si>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</si>
  <si>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</si>
  <si>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</si>
  <si>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Արագածոտնի մարզ</t>
  </si>
  <si>
    <t>ՀՀ կառավարություն</t>
  </si>
  <si>
    <t>ՀՀ Արարատի մարզ</t>
  </si>
  <si>
    <t>ՀՀ Արմավիրի մարզպետի աշխատակազմ</t>
  </si>
  <si>
    <t>ՀՀ Գեղարքունիքի մարզպետի աշխատակազմ</t>
  </si>
  <si>
    <t>ՀՀ Գեղարքունիքի մարզ</t>
  </si>
  <si>
    <t>ՀՀ Լոռու մարզ</t>
  </si>
  <si>
    <t>ՀՀ Կոտայքի մարզպետի աշխատակազմ</t>
  </si>
  <si>
    <t>ՀՀ Կոտայքի մարզ</t>
  </si>
  <si>
    <t>ԳՀ</t>
  </si>
  <si>
    <t>ՀՀ Շիրակի մարզ</t>
  </si>
  <si>
    <t>ՀՀ Սյունիքի մարզ</t>
  </si>
  <si>
    <t>ՀՀ Վայոց Ձորի մարզ</t>
  </si>
  <si>
    <t>ՀՀ Տավուշի մարզպետի աշխատակազմ</t>
  </si>
  <si>
    <t>ՀՀ Տավուշի մարզ</t>
  </si>
  <si>
    <t xml:space="preserve"> - Շենքերի և շինությունների կապիտալ վերանորոգում</t>
  </si>
  <si>
    <t>1236 - 32002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</si>
  <si>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</si>
  <si>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</si>
  <si>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</si>
  <si>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</si>
  <si>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</si>
  <si>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</si>
  <si>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</si>
  <si>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</si>
  <si>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</si>
  <si>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</si>
  <si>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</si>
  <si>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</si>
  <si>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ՀՀ կառավարության 2026 թվականի</t>
  </si>
  <si>
    <t xml:space="preserve"> Հանրակրթական և նախադպրոցական հաստատությունների հիմնում, կառուցում, բարելավում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</si>
  <si>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</si>
  <si>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</si>
  <si>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Հավելված N 7</t>
  </si>
  <si>
    <t>ՀՀ ԱՐՄԱՎԻՐԻ ՄԱՐԶՊԵՏԻ ԱՇԽԱՏԱԿԱԶՄ</t>
  </si>
  <si>
    <t>ՀՀ ԳԵՂԱՐՔՈՒՆԻՔԻ ՄԱՐԶՊԵՏԻ ԱՇԽԱՏԱԿԱԶՄ</t>
  </si>
  <si>
    <t>ՀՀ ԿՈՏԱՅՔԻ ՄԱՐԶՊԵՏԻ ԱՇԽԱՏԱԿԱԶՄ</t>
  </si>
  <si>
    <t>ՀՀ ՏԱՎՈՒՇԻ ՄԱՐԶՊԵՏԻ ԱՇԽԱՏԱԿԱԶՄ</t>
  </si>
  <si>
    <t>ՀՀ ՔԱՂԱՔԱՇԻՆՈՒԹՅԱՆ ԿՈՄԻՏԵ</t>
  </si>
  <si>
    <t>ՀՀ քաղաքաշինության կոմիտե</t>
  </si>
  <si>
    <t>ՀՀ կրթության, գիտության, մշակությի և սպորտի նախարարություն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</si>
  <si>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</si>
  <si>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</si>
  <si>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Ցուցանիշների փոփոխությունը (ավելացումները նշված են դրական նշանով)  </t>
  </si>
  <si>
    <t xml:space="preserve"> ՀՀ  կրթության , գիտության, մշակույթի և սպորտի նախարարություն</t>
  </si>
  <si>
    <t xml:space="preserve"> ԸՆԹԱՑԻԿ ԾԱԽՍԵՐ</t>
  </si>
  <si>
    <t xml:space="preserve"> ԴՐԱՄԱՇՆՈՐՀՆԵՐ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</si>
  <si>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</si>
  <si>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</si>
  <si>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</si>
  <si>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</si>
  <si>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Միջնակարգ ընդհանուր կրթություն</t>
  </si>
  <si>
    <t xml:space="preserve"> Հիմնական ընդհանուր կրթություն</t>
  </si>
  <si>
    <t>Ծառայությունների մատուցում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</si>
  <si>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</si>
  <si>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 xml:space="preserve"> Ծառայությունների մատուցում 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</si>
  <si>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</si>
  <si>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1236 - 32002</t>
  </si>
  <si>
    <t xml:space="preserve"> ԲՍԿ </t>
  </si>
  <si>
    <t>ՀՀ ԿԱՌԱՎԱՐՈՒԹՅՈՒՆ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</si>
  <si>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</si>
  <si>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նախագծերի պատրաստում, ծախսերի գնահատում</t>
  </si>
  <si>
    <t xml:space="preserve"> փորձաքննության ծառայություններ</t>
  </si>
  <si>
    <t xml:space="preserve"> ԱՅԼ ՀԻՄՆԱԿԱՆ ՄԻՋՈՑՆԵՐ</t>
  </si>
  <si>
    <t xml:space="preserve"> - Նախագծահետազոտական ծախսեր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</si>
  <si>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</si>
  <si>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</si>
  <si>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</si>
  <si>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>Նախագծանախահաշվային փաստաթղթերի քանակ, հատ</t>
  </si>
  <si>
    <t>Խումբ N 02</t>
  </si>
  <si>
    <t>Բաժին N 08</t>
  </si>
  <si>
    <t>08</t>
  </si>
  <si>
    <t xml:space="preserve"> ՀԱՆԳԻՍՏ, ՄՇԱԿՈՒՅԹ ԵՎ ԿՐՈՆ</t>
  </si>
  <si>
    <t xml:space="preserve"> ՄԵՔԵՆԱՆԵՐ  ԵՎ  ՍԱՐՔԱՎՈՐՈՒՄՆԵՐ</t>
  </si>
  <si>
    <t xml:space="preserve"> - Այլ մեքենաներ և սարքավորումներ</t>
  </si>
  <si>
    <t>Հանրության կողմից անմիջականորեն օգտագործվող ակտիվների հետ կապված միջոցառումներ</t>
  </si>
  <si>
    <t xml:space="preserve"> Հանրության կողմից անմիջականորեն օգտագործվող ակտիվների հետ կապված միջոցառումներ </t>
  </si>
  <si>
    <t xml:space="preserve">այդ թվում՝ բյուջետային ծախսերի տնտեսագիտական դասակարգման հոդվածներ
</t>
  </si>
  <si>
    <t xml:space="preserve">ՀԱՅԱՍՏԱՆԻ ՀԱՆՐԱՊԵՏՈՒԹՅԱՆ ԿԱՌԱՎԱՐՈՒԹՅԱՆ 2025 ԹՎԱԿԱՆԻ ԴԵԿՏԵՄԲԵՐԻ 25-Ի N 1910-Ն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</si>
  <si>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</si>
  <si>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</si>
  <si>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</si>
  <si>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 xml:space="preserve"> Հուշարձանների ամրակայում, նորոգում և վերականգնում</t>
  </si>
  <si>
    <t>այդ թվում՝ ըստ ուղղությունների և միջոցառումների անվանումների</t>
  </si>
  <si>
    <t>«Պատմամշակութային արգելոց թանգարանների և պատմական միջավայրի պահպանության ծառայություն» ՊՈԱԿ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</si>
  <si>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</si>
  <si>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«Պատմամշակութային ժառանգության գիտահետազոտական կենտրոն» ՊՈԱԿ</t>
  </si>
  <si>
    <t>Ներդրումներ թանգարանների և պատկերասրահների հիմնանորոգման համար</t>
  </si>
  <si>
    <t>Թանգարանների և պատկերասրահների գույքային և տեխնիկական հագեցվածության բարելավում</t>
  </si>
  <si>
    <t>Արվեստների ծրագիր</t>
  </si>
  <si>
    <t>Ներդրումներ թատրոնների և համերգային կազմակերպությունների շենքերի կապիտալ վերանորոգման համար</t>
  </si>
  <si>
    <t>ՀԱՅԱՍՏԱՆԻ ՀԱՆՐԱՊԵՏՈՒԹՅԱՆ ԿԱՌԱՎԱՐՈՒԹՅԱՆ 2025 ԹՎԱԿԱՆԻ ԴԵԿՏԵՄԲԵՐԻ 25-Ի N 1910-Ն ՈՐՈՇՄԱՆ N 5 ՀԱՎԵԼՎԱԾԻ N 7 ԱՂՅՈՒՍԱԿՈՒՄ  ԿԱՏԱՐՎՈՂ  ԼՐԱՑՈՒՄՆԵՐԸ</t>
  </si>
  <si>
    <t>Բարձրագույն և հետբուհական մասնագիտական կրթության ծրագիր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</si>
  <si>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</si>
  <si>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 xml:space="preserve"> «Հայաստանի գեղարվեստի պետական ակադեմիա» հիմնադրամ</t>
  </si>
  <si>
    <t>Տիրինկատարի հնավայրի հնագիտական պեղումներ</t>
  </si>
  <si>
    <t>Լոռի Բերդի հնագիտական պեղումներ</t>
  </si>
  <si>
    <t>Ագարակ քաղաքի Սբ. Աստվածածին եկեղեցու տարածքի պեղումներ</t>
  </si>
  <si>
    <t>Թալինի քարավանատան տարածքի պեղումներ</t>
  </si>
  <si>
    <t>Շատիվանք վանական համալիրի հնագիտական պեղումներ</t>
  </si>
  <si>
    <t>ՀՀ ԳԱԱ «Հնագիտության և ազգագրության ինստիտուտ» ՊՈԱԿ</t>
  </si>
  <si>
    <t>«Մշակույթի զարգացման» հիմնադրամ</t>
  </si>
  <si>
    <t>Հայաստանի պատմության թանգարանի 1-ին հարկի սանհանգույցի վերակառուցում և վերաձևավորում</t>
  </si>
  <si>
    <t>Հայաստանի ազգային պատկերասրահի 2-րդ հարկի
հուշանվերների խանութ-սրճարան-գրադարանի դիզայնավորում
և կահավորում</t>
  </si>
  <si>
    <t>Հայաստանի պատմության թանգարանի խանութ-սրճարանի դիզայնավորում և կահավորում</t>
  </si>
  <si>
    <t>«Սոս Սարգսյանի անվան hամազգային թատրոն» ՊՈԱԿ</t>
  </si>
  <si>
    <t xml:space="preserve"> Մասնագիտական ուսումնական հաստատությունների շենքային պայմանների բարելավում</t>
  </si>
  <si>
    <t>«Դիլիջանի բազմագործառութային պետական քոլեջ» ՊՈԱԿ</t>
  </si>
  <si>
    <t>Խումբ N 06</t>
  </si>
  <si>
    <t>1045-32001</t>
  </si>
  <si>
    <t xml:space="preserve">  Մասնագիտական ուսումնական հաստատությունների շենքային պայմանների բարելավում</t>
  </si>
  <si>
    <t xml:space="preserve"> ՄԱՍ II.  ԱՇԽԱՏԱՆՔՆԵՐ</t>
  </si>
  <si>
    <t xml:space="preserve"> կրթական օբյեկտների հիմնանորոգում</t>
  </si>
  <si>
    <t xml:space="preserve"> ԲՄ</t>
  </si>
  <si>
    <t>45611100-5</t>
  </si>
  <si>
    <t>71351540-3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</si>
  <si>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</si>
  <si>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</si>
  <si>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ՄԱ</t>
  </si>
  <si>
    <t>98111140-5</t>
  </si>
  <si>
    <t xml:space="preserve"> Մասնագիտական ուսումնական հաստատությունների շենքերի կառուցում</t>
  </si>
  <si>
    <t>Երևան քաղաք</t>
  </si>
  <si>
    <t>«Երևանի զարդարվեստի պետական արհեստագործական ուսումնարան» ՊՈԱԿ</t>
  </si>
  <si>
    <t>1045-32005</t>
  </si>
  <si>
    <t xml:space="preserve">   Մասնագիտական ուսումնական հաստատությունների շենքերի կառուցում</t>
  </si>
  <si>
    <t>45221142-1</t>
  </si>
  <si>
    <t xml:space="preserve"> ընդհանուր շինարարական աշխատանքներ</t>
  </si>
  <si>
    <t>71351540-1</t>
  </si>
  <si>
    <t>98111140-1</t>
  </si>
  <si>
    <t>71241200-1</t>
  </si>
  <si>
    <t>ՀՀ Արմավիրի մարզ</t>
  </si>
  <si>
    <t>«Արմավիրի տարածաշրջանային պետական քոլեջ» ՊՈԱԿ</t>
  </si>
  <si>
    <t>«Նոյեմբերյանի պետական քոլեջ» ՊՈԱԿ</t>
  </si>
  <si>
    <t>որից`</t>
  </si>
  <si>
    <t>2. Վավերագրման և ուսումնասիրման աշխատանքներ, (այդ թվում՝ հետախուզում և պեղում), գիտանախագծային փաստաթղթերի կազմում և փորձաքննում</t>
  </si>
  <si>
    <t>Ագարակ քաղաքի Սբ. Աստվածածին եկեղեցու տարածքի պեղման աշխատանքներ</t>
  </si>
  <si>
    <t>Թալինի քարավանատան տարածքի պեղման աշխատանքներ</t>
  </si>
  <si>
    <t>Շատիվանք վանական համալիրի հնագիտական պեղումների իրականացում</t>
  </si>
  <si>
    <t>Կամարիս գյուղի Սբ. Հակոբ  եկեղեցու որմնանկարների ամրակայման և վերականգնման գիտանախագծային փաստաթղթեր</t>
  </si>
  <si>
    <t>Կամարիս գյուղի Սբ. Հովհաննես  եկեղեցու որմնանկարների ամրակայման և վերականգնման գիտանախագծային փաստաթղթեր</t>
  </si>
  <si>
    <t>Դաս N 07</t>
  </si>
  <si>
    <t xml:space="preserve"> Հուշարձանների և մշակութային արժեքների վերականգնում և պահպանում</t>
  </si>
  <si>
    <t>1075-21001</t>
  </si>
  <si>
    <t>45111410-4</t>
  </si>
  <si>
    <t xml:space="preserve"> հնէաբանական պեղումների վայրերում հողի փորման աշխատանքներ</t>
  </si>
  <si>
    <t>Ագարակ</t>
  </si>
  <si>
    <t>Դիլիջան</t>
  </si>
  <si>
    <t>Զարդարվեստ</t>
  </si>
  <si>
    <t>Արմավիր</t>
  </si>
  <si>
    <t>Նոյեմբերյան</t>
  </si>
  <si>
    <t>45111410-5</t>
  </si>
  <si>
    <t>Թալին</t>
  </si>
  <si>
    <t>45111410-2</t>
  </si>
  <si>
    <t>Լոռի Բերդ</t>
  </si>
  <si>
    <t>45111410-1</t>
  </si>
  <si>
    <t>45111410-3</t>
  </si>
  <si>
    <t>Տիրինկատար</t>
  </si>
  <si>
    <t>Շատիվանք</t>
  </si>
  <si>
    <t>«Երևանի հ․8 արհեստագործական պետական ուսումնարան» ՊՈԱԿ</t>
  </si>
  <si>
    <t>Երևանի հ․8 արհեստագործական պետական ուսումնարան (իրավահաջորդը՝ «Երևանի արհեստի պետական քոլեջ» ՊՈԱԿ)</t>
  </si>
  <si>
    <t>1. Վերականգնողական աշխատանքներ</t>
  </si>
  <si>
    <t>Հավուց Թառ վանական համալիրի Սբ. Ամենափրկիչ եկեղեցու ամրակայում, նորոգում և վերականգնում</t>
  </si>
  <si>
    <t>Տավուշի մարզի «Տավուշ» ամրոցի պարիսպների, կից կառույցների, եկեղեցու ամրակայում, վերականգնում և տարածքի բարեկարգում</t>
  </si>
  <si>
    <t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t>
  </si>
  <si>
    <t>45611200-1</t>
  </si>
  <si>
    <t xml:space="preserve"> մշակութային օբյեկտների հիմնանորոգում</t>
  </si>
  <si>
    <t>ԲՄ</t>
  </si>
  <si>
    <t>Օպերա</t>
  </si>
  <si>
    <t>45451600-3</t>
  </si>
  <si>
    <t xml:space="preserve"> վերականգնողական աշխատանքներ</t>
  </si>
  <si>
    <t>Հավուց Թառ</t>
  </si>
  <si>
    <t>98111140-3</t>
  </si>
  <si>
    <t>45451600-18</t>
  </si>
  <si>
    <t>Տավուշ</t>
  </si>
  <si>
    <t>71351540-15</t>
  </si>
  <si>
    <t>98111140-18</t>
  </si>
  <si>
    <t>45451600-5</t>
  </si>
  <si>
    <t>Այգեշատ</t>
  </si>
  <si>
    <t>71351540-4</t>
  </si>
  <si>
    <t>98111140-4</t>
  </si>
  <si>
    <t xml:space="preserve"> Այգեշատ համայնքի Թարգմանչաց եկեղեցու վերականգնում </t>
  </si>
  <si>
    <t>«Գյումրու պետական բժշկական քոլեջ» ՊՈԱԿ</t>
  </si>
  <si>
    <t>Գյումրու բժշկական</t>
  </si>
  <si>
    <t>45611100-3</t>
  </si>
  <si>
    <t xml:space="preserve">  Մասնագիտական ուսումնական հաստատությունների շենքերի կառուցում</t>
  </si>
  <si>
    <t xml:space="preserve"> Մշակույթի տներ, ակումբներ, կենտրոններ</t>
  </si>
  <si>
    <t>Դաս N 03</t>
  </si>
  <si>
    <t xml:space="preserve"> տեխնիկական վերլուծության և խրհրդատվության ծառայություններ</t>
  </si>
  <si>
    <t>71621100-9</t>
  </si>
  <si>
    <t>Հանրակրթական դպրոցների, մանկապարտեզների և կրթահամալիրների գույքով և տեխնիկայով ապահովում</t>
  </si>
  <si>
    <t xml:space="preserve">  Հանրակրթական դպրոցների, մանկապարտեզների և կրթահամալիրների գույքով և տեխնիկայով ապահովում</t>
  </si>
  <si>
    <t>1236-32006</t>
  </si>
  <si>
    <t xml:space="preserve"> ՄԱՍ I. ԱՊՐԱՆՔՆԵՐ</t>
  </si>
  <si>
    <t xml:space="preserve"> մարմնամարզական ցատկերի սարքեր</t>
  </si>
  <si>
    <t>37421190-501</t>
  </si>
  <si>
    <t>ԷԱՃ</t>
  </si>
  <si>
    <t>37451540-501</t>
  </si>
  <si>
    <t xml:space="preserve"> թենիսի ձեռնաթիակներ</t>
  </si>
  <si>
    <t>37431210-501</t>
  </si>
  <si>
    <t xml:space="preserve"> ցատկապարան</t>
  </si>
  <si>
    <t>հատ</t>
  </si>
  <si>
    <t>«Ճամբարակի Մ․ Քոչարյանի Անվան N 2 hիմնական դպրոց» ՊՈԱԿ</t>
  </si>
  <si>
    <t>«գ. Վարդենիկի  Ռ. Հովհաննիսյանի թիվ 1 հիմնական դպրոց» ՊՈԱԿ</t>
  </si>
  <si>
    <t>«Վարդենիսի N4 հիմնական դպրոց» ՊՈԱԿ</t>
  </si>
  <si>
    <t>«գ. Գանձակի թիվ 1 միջնակարգ դպրոց» ՊՈԱԿ</t>
  </si>
  <si>
    <t>«գ. Գանձակի թիվ 2 միջնակարգ դպրոց» ՊՈԱԿ</t>
  </si>
  <si>
    <t>«ք. Գավառի Մ. Բունիաթյանի անվան թիվ 8 միջնակարգ դպրոց» ՊՈԱԿ</t>
  </si>
  <si>
    <t>«Լճափի միջնակարգ դպրոց» ՊՈԱԿ</t>
  </si>
  <si>
    <t>«Սևանի հ․ 6 միջնակարգ դպրոց» ՊՈԱԿ</t>
  </si>
  <si>
    <t>37451410-501</t>
  </si>
  <si>
    <t xml:space="preserve"> բասկետբոլի գնդակներ</t>
  </si>
  <si>
    <t>37451421-501</t>
  </si>
  <si>
    <t>37461161-501</t>
  </si>
  <si>
    <t xml:space="preserve"> սեղանի թենիսի հավաքածու</t>
  </si>
  <si>
    <t>37421300-501</t>
  </si>
  <si>
    <t xml:space="preserve"> մարմնամարզական ներքնակներ</t>
  </si>
  <si>
    <t>37421141-501</t>
  </si>
  <si>
    <t xml:space="preserve"> պտտաձող</t>
  </si>
  <si>
    <t>37451830-501</t>
  </si>
  <si>
    <t>լրակազմ</t>
  </si>
  <si>
    <t>39121520-501</t>
  </si>
  <si>
    <t>39132220-501</t>
  </si>
  <si>
    <t>39121200-501</t>
  </si>
  <si>
    <t xml:space="preserve"> սեղաններ</t>
  </si>
  <si>
    <t xml:space="preserve"> գրապահարաններ</t>
  </si>
  <si>
    <t>39295420-501</t>
  </si>
  <si>
    <t xml:space="preserve"> զուգափայտեր</t>
  </si>
  <si>
    <t>37421240-501</t>
  </si>
  <si>
    <t xml:space="preserve"> սպորտային մարմնամարզության նժույգ-թափեր (մարզումային)</t>
  </si>
  <si>
    <t>37421170-501</t>
  </si>
  <si>
    <t>37451580-501</t>
  </si>
  <si>
    <t xml:space="preserve"> վոլեյբոլի գնդակներ</t>
  </si>
  <si>
    <t>37451290-501</t>
  </si>
  <si>
    <t xml:space="preserve"> ֆուտբոլի գնդակներ</t>
  </si>
  <si>
    <t xml:space="preserve"> մարմնամարզական օղակներ</t>
  </si>
  <si>
    <t>37421153-501</t>
  </si>
  <si>
    <t xml:space="preserve"> մարմնամարզական նստարան</t>
  </si>
  <si>
    <t>37411130-501</t>
  </si>
  <si>
    <t xml:space="preserve"> դահուկներ/դահուկաձողեր</t>
  </si>
  <si>
    <t>37421143-501</t>
  </si>
  <si>
    <t xml:space="preserve"> բարձրացատկի հավաքածու</t>
  </si>
  <si>
    <t>37421151-501</t>
  </si>
  <si>
    <t xml:space="preserve"> մարմնամարզական պատ</t>
  </si>
  <si>
    <t>39299310-501</t>
  </si>
  <si>
    <t xml:space="preserve"> հայելի, շրջանակով</t>
  </si>
  <si>
    <t>37451862-501</t>
  </si>
  <si>
    <t xml:space="preserve"> ֆուտբոլի դարպասներ</t>
  </si>
  <si>
    <t>քմ</t>
  </si>
  <si>
    <t>39111180-501</t>
  </si>
  <si>
    <t xml:space="preserve"> աթոռ` գրասենյակային</t>
  </si>
  <si>
    <t>37471200-501</t>
  </si>
  <si>
    <t xml:space="preserve"> բուլավա</t>
  </si>
  <si>
    <t>37451520-501</t>
  </si>
  <si>
    <t xml:space="preserve"> թենիսի գնդակներ</t>
  </si>
  <si>
    <t>37421152-501</t>
  </si>
  <si>
    <t xml:space="preserve"> մարմնամարզական կամրջակ</t>
  </si>
  <si>
    <t>37421160-501</t>
  </si>
  <si>
    <t>37461170-501</t>
  </si>
  <si>
    <t xml:space="preserve"> սեղանի թենիսի գնդակներ</t>
  </si>
  <si>
    <t>37451582-501</t>
  </si>
  <si>
    <t xml:space="preserve"> վոլեյբոլի կանգնակ</t>
  </si>
  <si>
    <t>37421171-501</t>
  </si>
  <si>
    <t>37421171-502</t>
  </si>
  <si>
    <t>37421171-503</t>
  </si>
  <si>
    <t xml:space="preserve"> Թանգարանների և պատկերասրահների գույքային և տեխնիկական  հագեցվածության բարելավում</t>
  </si>
  <si>
    <t>«Ալեքսանդր Թամանյանի անվան ճարտարապետության ազգային թանգարան-ինստիտուտ» ՊՈԱԿ</t>
  </si>
  <si>
    <t>Դաս N 02</t>
  </si>
  <si>
    <t>Թամանյան</t>
  </si>
  <si>
    <t>1075-32001</t>
  </si>
  <si>
    <t xml:space="preserve"> Ներդրումներ թանգարանների և պատկերասրահների հիմնանորոգման համար</t>
  </si>
  <si>
    <t xml:space="preserve"> Թանգարաններ և ցուցասրահներ</t>
  </si>
  <si>
    <t>45311126-503</t>
  </si>
  <si>
    <t xml:space="preserve"> մալուխային ենթակառուցվածքների տեղադրում</t>
  </si>
  <si>
    <t>45311112-501</t>
  </si>
  <si>
    <t xml:space="preserve"> հրդեհի տագնապի համակարգերի տեղադրման աշխատանքներ</t>
  </si>
  <si>
    <t>45311139-501</t>
  </si>
  <si>
    <t xml:space="preserve"> ազդանշանային սարքերի տեղադրում</t>
  </si>
  <si>
    <t>45421122-501</t>
  </si>
  <si>
    <t xml:space="preserve"> պատուհանների տեղադրում</t>
  </si>
  <si>
    <t>45331123-501</t>
  </si>
  <si>
    <t xml:space="preserve"> ջերմաստիճանի կարգավորման համակարգի տեղադրման աշխատանքներ</t>
  </si>
  <si>
    <t>1075-32008</t>
  </si>
  <si>
    <t xml:space="preserve"> ՄԱՍ I.  ԱՊՐԱՆՔՆԵՐ</t>
  </si>
  <si>
    <t>39131200-501</t>
  </si>
  <si>
    <t xml:space="preserve"> արխիվի դարակաշարեր</t>
  </si>
  <si>
    <t>30216110-501</t>
  </si>
  <si>
    <t xml:space="preserve"> սկաներներ համակարգիչների համար</t>
  </si>
  <si>
    <t>30211280-501</t>
  </si>
  <si>
    <t xml:space="preserve"> համակարգիչ ամբողջը մեկում</t>
  </si>
  <si>
    <t>30232140-501</t>
  </si>
  <si>
    <t xml:space="preserve"> պլոտերներ</t>
  </si>
  <si>
    <t>Բերդ համայնքի Այգեձոր գյուղի մանկապարտեզ</t>
  </si>
  <si>
    <t xml:space="preserve">Հրազդան համայնքում «Մոդուլային» տիպի 144 տեղ հզորությամբ մսուր-մանկապարտեզ </t>
  </si>
  <si>
    <t>39711350-508</t>
  </si>
  <si>
    <t xml:space="preserve"> մսաղաց</t>
  </si>
  <si>
    <t>39713100-503</t>
  </si>
  <si>
    <t xml:space="preserve"> սպասք լվացող սարքեր</t>
  </si>
  <si>
    <t>39711350-501</t>
  </si>
  <si>
    <t>39132210-501</t>
  </si>
  <si>
    <t xml:space="preserve"> տեսակավորման դարակաշարեր</t>
  </si>
  <si>
    <t>39714200-507</t>
  </si>
  <si>
    <t xml:space="preserve"> օդորակիչ</t>
  </si>
  <si>
    <t>Արաքս համայնքի Խորոնք գյուղի մանկապարտեզ</t>
  </si>
  <si>
    <t>Արաքս համայնքի Ջրառատ գյուղի մանկապարտեզ</t>
  </si>
  <si>
    <t>Արաքս համայնքի Մեծամոր գյուղի մանկապարտեզ</t>
  </si>
  <si>
    <t>Բաղրամյան համայնքի Հուշակերտ գյուղի  մանկապարտեզ</t>
  </si>
  <si>
    <t>Արմավիր համայնքի Սարդարապատ գյուղի մանկապարտեզ</t>
  </si>
  <si>
    <t>Արմավիր համայնքի Արաքս գյուղի մանկապարտեզ</t>
  </si>
  <si>
    <t>Մեծամոր համայնքի Ջանֆիդա գյուղի Վազգեն Սարգսյանի անվան մանկապարտեզ</t>
  </si>
  <si>
    <t>Մեծամոր համայնքի Զարթոնք գյուղի մանկապարտեզ</t>
  </si>
  <si>
    <t>Մեծամոր համայնքի Արևիկ գյուղի «Մոդուլային» տիպի 144 տեղ հզորությամբ մսուր-մանկապարտեզ</t>
  </si>
  <si>
    <t>Վաղարշապատ համայնքի թիվ 3 Ծիծեռնակ մսուր-մանկապարտեզ</t>
  </si>
  <si>
    <t>Արաքս համայնքի Գայ գյուղի մանկապարտեզ</t>
  </si>
  <si>
    <t>Արաքս համայնքի Արաքս գյուղի մանկապարտեզ</t>
  </si>
  <si>
    <t>Արաքս համայնք Առատաշեն գյուղի մանկապարտեզ</t>
  </si>
  <si>
    <t>Փարաքար համայնքի Արևաշատ գյուղի մանկապարտեզ</t>
  </si>
  <si>
    <t>Արմավիր համայնքի Արմավիր քաղաքի թիվ 2 մսուր-մանկապարտեզ</t>
  </si>
  <si>
    <t>Արմավիր համայնքի Արմավիր քաղաքի թիվ 11 մսուր-մանկապարտեզ</t>
  </si>
  <si>
    <t>Արմավիր համայնքի Խանջյան գյուղի մանկապարտեզ</t>
  </si>
  <si>
    <t>Արմավիր համայնքի Արմավիր քաղաքի թիվ 5 մսուր-մանկապարտեզ</t>
  </si>
  <si>
    <t>Մեծամոր համայնքի Մեծամոր քաղաքի թիվ 2 մսուր մանկապարտեզ</t>
  </si>
  <si>
    <t>Մեծամոր համայնքի Մեծամոր քաղաքի թիվ 3 մսուր մանկապարտեզ</t>
  </si>
  <si>
    <t>Մեծամոր համայնքի Տարոնիկ գյուղի մանկապարտեզ</t>
  </si>
  <si>
    <t xml:space="preserve">Մեծամոր համայնքի Տանձուտ գյուղի մանկապարտեզ </t>
  </si>
  <si>
    <t xml:space="preserve">Վաղարշապատ համայնքի թիվ 4 Ձնծաղիկ մսուր-մանկապարտեզ </t>
  </si>
  <si>
    <t xml:space="preserve">Վաղարշապատ համայնքի թիվ 6 Արևիկ մսուր-մանկապարտեզ </t>
  </si>
  <si>
    <t xml:space="preserve">Խոյ համայնքի Հայթաղ գյուղի մանկապարտեզ </t>
  </si>
  <si>
    <t>Բաղրամյան համայնքի Լեռնագոգ գյուղի  մանկապարտեզ</t>
  </si>
  <si>
    <t>Փարաքար համայնքի Բաղրամյան գյուղի մանկապարտեզ</t>
  </si>
  <si>
    <t>45611100-4</t>
  </si>
  <si>
    <t>Արթիկ</t>
  </si>
  <si>
    <t>71351540-5</t>
  </si>
  <si>
    <t>«Արթիկի պետական քոլեջ» ՊՈԱԿ</t>
  </si>
  <si>
    <t>71241200-12</t>
  </si>
  <si>
    <t>71241200-10</t>
  </si>
  <si>
    <t>7 արձանագրություն</t>
  </si>
  <si>
    <t>71241200-5</t>
  </si>
  <si>
    <t>Զվարթնոց</t>
  </si>
  <si>
    <t>71241200-4</t>
  </si>
  <si>
    <t>Վերին Դվին</t>
  </si>
  <si>
    <t>Փարպի</t>
  </si>
  <si>
    <t>71351540-17</t>
  </si>
  <si>
    <t>Ապագա</t>
  </si>
  <si>
    <t>71351540-8</t>
  </si>
  <si>
    <t>Կրասար</t>
  </si>
  <si>
    <t>71351540-10</t>
  </si>
  <si>
    <t>Սիոն</t>
  </si>
  <si>
    <t>45261168-1</t>
  </si>
  <si>
    <t>45261168-2</t>
  </si>
  <si>
    <t xml:space="preserve"> որմնանկարների պահպանման աշխատանքներ</t>
  </si>
  <si>
    <t>Փարպի համայնքի 5-րդ դարի Ծիրանավոր եկեղեցու ամրակայում, վերականգնում և տարածքի բարեկարգում</t>
  </si>
  <si>
    <t>Ագարակ քաղաքի Սբ. Աստվածածին եկեղեցու ամրակայման, նորոգման և վերականգնման գիտանախագծային փաստաթղթեր</t>
  </si>
  <si>
    <t>Հայաստանի ուրարտական 7 արձանագրությունների (Մարմաշեն, Սպանդարյան, Զվարթնոց, Գառնի, Լճաշեն, Օձաբերդ, Ծովակ), Ագարակի ուրարտական դմաբարանի, Գառնիի և Արմավիրի հունական արձանագրությունների ամրակայում, պահպանություն (կոնսերվցիա) և տարածքների բարեկարգում</t>
  </si>
  <si>
    <t>Թալինի քարավանատան ամրակայման, նորոգման և վերականգնման գիտանախագծային փաստաթղթեր</t>
  </si>
  <si>
    <t>Վերին Դվին գյուղի Ասորական Ումրա եկեղեցու ամրակայման, նորոգման և վերականգնման գիտանախագծային փաստաթղթեր</t>
  </si>
  <si>
    <t>Զվարթնոցի տաճարի չօգտագործված բեկորների ցուցադրության համար նախատեսված ժամանակակից նյութերով և ճարտարապետական լուծումներով ցուցասրահի  կառուցման գիտանախագծային փաստաթղթեր</t>
  </si>
  <si>
    <t>Ապագա գյուղի մշակույթի տան Սարգիս Մուրադյանի «Սասունցիներ» որմնանկարի (պետ.ցուցիչ 3.12.1) ամրակայում և վերականգնում</t>
  </si>
  <si>
    <t>Աշոցք համայնքի Կրասար բնակավայրի 19-րդ դարի կամրջի նորոգում, ամրակայում և վերականգնում</t>
  </si>
  <si>
    <t>Եղեգիս խոշորացված համայնքի Շատիվանքի Սբ․ Սիոն եկեղեցու որմնանկարների ամրակայում և վերականգնում</t>
  </si>
  <si>
    <t>71241200-3</t>
  </si>
  <si>
    <t>Օհանավան</t>
  </si>
  <si>
    <t>71241200-6</t>
  </si>
  <si>
    <t>Դսեղ</t>
  </si>
  <si>
    <t>71241200-8</t>
  </si>
  <si>
    <t>71241200-9</t>
  </si>
  <si>
    <t>Երերույք</t>
  </si>
  <si>
    <t>Երիցվանք</t>
  </si>
  <si>
    <t>50531140-3</t>
  </si>
  <si>
    <t>50531140-6</t>
  </si>
  <si>
    <t>50531140-8</t>
  </si>
  <si>
    <t>50531140-9</t>
  </si>
  <si>
    <t>Օհանավան գյուղի ժայռափոր համալիրի պեղման, մաքրման աշխատանքներ, քարայրների ամրակայման, տարածքի բարեկարգման գիտանախագծային փաստաթղթեր</t>
  </si>
  <si>
    <t>Դսեղ համայնքի Բարձրաքաշի Սբ Գրիգոր վանական համալիրի ինժեներաերկրաբանական հետազոտություն</t>
  </si>
  <si>
    <t>Երերույքի տաճարի հարակից քարայրների պեղման-մաքրման աշխատանքներ, քարայրների ամրակայման, տարածքի բարեկարգման գիտանախագծային փաստաթղթեր</t>
  </si>
  <si>
    <t>Երիցվանքի հնագիտական պեղումներ, համալիրի նորոգման, ամրակայման, վերականգնման և տարածքի բարեկարգման գիտանախագծային փաստաթղթեր</t>
  </si>
  <si>
    <t>Համայնքային մշակութային-ժամանցային կենտրոնի ստեղծում</t>
  </si>
  <si>
    <t>1196-12002</t>
  </si>
  <si>
    <t xml:space="preserve"> Համայնքային մշակութային-ժամանցային կենտրոնի ստեղծում</t>
  </si>
  <si>
    <t>Դաս N 05</t>
  </si>
  <si>
    <t xml:space="preserve"> Արվեստ</t>
  </si>
  <si>
    <t>1168-32001</t>
  </si>
  <si>
    <t>Թանգարանների և պատկերասրահների գույքային և տեխնիկական  հագեցվածության բարելավում</t>
  </si>
  <si>
    <t xml:space="preserve"> Ներդրումներ թատրոնների և համերգային կազմակերպությունների շենքերի կապիտալ վերանորոգման համար</t>
  </si>
  <si>
    <t>ՀՀ պետական կառավարման
մարմիններ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</si>
  <si>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</si>
  <si>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Օրենքով և այլ իրավական ակտերով սահմանված
պետական բյուջե մուտքագրվող այլ եկամուտներ</t>
  </si>
  <si>
    <t>Այլ եկամուտներ, ընդամենը՝</t>
  </si>
  <si>
    <t>Ցուցանիշների փոփոխությունը (ավելացումները նշված են դրական նշանով)</t>
  </si>
  <si>
    <t xml:space="preserve">Գանձման համար
պատասխանատու
պետական կառավարման
մարմինը (մարմինները) </t>
  </si>
  <si>
    <t xml:space="preserve">Եկամտատեսակը 
</t>
  </si>
  <si>
    <t xml:space="preserve">NN
ը/կ </t>
  </si>
  <si>
    <t>Հավելված N 6</t>
  </si>
  <si>
    <t xml:space="preserve">ՀԱՅԱՍՏԱՆԻ ՀԱՆՐԱՊԵՏՈՒԹՅԱՆ ԿԱՌԱՎԱՐՈՒԹՅԱՆ 2025 ԹՎԱԿԱՆԻ ԴԵԿՏԵՄԲԵՐԻ 25-Ի N 1910-Ն ՈՐՈՇՄԱՆ
N 6 ՀԱՎԵԼՎԱԾՈՒՄ ԿԱՏԱՐՎՈՂ ԼՐԱՑՈՒՄԸ
</t>
  </si>
  <si>
    <t>Եկամտատեսակ</t>
  </si>
  <si>
    <t xml:space="preserve">ՊԵՏԱԿԱՆ ԲՅՈՒՋԵԻ  ԵԿԱՄՈՒՏՆԵՐ </t>
  </si>
  <si>
    <t>Այլ եկամուտներ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</si>
  <si>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</si>
  <si>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</si>
  <si>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</si>
  <si>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</si>
  <si>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«ՀԱՅԱՍՏԱՆԻ ՀԱՆՐԱՊԵՏՈՒԹՅԱՆ 2026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</si>
  <si>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 Մշակութային ծառայություններ</t>
  </si>
  <si>
    <t xml:space="preserve"> Մշակութային ժառանգության ծրագիր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</si>
  <si>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</si>
  <si>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</si>
  <si>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- Այլ կապիտալ դրամաշնորհներ </t>
  </si>
  <si>
    <t>03</t>
  </si>
  <si>
    <t xml:space="preserve"> Մարզերի մշակութային զարգացման ծրագիր</t>
  </si>
  <si>
    <t>05</t>
  </si>
  <si>
    <t xml:space="preserve"> Արվեստների ծրագիր</t>
  </si>
  <si>
    <t>Թատերահամերգային կազմակերպությունների նյութատեխնիկական բազայի  համալրում</t>
  </si>
  <si>
    <t xml:space="preserve"> Թատերահամերգային կազմակերպությունների նյութատեխնիկական բազայի  համալրում</t>
  </si>
  <si>
    <t>07</t>
  </si>
  <si>
    <t xml:space="preserve"> Մասնագիտական կրթության և ուսուցման ծրագիր</t>
  </si>
  <si>
    <t xml:space="preserve"> Բարձրագույն և հետբուհական մասնագիտական կրթության ծրագիր</t>
  </si>
  <si>
    <t>Բարձրագույն  ուսումնական հաստատությունների և «Զեյթուն»  ուսանողական ավան»  հիմնադրամի շենքային պայմանների բարելավում</t>
  </si>
  <si>
    <t xml:space="preserve"> Կրթություն (այլ դասերին չպատկանող)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</si>
  <si>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</si>
  <si>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ԱՅԼ  ԾԱԽՍԵՐ</t>
  </si>
  <si>
    <t xml:space="preserve"> - Պարտադիր վճարներ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</si>
  <si>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</si>
  <si>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11001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</si>
  <si>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</si>
  <si>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</si>
  <si>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</si>
  <si>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</si>
  <si>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</si>
  <si>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</si>
  <si>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</si>
  <si>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</si>
  <si>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</si>
  <si>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1075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</si>
  <si>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</si>
  <si>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</si>
  <si>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</si>
  <si>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</si>
  <si>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</si>
  <si>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1075 - 32008</t>
  </si>
  <si>
    <t>Թանգարանների և պատկերասրահների համար անհրաժեշտ  գույքի, տեխնիկայի և սարքավորումների ձեռքբերում</t>
  </si>
  <si>
    <t>1075 - 32001</t>
  </si>
  <si>
    <t>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</si>
  <si>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1111</t>
  </si>
  <si>
    <t>Ապահովել մատչելի, որակյալ և մրցունակ բարձրագույն և հետբուհական մասնագիտական կրթություն: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</si>
  <si>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</si>
  <si>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1111 - 32001</t>
  </si>
  <si>
    <t>Բարձրագույն  ուսումնական հաստատությունների և «Զեյթուն» ուսանողական ավան»   հիմնադրամի շենքային պայմանների բարելավում</t>
  </si>
  <si>
    <t>1130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</si>
  <si>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</si>
  <si>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</si>
  <si>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</si>
  <si>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Տրանսֆերտների տրամադրում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</si>
  <si>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</si>
  <si>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</si>
  <si>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</si>
  <si>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</si>
  <si>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1168 - 32007</t>
  </si>
  <si>
    <t>Թատերահամերգային կազմակերպությունների համար անհրաժեշտ տեխնիկայի և սարքավորումների ձեռքբերում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</si>
  <si>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</si>
  <si>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</si>
  <si>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1196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</si>
  <si>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</si>
  <si>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</si>
  <si>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</si>
  <si>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1196 - 12002</t>
  </si>
  <si>
    <t>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</t>
  </si>
  <si>
    <t>Հավելված N 10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</si>
  <si>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</si>
  <si>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</si>
  <si>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</si>
  <si>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</si>
  <si>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</si>
  <si>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</si>
  <si>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</si>
  <si>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</si>
  <si>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</si>
  <si>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</si>
  <si>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</si>
  <si>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</si>
  <si>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</si>
  <si>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</si>
  <si>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Միջոցառում</t>
  </si>
  <si>
    <t>այդ թվում</t>
  </si>
  <si>
    <t xml:space="preserve"> 11</t>
  </si>
  <si>
    <t xml:space="preserve"> 01</t>
  </si>
  <si>
    <t xml:space="preserve"> ՀՀ կառավարություն</t>
  </si>
  <si>
    <t xml:space="preserve"> 1139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</si>
  <si>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</si>
  <si>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1130 - 11011</t>
  </si>
  <si>
    <t xml:space="preserve"> Կրթության, գիտության, մշակույթի և սպորտի  բնագավառներում ծրագրերի ապահովման նպատակով անհրաժեշտ պետական տուրքերի և պարտադիր վճարների կատարում</t>
  </si>
  <si>
    <t xml:space="preserve"> Կրթության, գիտության, մշակույթի և սպորտի  բնագավառներում ծրագրերի ապահովման նպատակով անհրաժեշտ ՀՀ պետական կառավարման և տեղական ինքնակառավարման մարմինների կողմից սահմանված պետական տուրքերի և պարտադիր վճարների կատարում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</si>
  <si>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</si>
  <si>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</si>
  <si>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</si>
  <si>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</si>
  <si>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>Հիմնանորոգվող մասնագիտական ուսումնական հաստատությունների քանակ, հատ</t>
  </si>
  <si>
    <t>Մասնակի նորոգվող նախնական (արհեստագործական) և միջին մասնագիտական ուսումնական հաստատությունների քանակ, հատ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</si>
  <si>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</si>
  <si>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Ծառայությունը մատուցող կազմակերպության անվանումը` Մասնագիտացված կազմակերպություններ </t>
  </si>
  <si>
    <t xml:space="preserve"> Թանգարանների և պատկերասրահների համար անհրաժեշտ  գույքի, տեխնիկայի և սարքավորումների ձեռքբերում </t>
  </si>
  <si>
    <t xml:space="preserve"> Ակտիվն օգտագործող կազմակերպության անվանումը` Թանգարաններ և պատկերասրահներ </t>
  </si>
  <si>
    <t>Կազմակերպությունների թիվը, որտեղ կատարվում են ներդրումները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</si>
  <si>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</si>
  <si>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Հիմնանորոգվող թանգարաններ և պատկերասրահներ քանակ, հատ</t>
  </si>
  <si>
    <t xml:space="preserve"> 1111 - 32001 </t>
  </si>
  <si>
    <t xml:space="preserve">  Բարձրագույն  ուսումնական հաստատությունների և «Զեյթուն» ուսանողական ավան»   հիմնադրամի շենքային պայմանների բարելավում </t>
  </si>
  <si>
    <t xml:space="preserve"> Ակտիվն օգտագործող կազմակերպության անվանումը`  Բարձրագույն  ուսումնական հաստատություններ </t>
  </si>
  <si>
    <t>Կազմակերպությունների թիվը, որտեղ կատարվում են ներդրումները, հատ</t>
  </si>
  <si>
    <t xml:space="preserve"> Բարձրագույն և հետբուհական մասնագիտական կրթության ծրագիր </t>
  </si>
  <si>
    <t xml:space="preserve"> Ծառայությունների մատուցում</t>
  </si>
  <si>
    <t xml:space="preserve"> Ծառայությունը մատուցողի անվանումը` ՀՀ կրթության, գիտության, մշակույթի և սպորտի նախարարություն </t>
  </si>
  <si>
    <t xml:space="preserve"> Տրանսֆերտների տրամադրում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</si>
  <si>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</si>
  <si>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</si>
  <si>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</si>
  <si>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</si>
  <si>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>Թատրոնների թիվը, որտեղ կատարվում են ներդրումները, հատ</t>
  </si>
  <si>
    <t xml:space="preserve"> Մարզերի մշակութային զարգացման ծրագիր </t>
  </si>
  <si>
    <t xml:space="preserve"> Շահառուների ընտրության չափանիշները՝ ՀՀ համայնքների ենթակայության մշակութային հաստատություններ</t>
  </si>
  <si>
    <t xml:space="preserve"> 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</si>
  <si>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</si>
  <si>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</si>
  <si>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</si>
  <si>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 Անհետաձգելի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</si>
  <si>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«Մոդուլային» տիպի 144 տեղ հզորությամբ կառուցվող(ած) մսուր–մանկապարտեզների թիվը, որոնք ապահովվում են գույքով, հատ </t>
  </si>
  <si>
    <t xml:space="preserve"> Բարեգործական ծրագրերով կառուցվող(ած), վերակառուցվող(ած) և հիմնանորոգվող(ած) մանկապարտեզների թիվը, որոնք ապահովվում են գույքով, հատ </t>
  </si>
  <si>
    <t>Մասնակի գույքով ապահովվող դպրոցների քանակ, հատ</t>
  </si>
  <si>
    <t>Հավելված N 11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</si>
  <si>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</si>
  <si>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</si>
  <si>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</si>
  <si>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</si>
  <si>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</si>
  <si>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Պատմամշակութային ժառանգության ոլորտի կազմակերպությունների գույքային ապահովվածության բարելավում</t>
  </si>
  <si>
    <t>04</t>
  </si>
  <si>
    <t xml:space="preserve"> Այլ մշակութային կազմակերպություններ</t>
  </si>
  <si>
    <t>1075 - 32009</t>
  </si>
  <si>
    <t xml:space="preserve">Պատմամշակութային ժառանգության ոլորտի կազմակերպությունների գույքային ապահովվածության բարելավում </t>
  </si>
  <si>
    <t xml:space="preserve">Պատմամշակութային ժառանգության ոլորտի կազմակերպությունների գույքով և տեխնիկայով ապահովում </t>
  </si>
  <si>
    <t xml:space="preserve"> Պատմամշակութային ժառանգության ոլորտի կազմակերպությունների գույքով և տեխնիկայով ապահովում </t>
  </si>
  <si>
    <t xml:space="preserve"> Ակտիվն օգտագործող կազմակերպության անվանումը`  Պատմամշակութային ժառանգության ոլորտի կազմակերպություններ</t>
  </si>
  <si>
    <t>Արամ Խաչատրյան</t>
  </si>
  <si>
    <t>«Հայաստանի ազգային ֆիլհարմոնիկ նվագախումբ» ՊՈԱԿ</t>
  </si>
  <si>
    <t xml:space="preserve"> մարմնամարզական պարաններ</t>
  </si>
  <si>
    <t xml:space="preserve"> մարմնամարզական գնդակ</t>
  </si>
  <si>
    <t xml:space="preserve"> կախիչներ</t>
  </si>
  <si>
    <t xml:space="preserve"> վոլեյբոլի ցանց</t>
  </si>
  <si>
    <t xml:space="preserve"> բասկետբոլի ամբողջական խաղային կոմպլեքսներ</t>
  </si>
  <si>
    <t>38591100-501</t>
  </si>
  <si>
    <t xml:space="preserve"> շարժական լաբորատոր համալիր</t>
  </si>
  <si>
    <t xml:space="preserve">«ՀԱՅԱՍՏԱՆԻ ՀԱՆՐԱՊԵՏՈՒԹՅԱՆ 2026 ԹՎԱԿԱՆԻ ՊԵՏԱԿԱՆ ԲՅՈՒՋԵԻ ՄԱՍԻՆ» ՀԱՅԱՍՏԱՆԻ ՀԱՆՐԱՊԵՏՈՒԹՅԱՆ ՕՐԵՆՔԻ 6-ՐԴ ՀՈԴՎԱԾԻ ԱՂՅՈՒՍԱԿՈՒՄ ԵՎ ՀԱՅԱՍՏԱՆԻ ՀԱՆՐԱՊԵՏՈՒԹՅԱՆ ԿԱՌԱՎԱՐՈՒԹՅԱՆ 2025 ԹՎԱԿԱՆԻ ԴԵԿՏԵՄԲԵՐԻ 25-Ի N 1910-Ն ՈՐՈՇՄԱՆ N 2 ՀԱՎԵԼՎԱԾԻ ԱՂՅՈՒՍԱԿՈՒՄ ԿԱՏԱՐՎՈՂ ՓՈՓՈԽՈՒԹՅՈՒՆՆԵՐԸ
</t>
  </si>
  <si>
    <t>Գեղարվեստի պետական ակադեմիային ամրացված շենքի էլեկտրամատակարարման համակարգի նորոգում և պատուհանների փոխարինում</t>
  </si>
  <si>
    <t>Հուշարձանների տարածքում տեղադրվելիք տեղեկատվական եռալեզու վահանակների (ցուցանակների) ձեռքբերում</t>
  </si>
  <si>
    <t>Ամենագնաց մեքենայի ձեռքբերում</t>
  </si>
  <si>
    <t>Մարդատար վերելակների ձեռքբերմ</t>
  </si>
  <si>
    <t>Հավելված 8</t>
  </si>
  <si>
    <t>Հավելված N 9</t>
  </si>
  <si>
    <t xml:space="preserve">Հավելված N 12 </t>
  </si>
  <si>
    <t>«ՀԱՅԱՍՏԱՆԻ ՀԱՆՐԱՊԵՏՈՒԹՅԱՆ 2026 ԹՎԱԿԱՆԻ ՊԵՏԱԿԱՆ ԲՅՈՒՋԵԻ ՄԱՍԻՆ»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</si>
  <si>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>հազար դրամներով</t>
  </si>
  <si>
    <t>Հավելված N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</si>
</sst>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_);\(0\)"/>
    <numFmt numFmtId="173" formatCode="#,##0.0"/>
    <numFmt numFmtId="174" formatCode="_-* #,##0.0\ _р_._-;\-* #,##0.0\ _р_._-;_-* &quot;-&quot;?\ _р_._-;_-@_-"/>
    <numFmt numFmtId="175" formatCode="0.000%"/>
    <numFmt numFmtId="176" formatCode="##,##0;\(##,##0\);\-"/>
    <numFmt numFmtId="177" formatCode="_(* #,##0.0_);_(* \(#,##0.0\);_(* &quot;-&quot;?_);_(@_)"/>
    <numFmt numFmtId="178" formatCode="#,##0.000000000000_);\(#,##0.000000000000\)"/>
    <numFmt numFmtId="179" formatCode="_(* #,##0_);_(* \(#,##0\);_(* &quot;-&quot;??_);_(@_)"/>
  </numFmts>
  <fonts count="10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ED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  <xf numFmtId="0" fontId="16" fillId="0" borderId="0"/>
  </cellStyleXfs>
  <cellXfs count="586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73" fillId="2" borderId="29" xfId="0" applyFont="1" applyFill="1" applyBorder="1" applyAlignment="1">
      <alignment horizontal="center"/>
    </xf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3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8" fillId="2" borderId="29" xfId="96" applyNumberFormat="1" applyFont="1" applyFill="1" applyBorder="1" applyAlignment="1">
      <alignment horizontal="center" vertical="center" wrapText="1"/>
    </xf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73" fillId="2" borderId="22" xfId="0" applyFont="1" applyFill="1" applyBorder="1"/>
    <xf numFmtId="0" fontId="94" fillId="2" borderId="29" xfId="0" applyFont="1" applyFill="1" applyBorder="1" applyAlignment="1">
      <alignment vertical="center" wrapText="1"/>
    </xf>
    <xf numFmtId="166" fontId="94" fillId="2" borderId="29" xfId="223" applyNumberFormat="1" applyFont="1" applyFill="1" applyBorder="1"/>
    <xf numFmtId="0" fontId="99" fillId="2" borderId="0" xfId="0" applyFont="1" applyFill="1"/>
    <xf numFmtId="0" fontId="85" fillId="0" borderId="29" xfId="0" applyFont="1" applyBorder="1" applyAlignment="1">
      <alignment vertical="center" wrapText="1"/>
    </xf>
    <xf numFmtId="166" fontId="85" fillId="2" borderId="29" xfId="223" applyNumberFormat="1" applyFont="1" applyFill="1" applyBorder="1" applyAlignment="1">
      <alignment vertical="center"/>
    </xf>
    <xf numFmtId="0" fontId="101" fillId="2" borderId="0" xfId="0" applyFont="1" applyFill="1"/>
    <xf numFmtId="0" fontId="98" fillId="2" borderId="0" xfId="299" applyFont="1" applyFill="1"/>
    <xf numFmtId="0" fontId="73" fillId="2" borderId="22" xfId="0" applyFont="1" applyFill="1" applyBorder="1" applyAlignment="1">
      <alignment vertical="center"/>
    </xf>
    <xf numFmtId="166" fontId="94" fillId="2" borderId="29" xfId="223" applyNumberFormat="1" applyFont="1" applyFill="1" applyBorder="1" applyAlignment="1">
      <alignment vertical="center"/>
    </xf>
    <xf numFmtId="0" fontId="99" fillId="2" borderId="0" xfId="0" applyFont="1" applyFill="1" applyAlignment="1">
      <alignment vertical="center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8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8" fontId="73" fillId="57" borderId="26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8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8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72" fontId="73" fillId="0" borderId="29" xfId="0" applyNumberFormat="1" applyFont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103" fillId="0" borderId="0" xfId="0" applyFont="1"/>
    <xf numFmtId="43" fontId="73" fillId="2" borderId="0" xfId="253" applyNumberFormat="1" applyFont="1" applyFill="1"/>
    <xf numFmtId="0" fontId="14" fillId="2" borderId="26" xfId="0" applyFont="1" applyFill="1" applyBorder="1" applyAlignment="1">
      <alignment horizontal="center" vertical="center" wrapText="1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166" fontId="85" fillId="2" borderId="29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0" fontId="74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166" fontId="98" fillId="2" borderId="29" xfId="96" applyNumberFormat="1" applyFont="1" applyFill="1" applyBorder="1" applyAlignment="1">
      <alignment vertical="center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43" fontId="74" fillId="2" borderId="0" xfId="2025" applyNumberFormat="1" applyFont="1" applyFill="1"/>
    <xf numFmtId="0" fontId="73" fillId="0" borderId="29" xfId="0" applyFont="1" applyBorder="1" applyAlignment="1">
      <alignment horizontal="lef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top"/>
    </xf>
    <xf numFmtId="0" fontId="74" fillId="2" borderId="26" xfId="0" applyFont="1" applyFill="1" applyBorder="1" applyAlignment="1">
      <alignment vertical="center" wrapText="1"/>
    </xf>
    <xf numFmtId="168" fontId="73" fillId="2" borderId="29" xfId="0" applyNumberFormat="1" applyFont="1" applyFill="1" applyBorder="1" applyAlignment="1">
      <alignment horizontal="right" vertical="center" wrapText="1"/>
    </xf>
    <xf numFmtId="0" fontId="17" fillId="0" borderId="26" xfId="0" applyFont="1" applyBorder="1" applyAlignment="1">
      <alignment horizontal="center" vertical="top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168" fontId="17" fillId="2" borderId="26" xfId="8" applyNumberFormat="1" applyFont="1" applyFill="1" applyBorder="1" applyAlignment="1">
      <alignment horizontal="right" vertical="center" wrapText="1"/>
    </xf>
    <xf numFmtId="0" fontId="73" fillId="2" borderId="29" xfId="8" applyFont="1" applyFill="1" applyBorder="1">
      <alignment horizontal="left" vertical="top" wrapText="1"/>
    </xf>
    <xf numFmtId="4" fontId="17" fillId="2" borderId="26" xfId="8" applyNumberFormat="1" applyFont="1" applyFill="1" applyBorder="1" applyAlignment="1">
      <alignment horizontal="center" vertical="top" wrapText="1"/>
    </xf>
    <xf numFmtId="39" fontId="17" fillId="2" borderId="26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98" fillId="2" borderId="0" xfId="8" applyFont="1" applyFill="1">
      <alignment horizontal="left" vertical="top" wrapText="1"/>
    </xf>
    <xf numFmtId="168" fontId="85" fillId="2" borderId="29" xfId="0" applyNumberFormat="1" applyFont="1" applyFill="1" applyBorder="1" applyAlignment="1">
      <alignment horizontal="right" vertical="center" wrapText="1"/>
    </xf>
    <xf numFmtId="43" fontId="73" fillId="2" borderId="0" xfId="8" applyNumberFormat="1" applyFont="1" applyFill="1">
      <alignment horizontal="left" vertical="top" wrapText="1"/>
    </xf>
    <xf numFmtId="168" fontId="17" fillId="2" borderId="26" xfId="8" applyNumberFormat="1" applyFont="1" applyFill="1" applyBorder="1" applyAlignment="1">
      <alignment horizontal="center" vertical="center" wrapText="1"/>
    </xf>
    <xf numFmtId="168" fontId="73" fillId="2" borderId="0" xfId="8" applyNumberFormat="1" applyFont="1" applyFill="1">
      <alignment horizontal="left" vertical="top" wrapText="1"/>
    </xf>
    <xf numFmtId="0" fontId="85" fillId="2" borderId="2" xfId="0" applyFont="1" applyFill="1" applyBorder="1" applyAlignment="1">
      <alignment horizontal="left" vertical="center" wrapText="1"/>
    </xf>
    <xf numFmtId="168" fontId="17" fillId="2" borderId="29" xfId="0" applyNumberFormat="1" applyFont="1" applyFill="1" applyBorder="1" applyAlignment="1">
      <alignment horizontal="right" vertical="center" wrapText="1"/>
    </xf>
    <xf numFmtId="168" fontId="85" fillId="0" borderId="29" xfId="0" applyNumberFormat="1" applyFont="1" applyBorder="1" applyAlignment="1">
      <alignment horizontal="right" vertical="center" wrapText="1"/>
    </xf>
    <xf numFmtId="165" fontId="17" fillId="2" borderId="29" xfId="6" applyFont="1" applyFill="1" applyBorder="1" applyAlignment="1">
      <alignment horizontal="center" vertical="center"/>
    </xf>
    <xf numFmtId="0" fontId="73" fillId="2" borderId="29" xfId="208" applyFont="1" applyFill="1" applyBorder="1" applyAlignment="1">
      <alignment horizontal="center"/>
    </xf>
    <xf numFmtId="0" fontId="73" fillId="2" borderId="29" xfId="208" applyFont="1" applyFill="1" applyBorder="1" applyAlignment="1">
      <alignment horizontal="left"/>
    </xf>
    <xf numFmtId="168" fontId="73" fillId="0" borderId="29" xfId="208" applyNumberFormat="1" applyFont="1" applyBorder="1"/>
    <xf numFmtId="43" fontId="73" fillId="2" borderId="29" xfId="217" applyFont="1" applyFill="1" applyBorder="1"/>
    <xf numFmtId="0" fontId="73" fillId="2" borderId="29" xfId="208" applyFont="1" applyFill="1" applyBorder="1"/>
    <xf numFmtId="178" fontId="73" fillId="2" borderId="29" xfId="208" applyNumberFormat="1" applyFont="1" applyFill="1" applyBorder="1"/>
    <xf numFmtId="0" fontId="101" fillId="2" borderId="0" xfId="208" applyFont="1" applyFill="1"/>
    <xf numFmtId="0" fontId="73" fillId="2" borderId="2" xfId="0" applyFont="1" applyFill="1" applyBorder="1" applyAlignment="1">
      <alignment horizontal="center"/>
    </xf>
    <xf numFmtId="0" fontId="85" fillId="2" borderId="26" xfId="0" applyFont="1" applyFill="1" applyBorder="1" applyAlignment="1">
      <alignment vertical="center" wrapText="1"/>
    </xf>
    <xf numFmtId="0" fontId="103" fillId="2" borderId="0" xfId="0" applyFont="1" applyFill="1"/>
    <xf numFmtId="0" fontId="17" fillId="2" borderId="29" xfId="96" applyFont="1" applyFill="1" applyBorder="1" applyAlignment="1">
      <alignment vertical="center" wrapText="1"/>
    </xf>
    <xf numFmtId="165" fontId="73" fillId="2" borderId="29" xfId="0" applyNumberFormat="1" applyFont="1" applyFill="1" applyBorder="1"/>
    <xf numFmtId="166" fontId="73" fillId="2" borderId="29" xfId="0" applyNumberFormat="1" applyFont="1" applyFill="1" applyBorder="1"/>
    <xf numFmtId="0" fontId="94" fillId="0" borderId="29" xfId="96" applyFont="1" applyBorder="1" applyAlignment="1">
      <alignment horizontal="left" vertical="center" wrapText="1"/>
    </xf>
    <xf numFmtId="0" fontId="94" fillId="2" borderId="29" xfId="96" applyFont="1" applyFill="1" applyBorder="1" applyAlignment="1">
      <alignment horizontal="left" vertical="center" wrapText="1"/>
    </xf>
    <xf numFmtId="0" fontId="85" fillId="0" borderId="29" xfId="208" applyFont="1" applyBorder="1" applyAlignment="1">
      <alignment vertical="center" wrapText="1"/>
    </xf>
    <xf numFmtId="0" fontId="17" fillId="2" borderId="29" xfId="96" applyFont="1" applyFill="1" applyBorder="1" applyAlignment="1">
      <alignment horizontal="left" vertical="center" wrapText="1"/>
    </xf>
    <xf numFmtId="165" fontId="17" fillId="0" borderId="29" xfId="6" applyFont="1" applyFill="1" applyBorder="1" applyAlignment="1">
      <alignment horizontal="center" vertical="center"/>
    </xf>
    <xf numFmtId="166" fontId="85" fillId="0" borderId="29" xfId="223" applyNumberFormat="1" applyFont="1" applyFill="1" applyBorder="1" applyAlignment="1">
      <alignment vertical="center"/>
    </xf>
    <xf numFmtId="176" fontId="73" fillId="0" borderId="29" xfId="6" applyNumberFormat="1" applyFont="1" applyBorder="1" applyAlignment="1">
      <alignment horizontal="center" vertical="center"/>
    </xf>
    <xf numFmtId="165" fontId="73" fillId="0" borderId="29" xfId="6" applyFont="1" applyBorder="1" applyAlignment="1">
      <alignment horizontal="center" vertical="center"/>
    </xf>
    <xf numFmtId="0" fontId="73" fillId="0" borderId="29" xfId="299" applyFont="1" applyBorder="1" applyAlignment="1">
      <alignment horizontal="left" vertical="center" wrapText="1"/>
    </xf>
    <xf numFmtId="166" fontId="94" fillId="0" borderId="29" xfId="6" applyNumberFormat="1" applyFont="1" applyFill="1" applyBorder="1" applyAlignment="1">
      <alignment horizontal="center" vertical="center"/>
    </xf>
    <xf numFmtId="171" fontId="107" fillId="2" borderId="0" xfId="2027" applyFont="1" applyFill="1"/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top" wrapText="1"/>
    </xf>
    <xf numFmtId="0" fontId="73" fillId="0" borderId="29" xfId="299" applyFont="1" applyBorder="1" applyAlignment="1">
      <alignment horizontal="center" vertical="center" wrapText="1"/>
    </xf>
    <xf numFmtId="165" fontId="73" fillId="0" borderId="29" xfId="6" applyFont="1" applyFill="1" applyBorder="1" applyAlignment="1">
      <alignment horizontal="center" vertical="center"/>
    </xf>
    <xf numFmtId="0" fontId="73" fillId="0" borderId="0" xfId="299" applyFont="1" applyAlignment="1">
      <alignment horizontal="left" vertical="center" wrapText="1"/>
    </xf>
    <xf numFmtId="0" fontId="73" fillId="0" borderId="28" xfId="1737" applyFont="1" applyBorder="1" applyAlignment="1">
      <alignment vertical="center"/>
    </xf>
    <xf numFmtId="0" fontId="73" fillId="0" borderId="33" xfId="1737" applyFont="1" applyBorder="1" applyAlignment="1">
      <alignment vertical="center"/>
    </xf>
    <xf numFmtId="0" fontId="73" fillId="0" borderId="33" xfId="1737" applyFont="1" applyBorder="1" applyAlignment="1">
      <alignment horizontal="center" vertical="center"/>
    </xf>
    <xf numFmtId="168" fontId="73" fillId="0" borderId="26" xfId="1737" applyNumberFormat="1" applyFont="1" applyBorder="1" applyAlignment="1">
      <alignment vertical="center"/>
    </xf>
    <xf numFmtId="0" fontId="73" fillId="0" borderId="0" xfId="299" applyFont="1"/>
    <xf numFmtId="0" fontId="73" fillId="0" borderId="29" xfId="8" applyFont="1" applyBorder="1">
      <alignment horizontal="left" vertical="top" wrapText="1"/>
    </xf>
    <xf numFmtId="0" fontId="73" fillId="0" borderId="29" xfId="0" applyFont="1" applyBorder="1" applyAlignment="1">
      <alignment vertical="center" wrapText="1"/>
    </xf>
    <xf numFmtId="0" fontId="85" fillId="0" borderId="2" xfId="0" applyFont="1" applyBorder="1" applyAlignment="1">
      <alignment horizontal="left" vertical="center" wrapText="1"/>
    </xf>
    <xf numFmtId="168" fontId="73" fillId="0" borderId="0" xfId="8" applyNumberFormat="1" applyFont="1">
      <alignment horizontal="left" vertical="top" wrapText="1"/>
    </xf>
    <xf numFmtId="0" fontId="73" fillId="0" borderId="0" xfId="8" applyFont="1">
      <alignment horizontal="left" vertical="top" wrapText="1"/>
    </xf>
    <xf numFmtId="166" fontId="73" fillId="0" borderId="29" xfId="7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43" fontId="102" fillId="2" borderId="0" xfId="7" applyFont="1" applyFill="1"/>
    <xf numFmtId="43" fontId="102" fillId="2" borderId="0" xfId="7" applyFont="1" applyFill="1" applyAlignment="1">
      <alignment vertical="center"/>
    </xf>
    <xf numFmtId="43" fontId="102" fillId="2" borderId="0" xfId="7" applyFont="1" applyFill="1" applyAlignment="1">
      <alignment horizontal="left" vertical="center" wrapText="1"/>
    </xf>
    <xf numFmtId="43" fontId="102" fillId="0" borderId="0" xfId="7" applyFont="1"/>
    <xf numFmtId="43" fontId="102" fillId="0" borderId="0" xfId="7" applyFont="1" applyAlignment="1">
      <alignment horizontal="left" vertical="center" wrapText="1"/>
    </xf>
    <xf numFmtId="43" fontId="104" fillId="2" borderId="0" xfId="7" applyFont="1" applyFill="1"/>
    <xf numFmtId="43" fontId="104" fillId="0" borderId="0" xfId="7" applyFont="1"/>
    <xf numFmtId="43" fontId="102" fillId="0" borderId="0" xfId="7" applyFont="1" applyFill="1"/>
    <xf numFmtId="0" fontId="106" fillId="2" borderId="0" xfId="165" applyFont="1" applyFill="1">
      <alignment horizontal="left" vertical="top" wrapText="1"/>
    </xf>
    <xf numFmtId="0" fontId="106" fillId="2" borderId="0" xfId="165" applyFont="1" applyFill="1" applyAlignment="1">
      <alignment horizontal="left" vertical="center" wrapText="1"/>
    </xf>
    <xf numFmtId="43" fontId="106" fillId="2" borderId="29" xfId="7" applyFont="1" applyFill="1" applyBorder="1" applyAlignment="1">
      <alignment horizontal="center" vertical="center" wrapText="1"/>
    </xf>
    <xf numFmtId="0" fontId="106" fillId="2" borderId="29" xfId="165" applyFont="1" applyFill="1" applyBorder="1" applyAlignment="1">
      <alignment horizontal="center" vertical="center" wrapText="1"/>
    </xf>
    <xf numFmtId="0" fontId="73" fillId="2" borderId="0" xfId="165" applyFont="1" applyFill="1">
      <alignment horizontal="left" vertical="top" wrapText="1"/>
    </xf>
    <xf numFmtId="168" fontId="73" fillId="2" borderId="29" xfId="7" applyNumberFormat="1" applyFont="1" applyFill="1" applyBorder="1" applyAlignment="1">
      <alignment horizontal="center" vertical="center" wrapText="1"/>
    </xf>
    <xf numFmtId="0" fontId="73" fillId="2" borderId="29" xfId="165" applyFont="1" applyFill="1" applyBorder="1">
      <alignment horizontal="left" vertical="top" wrapText="1"/>
    </xf>
    <xf numFmtId="0" fontId="73" fillId="2" borderId="29" xfId="165" applyFont="1" applyFill="1" applyBorder="1" applyAlignment="1">
      <alignment horizontal="center" vertical="top" wrapText="1"/>
    </xf>
    <xf numFmtId="166" fontId="73" fillId="2" borderId="29" xfId="7" applyNumberFormat="1" applyFont="1" applyFill="1" applyBorder="1" applyAlignment="1">
      <alignment horizontal="center" vertical="top" wrapText="1"/>
    </xf>
    <xf numFmtId="0" fontId="106" fillId="2" borderId="26" xfId="165" applyFont="1" applyFill="1" applyBorder="1">
      <alignment horizontal="left" vertical="top" wrapText="1"/>
    </xf>
    <xf numFmtId="0" fontId="106" fillId="2" borderId="28" xfId="165" applyFont="1" applyFill="1" applyBorder="1" applyAlignment="1">
      <alignment vertical="top" wrapText="1"/>
    </xf>
    <xf numFmtId="168" fontId="14" fillId="2" borderId="29" xfId="165" applyNumberFormat="1" applyFont="1" applyFill="1" applyBorder="1" applyAlignment="1">
      <alignment horizontal="center" vertical="center" wrapText="1"/>
    </xf>
    <xf numFmtId="0" fontId="17" fillId="2" borderId="26" xfId="165" applyFont="1" applyFill="1" applyBorder="1">
      <alignment horizontal="left" vertical="top" wrapText="1"/>
    </xf>
    <xf numFmtId="0" fontId="73" fillId="2" borderId="27" xfId="165" applyFont="1" applyFill="1" applyBorder="1" applyAlignment="1">
      <alignment horizontal="right" vertical="top" wrapText="1"/>
    </xf>
    <xf numFmtId="0" fontId="105" fillId="2" borderId="0" xfId="165" applyFont="1" applyFill="1" applyAlignment="1">
      <alignment horizontal="center" vertical="top" wrapText="1"/>
    </xf>
    <xf numFmtId="0" fontId="105" fillId="2" borderId="0" xfId="165" applyFont="1" applyFill="1" applyAlignment="1">
      <alignment horizontal="center" vertical="center" wrapText="1"/>
    </xf>
    <xf numFmtId="0" fontId="106" fillId="2" borderId="0" xfId="165" applyFont="1" applyFill="1" applyAlignment="1"/>
    <xf numFmtId="166" fontId="106" fillId="2" borderId="0" xfId="2021" applyNumberFormat="1" applyFont="1" applyFill="1" applyAlignment="1">
      <alignment horizontal="right"/>
    </xf>
    <xf numFmtId="168" fontId="17" fillId="2" borderId="29" xfId="7" applyNumberFormat="1" applyFont="1" applyFill="1" applyBorder="1" applyAlignment="1">
      <alignment horizontal="right" vertical="center" wrapText="1"/>
    </xf>
    <xf numFmtId="0" fontId="17" fillId="2" borderId="29" xfId="165" applyFont="1" applyFill="1" applyBorder="1" applyAlignment="1">
      <alignment horizontal="center" vertical="top" wrapText="1"/>
    </xf>
    <xf numFmtId="166" fontId="73" fillId="2" borderId="29" xfId="7" applyNumberFormat="1" applyFont="1" applyFill="1" applyBorder="1" applyAlignment="1">
      <alignment horizontal="right" vertical="center" wrapText="1"/>
    </xf>
    <xf numFmtId="166" fontId="73" fillId="2" borderId="29" xfId="7" applyNumberFormat="1" applyFont="1" applyFill="1" applyBorder="1" applyAlignment="1">
      <alignment horizontal="center" vertical="center" wrapText="1"/>
    </xf>
    <xf numFmtId="168" fontId="85" fillId="2" borderId="0" xfId="0" applyNumberFormat="1" applyFont="1" applyFill="1" applyAlignment="1">
      <alignment horizontal="left" vertical="top" wrapText="1"/>
    </xf>
    <xf numFmtId="43" fontId="73" fillId="2" borderId="0" xfId="7" applyFont="1" applyFill="1" applyAlignment="1">
      <alignment horizontal="center"/>
    </xf>
    <xf numFmtId="0" fontId="17" fillId="0" borderId="29" xfId="0" applyFont="1" applyBorder="1" applyAlignment="1">
      <alignment vertical="center" wrapText="1"/>
    </xf>
    <xf numFmtId="0" fontId="73" fillId="2" borderId="26" xfId="0" applyFont="1" applyFill="1" applyBorder="1" applyAlignment="1">
      <alignment horizontal="left" vertical="top" wrapText="1"/>
    </xf>
    <xf numFmtId="43" fontId="73" fillId="2" borderId="0" xfId="0" applyNumberFormat="1" applyFont="1" applyFill="1" applyAlignment="1">
      <alignment horizontal="left" vertical="top" wrapText="1"/>
    </xf>
    <xf numFmtId="168" fontId="17" fillId="2" borderId="29" xfId="7" applyNumberFormat="1" applyFont="1" applyFill="1" applyBorder="1" applyAlignment="1">
      <alignment horizontal="center" vertical="center" wrapText="1"/>
    </xf>
    <xf numFmtId="0" fontId="98" fillId="2" borderId="0" xfId="0" applyFont="1" applyFill="1"/>
    <xf numFmtId="43" fontId="73" fillId="2" borderId="29" xfId="7" applyFont="1" applyFill="1" applyBorder="1" applyAlignment="1">
      <alignment horizontal="center" vertical="center" wrapText="1"/>
    </xf>
    <xf numFmtId="168" fontId="85" fillId="2" borderId="29" xfId="7" applyNumberFormat="1" applyFont="1" applyFill="1" applyBorder="1" applyAlignment="1">
      <alignment horizontal="right" vertical="center" wrapText="1"/>
    </xf>
    <xf numFmtId="168" fontId="73" fillId="2" borderId="29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73" fillId="2" borderId="29" xfId="7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right"/>
    </xf>
    <xf numFmtId="165" fontId="17" fillId="2" borderId="29" xfId="8" applyNumberFormat="1" applyFont="1" applyFill="1" applyBorder="1" applyAlignment="1">
      <alignment horizontal="center" vertical="center" wrapText="1"/>
    </xf>
    <xf numFmtId="168" fontId="17" fillId="2" borderId="29" xfId="0" applyNumberFormat="1" applyFont="1" applyFill="1" applyBorder="1" applyAlignment="1">
      <alignment horizontal="center" vertical="center"/>
    </xf>
    <xf numFmtId="165" fontId="73" fillId="2" borderId="29" xfId="8" applyNumberFormat="1" applyFont="1" applyFill="1" applyBorder="1" applyAlignment="1">
      <alignment horizontal="center" vertical="center" wrapText="1"/>
    </xf>
    <xf numFmtId="173" fontId="17" fillId="2" borderId="29" xfId="0" applyNumberFormat="1" applyFont="1" applyFill="1" applyBorder="1" applyAlignment="1">
      <alignment horizontal="center" vertical="center"/>
    </xf>
    <xf numFmtId="0" fontId="17" fillId="2" borderId="29" xfId="8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wrapText="1"/>
    </xf>
    <xf numFmtId="0" fontId="17" fillId="2" borderId="29" xfId="0" applyFont="1" applyFill="1" applyBorder="1" applyAlignment="1">
      <alignment horizontal="center" wrapText="1"/>
    </xf>
    <xf numFmtId="165" fontId="17" fillId="2" borderId="29" xfId="6" applyFont="1" applyFill="1" applyBorder="1" applyAlignment="1">
      <alignment horizontal="right" vertical="center"/>
    </xf>
    <xf numFmtId="165" fontId="73" fillId="2" borderId="29" xfId="6" applyFont="1" applyFill="1" applyBorder="1" applyAlignment="1">
      <alignment horizontal="right" vertical="center"/>
    </xf>
    <xf numFmtId="0" fontId="85" fillId="2" borderId="29" xfId="0" applyFont="1" applyFill="1" applyBorder="1" applyAlignment="1">
      <alignment horizontal="left" vertical="top" wrapText="1"/>
    </xf>
    <xf numFmtId="165" fontId="85" fillId="2" borderId="29" xfId="6" applyFont="1" applyFill="1" applyBorder="1" applyAlignment="1">
      <alignment horizontal="right" vertical="center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center" wrapText="1"/>
    </xf>
    <xf numFmtId="43" fontId="14" fillId="2" borderId="29" xfId="7" applyFont="1" applyFill="1" applyBorder="1" applyAlignment="1">
      <alignment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vertical="center" wrapText="1"/>
    </xf>
    <xf numFmtId="179" fontId="74" fillId="2" borderId="2" xfId="7" applyNumberFormat="1" applyFont="1" applyFill="1" applyBorder="1" applyAlignment="1">
      <alignment vertical="center" wrapText="1"/>
    </xf>
    <xf numFmtId="0" fontId="74" fillId="2" borderId="33" xfId="0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43" fontId="17" fillId="2" borderId="29" xfId="7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4" fillId="0" borderId="29" xfId="0" applyFont="1" applyBorder="1" applyAlignment="1">
      <alignment vertical="center" wrapText="1"/>
    </xf>
    <xf numFmtId="37" fontId="74" fillId="0" borderId="29" xfId="0" applyNumberFormat="1" applyFont="1" applyBorder="1" applyAlignment="1">
      <alignment vertical="center" wrapText="1"/>
    </xf>
    <xf numFmtId="0" fontId="74" fillId="2" borderId="0" xfId="253" applyFont="1" applyFill="1" applyAlignment="1">
      <alignment horizontal="center" vertical="top"/>
    </xf>
    <xf numFmtId="0" fontId="74" fillId="2" borderId="0" xfId="253" applyFont="1" applyFill="1" applyAlignment="1">
      <alignment horizontal="center"/>
    </xf>
    <xf numFmtId="0" fontId="74" fillId="2" borderId="33" xfId="0" applyFont="1" applyFill="1" applyBorder="1" applyAlignment="1">
      <alignment horizontal="center" vertical="center" wrapText="1"/>
    </xf>
    <xf numFmtId="0" fontId="98" fillId="2" borderId="33" xfId="0" applyFont="1" applyFill="1" applyBorder="1" applyAlignment="1">
      <alignment vertical="center" wrapText="1"/>
    </xf>
    <xf numFmtId="0" fontId="98" fillId="2" borderId="33" xfId="0" applyFont="1" applyFill="1" applyBorder="1" applyAlignment="1">
      <alignment horizontal="center" vertical="center" wrapText="1"/>
    </xf>
    <xf numFmtId="0" fontId="98" fillId="2" borderId="26" xfId="0" applyFont="1" applyFill="1" applyBorder="1" applyAlignment="1">
      <alignment vertical="center" wrapText="1"/>
    </xf>
    <xf numFmtId="0" fontId="98" fillId="2" borderId="0" xfId="0" applyFont="1" applyFill="1" applyAlignment="1">
      <alignment vertical="center" wrapText="1"/>
    </xf>
    <xf numFmtId="168" fontId="74" fillId="2" borderId="29" xfId="0" applyNumberFormat="1" applyFont="1" applyFill="1" applyBorder="1" applyAlignment="1">
      <alignment vertical="center" wrapText="1"/>
    </xf>
    <xf numFmtId="37" fontId="74" fillId="2" borderId="29" xfId="0" applyNumberFormat="1" applyFont="1" applyFill="1" applyBorder="1" applyAlignment="1">
      <alignment vertical="center" wrapText="1"/>
    </xf>
    <xf numFmtId="179" fontId="73" fillId="2" borderId="29" xfId="7" applyNumberFormat="1" applyFont="1" applyFill="1" applyBorder="1" applyAlignment="1">
      <alignment vertical="center" wrapText="1"/>
    </xf>
    <xf numFmtId="179" fontId="73" fillId="0" borderId="29" xfId="7" applyNumberFormat="1" applyFont="1" applyFill="1" applyBorder="1" applyAlignment="1">
      <alignment vertical="center" wrapText="1"/>
    </xf>
    <xf numFmtId="168" fontId="17" fillId="57" borderId="29" xfId="96" applyNumberFormat="1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vertical="center" wrapText="1"/>
    </xf>
    <xf numFmtId="0" fontId="73" fillId="2" borderId="26" xfId="0" applyFont="1" applyFill="1" applyBorder="1" applyAlignment="1">
      <alignment vertical="center" wrapText="1"/>
    </xf>
    <xf numFmtId="0" fontId="73" fillId="2" borderId="0" xfId="299" applyFont="1" applyFill="1" applyAlignment="1">
      <alignment horizontal="center" vertical="top"/>
    </xf>
    <xf numFmtId="43" fontId="73" fillId="2" borderId="0" xfId="7" applyFont="1" applyFill="1" applyAlignment="1">
      <alignment horizontal="center" vertical="top"/>
    </xf>
    <xf numFmtId="43" fontId="97" fillId="2" borderId="0" xfId="7" applyFont="1" applyFill="1" applyAlignment="1">
      <alignment horizontal="center" vertical="top"/>
    </xf>
    <xf numFmtId="0" fontId="73" fillId="2" borderId="0" xfId="299" applyFont="1" applyFill="1" applyAlignment="1">
      <alignment horizontal="center"/>
    </xf>
    <xf numFmtId="43" fontId="97" fillId="2" borderId="0" xfId="7" applyFont="1" applyFill="1" applyAlignment="1">
      <alignment horizontal="center"/>
    </xf>
    <xf numFmtId="174" fontId="17" fillId="2" borderId="0" xfId="299" applyNumberFormat="1" applyFont="1" applyFill="1" applyAlignment="1">
      <alignment horizontal="center"/>
    </xf>
    <xf numFmtId="43" fontId="98" fillId="2" borderId="0" xfId="7" applyFont="1" applyFill="1" applyAlignment="1">
      <alignment horizontal="center"/>
    </xf>
    <xf numFmtId="168" fontId="73" fillId="2" borderId="0" xfId="299" applyNumberFormat="1" applyFont="1" applyFill="1" applyAlignment="1">
      <alignment horizontal="center"/>
    </xf>
    <xf numFmtId="0" fontId="101" fillId="2" borderId="0" xfId="208" applyFont="1" applyFill="1" applyAlignment="1">
      <alignment horizontal="center"/>
    </xf>
    <xf numFmtId="43" fontId="99" fillId="2" borderId="0" xfId="7" applyFont="1" applyFill="1" applyAlignment="1">
      <alignment horizontal="center"/>
    </xf>
    <xf numFmtId="0" fontId="99" fillId="2" borderId="0" xfId="0" applyFont="1" applyFill="1" applyAlignment="1">
      <alignment horizontal="center"/>
    </xf>
    <xf numFmtId="43" fontId="101" fillId="2" borderId="0" xfId="7" applyFont="1" applyFill="1" applyAlignment="1">
      <alignment horizontal="center"/>
    </xf>
    <xf numFmtId="0" fontId="101" fillId="2" borderId="0" xfId="0" applyFont="1" applyFill="1" applyAlignment="1">
      <alignment horizontal="center"/>
    </xf>
    <xf numFmtId="43" fontId="73" fillId="2" borderId="0" xfId="299" applyNumberFormat="1" applyFont="1" applyFill="1" applyAlignment="1">
      <alignment horizontal="center"/>
    </xf>
    <xf numFmtId="0" fontId="73" fillId="2" borderId="0" xfId="0" applyFont="1" applyFill="1" applyAlignment="1">
      <alignment horizontal="center"/>
    </xf>
    <xf numFmtId="166" fontId="99" fillId="2" borderId="0" xfId="0" applyNumberFormat="1" applyFont="1" applyFill="1" applyAlignment="1">
      <alignment horizontal="center"/>
    </xf>
    <xf numFmtId="166" fontId="99" fillId="2" borderId="0" xfId="0" applyNumberFormat="1" applyFont="1" applyFill="1" applyAlignment="1">
      <alignment horizontal="center" vertical="center"/>
    </xf>
    <xf numFmtId="0" fontId="99" fillId="2" borderId="0" xfId="0" applyFont="1" applyFill="1" applyAlignment="1">
      <alignment horizontal="center" vertical="center"/>
    </xf>
    <xf numFmtId="43" fontId="99" fillId="2" borderId="0" xfId="7" applyFont="1" applyFill="1" applyAlignment="1">
      <alignment horizontal="center" vertical="center"/>
    </xf>
    <xf numFmtId="43" fontId="100" fillId="2" borderId="0" xfId="7" applyFont="1" applyFill="1" applyAlignment="1">
      <alignment horizontal="center" vertical="center"/>
    </xf>
    <xf numFmtId="43" fontId="17" fillId="2" borderId="0" xfId="7" applyFont="1" applyFill="1" applyAlignment="1">
      <alignment horizontal="center"/>
    </xf>
    <xf numFmtId="43" fontId="101" fillId="0" borderId="0" xfId="7" applyFont="1" applyFill="1" applyAlignment="1">
      <alignment horizontal="center"/>
    </xf>
    <xf numFmtId="0" fontId="98" fillId="2" borderId="0" xfId="299" applyFont="1" applyFill="1" applyAlignment="1">
      <alignment horizontal="center"/>
    </xf>
    <xf numFmtId="166" fontId="98" fillId="2" borderId="0" xfId="299" applyNumberFormat="1" applyFont="1" applyFill="1" applyAlignment="1">
      <alignment horizontal="center"/>
    </xf>
    <xf numFmtId="166" fontId="98" fillId="2" borderId="0" xfId="7" applyNumberFormat="1" applyFont="1" applyFill="1" applyAlignment="1">
      <alignment horizontal="center"/>
    </xf>
    <xf numFmtId="168" fontId="97" fillId="2" borderId="29" xfId="96" applyNumberFormat="1" applyFont="1" applyFill="1" applyBorder="1" applyAlignment="1">
      <alignment horizontal="center" vertical="center" wrapText="1"/>
    </xf>
    <xf numFmtId="166" fontId="74" fillId="2" borderId="0" xfId="2025" applyNumberFormat="1" applyFont="1" applyFill="1"/>
    <xf numFmtId="43" fontId="102" fillId="0" borderId="0" xfId="7" applyFont="1" applyFill="1" applyAlignment="1">
      <alignment horizontal="left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39" fontId="73" fillId="2" borderId="0" xfId="299" applyNumberFormat="1" applyFont="1" applyFill="1" applyAlignment="1">
      <alignment horizontal="left" vertical="center" wrapText="1"/>
    </xf>
    <xf numFmtId="39" fontId="73" fillId="0" borderId="0" xfId="299" applyNumberFormat="1" applyFont="1"/>
    <xf numFmtId="0" fontId="73" fillId="2" borderId="28" xfId="165" applyFont="1" applyFill="1" applyBorder="1">
      <alignment horizontal="left" vertical="top" wrapText="1"/>
    </xf>
    <xf numFmtId="0" fontId="73" fillId="2" borderId="33" xfId="165" applyFont="1" applyFill="1" applyBorder="1">
      <alignment horizontal="left" vertical="top" wrapText="1"/>
    </xf>
    <xf numFmtId="0" fontId="73" fillId="2" borderId="26" xfId="165" applyFont="1" applyFill="1" applyBorder="1">
      <alignment horizontal="left" vertical="top" wrapText="1"/>
    </xf>
    <xf numFmtId="166" fontId="106" fillId="2" borderId="0" xfId="2021" applyNumberFormat="1" applyFont="1" applyFill="1" applyAlignment="1">
      <alignment horizontal="right" vertical="top" wrapText="1"/>
    </xf>
    <xf numFmtId="166" fontId="106" fillId="2" borderId="0" xfId="2021" applyNumberFormat="1" applyFont="1" applyFill="1" applyAlignment="1">
      <alignment horizontal="right"/>
    </xf>
    <xf numFmtId="0" fontId="105" fillId="2" borderId="0" xfId="165" applyFont="1" applyFill="1" applyAlignment="1">
      <alignment horizontal="center" vertical="center" wrapText="1"/>
    </xf>
    <xf numFmtId="0" fontId="17" fillId="2" borderId="34" xfId="165" applyFont="1" applyFill="1" applyBorder="1" applyAlignment="1">
      <alignment horizontal="center" vertical="top" wrapText="1"/>
    </xf>
    <xf numFmtId="0" fontId="17" fillId="2" borderId="36" xfId="165" applyFont="1" applyFill="1" applyBorder="1" applyAlignment="1">
      <alignment horizontal="center" vertical="top" wrapText="1"/>
    </xf>
    <xf numFmtId="0" fontId="17" fillId="2" borderId="30" xfId="165" applyFont="1" applyFill="1" applyBorder="1" applyAlignment="1">
      <alignment horizontal="center" vertical="top" wrapText="1"/>
    </xf>
    <xf numFmtId="0" fontId="17" fillId="2" borderId="28" xfId="165" applyFont="1" applyFill="1" applyBorder="1">
      <alignment horizontal="left" vertical="top" wrapText="1"/>
    </xf>
    <xf numFmtId="0" fontId="17" fillId="2" borderId="33" xfId="165" applyFont="1" applyFill="1" applyBorder="1">
      <alignment horizontal="left" vertical="top" wrapText="1"/>
    </xf>
    <xf numFmtId="0" fontId="17" fillId="2" borderId="26" xfId="165" applyFont="1" applyFill="1" applyBorder="1">
      <alignment horizontal="left" vertical="top" wrapText="1"/>
    </xf>
    <xf numFmtId="0" fontId="17" fillId="2" borderId="28" xfId="165" applyFont="1" applyFill="1" applyBorder="1" applyAlignment="1">
      <alignment horizontal="left" vertical="center" wrapText="1"/>
    </xf>
    <xf numFmtId="0" fontId="17" fillId="2" borderId="33" xfId="165" applyFont="1" applyFill="1" applyBorder="1" applyAlignment="1">
      <alignment horizontal="left" vertical="center" wrapText="1"/>
    </xf>
    <xf numFmtId="0" fontId="17" fillId="2" borderId="26" xfId="165" applyFont="1" applyFill="1" applyBorder="1" applyAlignment="1">
      <alignment horizontal="left" vertical="center" wrapText="1"/>
    </xf>
    <xf numFmtId="0" fontId="106" fillId="2" borderId="28" xfId="165" applyFont="1" applyFill="1" applyBorder="1">
      <alignment horizontal="left" vertical="top" wrapText="1"/>
    </xf>
    <xf numFmtId="0" fontId="106" fillId="2" borderId="33" xfId="165" applyFont="1" applyFill="1" applyBorder="1">
      <alignment horizontal="left" vertical="top" wrapText="1"/>
    </xf>
    <xf numFmtId="0" fontId="106" fillId="2" borderId="26" xfId="165" applyFont="1" applyFill="1" applyBorder="1">
      <alignment horizontal="left" vertical="top" wrapText="1"/>
    </xf>
    <xf numFmtId="0" fontId="73" fillId="2" borderId="27" xfId="165" applyFont="1" applyFill="1" applyBorder="1" applyAlignment="1">
      <alignment horizontal="right" vertical="top" wrapText="1"/>
    </xf>
    <xf numFmtId="0" fontId="73" fillId="0" borderId="34" xfId="165" applyFont="1" applyBorder="1" applyAlignment="1">
      <alignment horizontal="center" vertical="top" wrapText="1"/>
    </xf>
    <xf numFmtId="0" fontId="73" fillId="0" borderId="36" xfId="165" applyFont="1" applyBorder="1" applyAlignment="1">
      <alignment horizontal="center" vertical="top" wrapText="1"/>
    </xf>
    <xf numFmtId="0" fontId="73" fillId="0" borderId="30" xfId="165" applyFont="1" applyBorder="1" applyAlignment="1">
      <alignment horizontal="center" vertical="top" wrapText="1"/>
    </xf>
    <xf numFmtId="0" fontId="73" fillId="0" borderId="35" xfId="165" applyFont="1" applyBorder="1" applyAlignment="1">
      <alignment horizontal="center" vertical="top" wrapText="1"/>
    </xf>
    <xf numFmtId="0" fontId="73" fillId="0" borderId="27" xfId="165" applyFont="1" applyBorder="1" applyAlignment="1">
      <alignment horizontal="center" vertical="top" wrapText="1"/>
    </xf>
    <xf numFmtId="0" fontId="73" fillId="0" borderId="32" xfId="165" applyFont="1" applyBorder="1" applyAlignment="1">
      <alignment horizontal="center" vertical="top" wrapText="1"/>
    </xf>
    <xf numFmtId="0" fontId="73" fillId="2" borderId="28" xfId="165" applyFont="1" applyFill="1" applyBorder="1" applyAlignment="1">
      <alignment horizontal="center" vertical="top" wrapText="1"/>
    </xf>
    <xf numFmtId="0" fontId="73" fillId="2" borderId="33" xfId="165" applyFont="1" applyFill="1" applyBorder="1" applyAlignment="1">
      <alignment horizontal="center" vertical="top" wrapText="1"/>
    </xf>
    <xf numFmtId="0" fontId="73" fillId="2" borderId="26" xfId="165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center" vertic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33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49" fontId="17" fillId="2" borderId="22" xfId="0" applyNumberFormat="1" applyFont="1" applyFill="1" applyBorder="1" applyAlignment="1">
      <alignment horizontal="center" vertical="top"/>
    </xf>
    <xf numFmtId="49" fontId="17" fillId="2" borderId="1" xfId="0" applyNumberFormat="1" applyFont="1" applyFill="1" applyBorder="1" applyAlignment="1">
      <alignment horizontal="center" vertical="top"/>
    </xf>
    <xf numFmtId="49" fontId="17" fillId="2" borderId="2" xfId="0" applyNumberFormat="1" applyFont="1" applyFill="1" applyBorder="1" applyAlignment="1">
      <alignment horizontal="center" vertical="top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49" fontId="17" fillId="2" borderId="29" xfId="0" applyNumberFormat="1" applyFont="1" applyFill="1" applyBorder="1" applyAlignment="1">
      <alignment horizontal="center" vertical="top"/>
    </xf>
    <xf numFmtId="0" fontId="73" fillId="2" borderId="29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/>
    </xf>
    <xf numFmtId="0" fontId="73" fillId="2" borderId="30" xfId="0" applyFont="1" applyFill="1" applyBorder="1" applyAlignment="1">
      <alignment horizontal="center"/>
    </xf>
    <xf numFmtId="0" fontId="73" fillId="2" borderId="31" xfId="0" applyFont="1" applyFill="1" applyBorder="1" applyAlignment="1">
      <alignment horizontal="center"/>
    </xf>
    <xf numFmtId="0" fontId="73" fillId="2" borderId="32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0" fontId="17" fillId="2" borderId="29" xfId="0" applyFont="1" applyFill="1" applyBorder="1" applyAlignment="1">
      <alignment horizontal="center" wrapText="1"/>
    </xf>
    <xf numFmtId="49" fontId="17" fillId="2" borderId="29" xfId="0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/>
    </xf>
    <xf numFmtId="0" fontId="17" fillId="2" borderId="28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33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177" fontId="85" fillId="2" borderId="28" xfId="98" applyNumberFormat="1" applyFont="1" applyFill="1" applyBorder="1" applyAlignment="1">
      <alignment horizontal="left" vertical="center" wrapText="1"/>
    </xf>
    <xf numFmtId="177" fontId="85" fillId="2" borderId="26" xfId="98" applyNumberFormat="1" applyFont="1" applyFill="1" applyBorder="1" applyAlignment="1">
      <alignment horizontal="left" vertical="center" wrapText="1"/>
    </xf>
    <xf numFmtId="0" fontId="17" fillId="2" borderId="28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left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17" fillId="2" borderId="26" xfId="0" applyFont="1" applyFill="1" applyBorder="1" applyAlignment="1">
      <alignment horizontal="left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right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5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22" xfId="8" applyFont="1" applyFill="1" applyBorder="1" applyAlignment="1">
      <alignment horizontal="center" vertical="center" wrapText="1"/>
    </xf>
    <xf numFmtId="0" fontId="73" fillId="2" borderId="2" xfId="8" applyFont="1" applyFill="1" applyBorder="1" applyAlignment="1">
      <alignment horizontal="center" vertical="center" wrapText="1"/>
    </xf>
    <xf numFmtId="0" fontId="73" fillId="2" borderId="29" xfId="165" applyFont="1" applyFill="1" applyBorder="1">
      <alignment horizontal="left" vertical="top" wrapText="1"/>
    </xf>
    <xf numFmtId="0" fontId="106" fillId="2" borderId="29" xfId="165" applyFont="1" applyFill="1" applyBorder="1" applyAlignment="1">
      <alignment horizontal="left" vertical="center" wrapText="1"/>
    </xf>
    <xf numFmtId="166" fontId="106" fillId="0" borderId="0" xfId="2021" applyNumberFormat="1" applyFont="1" applyFill="1" applyAlignment="1">
      <alignment horizontal="right" vertical="top" wrapText="1"/>
    </xf>
    <xf numFmtId="0" fontId="73" fillId="2" borderId="22" xfId="165" applyFont="1" applyFill="1" applyBorder="1" applyAlignment="1">
      <alignment horizontal="center" vertical="top" wrapText="1"/>
    </xf>
    <xf numFmtId="0" fontId="73" fillId="2" borderId="2" xfId="165" applyFont="1" applyFill="1" applyBorder="1" applyAlignment="1">
      <alignment horizontal="center" vertical="top" wrapText="1"/>
    </xf>
    <xf numFmtId="0" fontId="73" fillId="2" borderId="34" xfId="165" applyFont="1" applyFill="1" applyBorder="1" applyAlignment="1">
      <alignment horizontal="center" vertical="top" wrapText="1"/>
    </xf>
    <xf numFmtId="0" fontId="73" fillId="2" borderId="30" xfId="165" applyFont="1" applyFill="1" applyBorder="1" applyAlignment="1">
      <alignment horizontal="center" vertical="top" wrapText="1"/>
    </xf>
    <xf numFmtId="0" fontId="73" fillId="2" borderId="35" xfId="165" applyFont="1" applyFill="1" applyBorder="1" applyAlignment="1">
      <alignment horizontal="center" vertical="top" wrapText="1"/>
    </xf>
    <xf numFmtId="0" fontId="73" fillId="2" borderId="32" xfId="165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17" fillId="57" borderId="29" xfId="0" applyFont="1" applyFill="1" applyBorder="1" applyAlignment="1">
      <alignment horizontal="left" vertical="top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74" fillId="2" borderId="26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05" fillId="0" borderId="29" xfId="0" applyFont="1" applyBorder="1" applyAlignment="1">
      <alignment horizontal="left" vertical="top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14" fillId="2" borderId="28" xfId="0" applyFont="1" applyFill="1" applyBorder="1" applyAlignment="1">
      <alignment horizontal="left" vertical="center" wrapText="1"/>
    </xf>
    <xf numFmtId="0" fontId="14" fillId="2" borderId="33" xfId="0" applyFont="1" applyFill="1" applyBorder="1" applyAlignment="1">
      <alignment horizontal="left" vertical="center" wrapText="1"/>
    </xf>
    <xf numFmtId="0" fontId="14" fillId="2" borderId="26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29" xfId="299" applyFont="1" applyFill="1" applyBorder="1" applyAlignment="1">
      <alignment horizontal="left" vertical="center" wrapText="1"/>
    </xf>
    <xf numFmtId="0" fontId="73" fillId="0" borderId="29" xfId="299" applyFont="1" applyBorder="1" applyAlignment="1">
      <alignment horizontal="left" vertical="center" wrapText="1"/>
    </xf>
    <xf numFmtId="0" fontId="73" fillId="0" borderId="28" xfId="299" applyFont="1" applyBorder="1" applyAlignment="1">
      <alignment horizontal="left" vertical="center" wrapText="1"/>
    </xf>
    <xf numFmtId="0" fontId="73" fillId="0" borderId="33" xfId="299" applyFont="1" applyBorder="1" applyAlignment="1">
      <alignment horizontal="left" vertical="center" wrapText="1"/>
    </xf>
    <xf numFmtId="0" fontId="73" fillId="0" borderId="26" xfId="299" applyFont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center" wrapText="1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299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2" borderId="28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17" fillId="59" borderId="29" xfId="0" applyFont="1" applyFill="1" applyBorder="1" applyAlignment="1">
      <alignment vertical="top" wrapText="1"/>
    </xf>
    <xf numFmtId="0" fontId="73" fillId="0" borderId="28" xfId="299" applyFont="1" applyBorder="1" applyAlignment="1">
      <alignment horizontal="center" vertical="top" wrapText="1"/>
    </xf>
    <xf numFmtId="0" fontId="73" fillId="0" borderId="33" xfId="299" applyFont="1" applyBorder="1" applyAlignment="1">
      <alignment horizontal="center" vertical="top" wrapText="1"/>
    </xf>
    <xf numFmtId="0" fontId="73" fillId="0" borderId="26" xfId="299" applyFont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17" fillId="2" borderId="29" xfId="8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22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2" xfId="8" applyFont="1" applyFill="1" applyBorder="1" applyAlignment="1">
      <alignment horizontal="center" vertical="top" wrapText="1"/>
    </xf>
    <xf numFmtId="0" fontId="73" fillId="2" borderId="29" xfId="8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General 17.02.04" xfId="3117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0"/>
  <sheetViews>
    <sheetView zoomScale="85" zoomScaleNormal="85" zoomScaleSheetLayoutView="115" workbookViewId="0">
      <selection activeCell="A10" sqref="A10:C10"/>
    </sheetView>
  </sheetViews>
  <sheetFormatPr defaultColWidth="8.28515625" defaultRowHeight="17.25" x14ac:dyDescent="0.25"/>
  <cols>
    <col min="1" max="1" width="12.28515625" style="258" customWidth="1"/>
    <col min="2" max="2" width="15.42578125" style="258" customWidth="1"/>
    <col min="3" max="3" width="48" style="258" customWidth="1"/>
    <col min="4" max="4" width="29.5703125" style="258" customWidth="1"/>
    <col min="5" max="5" width="20.7109375" style="258" customWidth="1"/>
    <col min="6" max="6" width="21" style="258" customWidth="1"/>
    <col min="7" max="8" width="8.7109375" style="258" bestFit="1" customWidth="1"/>
    <col min="9" max="16384" width="8.28515625" style="258"/>
  </cols>
  <sheetData>
    <row r="1" spans="1:5" ht="36.6" customHeight="1" x14ac:dyDescent="0.25">
      <c r="C1" s="371" t="s">
        <v>17</v>
      </c>
      <c r="D1" s="371"/>
    </row>
    <row r="2" spans="1:5" ht="17.100000000000001" customHeight="1" x14ac:dyDescent="0.3">
      <c r="C2" s="372" t="s">
        <v>54</v>
      </c>
      <c r="D2" s="372"/>
      <c r="E2" s="274"/>
    </row>
    <row r="3" spans="1:5" ht="17.100000000000001" customHeight="1" x14ac:dyDescent="0.3">
      <c r="C3" s="372" t="s">
        <v>0</v>
      </c>
      <c r="D3" s="372"/>
      <c r="E3" s="274"/>
    </row>
    <row r="4" spans="1:5" x14ac:dyDescent="0.3">
      <c r="C4" s="275"/>
      <c r="D4" s="275"/>
      <c r="E4" s="274"/>
    </row>
    <row r="5" spans="1:5" ht="75.75" customHeight="1" x14ac:dyDescent="0.25">
      <c r="A5" s="373" t="s">
        <v>495</v>
      </c>
      <c r="B5" s="373"/>
      <c r="C5" s="373"/>
      <c r="D5" s="373"/>
    </row>
    <row r="6" spans="1:5" ht="17.649999999999999" customHeight="1" x14ac:dyDescent="0.25">
      <c r="A6" s="272"/>
      <c r="B6" s="272"/>
      <c r="C6" s="272"/>
      <c r="D6" s="271" t="s">
        <v>9</v>
      </c>
    </row>
    <row r="7" spans="1:5" ht="90.6" customHeight="1" x14ac:dyDescent="0.25">
      <c r="A7" s="374"/>
      <c r="B7" s="375"/>
      <c r="C7" s="376"/>
      <c r="D7" s="277" t="s">
        <v>491</v>
      </c>
    </row>
    <row r="8" spans="1:5" ht="28.9" customHeight="1" x14ac:dyDescent="0.25">
      <c r="A8" s="368" t="s">
        <v>492</v>
      </c>
      <c r="B8" s="369"/>
      <c r="C8" s="370"/>
      <c r="D8" s="263">
        <f>+'Հավելված N 2 '!F11</f>
        <v>32487.4</v>
      </c>
    </row>
    <row r="9" spans="1:5" ht="28.9" customHeight="1" x14ac:dyDescent="0.25">
      <c r="A9" s="368" t="s">
        <v>493</v>
      </c>
      <c r="B9" s="369"/>
      <c r="C9" s="370"/>
      <c r="D9" s="263">
        <f>+'Հավելված N 4'!I13</f>
        <v>32487.40000000006</v>
      </c>
    </row>
    <row r="10" spans="1:5" ht="28.9" customHeight="1" x14ac:dyDescent="0.25">
      <c r="A10" s="368" t="s">
        <v>494</v>
      </c>
      <c r="B10" s="369"/>
      <c r="C10" s="370"/>
      <c r="D10" s="263">
        <f>+D9-D8</f>
        <v>5.8207660913467407E-11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14"/>
  <sheetViews>
    <sheetView zoomScale="85" zoomScaleNormal="85" zoomScaleSheetLayoutView="115" workbookViewId="0">
      <selection activeCell="A7" sqref="A7"/>
    </sheetView>
  </sheetViews>
  <sheetFormatPr defaultColWidth="8.28515625" defaultRowHeight="17.25" x14ac:dyDescent="0.25"/>
  <cols>
    <col min="1" max="1" width="12.28515625" style="258" customWidth="1"/>
    <col min="2" max="2" width="15.42578125" style="258" customWidth="1"/>
    <col min="3" max="3" width="48" style="258" customWidth="1"/>
    <col min="4" max="6" width="22.28515625" style="258" customWidth="1"/>
    <col min="7" max="7" width="20.7109375" style="258" customWidth="1"/>
    <col min="8" max="8" width="21" style="258" customWidth="1"/>
    <col min="9" max="10" width="8.7109375" style="258" bestFit="1" customWidth="1"/>
    <col min="11" max="16384" width="8.28515625" style="258"/>
  </cols>
  <sheetData>
    <row r="1" spans="1:7" ht="36.6" customHeight="1" x14ac:dyDescent="0.25">
      <c r="C1" s="371" t="s">
        <v>18</v>
      </c>
      <c r="D1" s="371"/>
      <c r="E1" s="371"/>
      <c r="F1" s="371"/>
    </row>
    <row r="2" spans="1:7" ht="17.100000000000001" customHeight="1" x14ac:dyDescent="0.3">
      <c r="C2" s="372" t="s">
        <v>54</v>
      </c>
      <c r="D2" s="372"/>
      <c r="E2" s="372"/>
      <c r="F2" s="372"/>
      <c r="G2" s="274"/>
    </row>
    <row r="3" spans="1:7" ht="17.100000000000001" customHeight="1" x14ac:dyDescent="0.3">
      <c r="C3" s="372" t="s">
        <v>0</v>
      </c>
      <c r="D3" s="372"/>
      <c r="E3" s="372"/>
      <c r="F3" s="372"/>
      <c r="G3" s="274"/>
    </row>
    <row r="4" spans="1:7" x14ac:dyDescent="0.3">
      <c r="C4" s="275"/>
      <c r="D4" s="275"/>
      <c r="E4" s="275"/>
      <c r="F4" s="275"/>
      <c r="G4" s="274"/>
    </row>
    <row r="5" spans="1:7" x14ac:dyDescent="0.3">
      <c r="C5" s="275"/>
      <c r="D5" s="275"/>
      <c r="E5" s="275"/>
      <c r="F5" s="275"/>
      <c r="G5" s="274"/>
    </row>
    <row r="6" spans="1:7" ht="84" customHeight="1" x14ac:dyDescent="0.25">
      <c r="A6" s="373" t="s">
        <v>644</v>
      </c>
      <c r="B6" s="373"/>
      <c r="C6" s="373"/>
      <c r="D6" s="373"/>
      <c r="E6" s="373"/>
      <c r="F6" s="373"/>
    </row>
    <row r="7" spans="1:7" x14ac:dyDescent="0.25">
      <c r="A7" s="273"/>
      <c r="B7" s="273"/>
      <c r="C7" s="273"/>
      <c r="D7" s="273"/>
      <c r="E7" s="273"/>
      <c r="F7" s="273"/>
    </row>
    <row r="8" spans="1:7" ht="17.649999999999999" customHeight="1" x14ac:dyDescent="0.25">
      <c r="A8" s="272"/>
      <c r="B8" s="272"/>
      <c r="C8" s="272"/>
      <c r="D8" s="272"/>
      <c r="E8" s="386" t="s">
        <v>9</v>
      </c>
      <c r="F8" s="386"/>
    </row>
    <row r="9" spans="1:7" ht="42.4" customHeight="1" x14ac:dyDescent="0.25">
      <c r="A9" s="387" t="s">
        <v>488</v>
      </c>
      <c r="B9" s="388"/>
      <c r="C9" s="389"/>
      <c r="D9" s="393" t="s">
        <v>482</v>
      </c>
      <c r="E9" s="394"/>
      <c r="F9" s="395"/>
    </row>
    <row r="10" spans="1:7" x14ac:dyDescent="0.25">
      <c r="A10" s="390"/>
      <c r="B10" s="391"/>
      <c r="C10" s="392"/>
      <c r="D10" s="31" t="s">
        <v>24</v>
      </c>
      <c r="E10" s="31" t="s">
        <v>2</v>
      </c>
      <c r="F10" s="31" t="s">
        <v>3</v>
      </c>
    </row>
    <row r="11" spans="1:7" ht="28.35" customHeight="1" x14ac:dyDescent="0.25">
      <c r="A11" s="377" t="s">
        <v>489</v>
      </c>
      <c r="B11" s="378"/>
      <c r="C11" s="379"/>
      <c r="D11" s="269">
        <f t="shared" ref="D11:F11" si="0">+D12</f>
        <v>0</v>
      </c>
      <c r="E11" s="269">
        <f t="shared" si="0"/>
        <v>32487.4</v>
      </c>
      <c r="F11" s="269">
        <f t="shared" si="0"/>
        <v>32487.4</v>
      </c>
    </row>
    <row r="12" spans="1:7" s="259" customFormat="1" ht="28.9" customHeight="1" x14ac:dyDescent="0.25">
      <c r="A12" s="380" t="s">
        <v>87</v>
      </c>
      <c r="B12" s="381"/>
      <c r="C12" s="382"/>
      <c r="D12" s="276">
        <f t="shared" ref="D12:F12" si="1">+D14</f>
        <v>0</v>
      </c>
      <c r="E12" s="276">
        <f t="shared" si="1"/>
        <v>32487.4</v>
      </c>
      <c r="F12" s="276">
        <f t="shared" si="1"/>
        <v>32487.4</v>
      </c>
    </row>
    <row r="13" spans="1:7" x14ac:dyDescent="0.25">
      <c r="A13" s="383" t="s">
        <v>31</v>
      </c>
      <c r="B13" s="384"/>
      <c r="C13" s="385"/>
      <c r="D13" s="266"/>
      <c r="E13" s="266"/>
      <c r="F13" s="266"/>
    </row>
    <row r="14" spans="1:7" s="262" customFormat="1" x14ac:dyDescent="0.25">
      <c r="A14" s="368" t="s">
        <v>490</v>
      </c>
      <c r="B14" s="369"/>
      <c r="C14" s="370"/>
      <c r="D14" s="266">
        <f>+'Հավելված N 9'!E11</f>
        <v>0</v>
      </c>
      <c r="E14" s="266">
        <f>+'Հավելված N 9'!F11</f>
        <v>32487.4</v>
      </c>
      <c r="F14" s="266">
        <f>+'Հավելված N 9'!G11</f>
        <v>32487.4</v>
      </c>
    </row>
  </sheetData>
  <mergeCells count="11">
    <mergeCell ref="A11:C11"/>
    <mergeCell ref="A12:C12"/>
    <mergeCell ref="A13:C13"/>
    <mergeCell ref="A14:C14"/>
    <mergeCell ref="C1:F1"/>
    <mergeCell ref="C2:F2"/>
    <mergeCell ref="C3:F3"/>
    <mergeCell ref="A6:F6"/>
    <mergeCell ref="E8:F8"/>
    <mergeCell ref="A9:C10"/>
    <mergeCell ref="D9:F9"/>
  </mergeCells>
  <pageMargins left="0.75" right="0.75" top="1" bottom="1" header="0.5" footer="0.5"/>
  <pageSetup paperSize="9" scale="91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2"/>
  <sheetViews>
    <sheetView workbookViewId="0">
      <selection activeCell="D7" sqref="D7"/>
    </sheetView>
  </sheetViews>
  <sheetFormatPr defaultColWidth="9.140625" defaultRowHeight="17.25" x14ac:dyDescent="0.3"/>
  <cols>
    <col min="1" max="1" width="64" style="143" customWidth="1"/>
    <col min="2" max="3" width="22.7109375" style="164" customWidth="1"/>
    <col min="4" max="4" width="23.85546875" style="143" customWidth="1"/>
    <col min="5" max="5" width="15.85546875" style="143" customWidth="1"/>
    <col min="6" max="6" width="18.28515625" style="143" customWidth="1"/>
    <col min="7" max="7" width="17.5703125" style="143" customWidth="1"/>
    <col min="8" max="9" width="15.85546875" style="143" customWidth="1"/>
    <col min="10" max="16384" width="9.140625" style="143"/>
  </cols>
  <sheetData>
    <row r="1" spans="1:7" ht="31.15" customHeight="1" x14ac:dyDescent="0.3">
      <c r="B1" s="143"/>
      <c r="C1" s="143"/>
      <c r="D1" s="144" t="s">
        <v>20</v>
      </c>
    </row>
    <row r="2" spans="1:7" x14ac:dyDescent="0.3">
      <c r="B2" s="143"/>
      <c r="C2" s="143"/>
      <c r="D2" s="145" t="s">
        <v>124</v>
      </c>
    </row>
    <row r="3" spans="1:7" x14ac:dyDescent="0.3">
      <c r="B3" s="143"/>
      <c r="C3" s="143"/>
      <c r="D3" s="145" t="s">
        <v>0</v>
      </c>
    </row>
    <row r="4" spans="1:7" x14ac:dyDescent="0.3">
      <c r="B4" s="2"/>
      <c r="C4" s="2"/>
      <c r="D4" s="146"/>
    </row>
    <row r="5" spans="1:7" ht="99.4" customHeight="1" x14ac:dyDescent="0.3">
      <c r="A5" s="396" t="s">
        <v>652</v>
      </c>
      <c r="B5" s="396"/>
      <c r="C5" s="396"/>
      <c r="D5" s="396"/>
    </row>
    <row r="6" spans="1:7" x14ac:dyDescent="0.3">
      <c r="B6" s="147"/>
      <c r="C6" s="147"/>
    </row>
    <row r="7" spans="1:7" x14ac:dyDescent="0.3">
      <c r="A7" s="148"/>
      <c r="B7" s="148"/>
      <c r="C7" s="148"/>
      <c r="D7" s="149" t="s">
        <v>9</v>
      </c>
    </row>
    <row r="8" spans="1:7" ht="37.15" customHeight="1" x14ac:dyDescent="0.3">
      <c r="A8" s="397" t="s">
        <v>117</v>
      </c>
      <c r="B8" s="399" t="s">
        <v>118</v>
      </c>
      <c r="C8" s="400"/>
      <c r="D8" s="401"/>
    </row>
    <row r="9" spans="1:7" x14ac:dyDescent="0.3">
      <c r="A9" s="398"/>
      <c r="B9" s="31" t="s">
        <v>24</v>
      </c>
      <c r="C9" s="31" t="s">
        <v>2</v>
      </c>
      <c r="D9" s="31" t="s">
        <v>3</v>
      </c>
    </row>
    <row r="10" spans="1:7" s="152" customFormat="1" x14ac:dyDescent="0.3">
      <c r="A10" s="150" t="s">
        <v>8</v>
      </c>
      <c r="B10" s="151">
        <f t="shared" ref="B10:D10" si="0">+B12</f>
        <v>1124540.6000000001</v>
      </c>
      <c r="C10" s="151">
        <f t="shared" si="0"/>
        <v>1019778.9999999999</v>
      </c>
      <c r="D10" s="151">
        <f t="shared" si="0"/>
        <v>5.8207660913467407E-11</v>
      </c>
      <c r="G10" s="153"/>
    </row>
    <row r="11" spans="1:7" x14ac:dyDescent="0.3">
      <c r="A11" s="154" t="s">
        <v>31</v>
      </c>
      <c r="B11" s="155"/>
      <c r="C11" s="155"/>
      <c r="D11" s="155"/>
    </row>
    <row r="12" spans="1:7" s="158" customFormat="1" x14ac:dyDescent="0.3">
      <c r="A12" s="156" t="s">
        <v>119</v>
      </c>
      <c r="B12" s="157">
        <f t="shared" ref="B12:D12" si="1">+B14</f>
        <v>1124540.6000000001</v>
      </c>
      <c r="C12" s="157">
        <f t="shared" si="1"/>
        <v>1019778.9999999999</v>
      </c>
      <c r="D12" s="157">
        <f t="shared" si="1"/>
        <v>5.8207660913467407E-11</v>
      </c>
    </row>
    <row r="13" spans="1:7" s="160" customFormat="1" x14ac:dyDescent="0.3">
      <c r="A13" s="154" t="s">
        <v>31</v>
      </c>
      <c r="B13" s="159"/>
      <c r="C13" s="159"/>
      <c r="D13" s="159"/>
    </row>
    <row r="14" spans="1:7" s="160" customFormat="1" x14ac:dyDescent="0.3">
      <c r="A14" s="154" t="s">
        <v>120</v>
      </c>
      <c r="B14" s="159">
        <f t="shared" ref="B14:D14" si="2">+B16</f>
        <v>1124540.6000000001</v>
      </c>
      <c r="C14" s="159">
        <f t="shared" si="2"/>
        <v>1019778.9999999999</v>
      </c>
      <c r="D14" s="159">
        <f t="shared" si="2"/>
        <v>5.8207660913467407E-11</v>
      </c>
    </row>
    <row r="15" spans="1:7" s="160" customFormat="1" x14ac:dyDescent="0.3">
      <c r="A15" s="154" t="s">
        <v>31</v>
      </c>
      <c r="B15" s="159"/>
      <c r="C15" s="159"/>
      <c r="D15" s="159"/>
    </row>
    <row r="16" spans="1:7" s="160" customFormat="1" x14ac:dyDescent="0.3">
      <c r="A16" s="154" t="s">
        <v>121</v>
      </c>
      <c r="B16" s="159">
        <f t="shared" ref="B16:D16" si="3">+B18</f>
        <v>1124540.6000000001</v>
      </c>
      <c r="C16" s="159">
        <f t="shared" si="3"/>
        <v>1019778.9999999999</v>
      </c>
      <c r="D16" s="159">
        <f t="shared" si="3"/>
        <v>5.8207660913467407E-11</v>
      </c>
    </row>
    <row r="17" spans="1:4" s="160" customFormat="1" x14ac:dyDescent="0.3">
      <c r="A17" s="154" t="s">
        <v>122</v>
      </c>
      <c r="B17" s="159"/>
      <c r="C17" s="159"/>
      <c r="D17" s="159"/>
    </row>
    <row r="18" spans="1:4" s="163" customFormat="1" x14ac:dyDescent="0.3">
      <c r="A18" s="161" t="s">
        <v>123</v>
      </c>
      <c r="B18" s="162">
        <f>+'Հավելված N 4'!G13-'Հավելված N 9'!E11</f>
        <v>1124540.6000000001</v>
      </c>
      <c r="C18" s="162">
        <f>+'Հավելված N 4'!H13-'Հավելված N 9'!F11</f>
        <v>1019778.9999999999</v>
      </c>
      <c r="D18" s="162">
        <f>+'Հավելված N 4'!I13-'Հավելված N 9'!G11</f>
        <v>5.8207660913467407E-11</v>
      </c>
    </row>
    <row r="19" spans="1:4" x14ac:dyDescent="0.3">
      <c r="C19" s="178"/>
    </row>
    <row r="20" spans="1:4" x14ac:dyDescent="0.3">
      <c r="B20" s="363"/>
      <c r="C20" s="363"/>
      <c r="D20" s="363"/>
    </row>
    <row r="21" spans="1:4" x14ac:dyDescent="0.3">
      <c r="B21" s="363"/>
      <c r="C21" s="363"/>
      <c r="D21" s="363"/>
    </row>
    <row r="22" spans="1:4" x14ac:dyDescent="0.3">
      <c r="B22" s="363"/>
      <c r="C22" s="363"/>
    </row>
  </sheetData>
  <mergeCells count="3">
    <mergeCell ref="A5:D5"/>
    <mergeCell ref="A8:A9"/>
    <mergeCell ref="B8:D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X40"/>
  <sheetViews>
    <sheetView zoomScale="55" zoomScaleNormal="55" zoomScaleSheetLayoutView="100" workbookViewId="0">
      <selection activeCell="F16" sqref="F16"/>
    </sheetView>
  </sheetViews>
  <sheetFormatPr defaultColWidth="9.140625" defaultRowHeight="17.25" x14ac:dyDescent="0.25"/>
  <cols>
    <col min="1" max="1" width="6.7109375" style="15" customWidth="1"/>
    <col min="2" max="2" width="10.42578125" style="15" customWidth="1"/>
    <col min="3" max="3" width="15.28515625" style="15" customWidth="1"/>
    <col min="4" max="6" width="46.28515625" style="15" customWidth="1"/>
    <col min="7" max="9" width="16.42578125" style="15" customWidth="1"/>
    <col min="10" max="11" width="12.28515625" style="15" customWidth="1"/>
    <col min="12" max="16384" width="9.140625" style="15"/>
  </cols>
  <sheetData>
    <row r="1" spans="1:50" ht="37.35" customHeight="1" x14ac:dyDescent="0.25">
      <c r="F1" s="404" t="s">
        <v>30</v>
      </c>
      <c r="G1" s="404"/>
      <c r="H1" s="404"/>
      <c r="I1" s="404"/>
    </row>
    <row r="2" spans="1:50" ht="17.649999999999999" customHeight="1" x14ac:dyDescent="0.25">
      <c r="F2" s="404" t="s">
        <v>53</v>
      </c>
      <c r="G2" s="404"/>
      <c r="H2" s="404"/>
      <c r="I2" s="404"/>
    </row>
    <row r="3" spans="1:50" ht="17.649999999999999" customHeight="1" x14ac:dyDescent="0.25">
      <c r="F3" s="404" t="s">
        <v>0</v>
      </c>
      <c r="G3" s="404"/>
      <c r="H3" s="404"/>
      <c r="I3" s="404"/>
    </row>
    <row r="6" spans="1:50" ht="75.95" customHeight="1" x14ac:dyDescent="0.25">
      <c r="A6" s="405" t="s">
        <v>155</v>
      </c>
      <c r="B6" s="405"/>
      <c r="C6" s="405"/>
      <c r="D6" s="405"/>
      <c r="E6" s="405"/>
      <c r="F6" s="405"/>
      <c r="G6" s="405"/>
      <c r="H6" s="405"/>
      <c r="I6" s="405"/>
    </row>
    <row r="7" spans="1:50" x14ac:dyDescent="0.25">
      <c r="A7" s="36"/>
      <c r="B7" s="36"/>
      <c r="C7" s="36"/>
      <c r="D7" s="36"/>
      <c r="E7" s="36"/>
      <c r="F7" s="36"/>
    </row>
    <row r="9" spans="1:50" x14ac:dyDescent="0.25">
      <c r="D9" s="35"/>
      <c r="E9" s="35"/>
      <c r="F9" s="35"/>
      <c r="I9" s="35" t="s">
        <v>9</v>
      </c>
    </row>
    <row r="10" spans="1:50" ht="54.6" customHeight="1" x14ac:dyDescent="0.25">
      <c r="A10" s="406" t="s">
        <v>32</v>
      </c>
      <c r="B10" s="406" t="s">
        <v>1</v>
      </c>
      <c r="C10" s="406"/>
      <c r="D10" s="406" t="s">
        <v>33</v>
      </c>
      <c r="E10" s="406" t="s">
        <v>34</v>
      </c>
      <c r="F10" s="406" t="s">
        <v>35</v>
      </c>
      <c r="G10" s="407" t="s">
        <v>23</v>
      </c>
      <c r="H10" s="408"/>
      <c r="I10" s="409"/>
    </row>
    <row r="11" spans="1:50" ht="17.649999999999999" customHeight="1" x14ac:dyDescent="0.25">
      <c r="A11" s="406"/>
      <c r="B11" s="406"/>
      <c r="C11" s="406"/>
      <c r="D11" s="406"/>
      <c r="E11" s="406"/>
      <c r="F11" s="406"/>
      <c r="G11" s="406" t="s">
        <v>36</v>
      </c>
      <c r="H11" s="406" t="s">
        <v>2</v>
      </c>
      <c r="I11" s="406" t="s">
        <v>3</v>
      </c>
    </row>
    <row r="12" spans="1:50" x14ac:dyDescent="0.25">
      <c r="A12" s="406"/>
      <c r="B12" s="32" t="s">
        <v>13</v>
      </c>
      <c r="C12" s="32" t="s">
        <v>14</v>
      </c>
      <c r="D12" s="406"/>
      <c r="E12" s="406"/>
      <c r="F12" s="406"/>
      <c r="G12" s="406"/>
      <c r="H12" s="406"/>
      <c r="I12" s="406"/>
    </row>
    <row r="13" spans="1:50" s="37" customFormat="1" ht="25.15" customHeight="1" x14ac:dyDescent="0.25">
      <c r="A13" s="402" t="s">
        <v>37</v>
      </c>
      <c r="B13" s="402"/>
      <c r="C13" s="402"/>
      <c r="D13" s="402"/>
      <c r="E13" s="402"/>
      <c r="F13" s="402"/>
      <c r="G13" s="1">
        <f>+G15+G37</f>
        <v>1124540.6000000001</v>
      </c>
      <c r="H13" s="1">
        <f>+H15+H37</f>
        <v>1052266.3999999999</v>
      </c>
      <c r="I13" s="1">
        <f>+I15+I37</f>
        <v>32487.40000000006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</row>
    <row r="14" spans="1:50" s="37" customFormat="1" x14ac:dyDescent="0.25">
      <c r="A14" s="403" t="s">
        <v>31</v>
      </c>
      <c r="B14" s="403"/>
      <c r="C14" s="403"/>
      <c r="D14" s="403"/>
      <c r="E14" s="403"/>
      <c r="F14" s="403"/>
      <c r="G14" s="1"/>
      <c r="H14" s="1"/>
      <c r="I14" s="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</row>
    <row r="15" spans="1:50" s="37" customFormat="1" x14ac:dyDescent="0.25">
      <c r="A15" s="402" t="s">
        <v>16</v>
      </c>
      <c r="B15" s="402"/>
      <c r="C15" s="402"/>
      <c r="D15" s="402"/>
      <c r="E15" s="402"/>
      <c r="F15" s="402"/>
      <c r="G15" s="1">
        <f>+G16+G19+G24+G26+G28+G31+G33</f>
        <v>1124540.6000000001</v>
      </c>
      <c r="H15" s="1">
        <f t="shared" ref="H15:I15" si="0">+H16+H19+H24+H26+H28+H31+H33</f>
        <v>1052266.3999999999</v>
      </c>
      <c r="I15" s="1">
        <f t="shared" si="0"/>
        <v>32487.40000000006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</row>
    <row r="16" spans="1:50" ht="120.75" x14ac:dyDescent="0.25">
      <c r="A16" s="33"/>
      <c r="B16" s="47">
        <v>1045</v>
      </c>
      <c r="C16" s="34"/>
      <c r="D16" s="34" t="s">
        <v>517</v>
      </c>
      <c r="E16" s="34" t="s">
        <v>518</v>
      </c>
      <c r="F16" s="34" t="s">
        <v>519</v>
      </c>
      <c r="G16" s="171">
        <f>SUM(G17:G18)</f>
        <v>-266599.5</v>
      </c>
      <c r="H16" s="171">
        <f t="shared" ref="H16:I16" si="1">SUM(H17:H18)</f>
        <v>-397139.3</v>
      </c>
      <c r="I16" s="171">
        <f t="shared" si="1"/>
        <v>-385437.89999999997</v>
      </c>
    </row>
    <row r="17" spans="1:9" ht="138" x14ac:dyDescent="0.25">
      <c r="A17" s="33"/>
      <c r="B17" s="31"/>
      <c r="C17" s="33" t="s">
        <v>520</v>
      </c>
      <c r="D17" s="33" t="s">
        <v>521</v>
      </c>
      <c r="E17" s="33" t="s">
        <v>522</v>
      </c>
      <c r="F17" s="33" t="s">
        <v>65</v>
      </c>
      <c r="G17" s="172">
        <f>+'Հավելված N 5'!G212</f>
        <v>-208152.9</v>
      </c>
      <c r="H17" s="172">
        <f>+'Հավելված N 5'!H212</f>
        <v>-375041.1</v>
      </c>
      <c r="I17" s="172">
        <f>+'Հավելված N 5'!I212</f>
        <v>-521729.3</v>
      </c>
    </row>
    <row r="18" spans="1:9" ht="86.25" x14ac:dyDescent="0.25">
      <c r="A18" s="33"/>
      <c r="B18" s="31"/>
      <c r="C18" s="33" t="s">
        <v>523</v>
      </c>
      <c r="D18" s="33" t="s">
        <v>524</v>
      </c>
      <c r="E18" s="33" t="s">
        <v>525</v>
      </c>
      <c r="F18" s="33" t="s">
        <v>65</v>
      </c>
      <c r="G18" s="172">
        <f>+'Հավելված N 5'!G221</f>
        <v>-58446.6</v>
      </c>
      <c r="H18" s="172">
        <f>+'Հավելված N 5'!H221</f>
        <v>-22098.199999999997</v>
      </c>
      <c r="I18" s="172">
        <f>+'Հավելված N 5'!I221</f>
        <v>136291.40000000002</v>
      </c>
    </row>
    <row r="19" spans="1:9" ht="144.6" customHeight="1" x14ac:dyDescent="0.25">
      <c r="A19" s="33"/>
      <c r="B19" s="47" t="s">
        <v>526</v>
      </c>
      <c r="C19" s="34"/>
      <c r="D19" s="34" t="s">
        <v>176</v>
      </c>
      <c r="E19" s="34" t="s">
        <v>527</v>
      </c>
      <c r="F19" s="34" t="s">
        <v>528</v>
      </c>
      <c r="G19" s="171">
        <f>SUM(G20:G23)</f>
        <v>108574.20000000001</v>
      </c>
      <c r="H19" s="171">
        <f t="shared" ref="H19:I19" si="2">SUM(H20:H23)</f>
        <v>115032.40000000002</v>
      </c>
      <c r="I19" s="171">
        <f t="shared" si="2"/>
        <v>94173.6</v>
      </c>
    </row>
    <row r="20" spans="1:9" ht="120.75" x14ac:dyDescent="0.25">
      <c r="A20" s="33"/>
      <c r="B20" s="31"/>
      <c r="C20" s="33" t="s">
        <v>529</v>
      </c>
      <c r="D20" s="33" t="s">
        <v>530</v>
      </c>
      <c r="E20" s="33" t="s">
        <v>531</v>
      </c>
      <c r="F20" s="33" t="s">
        <v>170</v>
      </c>
      <c r="G20" s="172">
        <f>+'Հավելված N 5'!G118</f>
        <v>10122.400000000009</v>
      </c>
      <c r="H20" s="172">
        <f>+'Հավելված N 5'!H118</f>
        <v>-3210.3999999999796</v>
      </c>
      <c r="I20" s="172">
        <f>+'Հավելված N 5'!I118</f>
        <v>-24069.199999999997</v>
      </c>
    </row>
    <row r="21" spans="1:9" ht="120.75" x14ac:dyDescent="0.25">
      <c r="A21" s="33"/>
      <c r="B21" s="31"/>
      <c r="C21" s="33" t="s">
        <v>534</v>
      </c>
      <c r="D21" s="33" t="s">
        <v>182</v>
      </c>
      <c r="E21" s="33" t="s">
        <v>535</v>
      </c>
      <c r="F21" s="33" t="s">
        <v>65</v>
      </c>
      <c r="G21" s="172">
        <f>+'Հավելված N 5'!G26</f>
        <v>53674.600000000006</v>
      </c>
      <c r="H21" s="172">
        <f>+'Հավելված N 5'!H26</f>
        <v>73465.600000000006</v>
      </c>
      <c r="I21" s="172">
        <f>+'Հավելված N 5'!I26</f>
        <v>73465.600000000006</v>
      </c>
    </row>
    <row r="22" spans="1:9" ht="51.75" x14ac:dyDescent="0.25">
      <c r="A22" s="33"/>
      <c r="B22" s="31"/>
      <c r="C22" s="33" t="s">
        <v>532</v>
      </c>
      <c r="D22" s="33" t="s">
        <v>476</v>
      </c>
      <c r="E22" s="33" t="s">
        <v>533</v>
      </c>
      <c r="F22" s="33" t="s">
        <v>65</v>
      </c>
      <c r="G22" s="172">
        <f>+'Հավելված N 5'!G42</f>
        <v>34777.199999999997</v>
      </c>
      <c r="H22" s="172">
        <f>+'Հավելված N 5'!H42</f>
        <v>34777.199999999997</v>
      </c>
      <c r="I22" s="172">
        <f>+'Հավելված N 5'!I42</f>
        <v>34777.199999999997</v>
      </c>
    </row>
    <row r="23" spans="1:9" ht="69" x14ac:dyDescent="0.25">
      <c r="A23" s="33"/>
      <c r="B23" s="31"/>
      <c r="C23" s="33" t="s">
        <v>630</v>
      </c>
      <c r="D23" s="33" t="s">
        <v>631</v>
      </c>
      <c r="E23" s="33" t="s">
        <v>632</v>
      </c>
      <c r="F23" s="33" t="s">
        <v>65</v>
      </c>
      <c r="G23" s="172">
        <f>+'Հավելված N 5'!G79</f>
        <v>10000</v>
      </c>
      <c r="H23" s="172">
        <f>+'Հավելված N 5'!H79</f>
        <v>10000</v>
      </c>
      <c r="I23" s="172">
        <f>+'Հավելված N 5'!I79</f>
        <v>10000</v>
      </c>
    </row>
    <row r="24" spans="1:9" ht="144.6" customHeight="1" x14ac:dyDescent="0.25">
      <c r="A24" s="33"/>
      <c r="B24" s="47" t="s">
        <v>536</v>
      </c>
      <c r="C24" s="34"/>
      <c r="D24" s="34" t="s">
        <v>187</v>
      </c>
      <c r="E24" s="34" t="s">
        <v>537</v>
      </c>
      <c r="F24" s="34" t="s">
        <v>538</v>
      </c>
      <c r="G24" s="171">
        <f>+G25</f>
        <v>190409.3</v>
      </c>
      <c r="H24" s="171">
        <f t="shared" ref="H24:I24" si="3">+H25</f>
        <v>190409.3</v>
      </c>
      <c r="I24" s="171">
        <f t="shared" si="3"/>
        <v>190409.3</v>
      </c>
    </row>
    <row r="25" spans="1:9" ht="69" x14ac:dyDescent="0.25">
      <c r="A25" s="33"/>
      <c r="B25" s="31"/>
      <c r="C25" s="33" t="s">
        <v>539</v>
      </c>
      <c r="D25" s="33" t="s">
        <v>510</v>
      </c>
      <c r="E25" s="33" t="s">
        <v>540</v>
      </c>
      <c r="F25" s="33" t="s">
        <v>65</v>
      </c>
      <c r="G25" s="172">
        <f>+'Հավելված N 5'!G239</f>
        <v>190409.3</v>
      </c>
      <c r="H25" s="172">
        <f>+'Հավելված N 5'!H239</f>
        <v>190409.3</v>
      </c>
      <c r="I25" s="172">
        <f>+'Հավելված N 5'!I239</f>
        <v>190409.3</v>
      </c>
    </row>
    <row r="26" spans="1:9" ht="144.6" customHeight="1" x14ac:dyDescent="0.25">
      <c r="A26" s="33"/>
      <c r="B26" s="47" t="s">
        <v>541</v>
      </c>
      <c r="C26" s="34"/>
      <c r="D26" s="34" t="s">
        <v>542</v>
      </c>
      <c r="E26" s="34" t="s">
        <v>543</v>
      </c>
      <c r="F26" s="34" t="s">
        <v>544</v>
      </c>
      <c r="G26" s="171">
        <f>+G27</f>
        <v>100666.3</v>
      </c>
      <c r="H26" s="171">
        <f t="shared" ref="H26" si="4">+H27</f>
        <v>100666.3</v>
      </c>
      <c r="I26" s="171">
        <f t="shared" ref="I26" si="5">+I27</f>
        <v>100666.3</v>
      </c>
    </row>
    <row r="27" spans="1:9" ht="138" x14ac:dyDescent="0.25">
      <c r="A27" s="33"/>
      <c r="B27" s="31"/>
      <c r="C27" s="33" t="s">
        <v>582</v>
      </c>
      <c r="D27" s="244" t="s">
        <v>583</v>
      </c>
      <c r="E27" s="244" t="s">
        <v>584</v>
      </c>
      <c r="F27" s="33" t="s">
        <v>148</v>
      </c>
      <c r="G27" s="172">
        <f>+'Հավելված N 5'!G256</f>
        <v>100666.3</v>
      </c>
      <c r="H27" s="172">
        <f>+'Հավելված N 5'!H256</f>
        <v>100666.3</v>
      </c>
      <c r="I27" s="172">
        <f>+'Հավելված N 5'!I256</f>
        <v>100666.3</v>
      </c>
    </row>
    <row r="28" spans="1:9" ht="144.6" customHeight="1" x14ac:dyDescent="0.25">
      <c r="A28" s="33"/>
      <c r="B28" s="47">
        <v>1168</v>
      </c>
      <c r="C28" s="34"/>
      <c r="D28" s="34" t="s">
        <v>184</v>
      </c>
      <c r="E28" s="34" t="s">
        <v>546</v>
      </c>
      <c r="F28" s="34" t="s">
        <v>547</v>
      </c>
      <c r="G28" s="171">
        <f>SUM(G29:G30)</f>
        <v>8507.9</v>
      </c>
      <c r="H28" s="171">
        <f t="shared" ref="H28:I28" si="6">SUM(H29:H30)</f>
        <v>8507.9</v>
      </c>
      <c r="I28" s="171">
        <f t="shared" si="6"/>
        <v>8507.9</v>
      </c>
    </row>
    <row r="29" spans="1:9" ht="120.75" x14ac:dyDescent="0.25">
      <c r="A29" s="33"/>
      <c r="B29" s="31"/>
      <c r="C29" s="31" t="s">
        <v>548</v>
      </c>
      <c r="D29" s="33" t="s">
        <v>185</v>
      </c>
      <c r="E29" s="33" t="s">
        <v>549</v>
      </c>
      <c r="F29" s="33" t="s">
        <v>65</v>
      </c>
      <c r="G29" s="172">
        <f>+'Հավելված N 5'!G94</f>
        <v>2412.2999999999997</v>
      </c>
      <c r="H29" s="172">
        <f>+'Հավելված N 5'!H94</f>
        <v>2412.2999999999997</v>
      </c>
      <c r="I29" s="172">
        <f>+'Հավելված N 5'!I94</f>
        <v>2412.2999999999997</v>
      </c>
    </row>
    <row r="30" spans="1:9" ht="69" x14ac:dyDescent="0.25">
      <c r="A30" s="33"/>
      <c r="B30" s="31"/>
      <c r="C30" s="31" t="s">
        <v>550</v>
      </c>
      <c r="D30" s="33" t="s">
        <v>505</v>
      </c>
      <c r="E30" s="33" t="s">
        <v>551</v>
      </c>
      <c r="F30" s="33" t="s">
        <v>65</v>
      </c>
      <c r="G30" s="172">
        <f>+'Հավելված N 5'!G103</f>
        <v>6095.6</v>
      </c>
      <c r="H30" s="172">
        <f>+'Հավելված N 5'!H103</f>
        <v>6095.6</v>
      </c>
      <c r="I30" s="172">
        <f>+'Հավելված N 5'!I103</f>
        <v>6095.6</v>
      </c>
    </row>
    <row r="31" spans="1:9" ht="69" x14ac:dyDescent="0.25">
      <c r="A31" s="33"/>
      <c r="B31" s="47" t="s">
        <v>554</v>
      </c>
      <c r="C31" s="34"/>
      <c r="D31" s="34" t="s">
        <v>555</v>
      </c>
      <c r="E31" s="34" t="s">
        <v>556</v>
      </c>
      <c r="F31" s="34" t="s">
        <v>557</v>
      </c>
      <c r="G31" s="171">
        <f>SUM(G32:G32)</f>
        <v>-52500</v>
      </c>
      <c r="H31" s="171">
        <f>SUM(H32:H32)</f>
        <v>-33180</v>
      </c>
      <c r="I31" s="171">
        <f>SUM(I32:I32)</f>
        <v>-8319.4000000000015</v>
      </c>
    </row>
    <row r="32" spans="1:9" ht="103.5" x14ac:dyDescent="0.25">
      <c r="A32" s="33"/>
      <c r="B32" s="31"/>
      <c r="C32" s="31" t="s">
        <v>558</v>
      </c>
      <c r="D32" s="33" t="s">
        <v>470</v>
      </c>
      <c r="E32" s="33" t="s">
        <v>559</v>
      </c>
      <c r="F32" s="33" t="s">
        <v>545</v>
      </c>
      <c r="G32" s="172">
        <f>+'Հավելված N 5'!G64</f>
        <v>-52500</v>
      </c>
      <c r="H32" s="172">
        <f>+'Հավելված N 5'!H64</f>
        <v>-33180</v>
      </c>
      <c r="I32" s="172">
        <f>+'Հավելված N 5'!I64</f>
        <v>-8319.4000000000015</v>
      </c>
    </row>
    <row r="33" spans="1:37" ht="103.5" x14ac:dyDescent="0.25">
      <c r="A33" s="33"/>
      <c r="B33" s="47">
        <v>1236</v>
      </c>
      <c r="C33" s="47"/>
      <c r="D33" s="34" t="s">
        <v>112</v>
      </c>
      <c r="E33" s="34" t="s">
        <v>113</v>
      </c>
      <c r="F33" s="34" t="s">
        <v>114</v>
      </c>
      <c r="G33" s="171">
        <f>SUM(G34:G35)</f>
        <v>1035482.4</v>
      </c>
      <c r="H33" s="171">
        <f t="shared" ref="H33:I33" si="7">SUM(H34:H35)</f>
        <v>1067969.7999999998</v>
      </c>
      <c r="I33" s="171">
        <f t="shared" si="7"/>
        <v>32487.599999999999</v>
      </c>
    </row>
    <row r="34" spans="1:37" ht="103.5" x14ac:dyDescent="0.25">
      <c r="A34" s="33"/>
      <c r="B34" s="31"/>
      <c r="C34" s="31" t="s">
        <v>111</v>
      </c>
      <c r="D34" s="33" t="s">
        <v>115</v>
      </c>
      <c r="E34" s="33" t="s">
        <v>116</v>
      </c>
      <c r="F34" s="33" t="s">
        <v>65</v>
      </c>
      <c r="G34" s="172">
        <f>+'Հավելված N 5'!G143</f>
        <v>4591.3999999999996</v>
      </c>
      <c r="H34" s="172">
        <f>+'Հավելված N 5'!H143</f>
        <v>4591.3999999999996</v>
      </c>
      <c r="I34" s="172">
        <f>+'Հավելված N 5'!I143</f>
        <v>-30890.800000000003</v>
      </c>
    </row>
    <row r="35" spans="1:37" ht="120.75" x14ac:dyDescent="0.25">
      <c r="A35" s="33"/>
      <c r="B35" s="31"/>
      <c r="C35" s="31" t="s">
        <v>552</v>
      </c>
      <c r="D35" s="33" t="s">
        <v>284</v>
      </c>
      <c r="E35" s="33" t="s">
        <v>553</v>
      </c>
      <c r="F35" s="33" t="s">
        <v>65</v>
      </c>
      <c r="G35" s="172">
        <f>+'Հավելված N 5'!G167</f>
        <v>1030891</v>
      </c>
      <c r="H35" s="172">
        <f>+'Հավելված N 5'!H167</f>
        <v>1063378.3999999999</v>
      </c>
      <c r="I35" s="172">
        <f>+'Հավելված N 5'!I167</f>
        <v>63378.400000000001</v>
      </c>
    </row>
    <row r="36" spans="1:37" x14ac:dyDescent="0.25">
      <c r="B36" s="290"/>
    </row>
    <row r="37" spans="1:37" s="292" customFormat="1" x14ac:dyDescent="0.25">
      <c r="A37" s="402" t="s">
        <v>154</v>
      </c>
      <c r="B37" s="402"/>
      <c r="C37" s="402"/>
      <c r="D37" s="402"/>
      <c r="E37" s="402"/>
      <c r="F37" s="402"/>
      <c r="G37" s="285">
        <f>+G38</f>
        <v>0</v>
      </c>
      <c r="H37" s="285">
        <f>+H38</f>
        <v>0</v>
      </c>
      <c r="I37" s="285">
        <f>+I38</f>
        <v>0</v>
      </c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291"/>
      <c r="AE37" s="291"/>
      <c r="AF37" s="291"/>
      <c r="AG37" s="291"/>
      <c r="AH37" s="291"/>
      <c r="AI37" s="291"/>
      <c r="AJ37" s="291"/>
      <c r="AK37" s="291"/>
    </row>
    <row r="38" spans="1:37" ht="69" x14ac:dyDescent="0.25">
      <c r="A38" s="33"/>
      <c r="B38" s="47">
        <v>1139</v>
      </c>
      <c r="C38" s="34"/>
      <c r="D38" s="34" t="s">
        <v>567</v>
      </c>
      <c r="E38" s="34" t="s">
        <v>568</v>
      </c>
      <c r="F38" s="34" t="s">
        <v>569</v>
      </c>
      <c r="G38" s="276">
        <f>+G39+G40</f>
        <v>0</v>
      </c>
      <c r="H38" s="276">
        <f t="shared" ref="H38:I38" si="8">+H39+H40</f>
        <v>0</v>
      </c>
      <c r="I38" s="276">
        <f t="shared" si="8"/>
        <v>0</v>
      </c>
    </row>
    <row r="39" spans="1:37" ht="103.5" x14ac:dyDescent="0.25">
      <c r="A39" s="33"/>
      <c r="B39" s="31"/>
      <c r="C39" s="33" t="s">
        <v>570</v>
      </c>
      <c r="D39" s="33" t="s">
        <v>567</v>
      </c>
      <c r="E39" s="33" t="s">
        <v>571</v>
      </c>
      <c r="F39" s="33" t="s">
        <v>148</v>
      </c>
      <c r="G39" s="293">
        <f>+'Հավելված N 5'!G277</f>
        <v>-110666.3</v>
      </c>
      <c r="H39" s="293">
        <f>+'Հավելված N 5'!H277</f>
        <v>-110666.3</v>
      </c>
      <c r="I39" s="293">
        <f>+'Հավելված N 5'!I277</f>
        <v>-110666.3</v>
      </c>
    </row>
    <row r="40" spans="1:37" ht="103.5" x14ac:dyDescent="0.25">
      <c r="A40" s="33"/>
      <c r="B40" s="31"/>
      <c r="C40" s="33" t="s">
        <v>570</v>
      </c>
      <c r="D40" s="33" t="s">
        <v>567</v>
      </c>
      <c r="E40" s="33" t="s">
        <v>571</v>
      </c>
      <c r="F40" s="33" t="s">
        <v>148</v>
      </c>
      <c r="G40" s="293">
        <f>+'Հավելված N 5'!G285</f>
        <v>110666.3</v>
      </c>
      <c r="H40" s="293">
        <f>+'Հավելված N 5'!H285</f>
        <v>110666.3</v>
      </c>
      <c r="I40" s="293">
        <f>+'Հավելված N 5'!I285</f>
        <v>110666.3</v>
      </c>
    </row>
  </sheetData>
  <mergeCells count="17">
    <mergeCell ref="I11:I12"/>
    <mergeCell ref="A37:F37"/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G10:I10"/>
  </mergeCells>
  <pageMargins left="0" right="0" top="0" bottom="0" header="0.3" footer="0.3"/>
  <pageSetup paperSize="9" scale="7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292"/>
  <sheetViews>
    <sheetView zoomScale="70" zoomScaleNormal="70" zoomScaleSheetLayoutView="100" workbookViewId="0">
      <selection activeCell="I13" sqref="I13"/>
    </sheetView>
  </sheetViews>
  <sheetFormatPr defaultColWidth="9.140625" defaultRowHeight="17.25" x14ac:dyDescent="0.3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9" width="19.7109375" style="2" customWidth="1"/>
    <col min="10" max="12" width="15" style="2" customWidth="1"/>
    <col min="13" max="16384" width="9.140625" style="2"/>
  </cols>
  <sheetData>
    <row r="1" spans="1:10" s="52" customFormat="1" ht="37.5" customHeight="1" x14ac:dyDescent="0.25">
      <c r="F1" s="452" t="s">
        <v>60</v>
      </c>
      <c r="G1" s="452"/>
      <c r="H1" s="452"/>
      <c r="I1" s="452"/>
    </row>
    <row r="2" spans="1:10" s="53" customFormat="1" ht="17.649999999999999" customHeight="1" x14ac:dyDescent="0.3">
      <c r="F2" s="453" t="s">
        <v>53</v>
      </c>
      <c r="G2" s="453"/>
      <c r="H2" s="453"/>
      <c r="I2" s="453"/>
    </row>
    <row r="3" spans="1:10" s="53" customFormat="1" ht="17.649999999999999" customHeight="1" x14ac:dyDescent="0.3">
      <c r="F3" s="453" t="s">
        <v>0</v>
      </c>
      <c r="G3" s="453"/>
      <c r="H3" s="453"/>
      <c r="I3" s="453"/>
    </row>
    <row r="4" spans="1:10" ht="13.7" customHeight="1" x14ac:dyDescent="0.3"/>
    <row r="5" spans="1:10" ht="13.7" customHeight="1" x14ac:dyDescent="0.3"/>
    <row r="6" spans="1:10" ht="13.7" customHeight="1" x14ac:dyDescent="0.3"/>
    <row r="7" spans="1:10" ht="52.5" customHeight="1" x14ac:dyDescent="0.3">
      <c r="A7" s="454" t="s">
        <v>149</v>
      </c>
      <c r="B7" s="454"/>
      <c r="C7" s="454"/>
      <c r="D7" s="454"/>
      <c r="E7" s="454"/>
      <c r="F7" s="454"/>
      <c r="G7" s="454"/>
      <c r="H7" s="454"/>
      <c r="I7" s="454"/>
    </row>
    <row r="8" spans="1:10" x14ac:dyDescent="0.3">
      <c r="A8" s="54"/>
      <c r="B8" s="54"/>
      <c r="C8" s="54"/>
      <c r="D8" s="54"/>
      <c r="E8" s="54"/>
      <c r="F8" s="54"/>
      <c r="G8" s="54"/>
      <c r="H8" s="54"/>
      <c r="I8" s="54"/>
    </row>
    <row r="10" spans="1:10" x14ac:dyDescent="0.3">
      <c r="G10" s="53"/>
      <c r="I10" s="53" t="s">
        <v>9</v>
      </c>
    </row>
    <row r="11" spans="1:10" s="9" customFormat="1" ht="55.15" customHeight="1" x14ac:dyDescent="0.25">
      <c r="A11" s="455" t="s">
        <v>10</v>
      </c>
      <c r="B11" s="455"/>
      <c r="C11" s="455"/>
      <c r="D11" s="455" t="s">
        <v>1</v>
      </c>
      <c r="E11" s="455"/>
      <c r="F11" s="455" t="s">
        <v>5</v>
      </c>
      <c r="G11" s="407" t="s">
        <v>23</v>
      </c>
      <c r="H11" s="408"/>
      <c r="I11" s="409"/>
    </row>
    <row r="12" spans="1:10" s="9" customFormat="1" ht="34.5" x14ac:dyDescent="0.25">
      <c r="A12" s="55" t="s">
        <v>21</v>
      </c>
      <c r="B12" s="55" t="s">
        <v>22</v>
      </c>
      <c r="C12" s="55" t="s">
        <v>11</v>
      </c>
      <c r="D12" s="55" t="s">
        <v>4</v>
      </c>
      <c r="E12" s="55" t="s">
        <v>14</v>
      </c>
      <c r="F12" s="455"/>
      <c r="G12" s="55" t="s">
        <v>24</v>
      </c>
      <c r="H12" s="55" t="s">
        <v>2</v>
      </c>
      <c r="I12" s="55" t="s">
        <v>3</v>
      </c>
    </row>
    <row r="13" spans="1:10" s="9" customFormat="1" ht="34.9" customHeight="1" x14ac:dyDescent="0.25">
      <c r="A13" s="8"/>
      <c r="B13" s="8"/>
      <c r="C13" s="8"/>
      <c r="D13" s="55"/>
      <c r="E13" s="55"/>
      <c r="F13" s="14" t="s">
        <v>8</v>
      </c>
      <c r="G13" s="7">
        <f>+G15+G266</f>
        <v>1124540.6000000001</v>
      </c>
      <c r="H13" s="7">
        <f>+H15+H266</f>
        <v>1052266.3999999999</v>
      </c>
      <c r="I13" s="7">
        <f>+I15+I266</f>
        <v>32487.400000000023</v>
      </c>
    </row>
    <row r="14" spans="1:10" s="9" customFormat="1" x14ac:dyDescent="0.25">
      <c r="A14" s="8"/>
      <c r="B14" s="8"/>
      <c r="C14" s="8"/>
      <c r="D14" s="55"/>
      <c r="E14" s="55"/>
      <c r="F14" s="8" t="s">
        <v>26</v>
      </c>
      <c r="G14" s="1"/>
      <c r="H14" s="1"/>
      <c r="I14" s="1"/>
    </row>
    <row r="15" spans="1:10" s="9" customFormat="1" ht="34.5" x14ac:dyDescent="0.25">
      <c r="A15" s="8"/>
      <c r="B15" s="8"/>
      <c r="C15" s="8"/>
      <c r="D15" s="55"/>
      <c r="E15" s="55"/>
      <c r="F15" s="3" t="s">
        <v>16</v>
      </c>
      <c r="G15" s="1">
        <f>+G16+G133</f>
        <v>1124540.6000000001</v>
      </c>
      <c r="H15" s="1">
        <f>+H16+H133</f>
        <v>1052266.3999999999</v>
      </c>
      <c r="I15" s="1">
        <f>+I16+I133</f>
        <v>32487.400000000023</v>
      </c>
      <c r="J15" s="284"/>
    </row>
    <row r="16" spans="1:10" s="9" customFormat="1" ht="17.649999999999999" customHeight="1" x14ac:dyDescent="0.25">
      <c r="A16" s="421" t="s">
        <v>166</v>
      </c>
      <c r="B16" s="423"/>
      <c r="C16" s="20"/>
      <c r="D16" s="23"/>
      <c r="E16" s="20"/>
      <c r="F16" s="56" t="s">
        <v>167</v>
      </c>
      <c r="G16" s="1">
        <f>+G18</f>
        <v>64582.100000000013</v>
      </c>
      <c r="H16" s="1">
        <f t="shared" ref="H16:I16" si="0">+H18</f>
        <v>90360.300000000017</v>
      </c>
      <c r="I16" s="1">
        <f t="shared" si="0"/>
        <v>94362.099999999991</v>
      </c>
    </row>
    <row r="17" spans="1:9" s="9" customFormat="1" ht="16.899999999999999" customHeight="1" x14ac:dyDescent="0.25">
      <c r="A17" s="422"/>
      <c r="B17" s="423"/>
      <c r="C17" s="21"/>
      <c r="D17" s="24"/>
      <c r="E17" s="21"/>
      <c r="F17" s="49" t="s">
        <v>6</v>
      </c>
      <c r="G17" s="4"/>
      <c r="H17" s="5"/>
      <c r="I17" s="4"/>
    </row>
    <row r="18" spans="1:9" s="9" customFormat="1" x14ac:dyDescent="0.25">
      <c r="A18" s="422"/>
      <c r="B18" s="421" t="s">
        <v>144</v>
      </c>
      <c r="C18" s="140"/>
      <c r="D18" s="24"/>
      <c r="E18" s="21"/>
      <c r="F18" s="56" t="s">
        <v>496</v>
      </c>
      <c r="G18" s="5">
        <f>+G20+G58+G73+G88+G112</f>
        <v>64582.100000000013</v>
      </c>
      <c r="H18" s="5">
        <f>+H20+H58+H73+H88+H112</f>
        <v>90360.300000000017</v>
      </c>
      <c r="I18" s="5">
        <f>+I20+I58+I73+I88+I112</f>
        <v>94362.099999999991</v>
      </c>
    </row>
    <row r="19" spans="1:9" s="9" customFormat="1" x14ac:dyDescent="0.25">
      <c r="A19" s="422"/>
      <c r="B19" s="422"/>
      <c r="C19" s="140"/>
      <c r="D19" s="24"/>
      <c r="E19" s="21"/>
      <c r="F19" s="49" t="s">
        <v>6</v>
      </c>
      <c r="G19" s="4"/>
      <c r="H19" s="5"/>
      <c r="I19" s="4"/>
    </row>
    <row r="20" spans="1:9" s="9" customFormat="1" x14ac:dyDescent="0.25">
      <c r="A20" s="422"/>
      <c r="B20" s="422"/>
      <c r="C20" s="421" t="s">
        <v>144</v>
      </c>
      <c r="D20" s="141"/>
      <c r="E20" s="21"/>
      <c r="F20" s="56" t="s">
        <v>365</v>
      </c>
      <c r="G20" s="5">
        <f>+G22</f>
        <v>88451.8</v>
      </c>
      <c r="H20" s="5">
        <f t="shared" ref="H20:I20" si="1">+H22</f>
        <v>108242.8</v>
      </c>
      <c r="I20" s="5">
        <f t="shared" si="1"/>
        <v>108242.8</v>
      </c>
    </row>
    <row r="21" spans="1:9" s="9" customFormat="1" ht="16.899999999999999" customHeight="1" x14ac:dyDescent="0.25">
      <c r="A21" s="422"/>
      <c r="B21" s="422"/>
      <c r="C21" s="422"/>
      <c r="D21" s="141"/>
      <c r="E21" s="21"/>
      <c r="F21" s="49" t="s">
        <v>6</v>
      </c>
      <c r="G21" s="10"/>
      <c r="H21" s="5"/>
      <c r="I21" s="10"/>
    </row>
    <row r="22" spans="1:9" s="9" customFormat="1" ht="34.5" x14ac:dyDescent="0.25">
      <c r="A22" s="422"/>
      <c r="B22" s="422"/>
      <c r="C22" s="422"/>
      <c r="D22" s="141"/>
      <c r="E22" s="21"/>
      <c r="F22" s="50" t="s">
        <v>12</v>
      </c>
      <c r="G22" s="5">
        <f>+G24</f>
        <v>88451.8</v>
      </c>
      <c r="H22" s="5">
        <f t="shared" ref="H22:I22" si="2">+H24</f>
        <v>108242.8</v>
      </c>
      <c r="I22" s="5">
        <f t="shared" si="2"/>
        <v>108242.8</v>
      </c>
    </row>
    <row r="23" spans="1:9" s="9" customFormat="1" ht="16.899999999999999" customHeight="1" x14ac:dyDescent="0.25">
      <c r="A23" s="422"/>
      <c r="B23" s="422"/>
      <c r="C23" s="422"/>
      <c r="D23" s="142"/>
      <c r="E23" s="25"/>
      <c r="F23" s="49" t="s">
        <v>6</v>
      </c>
      <c r="G23" s="5"/>
      <c r="H23" s="5"/>
      <c r="I23" s="5"/>
    </row>
    <row r="24" spans="1:9" s="9" customFormat="1" x14ac:dyDescent="0.25">
      <c r="A24" s="422"/>
      <c r="B24" s="422"/>
      <c r="C24" s="422"/>
      <c r="D24" s="58">
        <v>1075</v>
      </c>
      <c r="E24" s="419" t="s">
        <v>497</v>
      </c>
      <c r="F24" s="419"/>
      <c r="G24" s="1">
        <f>+G26+G42</f>
        <v>88451.8</v>
      </c>
      <c r="H24" s="1">
        <f t="shared" ref="H24:I24" si="3">+H26+H42</f>
        <v>108242.8</v>
      </c>
      <c r="I24" s="1">
        <f t="shared" si="3"/>
        <v>108242.8</v>
      </c>
    </row>
    <row r="25" spans="1:9" s="9" customFormat="1" ht="16.899999999999999" customHeight="1" x14ac:dyDescent="0.3">
      <c r="A25" s="422"/>
      <c r="B25" s="422"/>
      <c r="C25" s="422"/>
      <c r="D25" s="182"/>
      <c r="E25" s="46"/>
      <c r="F25" s="49" t="s">
        <v>6</v>
      </c>
      <c r="G25" s="1"/>
      <c r="H25" s="1"/>
      <c r="I25" s="1"/>
    </row>
    <row r="26" spans="1:9" s="9" customFormat="1" ht="37.9" customHeight="1" x14ac:dyDescent="0.25">
      <c r="A26" s="422"/>
      <c r="B26" s="422"/>
      <c r="C26" s="422"/>
      <c r="D26" s="429"/>
      <c r="E26" s="65">
        <v>32001</v>
      </c>
      <c r="F26" s="48" t="s">
        <v>364</v>
      </c>
      <c r="G26" s="11">
        <f>+G28+G35</f>
        <v>53674.600000000006</v>
      </c>
      <c r="H26" s="11">
        <f t="shared" ref="H26:I26" si="4">+H28+H35</f>
        <v>73465.600000000006</v>
      </c>
      <c r="I26" s="11">
        <f t="shared" si="4"/>
        <v>73465.600000000006</v>
      </c>
    </row>
    <row r="27" spans="1:9" s="9" customFormat="1" ht="16.149999999999999" customHeight="1" x14ac:dyDescent="0.3">
      <c r="A27" s="422"/>
      <c r="B27" s="422"/>
      <c r="C27" s="422"/>
      <c r="D27" s="430"/>
      <c r="E27" s="139"/>
      <c r="F27" s="49" t="s">
        <v>15</v>
      </c>
      <c r="G27" s="4"/>
      <c r="H27" s="5"/>
      <c r="I27" s="4"/>
    </row>
    <row r="28" spans="1:9" s="12" customFormat="1" ht="36.6" customHeight="1" x14ac:dyDescent="0.3">
      <c r="A28" s="422"/>
      <c r="B28" s="422"/>
      <c r="C28" s="422"/>
      <c r="D28" s="430"/>
      <c r="E28" s="137"/>
      <c r="F28" s="29" t="s">
        <v>12</v>
      </c>
      <c r="G28" s="26">
        <f t="shared" ref="G28:I28" si="5">+G30</f>
        <v>53674.600000000006</v>
      </c>
      <c r="H28" s="26">
        <f t="shared" si="5"/>
        <v>53674.600000000006</v>
      </c>
      <c r="I28" s="26">
        <f t="shared" si="5"/>
        <v>53674.600000000006</v>
      </c>
    </row>
    <row r="29" spans="1:9" s="9" customFormat="1" ht="34.5" x14ac:dyDescent="0.3">
      <c r="A29" s="422"/>
      <c r="B29" s="422"/>
      <c r="C29" s="422"/>
      <c r="D29" s="430"/>
      <c r="E29" s="137"/>
      <c r="F29" s="49" t="s">
        <v>63</v>
      </c>
      <c r="G29" s="4"/>
      <c r="H29" s="27"/>
      <c r="I29" s="4"/>
    </row>
    <row r="30" spans="1:9" s="9" customFormat="1" ht="16.899999999999999" customHeight="1" x14ac:dyDescent="0.3">
      <c r="A30" s="422"/>
      <c r="B30" s="422"/>
      <c r="C30" s="422"/>
      <c r="D30" s="430"/>
      <c r="E30" s="137"/>
      <c r="F30" s="57" t="s">
        <v>7</v>
      </c>
      <c r="G30" s="5">
        <f t="shared" ref="G30:I30" si="6">G31</f>
        <v>53674.600000000006</v>
      </c>
      <c r="H30" s="5">
        <f t="shared" si="6"/>
        <v>53674.600000000006</v>
      </c>
      <c r="I30" s="5">
        <f t="shared" si="6"/>
        <v>53674.600000000006</v>
      </c>
    </row>
    <row r="31" spans="1:9" s="9" customFormat="1" ht="16.899999999999999" customHeight="1" x14ac:dyDescent="0.3">
      <c r="A31" s="422"/>
      <c r="B31" s="422"/>
      <c r="C31" s="422"/>
      <c r="D31" s="430"/>
      <c r="E31" s="137"/>
      <c r="F31" s="49" t="s">
        <v>140</v>
      </c>
      <c r="G31" s="6">
        <f t="shared" ref="G31:I33" si="7">+G32</f>
        <v>53674.600000000006</v>
      </c>
      <c r="H31" s="6">
        <f t="shared" si="7"/>
        <v>53674.600000000006</v>
      </c>
      <c r="I31" s="6">
        <f t="shared" si="7"/>
        <v>53674.600000000006</v>
      </c>
    </row>
    <row r="32" spans="1:9" s="9" customFormat="1" ht="16.149999999999999" customHeight="1" x14ac:dyDescent="0.3">
      <c r="A32" s="422"/>
      <c r="B32" s="422"/>
      <c r="C32" s="422"/>
      <c r="D32" s="430"/>
      <c r="E32" s="137"/>
      <c r="F32" s="49" t="s">
        <v>141</v>
      </c>
      <c r="G32" s="6">
        <f t="shared" si="7"/>
        <v>53674.600000000006</v>
      </c>
      <c r="H32" s="6">
        <f t="shared" si="7"/>
        <v>53674.600000000006</v>
      </c>
      <c r="I32" s="6">
        <f t="shared" si="7"/>
        <v>53674.600000000006</v>
      </c>
    </row>
    <row r="33" spans="1:10" s="9" customFormat="1" ht="16.149999999999999" customHeight="1" x14ac:dyDescent="0.3">
      <c r="A33" s="422"/>
      <c r="B33" s="422"/>
      <c r="C33" s="422"/>
      <c r="D33" s="430"/>
      <c r="E33" s="137"/>
      <c r="F33" s="49" t="s">
        <v>498</v>
      </c>
      <c r="G33" s="22">
        <f t="shared" si="7"/>
        <v>53674.600000000006</v>
      </c>
      <c r="H33" s="22">
        <f t="shared" si="7"/>
        <v>53674.600000000006</v>
      </c>
      <c r="I33" s="22">
        <f t="shared" si="7"/>
        <v>53674.600000000006</v>
      </c>
      <c r="J33" s="13"/>
    </row>
    <row r="34" spans="1:10" s="9" customFormat="1" x14ac:dyDescent="0.3">
      <c r="A34" s="422"/>
      <c r="B34" s="422"/>
      <c r="C34" s="422"/>
      <c r="D34" s="430"/>
      <c r="E34" s="138"/>
      <c r="F34" s="51" t="s">
        <v>500</v>
      </c>
      <c r="G34" s="22">
        <f>+I34</f>
        <v>53674.600000000006</v>
      </c>
      <c r="H34" s="22">
        <f>+I34</f>
        <v>53674.600000000006</v>
      </c>
      <c r="I34" s="22">
        <f>+'Հավելված N 8'!G28</f>
        <v>53674.600000000006</v>
      </c>
      <c r="J34" s="13"/>
    </row>
    <row r="35" spans="1:10" s="12" customFormat="1" ht="36.6" customHeight="1" x14ac:dyDescent="0.3">
      <c r="A35" s="422"/>
      <c r="B35" s="422"/>
      <c r="C35" s="422"/>
      <c r="D35" s="430"/>
      <c r="E35" s="137"/>
      <c r="F35" s="29" t="s">
        <v>134</v>
      </c>
      <c r="G35" s="26">
        <f t="shared" ref="G35:I35" si="8">+G37</f>
        <v>0</v>
      </c>
      <c r="H35" s="26">
        <f t="shared" si="8"/>
        <v>19791</v>
      </c>
      <c r="I35" s="26">
        <f t="shared" si="8"/>
        <v>19791</v>
      </c>
    </row>
    <row r="36" spans="1:10" s="9" customFormat="1" ht="34.5" x14ac:dyDescent="0.3">
      <c r="A36" s="422"/>
      <c r="B36" s="422"/>
      <c r="C36" s="422"/>
      <c r="D36" s="430"/>
      <c r="E36" s="137"/>
      <c r="F36" s="49" t="s">
        <v>63</v>
      </c>
      <c r="G36" s="4"/>
      <c r="H36" s="27"/>
      <c r="I36" s="4"/>
    </row>
    <row r="37" spans="1:10" s="9" customFormat="1" ht="16.899999999999999" customHeight="1" x14ac:dyDescent="0.3">
      <c r="A37" s="422"/>
      <c r="B37" s="422"/>
      <c r="C37" s="422"/>
      <c r="D37" s="430"/>
      <c r="E37" s="137"/>
      <c r="F37" s="57" t="s">
        <v>7</v>
      </c>
      <c r="G37" s="5">
        <f t="shared" ref="G37:I37" si="9">G38</f>
        <v>0</v>
      </c>
      <c r="H37" s="5">
        <f t="shared" si="9"/>
        <v>19791</v>
      </c>
      <c r="I37" s="5">
        <f t="shared" si="9"/>
        <v>19791</v>
      </c>
    </row>
    <row r="38" spans="1:10" s="9" customFormat="1" ht="16.899999999999999" customHeight="1" x14ac:dyDescent="0.3">
      <c r="A38" s="422"/>
      <c r="B38" s="422"/>
      <c r="C38" s="422"/>
      <c r="D38" s="430"/>
      <c r="E38" s="137"/>
      <c r="F38" s="49" t="s">
        <v>61</v>
      </c>
      <c r="G38" s="6">
        <f t="shared" ref="G38:I40" si="10">+G39</f>
        <v>0</v>
      </c>
      <c r="H38" s="6">
        <f t="shared" si="10"/>
        <v>19791</v>
      </c>
      <c r="I38" s="6">
        <f t="shared" si="10"/>
        <v>19791</v>
      </c>
    </row>
    <row r="39" spans="1:10" s="9" customFormat="1" ht="16.149999999999999" customHeight="1" x14ac:dyDescent="0.3">
      <c r="A39" s="422"/>
      <c r="B39" s="422"/>
      <c r="C39" s="422"/>
      <c r="D39" s="430"/>
      <c r="E39" s="137"/>
      <c r="F39" s="49" t="s">
        <v>62</v>
      </c>
      <c r="G39" s="6">
        <f t="shared" si="10"/>
        <v>0</v>
      </c>
      <c r="H39" s="6">
        <f t="shared" si="10"/>
        <v>19791</v>
      </c>
      <c r="I39" s="6">
        <f t="shared" si="10"/>
        <v>19791</v>
      </c>
    </row>
    <row r="40" spans="1:10" s="9" customFormat="1" ht="16.149999999999999" customHeight="1" x14ac:dyDescent="0.3">
      <c r="A40" s="422"/>
      <c r="B40" s="422"/>
      <c r="C40" s="422"/>
      <c r="D40" s="430"/>
      <c r="E40" s="137"/>
      <c r="F40" s="49" t="s">
        <v>64</v>
      </c>
      <c r="G40" s="22">
        <f t="shared" si="10"/>
        <v>0</v>
      </c>
      <c r="H40" s="22">
        <f t="shared" si="10"/>
        <v>19791</v>
      </c>
      <c r="I40" s="22">
        <f t="shared" si="10"/>
        <v>19791</v>
      </c>
      <c r="J40" s="13"/>
    </row>
    <row r="41" spans="1:10" s="9" customFormat="1" x14ac:dyDescent="0.3">
      <c r="A41" s="422"/>
      <c r="B41" s="422"/>
      <c r="C41" s="422"/>
      <c r="D41" s="430"/>
      <c r="E41" s="138"/>
      <c r="F41" s="51" t="s">
        <v>110</v>
      </c>
      <c r="G41" s="22">
        <f>+'Հավելված N 7'!E90</f>
        <v>0</v>
      </c>
      <c r="H41" s="22">
        <f>+'Հավելված N 7'!F90</f>
        <v>19791</v>
      </c>
      <c r="I41" s="22">
        <f>+'Հավելված N 7'!G90</f>
        <v>19791</v>
      </c>
      <c r="J41" s="13"/>
    </row>
    <row r="42" spans="1:10" s="9" customFormat="1" ht="37.9" customHeight="1" x14ac:dyDescent="0.25">
      <c r="A42" s="231"/>
      <c r="B42" s="232"/>
      <c r="C42" s="231"/>
      <c r="D42" s="429"/>
      <c r="E42" s="65">
        <v>32008</v>
      </c>
      <c r="F42" s="48" t="s">
        <v>359</v>
      </c>
      <c r="G42" s="11">
        <f>+G44+G51</f>
        <v>34777.199999999997</v>
      </c>
      <c r="H42" s="11">
        <f t="shared" ref="H42:I42" si="11">+H44+H51</f>
        <v>34777.199999999997</v>
      </c>
      <c r="I42" s="11">
        <f t="shared" si="11"/>
        <v>34777.199999999997</v>
      </c>
    </row>
    <row r="43" spans="1:10" s="9" customFormat="1" ht="16.149999999999999" customHeight="1" x14ac:dyDescent="0.3">
      <c r="A43" s="231"/>
      <c r="B43" s="232"/>
      <c r="C43" s="231"/>
      <c r="D43" s="430"/>
      <c r="E43" s="139"/>
      <c r="F43" s="49" t="s">
        <v>15</v>
      </c>
      <c r="G43" s="4"/>
      <c r="H43" s="5"/>
      <c r="I43" s="4"/>
    </row>
    <row r="44" spans="1:10" s="12" customFormat="1" ht="36.6" customHeight="1" x14ac:dyDescent="0.3">
      <c r="A44" s="231"/>
      <c r="B44" s="232"/>
      <c r="C44" s="231"/>
      <c r="D44" s="430"/>
      <c r="E44" s="137"/>
      <c r="F44" s="29" t="s">
        <v>12</v>
      </c>
      <c r="G44" s="26">
        <f t="shared" ref="G44:I44" si="12">+G46</f>
        <v>29650</v>
      </c>
      <c r="H44" s="26">
        <f t="shared" si="12"/>
        <v>29650</v>
      </c>
      <c r="I44" s="26">
        <f t="shared" si="12"/>
        <v>29650</v>
      </c>
    </row>
    <row r="45" spans="1:10" s="9" customFormat="1" ht="34.5" x14ac:dyDescent="0.3">
      <c r="A45" s="231"/>
      <c r="B45" s="232"/>
      <c r="C45" s="231"/>
      <c r="D45" s="430"/>
      <c r="E45" s="137"/>
      <c r="F45" s="49" t="s">
        <v>63</v>
      </c>
      <c r="G45" s="4"/>
      <c r="H45" s="27"/>
      <c r="I45" s="4"/>
    </row>
    <row r="46" spans="1:10" s="9" customFormat="1" ht="16.899999999999999" customHeight="1" x14ac:dyDescent="0.3">
      <c r="A46" s="231"/>
      <c r="B46" s="232"/>
      <c r="C46" s="231"/>
      <c r="D46" s="430"/>
      <c r="E46" s="137"/>
      <c r="F46" s="57" t="s">
        <v>7</v>
      </c>
      <c r="G46" s="5">
        <f t="shared" ref="G46:I46" si="13">G47</f>
        <v>29650</v>
      </c>
      <c r="H46" s="5">
        <f t="shared" si="13"/>
        <v>29650</v>
      </c>
      <c r="I46" s="5">
        <f t="shared" si="13"/>
        <v>29650</v>
      </c>
    </row>
    <row r="47" spans="1:10" s="9" customFormat="1" ht="16.899999999999999" customHeight="1" x14ac:dyDescent="0.3">
      <c r="A47" s="231"/>
      <c r="B47" s="232"/>
      <c r="C47" s="231"/>
      <c r="D47" s="430"/>
      <c r="E47" s="137"/>
      <c r="F47" s="49" t="s">
        <v>140</v>
      </c>
      <c r="G47" s="6">
        <f t="shared" ref="G47:I49" si="14">+G48</f>
        <v>29650</v>
      </c>
      <c r="H47" s="6">
        <f t="shared" si="14"/>
        <v>29650</v>
      </c>
      <c r="I47" s="6">
        <f t="shared" si="14"/>
        <v>29650</v>
      </c>
    </row>
    <row r="48" spans="1:10" s="9" customFormat="1" ht="16.149999999999999" customHeight="1" x14ac:dyDescent="0.3">
      <c r="A48" s="231"/>
      <c r="B48" s="232"/>
      <c r="C48" s="231"/>
      <c r="D48" s="430"/>
      <c r="E48" s="137"/>
      <c r="F48" s="49" t="s">
        <v>141</v>
      </c>
      <c r="G48" s="6">
        <f t="shared" si="14"/>
        <v>29650</v>
      </c>
      <c r="H48" s="6">
        <f t="shared" si="14"/>
        <v>29650</v>
      </c>
      <c r="I48" s="6">
        <f t="shared" si="14"/>
        <v>29650</v>
      </c>
    </row>
    <row r="49" spans="1:10" s="9" customFormat="1" ht="16.149999999999999" customHeight="1" x14ac:dyDescent="0.3">
      <c r="A49" s="231"/>
      <c r="B49" s="232"/>
      <c r="C49" s="231"/>
      <c r="D49" s="430"/>
      <c r="E49" s="137"/>
      <c r="F49" s="49" t="s">
        <v>498</v>
      </c>
      <c r="G49" s="22">
        <f t="shared" si="14"/>
        <v>29650</v>
      </c>
      <c r="H49" s="22">
        <f t="shared" si="14"/>
        <v>29650</v>
      </c>
      <c r="I49" s="22">
        <f t="shared" si="14"/>
        <v>29650</v>
      </c>
      <c r="J49" s="13"/>
    </row>
    <row r="50" spans="1:10" s="9" customFormat="1" ht="34.5" x14ac:dyDescent="0.3">
      <c r="A50" s="231"/>
      <c r="B50" s="232"/>
      <c r="C50" s="231"/>
      <c r="D50" s="430"/>
      <c r="E50" s="138"/>
      <c r="F50" s="51" t="s">
        <v>499</v>
      </c>
      <c r="G50" s="22">
        <f>+I50</f>
        <v>29650</v>
      </c>
      <c r="H50" s="22">
        <f>+I50</f>
        <v>29650</v>
      </c>
      <c r="I50" s="22">
        <f>+'Հավելված N 8'!G33</f>
        <v>29650</v>
      </c>
      <c r="J50" s="13"/>
    </row>
    <row r="51" spans="1:10" s="12" customFormat="1" ht="36.6" customHeight="1" x14ac:dyDescent="0.3">
      <c r="A51" s="231"/>
      <c r="B51" s="232"/>
      <c r="C51" s="231"/>
      <c r="D51" s="233"/>
      <c r="E51" s="137"/>
      <c r="F51" s="29" t="s">
        <v>134</v>
      </c>
      <c r="G51" s="26">
        <f t="shared" ref="G51:I51" si="15">+G53</f>
        <v>5127.2</v>
      </c>
      <c r="H51" s="26">
        <f t="shared" si="15"/>
        <v>5127.2</v>
      </c>
      <c r="I51" s="26">
        <f t="shared" si="15"/>
        <v>5127.2</v>
      </c>
    </row>
    <row r="52" spans="1:10" s="9" customFormat="1" ht="34.5" x14ac:dyDescent="0.3">
      <c r="A52" s="231"/>
      <c r="B52" s="232"/>
      <c r="C52" s="231"/>
      <c r="D52" s="233"/>
      <c r="E52" s="137"/>
      <c r="F52" s="49" t="s">
        <v>63</v>
      </c>
      <c r="G52" s="4"/>
      <c r="H52" s="27"/>
      <c r="I52" s="4"/>
    </row>
    <row r="53" spans="1:10" s="9" customFormat="1" ht="16.899999999999999" customHeight="1" x14ac:dyDescent="0.3">
      <c r="A53" s="231"/>
      <c r="B53" s="232"/>
      <c r="C53" s="231"/>
      <c r="D53" s="233"/>
      <c r="E53" s="137"/>
      <c r="F53" s="57" t="s">
        <v>7</v>
      </c>
      <c r="G53" s="5">
        <f t="shared" ref="G53:I53" si="16">G54</f>
        <v>5127.2</v>
      </c>
      <c r="H53" s="5">
        <f t="shared" si="16"/>
        <v>5127.2</v>
      </c>
      <c r="I53" s="5">
        <f t="shared" si="16"/>
        <v>5127.2</v>
      </c>
    </row>
    <row r="54" spans="1:10" s="9" customFormat="1" ht="16.899999999999999" customHeight="1" x14ac:dyDescent="0.3">
      <c r="A54" s="231"/>
      <c r="B54" s="232"/>
      <c r="C54" s="231"/>
      <c r="D54" s="233"/>
      <c r="E54" s="137"/>
      <c r="F54" s="49" t="s">
        <v>61</v>
      </c>
      <c r="G54" s="6">
        <f t="shared" ref="G54:I56" si="17">+G55</f>
        <v>5127.2</v>
      </c>
      <c r="H54" s="6">
        <f t="shared" si="17"/>
        <v>5127.2</v>
      </c>
      <c r="I54" s="6">
        <f t="shared" si="17"/>
        <v>5127.2</v>
      </c>
    </row>
    <row r="55" spans="1:10" s="9" customFormat="1" ht="16.149999999999999" customHeight="1" x14ac:dyDescent="0.3">
      <c r="A55" s="231"/>
      <c r="B55" s="232"/>
      <c r="C55" s="231"/>
      <c r="D55" s="233"/>
      <c r="E55" s="137"/>
      <c r="F55" s="49" t="s">
        <v>62</v>
      </c>
      <c r="G55" s="6">
        <f t="shared" si="17"/>
        <v>5127.2</v>
      </c>
      <c r="H55" s="6">
        <f t="shared" si="17"/>
        <v>5127.2</v>
      </c>
      <c r="I55" s="6">
        <f t="shared" si="17"/>
        <v>5127.2</v>
      </c>
    </row>
    <row r="56" spans="1:10" s="9" customFormat="1" ht="16.149999999999999" customHeight="1" x14ac:dyDescent="0.3">
      <c r="A56" s="231"/>
      <c r="B56" s="232"/>
      <c r="C56" s="231"/>
      <c r="D56" s="233"/>
      <c r="E56" s="137"/>
      <c r="F56" s="49" t="s">
        <v>168</v>
      </c>
      <c r="G56" s="22">
        <f t="shared" si="17"/>
        <v>5127.2</v>
      </c>
      <c r="H56" s="22">
        <f t="shared" si="17"/>
        <v>5127.2</v>
      </c>
      <c r="I56" s="22">
        <f t="shared" si="17"/>
        <v>5127.2</v>
      </c>
      <c r="J56" s="13"/>
    </row>
    <row r="57" spans="1:10" s="9" customFormat="1" x14ac:dyDescent="0.3">
      <c r="A57" s="231"/>
      <c r="B57" s="232"/>
      <c r="C57" s="231"/>
      <c r="D57" s="233"/>
      <c r="E57" s="138"/>
      <c r="F57" s="51" t="s">
        <v>169</v>
      </c>
      <c r="G57" s="22">
        <f>+'Հավելված N 7'!E96</f>
        <v>5127.2</v>
      </c>
      <c r="H57" s="22">
        <f>+'Հավելված N 7'!F96</f>
        <v>5127.2</v>
      </c>
      <c r="I57" s="22">
        <f>+'Հավելված N 7'!G96</f>
        <v>5127.2</v>
      </c>
      <c r="J57" s="13"/>
    </row>
    <row r="58" spans="1:10" s="9" customFormat="1" x14ac:dyDescent="0.25">
      <c r="A58" s="231"/>
      <c r="B58" s="232"/>
      <c r="C58" s="421" t="s">
        <v>501</v>
      </c>
      <c r="D58" s="427"/>
      <c r="E58" s="21"/>
      <c r="F58" s="56" t="s">
        <v>280</v>
      </c>
      <c r="G58" s="5">
        <f>+G60</f>
        <v>-52500</v>
      </c>
      <c r="H58" s="5">
        <f t="shared" ref="H58:I58" si="18">+H60</f>
        <v>-33180</v>
      </c>
      <c r="I58" s="5">
        <f t="shared" si="18"/>
        <v>-8319.4000000000015</v>
      </c>
    </row>
    <row r="59" spans="1:10" s="9" customFormat="1" ht="16.899999999999999" customHeight="1" x14ac:dyDescent="0.25">
      <c r="A59" s="231"/>
      <c r="B59" s="232"/>
      <c r="C59" s="422"/>
      <c r="D59" s="427"/>
      <c r="E59" s="21"/>
      <c r="F59" s="49" t="s">
        <v>6</v>
      </c>
      <c r="G59" s="10"/>
      <c r="H59" s="5"/>
      <c r="I59" s="10"/>
    </row>
    <row r="60" spans="1:10" s="9" customFormat="1" ht="34.5" x14ac:dyDescent="0.25">
      <c r="A60" s="231"/>
      <c r="B60" s="232"/>
      <c r="C60" s="422"/>
      <c r="D60" s="427"/>
      <c r="E60" s="21"/>
      <c r="F60" s="50" t="s">
        <v>12</v>
      </c>
      <c r="G60" s="5">
        <f>+G62</f>
        <v>-52500</v>
      </c>
      <c r="H60" s="5">
        <f t="shared" ref="H60:I60" si="19">+H62</f>
        <v>-33180</v>
      </c>
      <c r="I60" s="5">
        <f t="shared" si="19"/>
        <v>-8319.4000000000015</v>
      </c>
    </row>
    <row r="61" spans="1:10" s="9" customFormat="1" ht="16.899999999999999" customHeight="1" x14ac:dyDescent="0.25">
      <c r="A61" s="231"/>
      <c r="B61" s="232"/>
      <c r="C61" s="422"/>
      <c r="D61" s="427"/>
      <c r="E61" s="25"/>
      <c r="F61" s="49" t="s">
        <v>6</v>
      </c>
      <c r="G61" s="5"/>
      <c r="H61" s="5"/>
      <c r="I61" s="5"/>
    </row>
    <row r="62" spans="1:10" s="9" customFormat="1" ht="18" customHeight="1" x14ac:dyDescent="0.25">
      <c r="A62" s="231"/>
      <c r="B62" s="232"/>
      <c r="C62" s="422"/>
      <c r="D62" s="47">
        <v>1196</v>
      </c>
      <c r="E62" s="450" t="s">
        <v>502</v>
      </c>
      <c r="F62" s="451"/>
      <c r="G62" s="1">
        <f>+G64</f>
        <v>-52500</v>
      </c>
      <c r="H62" s="1">
        <f t="shared" ref="H62:I62" si="20">+H64</f>
        <v>-33180</v>
      </c>
      <c r="I62" s="1">
        <f t="shared" si="20"/>
        <v>-8319.4000000000015</v>
      </c>
    </row>
    <row r="63" spans="1:10" s="9" customFormat="1" ht="16.899999999999999" customHeight="1" x14ac:dyDescent="0.3">
      <c r="A63" s="231"/>
      <c r="B63" s="232"/>
      <c r="C63" s="422"/>
      <c r="D63" s="182"/>
      <c r="E63" s="46"/>
      <c r="F63" s="49" t="s">
        <v>6</v>
      </c>
      <c r="G63" s="1"/>
      <c r="H63" s="1"/>
      <c r="I63" s="1"/>
    </row>
    <row r="64" spans="1:10" s="9" customFormat="1" ht="34.5" x14ac:dyDescent="0.25">
      <c r="A64" s="231"/>
      <c r="B64" s="232"/>
      <c r="C64" s="231"/>
      <c r="D64" s="429"/>
      <c r="E64" s="65">
        <v>12002</v>
      </c>
      <c r="F64" s="169" t="s">
        <v>470</v>
      </c>
      <c r="G64" s="11">
        <f>+G66</f>
        <v>-52500</v>
      </c>
      <c r="H64" s="11">
        <f t="shared" ref="H64:I64" si="21">+H66</f>
        <v>-33180</v>
      </c>
      <c r="I64" s="11">
        <f t="shared" si="21"/>
        <v>-8319.4000000000015</v>
      </c>
    </row>
    <row r="65" spans="1:10" s="9" customFormat="1" ht="16.149999999999999" customHeight="1" x14ac:dyDescent="0.3">
      <c r="A65" s="231"/>
      <c r="B65" s="232"/>
      <c r="C65" s="231"/>
      <c r="D65" s="430"/>
      <c r="E65" s="139"/>
      <c r="F65" s="49" t="s">
        <v>15</v>
      </c>
      <c r="G65" s="4"/>
      <c r="H65" s="5"/>
      <c r="I65" s="4"/>
    </row>
    <row r="66" spans="1:10" s="12" customFormat="1" ht="36.6" customHeight="1" x14ac:dyDescent="0.3">
      <c r="A66" s="231"/>
      <c r="B66" s="232"/>
      <c r="C66" s="231"/>
      <c r="D66" s="430"/>
      <c r="E66" s="137"/>
      <c r="F66" s="29" t="s">
        <v>12</v>
      </c>
      <c r="G66" s="26">
        <f t="shared" ref="G66:I66" si="22">+G68</f>
        <v>-52500</v>
      </c>
      <c r="H66" s="26">
        <f t="shared" si="22"/>
        <v>-33180</v>
      </c>
      <c r="I66" s="26">
        <f t="shared" si="22"/>
        <v>-8319.4000000000015</v>
      </c>
    </row>
    <row r="67" spans="1:10" s="9" customFormat="1" ht="34.5" x14ac:dyDescent="0.3">
      <c r="A67" s="231"/>
      <c r="B67" s="232"/>
      <c r="C67" s="231"/>
      <c r="D67" s="430"/>
      <c r="E67" s="137"/>
      <c r="F67" s="49" t="s">
        <v>63</v>
      </c>
      <c r="G67" s="4"/>
      <c r="H67" s="27"/>
      <c r="I67" s="4"/>
    </row>
    <row r="68" spans="1:10" s="9" customFormat="1" ht="16.899999999999999" customHeight="1" x14ac:dyDescent="0.3">
      <c r="A68" s="231"/>
      <c r="B68" s="232"/>
      <c r="C68" s="231"/>
      <c r="D68" s="430"/>
      <c r="E68" s="137"/>
      <c r="F68" s="57" t="s">
        <v>7</v>
      </c>
      <c r="G68" s="5">
        <f t="shared" ref="G68:I68" si="23">G69</f>
        <v>-52500</v>
      </c>
      <c r="H68" s="5">
        <f t="shared" si="23"/>
        <v>-33180</v>
      </c>
      <c r="I68" s="5">
        <f t="shared" si="23"/>
        <v>-8319.4000000000015</v>
      </c>
    </row>
    <row r="69" spans="1:10" s="9" customFormat="1" ht="16.899999999999999" customHeight="1" x14ac:dyDescent="0.3">
      <c r="A69" s="231"/>
      <c r="B69" s="232"/>
      <c r="C69" s="231"/>
      <c r="D69" s="430"/>
      <c r="E69" s="137"/>
      <c r="F69" s="49" t="s">
        <v>61</v>
      </c>
      <c r="G69" s="6">
        <f t="shared" ref="G69:I71" si="24">+G70</f>
        <v>-52500</v>
      </c>
      <c r="H69" s="6">
        <f t="shared" si="24"/>
        <v>-33180</v>
      </c>
      <c r="I69" s="6">
        <f t="shared" si="24"/>
        <v>-8319.4000000000015</v>
      </c>
    </row>
    <row r="70" spans="1:10" s="9" customFormat="1" ht="16.149999999999999" customHeight="1" x14ac:dyDescent="0.3">
      <c r="A70" s="231"/>
      <c r="B70" s="232"/>
      <c r="C70" s="231"/>
      <c r="D70" s="430"/>
      <c r="E70" s="137"/>
      <c r="F70" s="49" t="s">
        <v>62</v>
      </c>
      <c r="G70" s="6">
        <f t="shared" si="24"/>
        <v>-52500</v>
      </c>
      <c r="H70" s="6">
        <f t="shared" si="24"/>
        <v>-33180</v>
      </c>
      <c r="I70" s="6">
        <f t="shared" si="24"/>
        <v>-8319.4000000000015</v>
      </c>
    </row>
    <row r="71" spans="1:10" s="9" customFormat="1" ht="16.149999999999999" customHeight="1" x14ac:dyDescent="0.3">
      <c r="A71" s="231"/>
      <c r="B71" s="232"/>
      <c r="C71" s="231"/>
      <c r="D71" s="430"/>
      <c r="E71" s="137"/>
      <c r="F71" s="49" t="s">
        <v>64</v>
      </c>
      <c r="G71" s="22">
        <f t="shared" si="24"/>
        <v>-52500</v>
      </c>
      <c r="H71" s="22">
        <f t="shared" si="24"/>
        <v>-33180</v>
      </c>
      <c r="I71" s="22">
        <f t="shared" si="24"/>
        <v>-8319.4000000000015</v>
      </c>
      <c r="J71" s="13"/>
    </row>
    <row r="72" spans="1:10" s="9" customFormat="1" x14ac:dyDescent="0.3">
      <c r="A72" s="231"/>
      <c r="B72" s="232"/>
      <c r="C72" s="231"/>
      <c r="D72" s="430"/>
      <c r="E72" s="138"/>
      <c r="F72" s="51" t="s">
        <v>110</v>
      </c>
      <c r="G72" s="22">
        <f>+'Հավելված N 7'!E108</f>
        <v>-52500</v>
      </c>
      <c r="H72" s="22">
        <f>+'Հավելված N 7'!F108</f>
        <v>-33180</v>
      </c>
      <c r="I72" s="22">
        <f>+'Հավելված N 7'!G108</f>
        <v>-8319.4000000000015</v>
      </c>
      <c r="J72" s="13"/>
    </row>
    <row r="73" spans="1:10" s="9" customFormat="1" x14ac:dyDescent="0.25">
      <c r="A73" s="231"/>
      <c r="B73" s="232"/>
      <c r="C73" s="421" t="s">
        <v>628</v>
      </c>
      <c r="D73" s="427"/>
      <c r="E73" s="21"/>
      <c r="F73" s="56" t="s">
        <v>629</v>
      </c>
      <c r="G73" s="5">
        <f>+G75</f>
        <v>10000</v>
      </c>
      <c r="H73" s="5">
        <f t="shared" ref="H73:I73" si="25">+H75</f>
        <v>10000</v>
      </c>
      <c r="I73" s="5">
        <f t="shared" si="25"/>
        <v>10000</v>
      </c>
    </row>
    <row r="74" spans="1:10" s="9" customFormat="1" ht="16.899999999999999" customHeight="1" x14ac:dyDescent="0.25">
      <c r="A74" s="231"/>
      <c r="B74" s="232"/>
      <c r="C74" s="422"/>
      <c r="D74" s="427"/>
      <c r="E74" s="21"/>
      <c r="F74" s="49" t="s">
        <v>6</v>
      </c>
      <c r="G74" s="10"/>
      <c r="H74" s="5"/>
      <c r="I74" s="10"/>
    </row>
    <row r="75" spans="1:10" s="9" customFormat="1" ht="34.5" x14ac:dyDescent="0.25">
      <c r="A75" s="231"/>
      <c r="B75" s="232"/>
      <c r="C75" s="422"/>
      <c r="D75" s="427"/>
      <c r="E75" s="21"/>
      <c r="F75" s="50" t="s">
        <v>12</v>
      </c>
      <c r="G75" s="5">
        <f>+G77</f>
        <v>10000</v>
      </c>
      <c r="H75" s="5">
        <f t="shared" ref="H75:I75" si="26">+H77</f>
        <v>10000</v>
      </c>
      <c r="I75" s="5">
        <f t="shared" si="26"/>
        <v>10000</v>
      </c>
    </row>
    <row r="76" spans="1:10" s="9" customFormat="1" ht="16.899999999999999" customHeight="1" x14ac:dyDescent="0.25">
      <c r="A76" s="231"/>
      <c r="B76" s="232"/>
      <c r="C76" s="422"/>
      <c r="D76" s="427"/>
      <c r="E76" s="25"/>
      <c r="F76" s="49" t="s">
        <v>6</v>
      </c>
      <c r="G76" s="5"/>
      <c r="H76" s="5"/>
      <c r="I76" s="5"/>
    </row>
    <row r="77" spans="1:10" s="9" customFormat="1" ht="18" customHeight="1" x14ac:dyDescent="0.25">
      <c r="A77" s="231"/>
      <c r="B77" s="232"/>
      <c r="C77" s="422"/>
      <c r="D77" s="47">
        <v>1075</v>
      </c>
      <c r="E77" s="428" t="s">
        <v>497</v>
      </c>
      <c r="F77" s="428"/>
      <c r="G77" s="1">
        <f>+G79</f>
        <v>10000</v>
      </c>
      <c r="H77" s="1">
        <f t="shared" ref="H77:I77" si="27">+H79</f>
        <v>10000</v>
      </c>
      <c r="I77" s="1">
        <f t="shared" si="27"/>
        <v>10000</v>
      </c>
    </row>
    <row r="78" spans="1:10" s="9" customFormat="1" ht="16.899999999999999" customHeight="1" x14ac:dyDescent="0.3">
      <c r="A78" s="231"/>
      <c r="B78" s="232"/>
      <c r="C78" s="422"/>
      <c r="D78" s="182"/>
      <c r="E78" s="46"/>
      <c r="F78" s="49" t="s">
        <v>6</v>
      </c>
      <c r="G78" s="1"/>
      <c r="H78" s="1"/>
      <c r="I78" s="1"/>
    </row>
    <row r="79" spans="1:10" s="9" customFormat="1" ht="51.75" x14ac:dyDescent="0.25">
      <c r="A79" s="231"/>
      <c r="B79" s="232"/>
      <c r="C79" s="422"/>
      <c r="D79" s="429"/>
      <c r="E79" s="47">
        <v>32009</v>
      </c>
      <c r="F79" s="282" t="s">
        <v>627</v>
      </c>
      <c r="G79" s="11">
        <f>+G81</f>
        <v>10000</v>
      </c>
      <c r="H79" s="11">
        <f t="shared" ref="H79:I79" si="28">+H81</f>
        <v>10000</v>
      </c>
      <c r="I79" s="11">
        <f t="shared" si="28"/>
        <v>10000</v>
      </c>
    </row>
    <row r="80" spans="1:10" s="9" customFormat="1" ht="16.149999999999999" customHeight="1" x14ac:dyDescent="0.3">
      <c r="A80" s="231"/>
      <c r="B80" s="232"/>
      <c r="C80" s="422"/>
      <c r="D80" s="430"/>
      <c r="E80" s="139"/>
      <c r="F80" s="49" t="s">
        <v>15</v>
      </c>
      <c r="G80" s="4"/>
      <c r="H80" s="5"/>
      <c r="I80" s="4"/>
    </row>
    <row r="81" spans="1:10" s="12" customFormat="1" ht="36.6" customHeight="1" x14ac:dyDescent="0.3">
      <c r="A81" s="231"/>
      <c r="B81" s="232"/>
      <c r="C81" s="422"/>
      <c r="D81" s="430"/>
      <c r="E81" s="137"/>
      <c r="F81" s="29" t="s">
        <v>12</v>
      </c>
      <c r="G81" s="26">
        <f t="shared" ref="G81:I81" si="29">+G83</f>
        <v>10000</v>
      </c>
      <c r="H81" s="26">
        <f t="shared" si="29"/>
        <v>10000</v>
      </c>
      <c r="I81" s="26">
        <f t="shared" si="29"/>
        <v>10000</v>
      </c>
    </row>
    <row r="82" spans="1:10" s="9" customFormat="1" ht="34.5" x14ac:dyDescent="0.3">
      <c r="A82" s="231"/>
      <c r="B82" s="232"/>
      <c r="C82" s="422"/>
      <c r="D82" s="430"/>
      <c r="E82" s="137"/>
      <c r="F82" s="49" t="s">
        <v>63</v>
      </c>
      <c r="G82" s="4"/>
      <c r="H82" s="27"/>
      <c r="I82" s="4"/>
    </row>
    <row r="83" spans="1:10" s="9" customFormat="1" ht="16.899999999999999" customHeight="1" x14ac:dyDescent="0.3">
      <c r="A83" s="231"/>
      <c r="B83" s="232"/>
      <c r="C83" s="422"/>
      <c r="D83" s="430"/>
      <c r="E83" s="137"/>
      <c r="F83" s="57" t="s">
        <v>7</v>
      </c>
      <c r="G83" s="5">
        <f t="shared" ref="G83:I83" si="30">G84</f>
        <v>10000</v>
      </c>
      <c r="H83" s="5">
        <f t="shared" si="30"/>
        <v>10000</v>
      </c>
      <c r="I83" s="5">
        <f t="shared" si="30"/>
        <v>10000</v>
      </c>
    </row>
    <row r="84" spans="1:10" s="9" customFormat="1" ht="16.899999999999999" customHeight="1" x14ac:dyDescent="0.3">
      <c r="A84" s="231"/>
      <c r="B84" s="232"/>
      <c r="C84" s="422"/>
      <c r="D84" s="430"/>
      <c r="E84" s="137"/>
      <c r="F84" s="49" t="s">
        <v>140</v>
      </c>
      <c r="G84" s="6">
        <f t="shared" ref="G84:I86" si="31">+G85</f>
        <v>10000</v>
      </c>
      <c r="H84" s="6">
        <f t="shared" si="31"/>
        <v>10000</v>
      </c>
      <c r="I84" s="6">
        <f t="shared" si="31"/>
        <v>10000</v>
      </c>
    </row>
    <row r="85" spans="1:10" s="9" customFormat="1" ht="16.149999999999999" customHeight="1" x14ac:dyDescent="0.3">
      <c r="A85" s="231"/>
      <c r="B85" s="232"/>
      <c r="C85" s="422"/>
      <c r="D85" s="430"/>
      <c r="E85" s="137"/>
      <c r="F85" s="49" t="s">
        <v>141</v>
      </c>
      <c r="G85" s="6">
        <f t="shared" si="31"/>
        <v>10000</v>
      </c>
      <c r="H85" s="6">
        <f t="shared" si="31"/>
        <v>10000</v>
      </c>
      <c r="I85" s="6">
        <f t="shared" si="31"/>
        <v>10000</v>
      </c>
    </row>
    <row r="86" spans="1:10" s="9" customFormat="1" ht="16.149999999999999" customHeight="1" x14ac:dyDescent="0.3">
      <c r="A86" s="231"/>
      <c r="B86" s="232"/>
      <c r="C86" s="422"/>
      <c r="D86" s="430"/>
      <c r="E86" s="137"/>
      <c r="F86" s="49" t="s">
        <v>498</v>
      </c>
      <c r="G86" s="22">
        <f t="shared" si="31"/>
        <v>10000</v>
      </c>
      <c r="H86" s="22">
        <f t="shared" si="31"/>
        <v>10000</v>
      </c>
      <c r="I86" s="22">
        <f t="shared" si="31"/>
        <v>10000</v>
      </c>
      <c r="J86" s="13"/>
    </row>
    <row r="87" spans="1:10" s="9" customFormat="1" ht="34.5" x14ac:dyDescent="0.3">
      <c r="A87" s="231"/>
      <c r="B87" s="232"/>
      <c r="C87" s="422"/>
      <c r="D87" s="430"/>
      <c r="E87" s="138"/>
      <c r="F87" s="51" t="s">
        <v>499</v>
      </c>
      <c r="G87" s="22">
        <f>+H87</f>
        <v>10000</v>
      </c>
      <c r="H87" s="22">
        <f>+I87</f>
        <v>10000</v>
      </c>
      <c r="I87" s="22">
        <f>+'Հավելված N 8'!G36</f>
        <v>10000</v>
      </c>
      <c r="J87" s="13"/>
    </row>
    <row r="88" spans="1:10" s="9" customFormat="1" x14ac:dyDescent="0.25">
      <c r="A88" s="231"/>
      <c r="B88" s="232"/>
      <c r="C88" s="421" t="s">
        <v>503</v>
      </c>
      <c r="D88" s="427"/>
      <c r="E88" s="21"/>
      <c r="F88" s="56" t="s">
        <v>474</v>
      </c>
      <c r="G88" s="5">
        <f>+G90</f>
        <v>8507.9</v>
      </c>
      <c r="H88" s="5">
        <f t="shared" ref="H88:I88" si="32">+H90</f>
        <v>8507.9</v>
      </c>
      <c r="I88" s="5">
        <f t="shared" si="32"/>
        <v>8507.9</v>
      </c>
    </row>
    <row r="89" spans="1:10" s="9" customFormat="1" ht="16.899999999999999" customHeight="1" x14ac:dyDescent="0.25">
      <c r="A89" s="231"/>
      <c r="B89" s="232"/>
      <c r="C89" s="422"/>
      <c r="D89" s="427"/>
      <c r="E89" s="21"/>
      <c r="F89" s="49" t="s">
        <v>6</v>
      </c>
      <c r="G89" s="10"/>
      <c r="H89" s="5"/>
      <c r="I89" s="10"/>
    </row>
    <row r="90" spans="1:10" s="9" customFormat="1" ht="34.5" x14ac:dyDescent="0.25">
      <c r="A90" s="231"/>
      <c r="B90" s="232"/>
      <c r="C90" s="422"/>
      <c r="D90" s="427"/>
      <c r="E90" s="21"/>
      <c r="F90" s="50" t="s">
        <v>12</v>
      </c>
      <c r="G90" s="5">
        <f>+G92</f>
        <v>8507.9</v>
      </c>
      <c r="H90" s="5">
        <f t="shared" ref="H90:I90" si="33">+H92</f>
        <v>8507.9</v>
      </c>
      <c r="I90" s="5">
        <f t="shared" si="33"/>
        <v>8507.9</v>
      </c>
    </row>
    <row r="91" spans="1:10" s="9" customFormat="1" ht="16.899999999999999" customHeight="1" x14ac:dyDescent="0.25">
      <c r="A91" s="231"/>
      <c r="B91" s="232"/>
      <c r="C91" s="422"/>
      <c r="D91" s="427"/>
      <c r="E91" s="25"/>
      <c r="F91" s="49" t="s">
        <v>6</v>
      </c>
      <c r="G91" s="5"/>
      <c r="H91" s="5"/>
      <c r="I91" s="5"/>
    </row>
    <row r="92" spans="1:10" s="9" customFormat="1" ht="18" customHeight="1" x14ac:dyDescent="0.25">
      <c r="A92" s="231"/>
      <c r="B92" s="232"/>
      <c r="C92" s="422"/>
      <c r="D92" s="47">
        <v>1168</v>
      </c>
      <c r="E92" s="450" t="s">
        <v>504</v>
      </c>
      <c r="F92" s="451"/>
      <c r="G92" s="1">
        <f>+G94+G103</f>
        <v>8507.9</v>
      </c>
      <c r="H92" s="1">
        <f t="shared" ref="H92:I92" si="34">+H94+H103</f>
        <v>8507.9</v>
      </c>
      <c r="I92" s="1">
        <f t="shared" si="34"/>
        <v>8507.9</v>
      </c>
    </row>
    <row r="93" spans="1:10" s="9" customFormat="1" ht="16.899999999999999" customHeight="1" x14ac:dyDescent="0.3">
      <c r="A93" s="231"/>
      <c r="B93" s="232"/>
      <c r="C93" s="422"/>
      <c r="D93" s="182"/>
      <c r="E93" s="46"/>
      <c r="F93" s="49" t="s">
        <v>6</v>
      </c>
      <c r="G93" s="1"/>
      <c r="H93" s="1"/>
      <c r="I93" s="1"/>
    </row>
    <row r="94" spans="1:10" s="9" customFormat="1" ht="51.75" x14ac:dyDescent="0.25">
      <c r="A94" s="231"/>
      <c r="B94" s="232"/>
      <c r="C94" s="422"/>
      <c r="D94" s="429"/>
      <c r="E94" s="65">
        <v>32001</v>
      </c>
      <c r="F94" s="169" t="s">
        <v>185</v>
      </c>
      <c r="G94" s="11">
        <f>+G96</f>
        <v>2412.2999999999997</v>
      </c>
      <c r="H94" s="11">
        <f t="shared" ref="H94:I94" si="35">+H96</f>
        <v>2412.2999999999997</v>
      </c>
      <c r="I94" s="11">
        <f t="shared" si="35"/>
        <v>2412.2999999999997</v>
      </c>
    </row>
    <row r="95" spans="1:10" s="9" customFormat="1" ht="16.149999999999999" customHeight="1" x14ac:dyDescent="0.3">
      <c r="A95" s="231"/>
      <c r="B95" s="232"/>
      <c r="C95" s="422"/>
      <c r="D95" s="430"/>
      <c r="E95" s="139"/>
      <c r="F95" s="49" t="s">
        <v>15</v>
      </c>
      <c r="G95" s="4"/>
      <c r="H95" s="5"/>
      <c r="I95" s="4"/>
    </row>
    <row r="96" spans="1:10" s="12" customFormat="1" ht="36.6" customHeight="1" x14ac:dyDescent="0.3">
      <c r="A96" s="231"/>
      <c r="B96" s="232"/>
      <c r="C96" s="422"/>
      <c r="D96" s="430"/>
      <c r="E96" s="137"/>
      <c r="F96" s="29" t="s">
        <v>12</v>
      </c>
      <c r="G96" s="26">
        <f t="shared" ref="G96:I96" si="36">+G98</f>
        <v>2412.2999999999997</v>
      </c>
      <c r="H96" s="26">
        <f t="shared" si="36"/>
        <v>2412.2999999999997</v>
      </c>
      <c r="I96" s="26">
        <f t="shared" si="36"/>
        <v>2412.2999999999997</v>
      </c>
    </row>
    <row r="97" spans="1:10" s="9" customFormat="1" ht="34.5" x14ac:dyDescent="0.3">
      <c r="A97" s="231"/>
      <c r="B97" s="232"/>
      <c r="C97" s="422"/>
      <c r="D97" s="430"/>
      <c r="E97" s="137"/>
      <c r="F97" s="49" t="s">
        <v>63</v>
      </c>
      <c r="G97" s="4"/>
      <c r="H97" s="27"/>
      <c r="I97" s="4"/>
    </row>
    <row r="98" spans="1:10" s="9" customFormat="1" ht="16.899999999999999" customHeight="1" x14ac:dyDescent="0.3">
      <c r="A98" s="231"/>
      <c r="B98" s="232"/>
      <c r="C98" s="422"/>
      <c r="D98" s="430"/>
      <c r="E98" s="137"/>
      <c r="F98" s="57" t="s">
        <v>7</v>
      </c>
      <c r="G98" s="5">
        <f t="shared" ref="G98:I98" si="37">G99</f>
        <v>2412.2999999999997</v>
      </c>
      <c r="H98" s="5">
        <f t="shared" si="37"/>
        <v>2412.2999999999997</v>
      </c>
      <c r="I98" s="5">
        <f t="shared" si="37"/>
        <v>2412.2999999999997</v>
      </c>
    </row>
    <row r="99" spans="1:10" s="9" customFormat="1" ht="16.899999999999999" customHeight="1" x14ac:dyDescent="0.3">
      <c r="A99" s="231"/>
      <c r="B99" s="232"/>
      <c r="C99" s="422"/>
      <c r="D99" s="430"/>
      <c r="E99" s="137"/>
      <c r="F99" s="49" t="s">
        <v>61</v>
      </c>
      <c r="G99" s="6">
        <f t="shared" ref="G99:I101" si="38">+G100</f>
        <v>2412.2999999999997</v>
      </c>
      <c r="H99" s="6">
        <f t="shared" si="38"/>
        <v>2412.2999999999997</v>
      </c>
      <c r="I99" s="6">
        <f t="shared" si="38"/>
        <v>2412.2999999999997</v>
      </c>
    </row>
    <row r="100" spans="1:10" s="9" customFormat="1" ht="16.149999999999999" customHeight="1" x14ac:dyDescent="0.3">
      <c r="A100" s="231"/>
      <c r="B100" s="232"/>
      <c r="C100" s="422"/>
      <c r="D100" s="430"/>
      <c r="E100" s="137"/>
      <c r="F100" s="49" t="s">
        <v>62</v>
      </c>
      <c r="G100" s="6">
        <f t="shared" si="38"/>
        <v>2412.2999999999997</v>
      </c>
      <c r="H100" s="6">
        <f t="shared" si="38"/>
        <v>2412.2999999999997</v>
      </c>
      <c r="I100" s="6">
        <f t="shared" si="38"/>
        <v>2412.2999999999997</v>
      </c>
    </row>
    <row r="101" spans="1:10" s="9" customFormat="1" ht="16.149999999999999" customHeight="1" x14ac:dyDescent="0.3">
      <c r="A101" s="231"/>
      <c r="B101" s="232"/>
      <c r="C101" s="422"/>
      <c r="D101" s="430"/>
      <c r="E101" s="137"/>
      <c r="F101" s="49" t="s">
        <v>64</v>
      </c>
      <c r="G101" s="22">
        <f t="shared" si="38"/>
        <v>2412.2999999999997</v>
      </c>
      <c r="H101" s="22">
        <f t="shared" si="38"/>
        <v>2412.2999999999997</v>
      </c>
      <c r="I101" s="22">
        <f t="shared" si="38"/>
        <v>2412.2999999999997</v>
      </c>
      <c r="J101" s="13"/>
    </row>
    <row r="102" spans="1:10" s="9" customFormat="1" x14ac:dyDescent="0.3">
      <c r="A102" s="231"/>
      <c r="B102" s="232"/>
      <c r="C102" s="422"/>
      <c r="D102" s="430"/>
      <c r="E102" s="138"/>
      <c r="F102" s="51" t="s">
        <v>110</v>
      </c>
      <c r="G102" s="22">
        <f>+'Հավելված N 7'!E102</f>
        <v>2412.2999999999997</v>
      </c>
      <c r="H102" s="22">
        <f>+'Հավելված N 7'!F102</f>
        <v>2412.2999999999997</v>
      </c>
      <c r="I102" s="22">
        <f>+'Հավելված N 7'!G102</f>
        <v>2412.2999999999997</v>
      </c>
      <c r="J102" s="13"/>
    </row>
    <row r="103" spans="1:10" s="9" customFormat="1" ht="34.5" x14ac:dyDescent="0.25">
      <c r="A103" s="231"/>
      <c r="B103" s="232"/>
      <c r="C103" s="422"/>
      <c r="D103" s="429"/>
      <c r="E103" s="47">
        <v>32007</v>
      </c>
      <c r="F103" s="48" t="s">
        <v>506</v>
      </c>
      <c r="G103" s="11">
        <f>+G105</f>
        <v>6095.6</v>
      </c>
      <c r="H103" s="11">
        <f t="shared" ref="H103:I103" si="39">+H105</f>
        <v>6095.6</v>
      </c>
      <c r="I103" s="11">
        <f t="shared" si="39"/>
        <v>6095.6</v>
      </c>
    </row>
    <row r="104" spans="1:10" s="9" customFormat="1" ht="16.149999999999999" customHeight="1" x14ac:dyDescent="0.3">
      <c r="A104" s="231"/>
      <c r="B104" s="232"/>
      <c r="C104" s="422"/>
      <c r="D104" s="430"/>
      <c r="E104" s="139"/>
      <c r="F104" s="49" t="s">
        <v>15</v>
      </c>
      <c r="G104" s="4"/>
      <c r="H104" s="5"/>
      <c r="I104" s="4"/>
    </row>
    <row r="105" spans="1:10" s="12" customFormat="1" ht="36.6" customHeight="1" x14ac:dyDescent="0.3">
      <c r="A105" s="231"/>
      <c r="B105" s="232"/>
      <c r="C105" s="422"/>
      <c r="D105" s="430"/>
      <c r="E105" s="137"/>
      <c r="F105" s="29" t="s">
        <v>12</v>
      </c>
      <c r="G105" s="26">
        <f t="shared" ref="G105:I105" si="40">+G107</f>
        <v>6095.6</v>
      </c>
      <c r="H105" s="26">
        <f t="shared" si="40"/>
        <v>6095.6</v>
      </c>
      <c r="I105" s="26">
        <f t="shared" si="40"/>
        <v>6095.6</v>
      </c>
    </row>
    <row r="106" spans="1:10" s="9" customFormat="1" ht="34.5" x14ac:dyDescent="0.3">
      <c r="A106" s="231"/>
      <c r="B106" s="232"/>
      <c r="C106" s="422"/>
      <c r="D106" s="430"/>
      <c r="E106" s="137"/>
      <c r="F106" s="49" t="s">
        <v>63</v>
      </c>
      <c r="G106" s="4"/>
      <c r="H106" s="27"/>
      <c r="I106" s="4"/>
    </row>
    <row r="107" spans="1:10" s="9" customFormat="1" ht="16.899999999999999" customHeight="1" x14ac:dyDescent="0.3">
      <c r="A107" s="231"/>
      <c r="B107" s="232"/>
      <c r="C107" s="422"/>
      <c r="D107" s="430"/>
      <c r="E107" s="137"/>
      <c r="F107" s="57" t="s">
        <v>7</v>
      </c>
      <c r="G107" s="5">
        <f t="shared" ref="G107:I107" si="41">G108</f>
        <v>6095.6</v>
      </c>
      <c r="H107" s="5">
        <f t="shared" si="41"/>
        <v>6095.6</v>
      </c>
      <c r="I107" s="5">
        <f t="shared" si="41"/>
        <v>6095.6</v>
      </c>
    </row>
    <row r="108" spans="1:10" s="9" customFormat="1" ht="16.899999999999999" customHeight="1" x14ac:dyDescent="0.3">
      <c r="A108" s="231"/>
      <c r="B108" s="232"/>
      <c r="C108" s="422"/>
      <c r="D108" s="430"/>
      <c r="E108" s="137"/>
      <c r="F108" s="49" t="s">
        <v>140</v>
      </c>
      <c r="G108" s="6">
        <f t="shared" ref="G108:I110" si="42">+G109</f>
        <v>6095.6</v>
      </c>
      <c r="H108" s="6">
        <f t="shared" si="42"/>
        <v>6095.6</v>
      </c>
      <c r="I108" s="6">
        <f t="shared" si="42"/>
        <v>6095.6</v>
      </c>
    </row>
    <row r="109" spans="1:10" s="9" customFormat="1" ht="16.149999999999999" customHeight="1" x14ac:dyDescent="0.3">
      <c r="A109" s="231"/>
      <c r="B109" s="232"/>
      <c r="C109" s="422"/>
      <c r="D109" s="430"/>
      <c r="E109" s="137"/>
      <c r="F109" s="49" t="s">
        <v>141</v>
      </c>
      <c r="G109" s="6">
        <f t="shared" si="42"/>
        <v>6095.6</v>
      </c>
      <c r="H109" s="6">
        <f t="shared" si="42"/>
        <v>6095.6</v>
      </c>
      <c r="I109" s="6">
        <f t="shared" si="42"/>
        <v>6095.6</v>
      </c>
    </row>
    <row r="110" spans="1:10" s="9" customFormat="1" ht="16.149999999999999" customHeight="1" x14ac:dyDescent="0.3">
      <c r="A110" s="231"/>
      <c r="B110" s="232"/>
      <c r="C110" s="422"/>
      <c r="D110" s="430"/>
      <c r="E110" s="137"/>
      <c r="F110" s="49" t="s">
        <v>498</v>
      </c>
      <c r="G110" s="22">
        <f t="shared" si="42"/>
        <v>6095.6</v>
      </c>
      <c r="H110" s="22">
        <f t="shared" si="42"/>
        <v>6095.6</v>
      </c>
      <c r="I110" s="22">
        <f t="shared" si="42"/>
        <v>6095.6</v>
      </c>
      <c r="J110" s="13"/>
    </row>
    <row r="111" spans="1:10" s="9" customFormat="1" ht="34.5" x14ac:dyDescent="0.3">
      <c r="A111" s="231"/>
      <c r="B111" s="232"/>
      <c r="C111" s="422"/>
      <c r="D111" s="430"/>
      <c r="E111" s="138"/>
      <c r="F111" s="51" t="s">
        <v>499</v>
      </c>
      <c r="G111" s="22">
        <f>+I111</f>
        <v>6095.6</v>
      </c>
      <c r="H111" s="22">
        <f>+I111</f>
        <v>6095.6</v>
      </c>
      <c r="I111" s="22">
        <f>+'Հավելված N 8'!G40</f>
        <v>6095.6</v>
      </c>
      <c r="J111" s="13"/>
    </row>
    <row r="112" spans="1:10" s="9" customFormat="1" ht="34.5" x14ac:dyDescent="0.25">
      <c r="A112" s="231"/>
      <c r="B112" s="232"/>
      <c r="C112" s="421" t="s">
        <v>507</v>
      </c>
      <c r="D112" s="427"/>
      <c r="E112" s="21"/>
      <c r="F112" s="56" t="s">
        <v>236</v>
      </c>
      <c r="G112" s="5">
        <f>+G114</f>
        <v>10122.400000000009</v>
      </c>
      <c r="H112" s="5">
        <f t="shared" ref="H112:I112" si="43">+H114</f>
        <v>-3210.3999999999796</v>
      </c>
      <c r="I112" s="5">
        <f t="shared" si="43"/>
        <v>-24069.199999999997</v>
      </c>
    </row>
    <row r="113" spans="1:10" s="9" customFormat="1" ht="16.899999999999999" customHeight="1" x14ac:dyDescent="0.25">
      <c r="A113" s="231"/>
      <c r="B113" s="232"/>
      <c r="C113" s="422"/>
      <c r="D113" s="427"/>
      <c r="E113" s="21"/>
      <c r="F113" s="49" t="s">
        <v>6</v>
      </c>
      <c r="G113" s="10"/>
      <c r="H113" s="5"/>
      <c r="I113" s="10"/>
    </row>
    <row r="114" spans="1:10" s="9" customFormat="1" ht="34.5" x14ac:dyDescent="0.25">
      <c r="A114" s="231"/>
      <c r="B114" s="232"/>
      <c r="C114" s="422"/>
      <c r="D114" s="427"/>
      <c r="E114" s="21"/>
      <c r="F114" s="50" t="s">
        <v>12</v>
      </c>
      <c r="G114" s="5">
        <f>+G116</f>
        <v>10122.400000000009</v>
      </c>
      <c r="H114" s="5">
        <f t="shared" ref="H114:I114" si="44">+H116</f>
        <v>-3210.3999999999796</v>
      </c>
      <c r="I114" s="5">
        <f t="shared" si="44"/>
        <v>-24069.199999999997</v>
      </c>
    </row>
    <row r="115" spans="1:10" s="9" customFormat="1" ht="16.899999999999999" customHeight="1" x14ac:dyDescent="0.25">
      <c r="A115" s="231"/>
      <c r="B115" s="232"/>
      <c r="C115" s="422"/>
      <c r="D115" s="427"/>
      <c r="E115" s="25"/>
      <c r="F115" s="49" t="s">
        <v>6</v>
      </c>
      <c r="G115" s="5"/>
      <c r="H115" s="5"/>
      <c r="I115" s="5"/>
    </row>
    <row r="116" spans="1:10" s="9" customFormat="1" ht="18" customHeight="1" x14ac:dyDescent="0.25">
      <c r="A116" s="231"/>
      <c r="B116" s="232"/>
      <c r="C116" s="422"/>
      <c r="D116" s="47">
        <v>1075</v>
      </c>
      <c r="E116" s="450" t="s">
        <v>497</v>
      </c>
      <c r="F116" s="451"/>
      <c r="G116" s="1">
        <f>+G118</f>
        <v>10122.400000000009</v>
      </c>
      <c r="H116" s="1">
        <f t="shared" ref="H116:I116" si="45">+H118</f>
        <v>-3210.3999999999796</v>
      </c>
      <c r="I116" s="1">
        <f t="shared" si="45"/>
        <v>-24069.199999999997</v>
      </c>
    </row>
    <row r="117" spans="1:10" s="9" customFormat="1" ht="16.899999999999999" customHeight="1" x14ac:dyDescent="0.3">
      <c r="A117" s="231"/>
      <c r="B117" s="232"/>
      <c r="C117" s="422"/>
      <c r="D117" s="182"/>
      <c r="E117" s="46"/>
      <c r="F117" s="49" t="s">
        <v>6</v>
      </c>
      <c r="G117" s="1"/>
      <c r="H117" s="1"/>
      <c r="I117" s="1"/>
    </row>
    <row r="118" spans="1:10" s="9" customFormat="1" ht="34.5" x14ac:dyDescent="0.25">
      <c r="A118" s="231"/>
      <c r="B118" s="232"/>
      <c r="C118" s="422"/>
      <c r="D118" s="429"/>
      <c r="E118" s="47">
        <v>21001</v>
      </c>
      <c r="F118" s="223" t="s">
        <v>177</v>
      </c>
      <c r="G118" s="11">
        <f>+G120</f>
        <v>10122.400000000009</v>
      </c>
      <c r="H118" s="11">
        <f t="shared" ref="H118:I118" si="46">+H120</f>
        <v>-3210.3999999999796</v>
      </c>
      <c r="I118" s="11">
        <f t="shared" si="46"/>
        <v>-24069.199999999997</v>
      </c>
    </row>
    <row r="119" spans="1:10" s="9" customFormat="1" ht="16.149999999999999" customHeight="1" x14ac:dyDescent="0.3">
      <c r="A119" s="231"/>
      <c r="B119" s="232"/>
      <c r="C119" s="422"/>
      <c r="D119" s="430"/>
      <c r="E119" s="139"/>
      <c r="F119" s="49" t="s">
        <v>15</v>
      </c>
      <c r="G119" s="4"/>
      <c r="H119" s="5"/>
      <c r="I119" s="4"/>
    </row>
    <row r="120" spans="1:10" s="12" customFormat="1" ht="36.6" customHeight="1" x14ac:dyDescent="0.25">
      <c r="A120" s="231"/>
      <c r="B120" s="232"/>
      <c r="C120" s="422"/>
      <c r="D120" s="430"/>
      <c r="E120" s="416"/>
      <c r="F120" s="29" t="s">
        <v>12</v>
      </c>
      <c r="G120" s="26">
        <f t="shared" ref="G120:I120" si="47">+G122</f>
        <v>10122.400000000009</v>
      </c>
      <c r="H120" s="26">
        <f t="shared" si="47"/>
        <v>-3210.3999999999796</v>
      </c>
      <c r="I120" s="26">
        <f t="shared" si="47"/>
        <v>-24069.199999999997</v>
      </c>
      <c r="J120" s="280"/>
    </row>
    <row r="121" spans="1:10" s="9" customFormat="1" ht="34.5" x14ac:dyDescent="0.25">
      <c r="A121" s="231"/>
      <c r="B121" s="232"/>
      <c r="C121" s="422"/>
      <c r="D121" s="430"/>
      <c r="E121" s="417"/>
      <c r="F121" s="49" t="s">
        <v>63</v>
      </c>
      <c r="G121" s="4"/>
      <c r="H121" s="27"/>
      <c r="I121" s="4"/>
    </row>
    <row r="122" spans="1:10" s="9" customFormat="1" ht="16.899999999999999" customHeight="1" x14ac:dyDescent="0.25">
      <c r="A122" s="231"/>
      <c r="B122" s="232"/>
      <c r="C122" s="422"/>
      <c r="D122" s="430"/>
      <c r="E122" s="417"/>
      <c r="F122" s="57" t="s">
        <v>7</v>
      </c>
      <c r="G122" s="5">
        <f>+G123+G127</f>
        <v>10122.400000000009</v>
      </c>
      <c r="H122" s="5">
        <f t="shared" ref="H122:I122" si="48">+H123+H127</f>
        <v>-3210.3999999999796</v>
      </c>
      <c r="I122" s="5">
        <f t="shared" si="48"/>
        <v>-24069.199999999997</v>
      </c>
    </row>
    <row r="123" spans="1:10" s="9" customFormat="1" ht="16.899999999999999" customHeight="1" x14ac:dyDescent="0.25">
      <c r="A123" s="231"/>
      <c r="B123" s="232"/>
      <c r="C123" s="422"/>
      <c r="D123" s="430"/>
      <c r="E123" s="417"/>
      <c r="F123" s="49" t="s">
        <v>140</v>
      </c>
      <c r="G123" s="6">
        <f t="shared" ref="G123:I125" si="49">+G124</f>
        <v>128103.3</v>
      </c>
      <c r="H123" s="6">
        <f t="shared" si="49"/>
        <v>128103.3</v>
      </c>
      <c r="I123" s="6">
        <f t="shared" si="49"/>
        <v>128103.3</v>
      </c>
    </row>
    <row r="124" spans="1:10" s="9" customFormat="1" ht="16.149999999999999" customHeight="1" x14ac:dyDescent="0.25">
      <c r="A124" s="231"/>
      <c r="B124" s="232"/>
      <c r="C124" s="422"/>
      <c r="D124" s="430"/>
      <c r="E124" s="417"/>
      <c r="F124" s="49" t="s">
        <v>141</v>
      </c>
      <c r="G124" s="6">
        <f t="shared" si="49"/>
        <v>128103.3</v>
      </c>
      <c r="H124" s="6">
        <f t="shared" si="49"/>
        <v>128103.3</v>
      </c>
      <c r="I124" s="6">
        <f t="shared" si="49"/>
        <v>128103.3</v>
      </c>
    </row>
    <row r="125" spans="1:10" s="9" customFormat="1" ht="16.149999999999999" customHeight="1" x14ac:dyDescent="0.25">
      <c r="A125" s="231"/>
      <c r="B125" s="232"/>
      <c r="C125" s="422"/>
      <c r="D125" s="430"/>
      <c r="E125" s="417"/>
      <c r="F125" s="49" t="s">
        <v>498</v>
      </c>
      <c r="G125" s="22">
        <f t="shared" si="49"/>
        <v>128103.3</v>
      </c>
      <c r="H125" s="22">
        <f t="shared" si="49"/>
        <v>128103.3</v>
      </c>
      <c r="I125" s="22">
        <f t="shared" si="49"/>
        <v>128103.3</v>
      </c>
      <c r="J125" s="13"/>
    </row>
    <row r="126" spans="1:10" s="9" customFormat="1" ht="34.5" x14ac:dyDescent="0.25">
      <c r="A126" s="231"/>
      <c r="B126" s="232"/>
      <c r="C126" s="422"/>
      <c r="D126" s="430"/>
      <c r="E126" s="417"/>
      <c r="F126" s="51" t="s">
        <v>499</v>
      </c>
      <c r="G126" s="22">
        <f>+I126</f>
        <v>128103.3</v>
      </c>
      <c r="H126" s="22">
        <f>+I126</f>
        <v>128103.3</v>
      </c>
      <c r="I126" s="22">
        <f>+'Հավելված N 8'!G16</f>
        <v>128103.3</v>
      </c>
      <c r="J126" s="13"/>
    </row>
    <row r="127" spans="1:10" s="9" customFormat="1" ht="16.899999999999999" customHeight="1" x14ac:dyDescent="0.25">
      <c r="A127" s="231"/>
      <c r="B127" s="232"/>
      <c r="C127" s="231"/>
      <c r="D127" s="233"/>
      <c r="E127" s="417"/>
      <c r="F127" s="49" t="s">
        <v>61</v>
      </c>
      <c r="G127" s="6">
        <f t="shared" ref="G127:I131" si="50">+G128</f>
        <v>-117980.9</v>
      </c>
      <c r="H127" s="6">
        <f t="shared" si="50"/>
        <v>-131313.69999999998</v>
      </c>
      <c r="I127" s="6">
        <f t="shared" si="50"/>
        <v>-152172.5</v>
      </c>
    </row>
    <row r="128" spans="1:10" s="9" customFormat="1" ht="16.149999999999999" customHeight="1" x14ac:dyDescent="0.25">
      <c r="A128" s="231"/>
      <c r="B128" s="232"/>
      <c r="C128" s="231"/>
      <c r="D128" s="233"/>
      <c r="E128" s="417"/>
      <c r="F128" s="49" t="s">
        <v>62</v>
      </c>
      <c r="G128" s="6">
        <f>+G129+G131</f>
        <v>-117980.9</v>
      </c>
      <c r="H128" s="6">
        <f t="shared" ref="H128:I128" si="51">+H129+H131</f>
        <v>-131313.69999999998</v>
      </c>
      <c r="I128" s="6">
        <f t="shared" si="51"/>
        <v>-152172.5</v>
      </c>
    </row>
    <row r="129" spans="1:10" s="9" customFormat="1" ht="16.149999999999999" customHeight="1" x14ac:dyDescent="0.25">
      <c r="A129" s="231"/>
      <c r="B129" s="232"/>
      <c r="C129" s="231"/>
      <c r="D129" s="233"/>
      <c r="E129" s="417"/>
      <c r="F129" s="49" t="s">
        <v>64</v>
      </c>
      <c r="G129" s="22">
        <f t="shared" si="50"/>
        <v>-2104.5</v>
      </c>
      <c r="H129" s="22">
        <f t="shared" si="50"/>
        <v>-15437.3</v>
      </c>
      <c r="I129" s="22">
        <f t="shared" si="50"/>
        <v>-22645.1</v>
      </c>
      <c r="J129" s="13"/>
    </row>
    <row r="130" spans="1:10" s="9" customFormat="1" x14ac:dyDescent="0.25">
      <c r="A130" s="231"/>
      <c r="B130" s="232"/>
      <c r="C130" s="231"/>
      <c r="D130" s="233"/>
      <c r="E130" s="417"/>
      <c r="F130" s="51" t="s">
        <v>110</v>
      </c>
      <c r="G130" s="22">
        <f>+'Հավելված N 7'!E45</f>
        <v>-2104.5</v>
      </c>
      <c r="H130" s="22">
        <f>+'Հավելված N 7'!F45</f>
        <v>-15437.3</v>
      </c>
      <c r="I130" s="22">
        <f>+'Հավելված N 7'!G45</f>
        <v>-22645.1</v>
      </c>
      <c r="J130" s="13"/>
    </row>
    <row r="131" spans="1:10" s="9" customFormat="1" ht="16.149999999999999" customHeight="1" x14ac:dyDescent="0.25">
      <c r="A131" s="231"/>
      <c r="B131" s="232"/>
      <c r="C131" s="231"/>
      <c r="D131" s="233"/>
      <c r="E131" s="417"/>
      <c r="F131" s="49" t="s">
        <v>158</v>
      </c>
      <c r="G131" s="22">
        <f t="shared" si="50"/>
        <v>-115876.4</v>
      </c>
      <c r="H131" s="22">
        <f t="shared" si="50"/>
        <v>-115876.4</v>
      </c>
      <c r="I131" s="22">
        <f t="shared" si="50"/>
        <v>-129527.4</v>
      </c>
      <c r="J131" s="13"/>
    </row>
    <row r="132" spans="1:10" s="9" customFormat="1" x14ac:dyDescent="0.25">
      <c r="A132" s="231"/>
      <c r="B132" s="232"/>
      <c r="C132" s="231"/>
      <c r="D132" s="233"/>
      <c r="E132" s="418"/>
      <c r="F132" s="51" t="s">
        <v>159</v>
      </c>
      <c r="G132" s="22">
        <f>+'Հավելված N 7'!E60</f>
        <v>-115876.4</v>
      </c>
      <c r="H132" s="22">
        <f>+'Հավելված N 7'!F60</f>
        <v>-115876.4</v>
      </c>
      <c r="I132" s="22">
        <f>+'Հավելված N 7'!G60</f>
        <v>-129527.4</v>
      </c>
      <c r="J132" s="13"/>
    </row>
    <row r="133" spans="1:10" s="9" customFormat="1" ht="17.649999999999999" customHeight="1" x14ac:dyDescent="0.25">
      <c r="A133" s="426" t="s">
        <v>27</v>
      </c>
      <c r="B133" s="423"/>
      <c r="C133" s="20"/>
      <c r="D133" s="433"/>
      <c r="E133" s="20"/>
      <c r="F133" s="56" t="s">
        <v>29</v>
      </c>
      <c r="G133" s="1">
        <f>+G135+G159+G204+G248</f>
        <v>1059958.5</v>
      </c>
      <c r="H133" s="1">
        <f>+H135+H159+H204+H248</f>
        <v>961906.09999999986</v>
      </c>
      <c r="I133" s="1">
        <f>+I135+I159+I204+I248</f>
        <v>-61874.699999999968</v>
      </c>
    </row>
    <row r="134" spans="1:10" s="9" customFormat="1" ht="16.899999999999999" customHeight="1" x14ac:dyDescent="0.25">
      <c r="A134" s="426"/>
      <c r="B134" s="423"/>
      <c r="C134" s="21"/>
      <c r="D134" s="434"/>
      <c r="E134" s="21"/>
      <c r="F134" s="49" t="s">
        <v>6</v>
      </c>
      <c r="G134" s="4"/>
      <c r="H134" s="5"/>
      <c r="I134" s="4"/>
    </row>
    <row r="135" spans="1:10" s="9" customFormat="1" ht="34.5" x14ac:dyDescent="0.25">
      <c r="A135" s="426"/>
      <c r="B135" s="424" t="s">
        <v>28</v>
      </c>
      <c r="C135" s="140"/>
      <c r="D135" s="434"/>
      <c r="E135" s="21"/>
      <c r="F135" s="56" t="s">
        <v>84</v>
      </c>
      <c r="G135" s="5">
        <f t="shared" ref="G135:I135" si="52">+G137</f>
        <v>4591.3999999999996</v>
      </c>
      <c r="H135" s="5">
        <f t="shared" si="52"/>
        <v>4591.3999999999996</v>
      </c>
      <c r="I135" s="5">
        <f t="shared" si="52"/>
        <v>-30890.800000000003</v>
      </c>
    </row>
    <row r="136" spans="1:10" s="9" customFormat="1" ht="18" customHeight="1" x14ac:dyDescent="0.25">
      <c r="A136" s="426"/>
      <c r="B136" s="425"/>
      <c r="C136" s="140"/>
      <c r="D136" s="434"/>
      <c r="E136" s="21"/>
      <c r="F136" s="49" t="s">
        <v>6</v>
      </c>
      <c r="G136" s="4"/>
      <c r="H136" s="5"/>
      <c r="I136" s="4"/>
    </row>
    <row r="137" spans="1:10" s="9" customFormat="1" x14ac:dyDescent="0.25">
      <c r="A137" s="426"/>
      <c r="B137" s="425"/>
      <c r="C137" s="426" t="s">
        <v>28</v>
      </c>
      <c r="D137" s="434"/>
      <c r="E137" s="21"/>
      <c r="F137" s="56" t="s">
        <v>85</v>
      </c>
      <c r="G137" s="5">
        <f t="shared" ref="G137:I137" si="53">+G139</f>
        <v>4591.3999999999996</v>
      </c>
      <c r="H137" s="5">
        <f t="shared" si="53"/>
        <v>4591.3999999999996</v>
      </c>
      <c r="I137" s="5">
        <f t="shared" si="53"/>
        <v>-30890.800000000003</v>
      </c>
    </row>
    <row r="138" spans="1:10" s="9" customFormat="1" ht="16.899999999999999" customHeight="1" x14ac:dyDescent="0.25">
      <c r="A138" s="426"/>
      <c r="B138" s="425"/>
      <c r="C138" s="426"/>
      <c r="D138" s="434"/>
      <c r="E138" s="21"/>
      <c r="F138" s="49" t="s">
        <v>6</v>
      </c>
      <c r="G138" s="10"/>
      <c r="H138" s="5"/>
      <c r="I138" s="10"/>
    </row>
    <row r="139" spans="1:10" s="9" customFormat="1" ht="34.5" x14ac:dyDescent="0.25">
      <c r="A139" s="426"/>
      <c r="B139" s="425"/>
      <c r="C139" s="426"/>
      <c r="D139" s="434"/>
      <c r="E139" s="21"/>
      <c r="F139" s="50" t="s">
        <v>12</v>
      </c>
      <c r="G139" s="5">
        <f t="shared" ref="G139:I139" si="54">+G141</f>
        <v>4591.3999999999996</v>
      </c>
      <c r="H139" s="5">
        <f t="shared" si="54"/>
        <v>4591.3999999999996</v>
      </c>
      <c r="I139" s="5">
        <f t="shared" si="54"/>
        <v>-30890.800000000003</v>
      </c>
    </row>
    <row r="140" spans="1:10" s="9" customFormat="1" ht="16.899999999999999" customHeight="1" x14ac:dyDescent="0.25">
      <c r="A140" s="426"/>
      <c r="B140" s="425"/>
      <c r="C140" s="426"/>
      <c r="D140" s="435"/>
      <c r="E140" s="25"/>
      <c r="F140" s="49" t="s">
        <v>6</v>
      </c>
      <c r="G140" s="5"/>
      <c r="H140" s="5"/>
      <c r="I140" s="5"/>
    </row>
    <row r="141" spans="1:10" s="9" customFormat="1" ht="36.6" customHeight="1" x14ac:dyDescent="0.25">
      <c r="A141" s="426"/>
      <c r="B141" s="425"/>
      <c r="C141" s="426"/>
      <c r="D141" s="47">
        <v>1236</v>
      </c>
      <c r="E141" s="419" t="s">
        <v>86</v>
      </c>
      <c r="F141" s="419"/>
      <c r="G141" s="1">
        <f>+G143</f>
        <v>4591.3999999999996</v>
      </c>
      <c r="H141" s="1">
        <f t="shared" ref="H141:I141" si="55">+H143</f>
        <v>4591.3999999999996</v>
      </c>
      <c r="I141" s="1">
        <f t="shared" si="55"/>
        <v>-30890.800000000003</v>
      </c>
    </row>
    <row r="142" spans="1:10" s="9" customFormat="1" ht="16.899999999999999" customHeight="1" x14ac:dyDescent="0.3">
      <c r="A142" s="426"/>
      <c r="B142" s="425"/>
      <c r="C142" s="426"/>
      <c r="D142" s="436"/>
      <c r="E142" s="46"/>
      <c r="F142" s="49" t="s">
        <v>6</v>
      </c>
      <c r="G142" s="1"/>
      <c r="H142" s="1"/>
      <c r="I142" s="1"/>
    </row>
    <row r="143" spans="1:10" s="9" customFormat="1" ht="34.5" x14ac:dyDescent="0.25">
      <c r="A143" s="426"/>
      <c r="B143" s="425"/>
      <c r="C143" s="426"/>
      <c r="D143" s="436"/>
      <c r="E143" s="47">
        <v>32002</v>
      </c>
      <c r="F143" s="48" t="s">
        <v>83</v>
      </c>
      <c r="G143" s="11">
        <f>+G145+G152</f>
        <v>4591.3999999999996</v>
      </c>
      <c r="H143" s="11">
        <f t="shared" ref="H143:I143" si="56">+H145+H152</f>
        <v>4591.3999999999996</v>
      </c>
      <c r="I143" s="11">
        <f t="shared" si="56"/>
        <v>-30890.800000000003</v>
      </c>
    </row>
    <row r="144" spans="1:10" s="9" customFormat="1" ht="16.149999999999999" customHeight="1" x14ac:dyDescent="0.3">
      <c r="A144" s="426"/>
      <c r="B144" s="425"/>
      <c r="C144" s="426"/>
      <c r="D144" s="436"/>
      <c r="E144" s="139"/>
      <c r="F144" s="49" t="s">
        <v>15</v>
      </c>
      <c r="G144" s="4"/>
      <c r="H144" s="5"/>
      <c r="I144" s="4"/>
    </row>
    <row r="145" spans="1:10" s="12" customFormat="1" ht="36.6" customHeight="1" x14ac:dyDescent="0.3">
      <c r="A145" s="426"/>
      <c r="B145" s="425"/>
      <c r="C145" s="426"/>
      <c r="D145" s="436"/>
      <c r="E145" s="137"/>
      <c r="F145" s="29" t="s">
        <v>96</v>
      </c>
      <c r="G145" s="26">
        <f t="shared" ref="G145:I145" si="57">+G147</f>
        <v>0</v>
      </c>
      <c r="H145" s="26">
        <f t="shared" si="57"/>
        <v>0</v>
      </c>
      <c r="I145" s="26">
        <f t="shared" si="57"/>
        <v>-35482.200000000004</v>
      </c>
    </row>
    <row r="146" spans="1:10" s="9" customFormat="1" ht="34.5" x14ac:dyDescent="0.3">
      <c r="A146" s="426"/>
      <c r="B146" s="425"/>
      <c r="C146" s="426"/>
      <c r="D146" s="436"/>
      <c r="E146" s="137"/>
      <c r="F146" s="49" t="s">
        <v>63</v>
      </c>
      <c r="G146" s="4"/>
      <c r="H146" s="27"/>
      <c r="I146" s="4"/>
    </row>
    <row r="147" spans="1:10" s="9" customFormat="1" ht="16.899999999999999" customHeight="1" x14ac:dyDescent="0.3">
      <c r="A147" s="426"/>
      <c r="B147" s="425"/>
      <c r="C147" s="426"/>
      <c r="D147" s="436"/>
      <c r="E147" s="137"/>
      <c r="F147" s="57" t="s">
        <v>7</v>
      </c>
      <c r="G147" s="5">
        <f t="shared" ref="G147:I147" si="58">G148</f>
        <v>0</v>
      </c>
      <c r="H147" s="5">
        <f t="shared" si="58"/>
        <v>0</v>
      </c>
      <c r="I147" s="5">
        <f t="shared" si="58"/>
        <v>-35482.200000000004</v>
      </c>
    </row>
    <row r="148" spans="1:10" s="9" customFormat="1" ht="16.899999999999999" customHeight="1" x14ac:dyDescent="0.3">
      <c r="A148" s="426"/>
      <c r="B148" s="425"/>
      <c r="C148" s="426"/>
      <c r="D148" s="436"/>
      <c r="E148" s="137"/>
      <c r="F148" s="49" t="s">
        <v>61</v>
      </c>
      <c r="G148" s="6">
        <f t="shared" ref="G148:I150" si="59">+G149</f>
        <v>0</v>
      </c>
      <c r="H148" s="6">
        <f t="shared" si="59"/>
        <v>0</v>
      </c>
      <c r="I148" s="6">
        <f t="shared" si="59"/>
        <v>-35482.200000000004</v>
      </c>
    </row>
    <row r="149" spans="1:10" s="9" customFormat="1" ht="16.149999999999999" customHeight="1" x14ac:dyDescent="0.3">
      <c r="A149" s="426"/>
      <c r="B149" s="425"/>
      <c r="C149" s="426"/>
      <c r="D149" s="436"/>
      <c r="E149" s="137"/>
      <c r="F149" s="49" t="s">
        <v>62</v>
      </c>
      <c r="G149" s="6">
        <f t="shared" si="59"/>
        <v>0</v>
      </c>
      <c r="H149" s="6">
        <f t="shared" si="59"/>
        <v>0</v>
      </c>
      <c r="I149" s="6">
        <f t="shared" si="59"/>
        <v>-35482.200000000004</v>
      </c>
    </row>
    <row r="150" spans="1:10" s="9" customFormat="1" ht="16.149999999999999" customHeight="1" x14ac:dyDescent="0.3">
      <c r="A150" s="426"/>
      <c r="B150" s="425"/>
      <c r="C150" s="426"/>
      <c r="D150" s="436"/>
      <c r="E150" s="137"/>
      <c r="F150" s="49" t="s">
        <v>64</v>
      </c>
      <c r="G150" s="22">
        <f t="shared" si="59"/>
        <v>0</v>
      </c>
      <c r="H150" s="22">
        <f t="shared" si="59"/>
        <v>0</v>
      </c>
      <c r="I150" s="22">
        <f t="shared" si="59"/>
        <v>-35482.200000000004</v>
      </c>
      <c r="J150" s="13"/>
    </row>
    <row r="151" spans="1:10" s="9" customFormat="1" x14ac:dyDescent="0.3">
      <c r="A151" s="426"/>
      <c r="B151" s="425"/>
      <c r="C151" s="426"/>
      <c r="D151" s="436"/>
      <c r="E151" s="138"/>
      <c r="F151" s="51" t="s">
        <v>110</v>
      </c>
      <c r="G151" s="22">
        <f>+'Հավելված N 7'!E111</f>
        <v>0</v>
      </c>
      <c r="H151" s="22">
        <f>+'Հավելված N 7'!F111</f>
        <v>0</v>
      </c>
      <c r="I151" s="22">
        <f>+'Հավելված N 7'!G111</f>
        <v>-35482.200000000004</v>
      </c>
      <c r="J151" s="13"/>
    </row>
    <row r="152" spans="1:10" s="12" customFormat="1" ht="36.6" customHeight="1" x14ac:dyDescent="0.25">
      <c r="A152" s="426"/>
      <c r="B152" s="425"/>
      <c r="C152" s="426"/>
      <c r="D152" s="436"/>
      <c r="E152" s="420"/>
      <c r="F152" s="29" t="s">
        <v>98</v>
      </c>
      <c r="G152" s="26">
        <f t="shared" ref="G152:I152" si="60">+G154</f>
        <v>4591.3999999999996</v>
      </c>
      <c r="H152" s="26">
        <f t="shared" si="60"/>
        <v>4591.3999999999996</v>
      </c>
      <c r="I152" s="26">
        <f t="shared" si="60"/>
        <v>4591.3999999999996</v>
      </c>
    </row>
    <row r="153" spans="1:10" s="9" customFormat="1" ht="34.5" x14ac:dyDescent="0.25">
      <c r="A153" s="426"/>
      <c r="B153" s="425"/>
      <c r="C153" s="426"/>
      <c r="D153" s="436"/>
      <c r="E153" s="420"/>
      <c r="F153" s="49" t="s">
        <v>63</v>
      </c>
      <c r="G153" s="4"/>
      <c r="H153" s="27"/>
      <c r="I153" s="4"/>
    </row>
    <row r="154" spans="1:10" s="9" customFormat="1" ht="16.899999999999999" customHeight="1" x14ac:dyDescent="0.25">
      <c r="A154" s="426"/>
      <c r="B154" s="425"/>
      <c r="C154" s="426"/>
      <c r="D154" s="436"/>
      <c r="E154" s="420"/>
      <c r="F154" s="57" t="s">
        <v>7</v>
      </c>
      <c r="G154" s="5">
        <f>+G155</f>
        <v>4591.3999999999996</v>
      </c>
      <c r="H154" s="5">
        <f t="shared" ref="H154:I154" si="61">+H155</f>
        <v>4591.3999999999996</v>
      </c>
      <c r="I154" s="5">
        <f t="shared" si="61"/>
        <v>4591.3999999999996</v>
      </c>
    </row>
    <row r="155" spans="1:10" s="9" customFormat="1" ht="16.899999999999999" customHeight="1" x14ac:dyDescent="0.25">
      <c r="A155" s="426"/>
      <c r="B155" s="425"/>
      <c r="C155" s="426"/>
      <c r="D155" s="436"/>
      <c r="E155" s="420"/>
      <c r="F155" s="49" t="s">
        <v>140</v>
      </c>
      <c r="G155" s="6">
        <f>+G156</f>
        <v>4591.3999999999996</v>
      </c>
      <c r="H155" s="6">
        <f t="shared" ref="G155:I157" si="62">+H156</f>
        <v>4591.3999999999996</v>
      </c>
      <c r="I155" s="6">
        <f t="shared" si="62"/>
        <v>4591.3999999999996</v>
      </c>
    </row>
    <row r="156" spans="1:10" s="9" customFormat="1" ht="16.149999999999999" customHeight="1" x14ac:dyDescent="0.25">
      <c r="A156" s="426"/>
      <c r="B156" s="425"/>
      <c r="C156" s="426"/>
      <c r="D156" s="436"/>
      <c r="E156" s="420"/>
      <c r="F156" s="49" t="s">
        <v>160</v>
      </c>
      <c r="G156" s="6">
        <f t="shared" si="62"/>
        <v>4591.3999999999996</v>
      </c>
      <c r="H156" s="6">
        <f t="shared" si="62"/>
        <v>4591.3999999999996</v>
      </c>
      <c r="I156" s="6">
        <f t="shared" si="62"/>
        <v>4591.3999999999996</v>
      </c>
    </row>
    <row r="157" spans="1:10" s="9" customFormat="1" ht="16.149999999999999" customHeight="1" x14ac:dyDescent="0.25">
      <c r="A157" s="426"/>
      <c r="B157" s="425"/>
      <c r="C157" s="426"/>
      <c r="D157" s="436"/>
      <c r="E157" s="420"/>
      <c r="F157" s="49" t="s">
        <v>161</v>
      </c>
      <c r="G157" s="22">
        <f t="shared" si="62"/>
        <v>4591.3999999999996</v>
      </c>
      <c r="H157" s="22">
        <f t="shared" si="62"/>
        <v>4591.3999999999996</v>
      </c>
      <c r="I157" s="22">
        <f t="shared" si="62"/>
        <v>4591.3999999999996</v>
      </c>
      <c r="J157" s="13"/>
    </row>
    <row r="158" spans="1:10" s="9" customFormat="1" ht="18" customHeight="1" x14ac:dyDescent="0.25">
      <c r="A158" s="426"/>
      <c r="B158" s="425"/>
      <c r="C158" s="426"/>
      <c r="D158" s="436"/>
      <c r="E158" s="420"/>
      <c r="F158" s="51" t="s">
        <v>162</v>
      </c>
      <c r="G158" s="22">
        <f>+I158</f>
        <v>4591.3999999999996</v>
      </c>
      <c r="H158" s="22">
        <f>+I158</f>
        <v>4591.3999999999996</v>
      </c>
      <c r="I158" s="22">
        <f>+'Հավելված N 12'!I115</f>
        <v>4591.3999999999996</v>
      </c>
      <c r="J158" s="13"/>
    </row>
    <row r="159" spans="1:10" s="9" customFormat="1" x14ac:dyDescent="0.25">
      <c r="A159" s="426"/>
      <c r="B159" s="421" t="s">
        <v>144</v>
      </c>
      <c r="C159" s="140"/>
      <c r="D159" s="24"/>
      <c r="E159" s="21"/>
      <c r="F159" s="56" t="s">
        <v>146</v>
      </c>
      <c r="G159" s="5">
        <f t="shared" ref="G159:I159" si="63">+G161</f>
        <v>1030891</v>
      </c>
      <c r="H159" s="5">
        <f t="shared" si="63"/>
        <v>1063378.3999999999</v>
      </c>
      <c r="I159" s="5">
        <f t="shared" si="63"/>
        <v>63378.400000000001</v>
      </c>
    </row>
    <row r="160" spans="1:10" s="9" customFormat="1" x14ac:dyDescent="0.25">
      <c r="A160" s="426"/>
      <c r="B160" s="422"/>
      <c r="C160" s="140"/>
      <c r="D160" s="24"/>
      <c r="E160" s="21"/>
      <c r="F160" s="49" t="s">
        <v>6</v>
      </c>
      <c r="G160" s="4"/>
      <c r="H160" s="5"/>
      <c r="I160" s="4"/>
    </row>
    <row r="161" spans="1:10" s="9" customFormat="1" x14ac:dyDescent="0.25">
      <c r="A161" s="426"/>
      <c r="B161" s="422"/>
      <c r="C161" s="421" t="s">
        <v>28</v>
      </c>
      <c r="D161" s="141"/>
      <c r="E161" s="21"/>
      <c r="F161" s="56" t="s">
        <v>147</v>
      </c>
      <c r="G161" s="5">
        <f t="shared" ref="G161:I161" si="64">+G163</f>
        <v>1030891</v>
      </c>
      <c r="H161" s="5">
        <f t="shared" si="64"/>
        <v>1063378.3999999999</v>
      </c>
      <c r="I161" s="5">
        <f t="shared" si="64"/>
        <v>63378.400000000001</v>
      </c>
    </row>
    <row r="162" spans="1:10" s="9" customFormat="1" ht="16.899999999999999" customHeight="1" x14ac:dyDescent="0.25">
      <c r="A162" s="426"/>
      <c r="B162" s="422"/>
      <c r="C162" s="422"/>
      <c r="D162" s="141"/>
      <c r="E162" s="21"/>
      <c r="F162" s="49" t="s">
        <v>6</v>
      </c>
      <c r="G162" s="10"/>
      <c r="H162" s="5"/>
      <c r="I162" s="10"/>
    </row>
    <row r="163" spans="1:10" s="9" customFormat="1" ht="34.5" x14ac:dyDescent="0.25">
      <c r="A163" s="426"/>
      <c r="B163" s="422"/>
      <c r="C163" s="422"/>
      <c r="D163" s="141"/>
      <c r="E163" s="21"/>
      <c r="F163" s="50" t="s">
        <v>12</v>
      </c>
      <c r="G163" s="5">
        <f t="shared" ref="G163:I163" si="65">+G165</f>
        <v>1030891</v>
      </c>
      <c r="H163" s="5">
        <f t="shared" si="65"/>
        <v>1063378.3999999999</v>
      </c>
      <c r="I163" s="5">
        <f t="shared" si="65"/>
        <v>63378.400000000001</v>
      </c>
    </row>
    <row r="164" spans="1:10" s="9" customFormat="1" ht="16.899999999999999" customHeight="1" x14ac:dyDescent="0.25">
      <c r="A164" s="426"/>
      <c r="B164" s="422"/>
      <c r="C164" s="422"/>
      <c r="D164" s="142"/>
      <c r="E164" s="25"/>
      <c r="F164" s="49" t="s">
        <v>6</v>
      </c>
      <c r="G164" s="5"/>
      <c r="H164" s="5"/>
      <c r="I164" s="5"/>
    </row>
    <row r="165" spans="1:10" s="9" customFormat="1" ht="36.6" customHeight="1" x14ac:dyDescent="0.25">
      <c r="A165" s="426"/>
      <c r="B165" s="422"/>
      <c r="C165" s="422"/>
      <c r="D165" s="58">
        <v>1236</v>
      </c>
      <c r="E165" s="419" t="s">
        <v>86</v>
      </c>
      <c r="F165" s="419"/>
      <c r="G165" s="1">
        <f>+G167</f>
        <v>1030891</v>
      </c>
      <c r="H165" s="1">
        <f t="shared" ref="H165:I165" si="66">+H167</f>
        <v>1063378.3999999999</v>
      </c>
      <c r="I165" s="1">
        <f t="shared" si="66"/>
        <v>63378.400000000001</v>
      </c>
    </row>
    <row r="166" spans="1:10" s="9" customFormat="1" ht="16.899999999999999" customHeight="1" x14ac:dyDescent="0.3">
      <c r="A166" s="426"/>
      <c r="B166" s="422"/>
      <c r="C166" s="422"/>
      <c r="D166" s="167"/>
      <c r="E166" s="46"/>
      <c r="F166" s="49" t="s">
        <v>6</v>
      </c>
      <c r="G166" s="1"/>
      <c r="H166" s="1"/>
      <c r="I166" s="1"/>
    </row>
    <row r="167" spans="1:10" s="9" customFormat="1" ht="51.75" x14ac:dyDescent="0.25">
      <c r="A167" s="426"/>
      <c r="B167" s="422"/>
      <c r="C167" s="422"/>
      <c r="D167" s="167"/>
      <c r="E167" s="65">
        <v>32006</v>
      </c>
      <c r="F167" s="48" t="s">
        <v>284</v>
      </c>
      <c r="G167" s="11">
        <f>+G169+G176+G183+G190+G197</f>
        <v>1030891</v>
      </c>
      <c r="H167" s="11">
        <f t="shared" ref="H167:I167" si="67">+H169+H176+H183+H190+H197</f>
        <v>1063378.3999999999</v>
      </c>
      <c r="I167" s="11">
        <f t="shared" si="67"/>
        <v>63378.400000000001</v>
      </c>
    </row>
    <row r="168" spans="1:10" s="9" customFormat="1" ht="16.149999999999999" customHeight="1" x14ac:dyDescent="0.3">
      <c r="A168" s="426"/>
      <c r="B168" s="422"/>
      <c r="C168" s="422"/>
      <c r="D168" s="167"/>
      <c r="E168" s="139"/>
      <c r="F168" s="49" t="s">
        <v>15</v>
      </c>
      <c r="G168" s="4"/>
      <c r="H168" s="5"/>
      <c r="I168" s="4"/>
    </row>
    <row r="169" spans="1:10" s="12" customFormat="1" ht="36.6" customHeight="1" x14ac:dyDescent="0.3">
      <c r="A169" s="426"/>
      <c r="B169" s="422"/>
      <c r="C169" s="422"/>
      <c r="D169" s="167"/>
      <c r="E169" s="137"/>
      <c r="F169" s="29" t="s">
        <v>12</v>
      </c>
      <c r="G169" s="26">
        <f t="shared" ref="G169:I169" si="68">+G171</f>
        <v>1000000</v>
      </c>
      <c r="H169" s="26">
        <f t="shared" si="68"/>
        <v>1000000</v>
      </c>
      <c r="I169" s="26">
        <f t="shared" si="68"/>
        <v>0</v>
      </c>
    </row>
    <row r="170" spans="1:10" s="9" customFormat="1" ht="34.5" x14ac:dyDescent="0.3">
      <c r="A170" s="426"/>
      <c r="B170" s="422"/>
      <c r="C170" s="422"/>
      <c r="D170" s="167"/>
      <c r="E170" s="137"/>
      <c r="F170" s="49" t="s">
        <v>63</v>
      </c>
      <c r="G170" s="4"/>
      <c r="H170" s="27"/>
      <c r="I170" s="4"/>
    </row>
    <row r="171" spans="1:10" s="9" customFormat="1" ht="16.899999999999999" customHeight="1" x14ac:dyDescent="0.3">
      <c r="A171" s="426"/>
      <c r="B171" s="422"/>
      <c r="C171" s="422"/>
      <c r="D171" s="167"/>
      <c r="E171" s="137"/>
      <c r="F171" s="57" t="s">
        <v>7</v>
      </c>
      <c r="G171" s="5">
        <f>+G172</f>
        <v>1000000</v>
      </c>
      <c r="H171" s="5">
        <f t="shared" ref="H171:I171" si="69">+H172</f>
        <v>1000000</v>
      </c>
      <c r="I171" s="5">
        <f t="shared" si="69"/>
        <v>0</v>
      </c>
    </row>
    <row r="172" spans="1:10" s="9" customFormat="1" ht="16.899999999999999" customHeight="1" x14ac:dyDescent="0.3">
      <c r="A172" s="426"/>
      <c r="B172" s="422"/>
      <c r="C172" s="422"/>
      <c r="D172" s="167"/>
      <c r="E172" s="137"/>
      <c r="F172" s="49" t="s">
        <v>61</v>
      </c>
      <c r="G172" s="6">
        <f t="shared" ref="G172:I174" si="70">+G173</f>
        <v>1000000</v>
      </c>
      <c r="H172" s="6">
        <f t="shared" si="70"/>
        <v>1000000</v>
      </c>
      <c r="I172" s="6">
        <f t="shared" si="70"/>
        <v>0</v>
      </c>
    </row>
    <row r="173" spans="1:10" s="9" customFormat="1" ht="16.149999999999999" customHeight="1" x14ac:dyDescent="0.3">
      <c r="A173" s="426"/>
      <c r="B173" s="422"/>
      <c r="C173" s="422"/>
      <c r="D173" s="167"/>
      <c r="E173" s="137"/>
      <c r="F173" s="49" t="s">
        <v>62</v>
      </c>
      <c r="G173" s="6">
        <f t="shared" si="70"/>
        <v>1000000</v>
      </c>
      <c r="H173" s="6">
        <f t="shared" si="70"/>
        <v>1000000</v>
      </c>
      <c r="I173" s="6">
        <f t="shared" si="70"/>
        <v>0</v>
      </c>
    </row>
    <row r="174" spans="1:10" s="9" customFormat="1" ht="16.149999999999999" customHeight="1" x14ac:dyDescent="0.3">
      <c r="A174" s="426"/>
      <c r="B174" s="422"/>
      <c r="C174" s="422"/>
      <c r="D174" s="167"/>
      <c r="E174" s="137"/>
      <c r="F174" s="49" t="s">
        <v>168</v>
      </c>
      <c r="G174" s="22">
        <f t="shared" si="70"/>
        <v>1000000</v>
      </c>
      <c r="H174" s="22">
        <f t="shared" si="70"/>
        <v>1000000</v>
      </c>
      <c r="I174" s="22">
        <f t="shared" si="70"/>
        <v>0</v>
      </c>
      <c r="J174" s="13"/>
    </row>
    <row r="175" spans="1:10" s="9" customFormat="1" x14ac:dyDescent="0.3">
      <c r="A175" s="426"/>
      <c r="B175" s="422"/>
      <c r="C175" s="422"/>
      <c r="D175" s="167"/>
      <c r="E175" s="138"/>
      <c r="F175" s="51" t="s">
        <v>169</v>
      </c>
      <c r="G175" s="22">
        <f>+'Հավելված N 7'!E114</f>
        <v>1000000</v>
      </c>
      <c r="H175" s="22">
        <f>+'Հավելված N 7'!F114</f>
        <v>1000000</v>
      </c>
      <c r="I175" s="22">
        <f>+'Հավելված N 7'!G114</f>
        <v>0</v>
      </c>
      <c r="J175" s="13"/>
    </row>
    <row r="176" spans="1:10" s="12" customFormat="1" ht="36.6" customHeight="1" x14ac:dyDescent="0.3">
      <c r="A176" s="426"/>
      <c r="B176" s="422"/>
      <c r="C176" s="422"/>
      <c r="D176" s="167"/>
      <c r="E176" s="137"/>
      <c r="F176" s="29" t="s">
        <v>98</v>
      </c>
      <c r="G176" s="26">
        <f t="shared" ref="G176:I176" si="71">+G178</f>
        <v>30480.199999999997</v>
      </c>
      <c r="H176" s="26">
        <f t="shared" si="71"/>
        <v>30480.199999999997</v>
      </c>
      <c r="I176" s="26">
        <f t="shared" si="71"/>
        <v>30480.199999999997</v>
      </c>
    </row>
    <row r="177" spans="1:10" s="9" customFormat="1" ht="34.5" x14ac:dyDescent="0.3">
      <c r="A177" s="426"/>
      <c r="B177" s="422"/>
      <c r="C177" s="422"/>
      <c r="D177" s="167"/>
      <c r="E177" s="137"/>
      <c r="F177" s="49" t="s">
        <v>63</v>
      </c>
      <c r="G177" s="4"/>
      <c r="H177" s="27"/>
      <c r="I177" s="4"/>
    </row>
    <row r="178" spans="1:10" s="9" customFormat="1" ht="16.899999999999999" customHeight="1" x14ac:dyDescent="0.3">
      <c r="A178" s="426"/>
      <c r="B178" s="422"/>
      <c r="C178" s="422"/>
      <c r="D178" s="167"/>
      <c r="E178" s="137"/>
      <c r="F178" s="57" t="s">
        <v>7</v>
      </c>
      <c r="G178" s="5">
        <f>+G179</f>
        <v>30480.199999999997</v>
      </c>
      <c r="H178" s="5">
        <f t="shared" ref="H178:I178" si="72">+H179</f>
        <v>30480.199999999997</v>
      </c>
      <c r="I178" s="5">
        <f t="shared" si="72"/>
        <v>30480.199999999997</v>
      </c>
    </row>
    <row r="179" spans="1:10" s="9" customFormat="1" ht="16.899999999999999" customHeight="1" x14ac:dyDescent="0.3">
      <c r="A179" s="426"/>
      <c r="B179" s="422"/>
      <c r="C179" s="422"/>
      <c r="D179" s="167"/>
      <c r="E179" s="137"/>
      <c r="F179" s="49" t="s">
        <v>61</v>
      </c>
      <c r="G179" s="6">
        <f t="shared" ref="G179:I181" si="73">+G180</f>
        <v>30480.199999999997</v>
      </c>
      <c r="H179" s="6">
        <f t="shared" si="73"/>
        <v>30480.199999999997</v>
      </c>
      <c r="I179" s="6">
        <f t="shared" si="73"/>
        <v>30480.199999999997</v>
      </c>
    </row>
    <row r="180" spans="1:10" s="9" customFormat="1" ht="16.149999999999999" customHeight="1" x14ac:dyDescent="0.3">
      <c r="A180" s="426"/>
      <c r="B180" s="422"/>
      <c r="C180" s="422"/>
      <c r="D180" s="167"/>
      <c r="E180" s="137"/>
      <c r="F180" s="49" t="s">
        <v>62</v>
      </c>
      <c r="G180" s="6">
        <f t="shared" si="73"/>
        <v>30480.199999999997</v>
      </c>
      <c r="H180" s="6">
        <f t="shared" si="73"/>
        <v>30480.199999999997</v>
      </c>
      <c r="I180" s="6">
        <f t="shared" si="73"/>
        <v>30480.199999999997</v>
      </c>
    </row>
    <row r="181" spans="1:10" s="9" customFormat="1" ht="16.149999999999999" customHeight="1" x14ac:dyDescent="0.3">
      <c r="A181" s="426"/>
      <c r="B181" s="422"/>
      <c r="C181" s="422"/>
      <c r="D181" s="167"/>
      <c r="E181" s="137"/>
      <c r="F181" s="49" t="s">
        <v>168</v>
      </c>
      <c r="G181" s="22">
        <f t="shared" si="73"/>
        <v>30480.199999999997</v>
      </c>
      <c r="H181" s="22">
        <f t="shared" si="73"/>
        <v>30480.199999999997</v>
      </c>
      <c r="I181" s="22">
        <f t="shared" si="73"/>
        <v>30480.199999999997</v>
      </c>
      <c r="J181" s="13"/>
    </row>
    <row r="182" spans="1:10" s="9" customFormat="1" x14ac:dyDescent="0.3">
      <c r="A182" s="426"/>
      <c r="B182" s="422"/>
      <c r="C182" s="422"/>
      <c r="D182" s="167"/>
      <c r="E182" s="138"/>
      <c r="F182" s="51" t="s">
        <v>169</v>
      </c>
      <c r="G182" s="22">
        <f>+'Հավելված N 7'!E117</f>
        <v>30480.199999999997</v>
      </c>
      <c r="H182" s="22">
        <f>+'Հավելված N 7'!F117</f>
        <v>30480.199999999997</v>
      </c>
      <c r="I182" s="22">
        <f>+'Հավելված N 7'!G117</f>
        <v>30480.199999999997</v>
      </c>
      <c r="J182" s="13"/>
    </row>
    <row r="183" spans="1:10" s="12" customFormat="1" ht="36.6" customHeight="1" x14ac:dyDescent="0.25">
      <c r="A183" s="426"/>
      <c r="B183" s="422"/>
      <c r="C183" s="422"/>
      <c r="D183" s="167"/>
      <c r="E183" s="420"/>
      <c r="F183" s="29" t="s">
        <v>99</v>
      </c>
      <c r="G183" s="26">
        <f t="shared" ref="G183:I183" si="74">+G185</f>
        <v>0</v>
      </c>
      <c r="H183" s="26">
        <f t="shared" si="74"/>
        <v>32487.4</v>
      </c>
      <c r="I183" s="26">
        <f t="shared" si="74"/>
        <v>32487.4</v>
      </c>
    </row>
    <row r="184" spans="1:10" s="9" customFormat="1" ht="34.5" x14ac:dyDescent="0.25">
      <c r="A184" s="426"/>
      <c r="B184" s="422"/>
      <c r="C184" s="422"/>
      <c r="D184" s="167"/>
      <c r="E184" s="420"/>
      <c r="F184" s="49" t="s">
        <v>63</v>
      </c>
      <c r="G184" s="4"/>
      <c r="H184" s="27"/>
      <c r="I184" s="4"/>
    </row>
    <row r="185" spans="1:10" s="9" customFormat="1" ht="16.899999999999999" customHeight="1" x14ac:dyDescent="0.25">
      <c r="A185" s="426"/>
      <c r="B185" s="422"/>
      <c r="C185" s="422"/>
      <c r="D185" s="167"/>
      <c r="E185" s="420"/>
      <c r="F185" s="57" t="s">
        <v>7</v>
      </c>
      <c r="G185" s="5">
        <f>+G186</f>
        <v>0</v>
      </c>
      <c r="H185" s="5">
        <f t="shared" ref="H185:I185" si="75">+H186</f>
        <v>32487.4</v>
      </c>
      <c r="I185" s="5">
        <f t="shared" si="75"/>
        <v>32487.4</v>
      </c>
    </row>
    <row r="186" spans="1:10" s="9" customFormat="1" ht="16.899999999999999" customHeight="1" x14ac:dyDescent="0.25">
      <c r="A186" s="426"/>
      <c r="B186" s="422"/>
      <c r="C186" s="422"/>
      <c r="D186" s="167"/>
      <c r="E186" s="420"/>
      <c r="F186" s="49" t="s">
        <v>61</v>
      </c>
      <c r="G186" s="6">
        <f>+G187</f>
        <v>0</v>
      </c>
      <c r="H186" s="6">
        <f t="shared" ref="G186:I188" si="76">+H187</f>
        <v>32487.4</v>
      </c>
      <c r="I186" s="6">
        <f t="shared" si="76"/>
        <v>32487.4</v>
      </c>
    </row>
    <row r="187" spans="1:10" s="9" customFormat="1" ht="16.149999999999999" customHeight="1" x14ac:dyDescent="0.25">
      <c r="A187" s="426"/>
      <c r="B187" s="422"/>
      <c r="C187" s="422"/>
      <c r="D187" s="167"/>
      <c r="E187" s="420"/>
      <c r="F187" s="49" t="s">
        <v>62</v>
      </c>
      <c r="G187" s="6">
        <f t="shared" si="76"/>
        <v>0</v>
      </c>
      <c r="H187" s="6">
        <f t="shared" si="76"/>
        <v>32487.4</v>
      </c>
      <c r="I187" s="6">
        <f t="shared" si="76"/>
        <v>32487.4</v>
      </c>
    </row>
    <row r="188" spans="1:10" s="9" customFormat="1" ht="16.149999999999999" customHeight="1" x14ac:dyDescent="0.25">
      <c r="A188" s="426"/>
      <c r="B188" s="422"/>
      <c r="C188" s="422"/>
      <c r="D188" s="167"/>
      <c r="E188" s="420"/>
      <c r="F188" s="49" t="s">
        <v>168</v>
      </c>
      <c r="G188" s="22">
        <f t="shared" si="76"/>
        <v>0</v>
      </c>
      <c r="H188" s="22">
        <f t="shared" si="76"/>
        <v>32487.4</v>
      </c>
      <c r="I188" s="22">
        <f t="shared" si="76"/>
        <v>32487.4</v>
      </c>
      <c r="J188" s="13"/>
    </row>
    <row r="189" spans="1:10" s="9" customFormat="1" ht="18" customHeight="1" x14ac:dyDescent="0.25">
      <c r="A189" s="426"/>
      <c r="B189" s="422"/>
      <c r="C189" s="422"/>
      <c r="D189" s="167"/>
      <c r="E189" s="420"/>
      <c r="F189" s="51" t="s">
        <v>169</v>
      </c>
      <c r="G189" s="22">
        <f>+'Հավելված N 7'!E147</f>
        <v>0</v>
      </c>
      <c r="H189" s="22">
        <f>+'Հավելված N 7'!F147</f>
        <v>32487.4</v>
      </c>
      <c r="I189" s="22">
        <f>+'Հավելված N 7'!G147</f>
        <v>32487.4</v>
      </c>
      <c r="J189" s="13"/>
    </row>
    <row r="190" spans="1:10" s="12" customFormat="1" ht="36.6" customHeight="1" x14ac:dyDescent="0.25">
      <c r="A190" s="426"/>
      <c r="B190" s="231"/>
      <c r="C190" s="231"/>
      <c r="D190" s="167"/>
      <c r="E190" s="420"/>
      <c r="F190" s="29" t="s">
        <v>102</v>
      </c>
      <c r="G190" s="26">
        <f t="shared" ref="G190:I190" si="77">+G192</f>
        <v>306</v>
      </c>
      <c r="H190" s="26">
        <f t="shared" si="77"/>
        <v>306</v>
      </c>
      <c r="I190" s="26">
        <f t="shared" si="77"/>
        <v>306</v>
      </c>
    </row>
    <row r="191" spans="1:10" s="9" customFormat="1" ht="34.5" x14ac:dyDescent="0.25">
      <c r="A191" s="426"/>
      <c r="B191" s="231"/>
      <c r="C191" s="231"/>
      <c r="D191" s="167"/>
      <c r="E191" s="420"/>
      <c r="F191" s="49" t="s">
        <v>63</v>
      </c>
      <c r="G191" s="4"/>
      <c r="H191" s="27"/>
      <c r="I191" s="4"/>
    </row>
    <row r="192" spans="1:10" s="9" customFormat="1" ht="16.899999999999999" customHeight="1" x14ac:dyDescent="0.25">
      <c r="A192" s="426"/>
      <c r="B192" s="231"/>
      <c r="C192" s="231"/>
      <c r="D192" s="167"/>
      <c r="E192" s="420"/>
      <c r="F192" s="57" t="s">
        <v>7</v>
      </c>
      <c r="G192" s="5">
        <f>+G193</f>
        <v>306</v>
      </c>
      <c r="H192" s="5">
        <f t="shared" ref="G192:I195" si="78">+H193</f>
        <v>306</v>
      </c>
      <c r="I192" s="5">
        <f t="shared" ref="I192" si="79">+I193</f>
        <v>306</v>
      </c>
    </row>
    <row r="193" spans="1:10" s="9" customFormat="1" ht="16.899999999999999" customHeight="1" x14ac:dyDescent="0.25">
      <c r="A193" s="426"/>
      <c r="B193" s="231"/>
      <c r="C193" s="231"/>
      <c r="D193" s="167"/>
      <c r="E193" s="420"/>
      <c r="F193" s="49" t="s">
        <v>61</v>
      </c>
      <c r="G193" s="6">
        <f>+G194</f>
        <v>306</v>
      </c>
      <c r="H193" s="6">
        <f t="shared" si="78"/>
        <v>306</v>
      </c>
      <c r="I193" s="6">
        <f t="shared" si="78"/>
        <v>306</v>
      </c>
    </row>
    <row r="194" spans="1:10" s="9" customFormat="1" ht="16.149999999999999" customHeight="1" x14ac:dyDescent="0.25">
      <c r="A194" s="426"/>
      <c r="B194" s="231"/>
      <c r="C194" s="231"/>
      <c r="D194" s="167"/>
      <c r="E194" s="420"/>
      <c r="F194" s="49" t="s">
        <v>62</v>
      </c>
      <c r="G194" s="6">
        <f t="shared" si="78"/>
        <v>306</v>
      </c>
      <c r="H194" s="6">
        <f t="shared" si="78"/>
        <v>306</v>
      </c>
      <c r="I194" s="6">
        <f t="shared" si="78"/>
        <v>306</v>
      </c>
    </row>
    <row r="195" spans="1:10" s="9" customFormat="1" ht="16.149999999999999" customHeight="1" x14ac:dyDescent="0.25">
      <c r="A195" s="426"/>
      <c r="B195" s="231"/>
      <c r="C195" s="231"/>
      <c r="D195" s="167"/>
      <c r="E195" s="420"/>
      <c r="F195" s="49" t="s">
        <v>168</v>
      </c>
      <c r="G195" s="22">
        <f t="shared" si="78"/>
        <v>306</v>
      </c>
      <c r="H195" s="22">
        <f t="shared" si="78"/>
        <v>306</v>
      </c>
      <c r="I195" s="22">
        <f t="shared" si="78"/>
        <v>306</v>
      </c>
      <c r="J195" s="13"/>
    </row>
    <row r="196" spans="1:10" s="9" customFormat="1" ht="18" customHeight="1" x14ac:dyDescent="0.25">
      <c r="A196" s="426"/>
      <c r="B196" s="231"/>
      <c r="C196" s="231"/>
      <c r="D196" s="167"/>
      <c r="E196" s="420"/>
      <c r="F196" s="51" t="s">
        <v>169</v>
      </c>
      <c r="G196" s="22">
        <f>+'Հավելված N 7'!E158</f>
        <v>306</v>
      </c>
      <c r="H196" s="22">
        <f>+'Հավելված N 7'!F158</f>
        <v>306</v>
      </c>
      <c r="I196" s="22">
        <f>+'Հավելված N 7'!G158</f>
        <v>306</v>
      </c>
      <c r="J196" s="13"/>
    </row>
    <row r="197" spans="1:10" s="12" customFormat="1" ht="36.6" customHeight="1" x14ac:dyDescent="0.25">
      <c r="A197" s="426"/>
      <c r="B197" s="231"/>
      <c r="C197" s="231"/>
      <c r="D197" s="167"/>
      <c r="E197" s="420"/>
      <c r="F197" s="29" t="s">
        <v>108</v>
      </c>
      <c r="G197" s="26">
        <f t="shared" ref="G197:I197" si="80">+G199</f>
        <v>104.8</v>
      </c>
      <c r="H197" s="26">
        <f t="shared" si="80"/>
        <v>104.8</v>
      </c>
      <c r="I197" s="26">
        <f t="shared" si="80"/>
        <v>104.8</v>
      </c>
    </row>
    <row r="198" spans="1:10" s="9" customFormat="1" ht="34.5" x14ac:dyDescent="0.25">
      <c r="A198" s="426"/>
      <c r="B198" s="231"/>
      <c r="C198" s="231"/>
      <c r="D198" s="167"/>
      <c r="E198" s="420"/>
      <c r="F198" s="49" t="s">
        <v>63</v>
      </c>
      <c r="G198" s="4"/>
      <c r="H198" s="27"/>
      <c r="I198" s="4"/>
    </row>
    <row r="199" spans="1:10" s="9" customFormat="1" ht="16.899999999999999" customHeight="1" x14ac:dyDescent="0.25">
      <c r="A199" s="426"/>
      <c r="B199" s="231"/>
      <c r="C199" s="231"/>
      <c r="D199" s="167"/>
      <c r="E199" s="420"/>
      <c r="F199" s="57" t="s">
        <v>7</v>
      </c>
      <c r="G199" s="5">
        <f>+G200</f>
        <v>104.8</v>
      </c>
      <c r="H199" s="5">
        <f t="shared" ref="H199:H202" si="81">+H200</f>
        <v>104.8</v>
      </c>
      <c r="I199" s="5">
        <f t="shared" ref="I199:I202" si="82">+I200</f>
        <v>104.8</v>
      </c>
    </row>
    <row r="200" spans="1:10" s="9" customFormat="1" ht="16.899999999999999" customHeight="1" x14ac:dyDescent="0.25">
      <c r="A200" s="426"/>
      <c r="B200" s="231"/>
      <c r="C200" s="231"/>
      <c r="D200" s="167"/>
      <c r="E200" s="420"/>
      <c r="F200" s="49" t="s">
        <v>61</v>
      </c>
      <c r="G200" s="6">
        <f>+G201</f>
        <v>104.8</v>
      </c>
      <c r="H200" s="6">
        <f t="shared" si="81"/>
        <v>104.8</v>
      </c>
      <c r="I200" s="6">
        <f t="shared" si="82"/>
        <v>104.8</v>
      </c>
    </row>
    <row r="201" spans="1:10" s="9" customFormat="1" ht="16.149999999999999" customHeight="1" x14ac:dyDescent="0.25">
      <c r="A201" s="426"/>
      <c r="B201" s="231"/>
      <c r="C201" s="231"/>
      <c r="D201" s="167"/>
      <c r="E201" s="420"/>
      <c r="F201" s="49" t="s">
        <v>62</v>
      </c>
      <c r="G201" s="6">
        <f t="shared" ref="G201:G202" si="83">+G202</f>
        <v>104.8</v>
      </c>
      <c r="H201" s="6">
        <f t="shared" si="81"/>
        <v>104.8</v>
      </c>
      <c r="I201" s="6">
        <f t="shared" si="82"/>
        <v>104.8</v>
      </c>
    </row>
    <row r="202" spans="1:10" s="9" customFormat="1" ht="16.149999999999999" customHeight="1" x14ac:dyDescent="0.25">
      <c r="A202" s="426"/>
      <c r="B202" s="231"/>
      <c r="C202" s="231"/>
      <c r="D202" s="167"/>
      <c r="E202" s="420"/>
      <c r="F202" s="49" t="s">
        <v>168</v>
      </c>
      <c r="G202" s="22">
        <f t="shared" si="83"/>
        <v>104.8</v>
      </c>
      <c r="H202" s="22">
        <f t="shared" si="81"/>
        <v>104.8</v>
      </c>
      <c r="I202" s="22">
        <f t="shared" si="82"/>
        <v>104.8</v>
      </c>
      <c r="J202" s="13"/>
    </row>
    <row r="203" spans="1:10" s="9" customFormat="1" ht="18" customHeight="1" x14ac:dyDescent="0.25">
      <c r="A203" s="426"/>
      <c r="B203" s="231"/>
      <c r="C203" s="231"/>
      <c r="D203" s="167"/>
      <c r="E203" s="420"/>
      <c r="F203" s="51" t="s">
        <v>169</v>
      </c>
      <c r="G203" s="22">
        <f>+'Հավելված N 7'!E162</f>
        <v>104.8</v>
      </c>
      <c r="H203" s="22">
        <f>+'Հավելված N 7'!F162</f>
        <v>104.8</v>
      </c>
      <c r="I203" s="22">
        <f>+'Հավելված N 7'!G162</f>
        <v>104.8</v>
      </c>
      <c r="J203" s="13"/>
    </row>
    <row r="204" spans="1:10" s="9" customFormat="1" ht="34.5" x14ac:dyDescent="0.25">
      <c r="A204" s="426"/>
      <c r="B204" s="431" t="s">
        <v>142</v>
      </c>
      <c r="C204" s="443"/>
      <c r="D204" s="433"/>
      <c r="E204" s="21"/>
      <c r="F204" s="56" t="s">
        <v>143</v>
      </c>
      <c r="G204" s="5">
        <f t="shared" ref="G204:I204" si="84">+G206</f>
        <v>-76190.200000000012</v>
      </c>
      <c r="H204" s="5">
        <f t="shared" si="84"/>
        <v>-206730</v>
      </c>
      <c r="I204" s="5">
        <f t="shared" si="84"/>
        <v>-195028.59999999998</v>
      </c>
    </row>
    <row r="205" spans="1:10" s="9" customFormat="1" ht="18" customHeight="1" x14ac:dyDescent="0.25">
      <c r="A205" s="426"/>
      <c r="B205" s="431"/>
      <c r="C205" s="444"/>
      <c r="D205" s="434"/>
      <c r="E205" s="21"/>
      <c r="F205" s="49" t="s">
        <v>6</v>
      </c>
      <c r="G205" s="4"/>
      <c r="H205" s="5"/>
      <c r="I205" s="4"/>
    </row>
    <row r="206" spans="1:10" s="9" customFormat="1" ht="34.5" x14ac:dyDescent="0.25">
      <c r="A206" s="426"/>
      <c r="B206" s="431"/>
      <c r="C206" s="431" t="s">
        <v>28</v>
      </c>
      <c r="D206" s="441"/>
      <c r="E206" s="21"/>
      <c r="F206" s="56" t="s">
        <v>143</v>
      </c>
      <c r="G206" s="5">
        <f t="shared" ref="G206:I206" si="85">+G208</f>
        <v>-76190.200000000012</v>
      </c>
      <c r="H206" s="5">
        <f t="shared" si="85"/>
        <v>-206730</v>
      </c>
      <c r="I206" s="5">
        <f t="shared" si="85"/>
        <v>-195028.59999999998</v>
      </c>
    </row>
    <row r="207" spans="1:10" s="9" customFormat="1" ht="16.899999999999999" customHeight="1" x14ac:dyDescent="0.25">
      <c r="A207" s="426"/>
      <c r="B207" s="431"/>
      <c r="C207" s="431"/>
      <c r="D207" s="441"/>
      <c r="E207" s="21"/>
      <c r="F207" s="49" t="s">
        <v>6</v>
      </c>
      <c r="G207" s="10"/>
      <c r="H207" s="5"/>
      <c r="I207" s="10"/>
    </row>
    <row r="208" spans="1:10" s="9" customFormat="1" ht="34.5" x14ac:dyDescent="0.25">
      <c r="A208" s="426"/>
      <c r="B208" s="431"/>
      <c r="C208" s="431"/>
      <c r="D208" s="441"/>
      <c r="E208" s="21"/>
      <c r="F208" s="50" t="s">
        <v>12</v>
      </c>
      <c r="G208" s="5">
        <f>+G210+G237</f>
        <v>-76190.200000000012</v>
      </c>
      <c r="H208" s="5">
        <f t="shared" ref="H208:I208" si="86">+H210+H237</f>
        <v>-206730</v>
      </c>
      <c r="I208" s="5">
        <f t="shared" si="86"/>
        <v>-195028.59999999998</v>
      </c>
    </row>
    <row r="209" spans="1:10" s="9" customFormat="1" ht="16.899999999999999" customHeight="1" x14ac:dyDescent="0.25">
      <c r="A209" s="426"/>
      <c r="B209" s="431"/>
      <c r="C209" s="431"/>
      <c r="D209" s="442"/>
      <c r="E209" s="25"/>
      <c r="F209" s="49" t="s">
        <v>6</v>
      </c>
      <c r="G209" s="5"/>
      <c r="H209" s="5"/>
      <c r="I209" s="5"/>
    </row>
    <row r="210" spans="1:10" s="9" customFormat="1" x14ac:dyDescent="0.25">
      <c r="A210" s="426"/>
      <c r="B210" s="431"/>
      <c r="C210" s="431"/>
      <c r="D210" s="58">
        <v>1045</v>
      </c>
      <c r="E210" s="419" t="s">
        <v>508</v>
      </c>
      <c r="F210" s="419"/>
      <c r="G210" s="1">
        <f>+G212+G221</f>
        <v>-266599.5</v>
      </c>
      <c r="H210" s="1">
        <f>+H212+H221</f>
        <v>-397139.3</v>
      </c>
      <c r="I210" s="1">
        <f>+I212+I221</f>
        <v>-385437.89999999997</v>
      </c>
    </row>
    <row r="211" spans="1:10" s="9" customFormat="1" ht="16.899999999999999" customHeight="1" x14ac:dyDescent="0.3">
      <c r="A211" s="426"/>
      <c r="B211" s="431"/>
      <c r="C211" s="431"/>
      <c r="D211" s="437"/>
      <c r="E211" s="46"/>
      <c r="F211" s="49" t="s">
        <v>6</v>
      </c>
      <c r="G211" s="1"/>
      <c r="H211" s="1"/>
      <c r="I211" s="1"/>
    </row>
    <row r="212" spans="1:10" s="9" customFormat="1" ht="37.9" customHeight="1" x14ac:dyDescent="0.25">
      <c r="A212" s="426"/>
      <c r="B212" s="431"/>
      <c r="C212" s="431"/>
      <c r="D212" s="437"/>
      <c r="E212" s="47">
        <v>32001</v>
      </c>
      <c r="F212" s="223" t="s">
        <v>201</v>
      </c>
      <c r="G212" s="11">
        <f t="shared" ref="G212:I212" si="87">+G214</f>
        <v>-208152.9</v>
      </c>
      <c r="H212" s="11">
        <f t="shared" si="87"/>
        <v>-375041.1</v>
      </c>
      <c r="I212" s="11">
        <f t="shared" si="87"/>
        <v>-521729.3</v>
      </c>
    </row>
    <row r="213" spans="1:10" s="9" customFormat="1" ht="16.149999999999999" customHeight="1" x14ac:dyDescent="0.3">
      <c r="A213" s="426"/>
      <c r="B213" s="431"/>
      <c r="C213" s="431"/>
      <c r="D213" s="437"/>
      <c r="E213" s="139"/>
      <c r="F213" s="49" t="s">
        <v>15</v>
      </c>
      <c r="G213" s="4"/>
      <c r="H213" s="5"/>
      <c r="I213" s="4"/>
    </row>
    <row r="214" spans="1:10" s="12" customFormat="1" ht="36.6" customHeight="1" x14ac:dyDescent="0.25">
      <c r="A214" s="426"/>
      <c r="B214" s="431"/>
      <c r="C214" s="431"/>
      <c r="D214" s="437"/>
      <c r="E214" s="416"/>
      <c r="F214" s="29" t="s">
        <v>139</v>
      </c>
      <c r="G214" s="26">
        <f t="shared" ref="G214:I214" si="88">+G216</f>
        <v>-208152.9</v>
      </c>
      <c r="H214" s="26">
        <f t="shared" si="88"/>
        <v>-375041.1</v>
      </c>
      <c r="I214" s="26">
        <f t="shared" si="88"/>
        <v>-521729.3</v>
      </c>
    </row>
    <row r="215" spans="1:10" s="9" customFormat="1" ht="34.5" x14ac:dyDescent="0.25">
      <c r="A215" s="426"/>
      <c r="B215" s="431"/>
      <c r="C215" s="431"/>
      <c r="D215" s="437"/>
      <c r="E215" s="417"/>
      <c r="F215" s="49" t="s">
        <v>63</v>
      </c>
      <c r="G215" s="4"/>
      <c r="H215" s="27"/>
      <c r="I215" s="4"/>
    </row>
    <row r="216" spans="1:10" s="9" customFormat="1" ht="16.899999999999999" customHeight="1" x14ac:dyDescent="0.25">
      <c r="A216" s="426"/>
      <c r="B216" s="431"/>
      <c r="C216" s="431"/>
      <c r="D216" s="437"/>
      <c r="E216" s="417"/>
      <c r="F216" s="57" t="s">
        <v>7</v>
      </c>
      <c r="G216" s="5">
        <f t="shared" ref="G216:I216" si="89">G217</f>
        <v>-208152.9</v>
      </c>
      <c r="H216" s="5">
        <f t="shared" si="89"/>
        <v>-375041.1</v>
      </c>
      <c r="I216" s="5">
        <f t="shared" si="89"/>
        <v>-521729.3</v>
      </c>
    </row>
    <row r="217" spans="1:10" s="9" customFormat="1" ht="16.899999999999999" customHeight="1" x14ac:dyDescent="0.25">
      <c r="A217" s="426"/>
      <c r="B217" s="431"/>
      <c r="C217" s="431"/>
      <c r="D217" s="437"/>
      <c r="E217" s="417"/>
      <c r="F217" s="49" t="s">
        <v>61</v>
      </c>
      <c r="G217" s="6">
        <f t="shared" ref="G217:I219" si="90">+G218</f>
        <v>-208152.9</v>
      </c>
      <c r="H217" s="6">
        <f t="shared" si="90"/>
        <v>-375041.1</v>
      </c>
      <c r="I217" s="6">
        <f t="shared" si="90"/>
        <v>-521729.3</v>
      </c>
    </row>
    <row r="218" spans="1:10" s="9" customFormat="1" ht="16.149999999999999" customHeight="1" x14ac:dyDescent="0.25">
      <c r="A218" s="426"/>
      <c r="B218" s="431"/>
      <c r="C218" s="431"/>
      <c r="D218" s="437"/>
      <c r="E218" s="417"/>
      <c r="F218" s="49" t="s">
        <v>62</v>
      </c>
      <c r="G218" s="6">
        <f>+G219</f>
        <v>-208152.9</v>
      </c>
      <c r="H218" s="6">
        <f t="shared" si="90"/>
        <v>-375041.1</v>
      </c>
      <c r="I218" s="6">
        <f t="shared" si="90"/>
        <v>-521729.3</v>
      </c>
    </row>
    <row r="219" spans="1:10" s="9" customFormat="1" ht="16.149999999999999" customHeight="1" x14ac:dyDescent="0.25">
      <c r="A219" s="426"/>
      <c r="B219" s="431"/>
      <c r="C219" s="431"/>
      <c r="D219" s="437"/>
      <c r="E219" s="417"/>
      <c r="F219" s="49" t="s">
        <v>64</v>
      </c>
      <c r="G219" s="22">
        <f t="shared" si="90"/>
        <v>-208152.9</v>
      </c>
      <c r="H219" s="22">
        <f t="shared" si="90"/>
        <v>-375041.1</v>
      </c>
      <c r="I219" s="22">
        <f t="shared" si="90"/>
        <v>-521729.3</v>
      </c>
      <c r="J219" s="13"/>
    </row>
    <row r="220" spans="1:10" s="9" customFormat="1" ht="18" customHeight="1" x14ac:dyDescent="0.25">
      <c r="A220" s="426"/>
      <c r="B220" s="431"/>
      <c r="C220" s="431"/>
      <c r="D220" s="437"/>
      <c r="E220" s="417"/>
      <c r="F220" s="51" t="s">
        <v>110</v>
      </c>
      <c r="G220" s="22">
        <f>+'Հավելված N 7'!E15-'Հավելված N 6'!G21</f>
        <v>-208152.9</v>
      </c>
      <c r="H220" s="22">
        <f>+'Հավելված N 7'!F15-'Հավելված N 6'!G21</f>
        <v>-375041.1</v>
      </c>
      <c r="I220" s="22">
        <f>+'Հավելված N 7'!G15-'Հավելված N 6'!G21</f>
        <v>-521729.3</v>
      </c>
      <c r="J220" s="13"/>
    </row>
    <row r="221" spans="1:10" s="9" customFormat="1" ht="34.5" x14ac:dyDescent="0.25">
      <c r="A221" s="426"/>
      <c r="B221" s="431"/>
      <c r="C221" s="431"/>
      <c r="D221" s="437"/>
      <c r="E221" s="47">
        <v>32005</v>
      </c>
      <c r="F221" s="34" t="s">
        <v>215</v>
      </c>
      <c r="G221" s="11">
        <f>+G223+G230</f>
        <v>-58446.6</v>
      </c>
      <c r="H221" s="11">
        <f t="shared" ref="H221:I221" si="91">+H223+H230</f>
        <v>-22098.199999999997</v>
      </c>
      <c r="I221" s="11">
        <f t="shared" si="91"/>
        <v>136291.40000000002</v>
      </c>
    </row>
    <row r="222" spans="1:10" s="9" customFormat="1" ht="16.149999999999999" customHeight="1" x14ac:dyDescent="0.3">
      <c r="A222" s="426"/>
      <c r="B222" s="431"/>
      <c r="C222" s="431"/>
      <c r="D222" s="437"/>
      <c r="E222" s="139"/>
      <c r="F222" s="49" t="s">
        <v>15</v>
      </c>
      <c r="G222" s="4"/>
      <c r="H222" s="5"/>
      <c r="I222" s="4"/>
    </row>
    <row r="223" spans="1:10" s="12" customFormat="1" ht="36.6" customHeight="1" x14ac:dyDescent="0.25">
      <c r="A223" s="426"/>
      <c r="B223" s="431"/>
      <c r="C223" s="431"/>
      <c r="D223" s="437"/>
      <c r="E223" s="416"/>
      <c r="F223" s="29" t="s">
        <v>139</v>
      </c>
      <c r="G223" s="26">
        <f t="shared" ref="G223:I223" si="92">+G225</f>
        <v>-58446.6</v>
      </c>
      <c r="H223" s="26">
        <f t="shared" si="92"/>
        <v>-33098.199999999997</v>
      </c>
      <c r="I223" s="26">
        <f t="shared" si="92"/>
        <v>143276.30000000002</v>
      </c>
    </row>
    <row r="224" spans="1:10" s="9" customFormat="1" ht="34.5" x14ac:dyDescent="0.25">
      <c r="A224" s="426"/>
      <c r="B224" s="431"/>
      <c r="C224" s="431"/>
      <c r="D224" s="437"/>
      <c r="E224" s="417"/>
      <c r="F224" s="49" t="s">
        <v>63</v>
      </c>
      <c r="G224" s="4"/>
      <c r="H224" s="27"/>
      <c r="I224" s="4"/>
    </row>
    <row r="225" spans="1:10" s="9" customFormat="1" ht="16.899999999999999" customHeight="1" x14ac:dyDescent="0.25">
      <c r="A225" s="426"/>
      <c r="B225" s="431"/>
      <c r="C225" s="431"/>
      <c r="D225" s="437"/>
      <c r="E225" s="417"/>
      <c r="F225" s="57" t="s">
        <v>7</v>
      </c>
      <c r="G225" s="5">
        <f t="shared" ref="G225:I225" si="93">G226</f>
        <v>-58446.6</v>
      </c>
      <c r="H225" s="5">
        <f t="shared" si="93"/>
        <v>-33098.199999999997</v>
      </c>
      <c r="I225" s="5">
        <f t="shared" si="93"/>
        <v>143276.30000000002</v>
      </c>
    </row>
    <row r="226" spans="1:10" s="9" customFormat="1" ht="16.899999999999999" customHeight="1" x14ac:dyDescent="0.25">
      <c r="A226" s="426"/>
      <c r="B226" s="431"/>
      <c r="C226" s="431"/>
      <c r="D226" s="437"/>
      <c r="E226" s="417"/>
      <c r="F226" s="49" t="s">
        <v>61</v>
      </c>
      <c r="G226" s="6">
        <f t="shared" ref="G226:I228" si="94">+G227</f>
        <v>-58446.6</v>
      </c>
      <c r="H226" s="6">
        <f t="shared" si="94"/>
        <v>-33098.199999999997</v>
      </c>
      <c r="I226" s="6">
        <f t="shared" si="94"/>
        <v>143276.30000000002</v>
      </c>
    </row>
    <row r="227" spans="1:10" s="9" customFormat="1" ht="16.149999999999999" customHeight="1" x14ac:dyDescent="0.25">
      <c r="A227" s="426"/>
      <c r="B227" s="431"/>
      <c r="C227" s="431"/>
      <c r="D227" s="437"/>
      <c r="E227" s="417"/>
      <c r="F227" s="49" t="s">
        <v>62</v>
      </c>
      <c r="G227" s="6">
        <f>+G228</f>
        <v>-58446.6</v>
      </c>
      <c r="H227" s="6">
        <f t="shared" si="94"/>
        <v>-33098.199999999997</v>
      </c>
      <c r="I227" s="6">
        <f t="shared" si="94"/>
        <v>143276.30000000002</v>
      </c>
    </row>
    <row r="228" spans="1:10" s="9" customFormat="1" ht="16.149999999999999" customHeight="1" x14ac:dyDescent="0.25">
      <c r="A228" s="426"/>
      <c r="B228" s="431"/>
      <c r="C228" s="431"/>
      <c r="D228" s="437"/>
      <c r="E228" s="417"/>
      <c r="F228" s="49" t="s">
        <v>64</v>
      </c>
      <c r="G228" s="22">
        <f t="shared" si="94"/>
        <v>-58446.6</v>
      </c>
      <c r="H228" s="22">
        <f t="shared" si="94"/>
        <v>-33098.199999999997</v>
      </c>
      <c r="I228" s="22">
        <f t="shared" si="94"/>
        <v>143276.30000000002</v>
      </c>
      <c r="J228" s="13"/>
    </row>
    <row r="229" spans="1:10" s="9" customFormat="1" ht="18" customHeight="1" x14ac:dyDescent="0.25">
      <c r="A229" s="426"/>
      <c r="B229" s="431"/>
      <c r="C229" s="431"/>
      <c r="D229" s="437"/>
      <c r="E229" s="417"/>
      <c r="F229" s="51" t="s">
        <v>145</v>
      </c>
      <c r="G229" s="22">
        <f>+'Հավելված N 7'!E27</f>
        <v>-58446.6</v>
      </c>
      <c r="H229" s="22">
        <f>+'Հավելված N 7'!F27</f>
        <v>-33098.199999999997</v>
      </c>
      <c r="I229" s="22">
        <f>+'Հավելված N 7'!G27</f>
        <v>143276.30000000002</v>
      </c>
      <c r="J229" s="13"/>
    </row>
    <row r="230" spans="1:10" s="12" customFormat="1" ht="36.6" customHeight="1" x14ac:dyDescent="0.25">
      <c r="A230" s="426"/>
      <c r="B230" s="431"/>
      <c r="C230" s="431"/>
      <c r="D230" s="437"/>
      <c r="E230" s="416"/>
      <c r="F230" s="29" t="s">
        <v>134</v>
      </c>
      <c r="G230" s="26">
        <f t="shared" ref="G230:I230" si="95">+G232</f>
        <v>0</v>
      </c>
      <c r="H230" s="26">
        <f t="shared" si="95"/>
        <v>11000</v>
      </c>
      <c r="I230" s="26">
        <f t="shared" si="95"/>
        <v>-6984.9000000000015</v>
      </c>
    </row>
    <row r="231" spans="1:10" s="9" customFormat="1" ht="34.5" x14ac:dyDescent="0.25">
      <c r="A231" s="426"/>
      <c r="B231" s="431"/>
      <c r="C231" s="431"/>
      <c r="D231" s="437"/>
      <c r="E231" s="417"/>
      <c r="F231" s="49" t="s">
        <v>63</v>
      </c>
      <c r="G231" s="4"/>
      <c r="H231" s="27"/>
      <c r="I231" s="4"/>
    </row>
    <row r="232" spans="1:10" s="9" customFormat="1" ht="16.899999999999999" customHeight="1" x14ac:dyDescent="0.25">
      <c r="A232" s="426"/>
      <c r="B232" s="431"/>
      <c r="C232" s="431"/>
      <c r="D232" s="437"/>
      <c r="E232" s="417"/>
      <c r="F232" s="57" t="s">
        <v>7</v>
      </c>
      <c r="G232" s="5">
        <f t="shared" ref="G232:I232" si="96">G233</f>
        <v>0</v>
      </c>
      <c r="H232" s="5">
        <f t="shared" si="96"/>
        <v>11000</v>
      </c>
      <c r="I232" s="5">
        <f t="shared" si="96"/>
        <v>-6984.9000000000015</v>
      </c>
    </row>
    <row r="233" spans="1:10" s="9" customFormat="1" ht="16.899999999999999" customHeight="1" x14ac:dyDescent="0.25">
      <c r="A233" s="426"/>
      <c r="B233" s="431"/>
      <c r="C233" s="431"/>
      <c r="D233" s="437"/>
      <c r="E233" s="417"/>
      <c r="F233" s="49" t="s">
        <v>61</v>
      </c>
      <c r="G233" s="6">
        <f t="shared" ref="G233:I235" si="97">+G234</f>
        <v>0</v>
      </c>
      <c r="H233" s="6">
        <f t="shared" si="97"/>
        <v>11000</v>
      </c>
      <c r="I233" s="6">
        <f t="shared" si="97"/>
        <v>-6984.9000000000015</v>
      </c>
    </row>
    <row r="234" spans="1:10" s="9" customFormat="1" ht="16.149999999999999" customHeight="1" x14ac:dyDescent="0.25">
      <c r="A234" s="426"/>
      <c r="B234" s="431"/>
      <c r="C234" s="431"/>
      <c r="D234" s="437"/>
      <c r="E234" s="417"/>
      <c r="F234" s="49" t="s">
        <v>62</v>
      </c>
      <c r="G234" s="6">
        <f>+G235</f>
        <v>0</v>
      </c>
      <c r="H234" s="6">
        <f t="shared" si="97"/>
        <v>11000</v>
      </c>
      <c r="I234" s="6">
        <f t="shared" si="97"/>
        <v>-6984.9000000000015</v>
      </c>
    </row>
    <row r="235" spans="1:10" s="9" customFormat="1" ht="16.149999999999999" customHeight="1" x14ac:dyDescent="0.25">
      <c r="A235" s="426"/>
      <c r="B235" s="431"/>
      <c r="C235" s="431"/>
      <c r="D235" s="437"/>
      <c r="E235" s="417"/>
      <c r="F235" s="49" t="s">
        <v>158</v>
      </c>
      <c r="G235" s="22">
        <f t="shared" si="97"/>
        <v>0</v>
      </c>
      <c r="H235" s="22">
        <f t="shared" si="97"/>
        <v>11000</v>
      </c>
      <c r="I235" s="22">
        <f t="shared" si="97"/>
        <v>-6984.9000000000015</v>
      </c>
      <c r="J235" s="13"/>
    </row>
    <row r="236" spans="1:10" s="9" customFormat="1" ht="18" customHeight="1" x14ac:dyDescent="0.25">
      <c r="A236" s="426"/>
      <c r="B236" s="431"/>
      <c r="C236" s="431"/>
      <c r="D236" s="437"/>
      <c r="E236" s="418"/>
      <c r="F236" s="51" t="s">
        <v>159</v>
      </c>
      <c r="G236" s="22">
        <f>+'Հավելված N 7'!E35</f>
        <v>0</v>
      </c>
      <c r="H236" s="22">
        <f>+'Հավելված N 7'!F35</f>
        <v>11000</v>
      </c>
      <c r="I236" s="22">
        <f>+'Հավելված N 7'!G35</f>
        <v>-6984.9000000000015</v>
      </c>
      <c r="J236" s="13"/>
    </row>
    <row r="237" spans="1:10" s="9" customFormat="1" ht="18" customHeight="1" x14ac:dyDescent="0.25">
      <c r="A237" s="426"/>
      <c r="B237" s="431"/>
      <c r="C237" s="431"/>
      <c r="D237" s="58">
        <v>1111</v>
      </c>
      <c r="E237" s="419" t="s">
        <v>509</v>
      </c>
      <c r="F237" s="419"/>
      <c r="G237" s="1">
        <f>+G239</f>
        <v>190409.3</v>
      </c>
      <c r="H237" s="1">
        <f t="shared" ref="H237:I237" si="98">+H239</f>
        <v>190409.3</v>
      </c>
      <c r="I237" s="1">
        <f t="shared" si="98"/>
        <v>190409.3</v>
      </c>
    </row>
    <row r="238" spans="1:10" s="9" customFormat="1" ht="16.899999999999999" customHeight="1" x14ac:dyDescent="0.3">
      <c r="A238" s="426"/>
      <c r="B238" s="431"/>
      <c r="C238" s="431"/>
      <c r="D238" s="438"/>
      <c r="E238" s="46"/>
      <c r="F238" s="49" t="s">
        <v>6</v>
      </c>
      <c r="G238" s="1"/>
      <c r="H238" s="1"/>
      <c r="I238" s="1"/>
    </row>
    <row r="239" spans="1:10" s="9" customFormat="1" ht="51.75" x14ac:dyDescent="0.25">
      <c r="A239" s="426"/>
      <c r="B239" s="431"/>
      <c r="C239" s="431"/>
      <c r="D239" s="439"/>
      <c r="E239" s="47">
        <v>32001</v>
      </c>
      <c r="F239" s="223" t="s">
        <v>510</v>
      </c>
      <c r="G239" s="11">
        <f t="shared" ref="G239:I239" si="99">+G241</f>
        <v>190409.3</v>
      </c>
      <c r="H239" s="11">
        <f t="shared" si="99"/>
        <v>190409.3</v>
      </c>
      <c r="I239" s="11">
        <f t="shared" si="99"/>
        <v>190409.3</v>
      </c>
    </row>
    <row r="240" spans="1:10" s="9" customFormat="1" ht="16.149999999999999" customHeight="1" x14ac:dyDescent="0.3">
      <c r="A240" s="426"/>
      <c r="B240" s="431"/>
      <c r="C240" s="431"/>
      <c r="D240" s="439"/>
      <c r="E240" s="139"/>
      <c r="F240" s="49" t="s">
        <v>15</v>
      </c>
      <c r="G240" s="4"/>
      <c r="H240" s="5"/>
      <c r="I240" s="4"/>
    </row>
    <row r="241" spans="1:10" s="12" customFormat="1" ht="36.6" customHeight="1" x14ac:dyDescent="0.25">
      <c r="A241" s="426"/>
      <c r="B241" s="431"/>
      <c r="C241" s="431"/>
      <c r="D241" s="439"/>
      <c r="E241" s="420"/>
      <c r="F241" s="29" t="s">
        <v>139</v>
      </c>
      <c r="G241" s="26">
        <f t="shared" ref="G241:I241" si="100">+G243</f>
        <v>190409.3</v>
      </c>
      <c r="H241" s="26">
        <f t="shared" si="100"/>
        <v>190409.3</v>
      </c>
      <c r="I241" s="26">
        <f t="shared" si="100"/>
        <v>190409.3</v>
      </c>
    </row>
    <row r="242" spans="1:10" s="9" customFormat="1" ht="34.5" x14ac:dyDescent="0.25">
      <c r="A242" s="426"/>
      <c r="B242" s="431"/>
      <c r="C242" s="431"/>
      <c r="D242" s="439"/>
      <c r="E242" s="420"/>
      <c r="F242" s="49" t="s">
        <v>63</v>
      </c>
      <c r="G242" s="4"/>
      <c r="H242" s="27"/>
      <c r="I242" s="4"/>
    </row>
    <row r="243" spans="1:10" s="9" customFormat="1" ht="16.899999999999999" customHeight="1" x14ac:dyDescent="0.25">
      <c r="A243" s="426"/>
      <c r="B243" s="431"/>
      <c r="C243" s="431"/>
      <c r="D243" s="439"/>
      <c r="E243" s="420"/>
      <c r="F243" s="57" t="s">
        <v>7</v>
      </c>
      <c r="G243" s="5">
        <f t="shared" ref="G243:I243" si="101">G244</f>
        <v>190409.3</v>
      </c>
      <c r="H243" s="5">
        <f t="shared" si="101"/>
        <v>190409.3</v>
      </c>
      <c r="I243" s="5">
        <f t="shared" si="101"/>
        <v>190409.3</v>
      </c>
    </row>
    <row r="244" spans="1:10" s="9" customFormat="1" ht="16.899999999999999" customHeight="1" x14ac:dyDescent="0.25">
      <c r="A244" s="426"/>
      <c r="B244" s="431"/>
      <c r="C244" s="431"/>
      <c r="D244" s="439"/>
      <c r="E244" s="420"/>
      <c r="F244" s="49" t="s">
        <v>140</v>
      </c>
      <c r="G244" s="6">
        <f t="shared" ref="G244:I246" si="102">+G245</f>
        <v>190409.3</v>
      </c>
      <c r="H244" s="6">
        <f t="shared" si="102"/>
        <v>190409.3</v>
      </c>
      <c r="I244" s="6">
        <f t="shared" si="102"/>
        <v>190409.3</v>
      </c>
    </row>
    <row r="245" spans="1:10" s="9" customFormat="1" ht="16.149999999999999" customHeight="1" x14ac:dyDescent="0.25">
      <c r="A245" s="426"/>
      <c r="B245" s="431"/>
      <c r="C245" s="431"/>
      <c r="D245" s="439"/>
      <c r="E245" s="420"/>
      <c r="F245" s="49" t="s">
        <v>141</v>
      </c>
      <c r="G245" s="6">
        <f>+G246</f>
        <v>190409.3</v>
      </c>
      <c r="H245" s="6">
        <f t="shared" si="102"/>
        <v>190409.3</v>
      </c>
      <c r="I245" s="6">
        <f t="shared" si="102"/>
        <v>190409.3</v>
      </c>
    </row>
    <row r="246" spans="1:10" s="9" customFormat="1" ht="16.149999999999999" customHeight="1" x14ac:dyDescent="0.25">
      <c r="A246" s="426"/>
      <c r="B246" s="431"/>
      <c r="C246" s="431"/>
      <c r="D246" s="439"/>
      <c r="E246" s="420"/>
      <c r="F246" s="49" t="s">
        <v>498</v>
      </c>
      <c r="G246" s="22">
        <f t="shared" si="102"/>
        <v>190409.3</v>
      </c>
      <c r="H246" s="22">
        <f t="shared" si="102"/>
        <v>190409.3</v>
      </c>
      <c r="I246" s="22">
        <f t="shared" si="102"/>
        <v>190409.3</v>
      </c>
      <c r="J246" s="13"/>
    </row>
    <row r="247" spans="1:10" s="9" customFormat="1" ht="18" customHeight="1" x14ac:dyDescent="0.25">
      <c r="A247" s="426"/>
      <c r="B247" s="431"/>
      <c r="C247" s="431"/>
      <c r="D247" s="440"/>
      <c r="E247" s="420"/>
      <c r="F247" s="51" t="s">
        <v>500</v>
      </c>
      <c r="G247" s="22">
        <f>+I247</f>
        <v>190409.3</v>
      </c>
      <c r="H247" s="22">
        <f>+I247</f>
        <v>190409.3</v>
      </c>
      <c r="I247" s="22">
        <f>+'Հավելված N 8'!G12</f>
        <v>190409.3</v>
      </c>
      <c r="J247" s="13"/>
    </row>
    <row r="248" spans="1:10" s="9" customFormat="1" x14ac:dyDescent="0.25">
      <c r="A248" s="426"/>
      <c r="B248" s="410" t="s">
        <v>166</v>
      </c>
      <c r="C248" s="448"/>
      <c r="D248" s="448"/>
      <c r="E248" s="413"/>
      <c r="F248" s="56" t="s">
        <v>511</v>
      </c>
      <c r="G248" s="5">
        <f t="shared" ref="G248:I248" si="103">+G250</f>
        <v>100666.3</v>
      </c>
      <c r="H248" s="5">
        <f t="shared" si="103"/>
        <v>100666.3</v>
      </c>
      <c r="I248" s="5">
        <f t="shared" si="103"/>
        <v>100666.3</v>
      </c>
    </row>
    <row r="249" spans="1:10" s="9" customFormat="1" ht="18" customHeight="1" x14ac:dyDescent="0.25">
      <c r="A249" s="426"/>
      <c r="B249" s="411"/>
      <c r="C249" s="448"/>
      <c r="D249" s="448"/>
      <c r="E249" s="414"/>
      <c r="F249" s="49" t="s">
        <v>6</v>
      </c>
      <c r="G249" s="4"/>
      <c r="H249" s="5"/>
      <c r="I249" s="4"/>
    </row>
    <row r="250" spans="1:10" s="9" customFormat="1" x14ac:dyDescent="0.25">
      <c r="A250" s="426"/>
      <c r="B250" s="411"/>
      <c r="C250" s="410" t="s">
        <v>28</v>
      </c>
      <c r="D250" s="448"/>
      <c r="E250" s="414"/>
      <c r="F250" s="56" t="s">
        <v>511</v>
      </c>
      <c r="G250" s="5">
        <f t="shared" ref="G250:I250" si="104">+G252</f>
        <v>100666.3</v>
      </c>
      <c r="H250" s="5">
        <f t="shared" si="104"/>
        <v>100666.3</v>
      </c>
      <c r="I250" s="5">
        <f t="shared" si="104"/>
        <v>100666.3</v>
      </c>
    </row>
    <row r="251" spans="1:10" s="9" customFormat="1" ht="16.899999999999999" customHeight="1" x14ac:dyDescent="0.25">
      <c r="A251" s="426"/>
      <c r="B251" s="411"/>
      <c r="C251" s="411"/>
      <c r="D251" s="448"/>
      <c r="E251" s="414"/>
      <c r="F251" s="49" t="s">
        <v>6</v>
      </c>
      <c r="G251" s="10"/>
      <c r="H251" s="5"/>
      <c r="I251" s="10"/>
    </row>
    <row r="252" spans="1:10" s="9" customFormat="1" ht="34.5" x14ac:dyDescent="0.25">
      <c r="A252" s="426"/>
      <c r="B252" s="411"/>
      <c r="C252" s="411"/>
      <c r="D252" s="448"/>
      <c r="E252" s="414"/>
      <c r="F252" s="50" t="s">
        <v>12</v>
      </c>
      <c r="G252" s="5">
        <f>+G254</f>
        <v>100666.3</v>
      </c>
      <c r="H252" s="5">
        <f t="shared" ref="H252:I252" si="105">+H254</f>
        <v>100666.3</v>
      </c>
      <c r="I252" s="5">
        <f t="shared" si="105"/>
        <v>100666.3</v>
      </c>
    </row>
    <row r="253" spans="1:10" s="9" customFormat="1" ht="16.899999999999999" customHeight="1" x14ac:dyDescent="0.25">
      <c r="A253" s="426"/>
      <c r="B253" s="411"/>
      <c r="C253" s="411"/>
      <c r="D253" s="448"/>
      <c r="E253" s="415"/>
      <c r="F253" s="49" t="s">
        <v>6</v>
      </c>
      <c r="G253" s="5"/>
      <c r="H253" s="5"/>
      <c r="I253" s="5"/>
    </row>
    <row r="254" spans="1:10" s="9" customFormat="1" ht="56.45" customHeight="1" x14ac:dyDescent="0.25">
      <c r="A254" s="426"/>
      <c r="B254" s="411"/>
      <c r="C254" s="411"/>
      <c r="D254" s="234">
        <v>1130</v>
      </c>
      <c r="E254" s="419" t="s">
        <v>512</v>
      </c>
      <c r="F254" s="419"/>
      <c r="G254" s="1">
        <f>+G256</f>
        <v>100666.3</v>
      </c>
      <c r="H254" s="1">
        <f t="shared" ref="H254:I254" si="106">+H256</f>
        <v>100666.3</v>
      </c>
      <c r="I254" s="1">
        <f t="shared" si="106"/>
        <v>100666.3</v>
      </c>
    </row>
    <row r="255" spans="1:10" s="9" customFormat="1" ht="16.899999999999999" customHeight="1" x14ac:dyDescent="0.3">
      <c r="A255" s="426"/>
      <c r="B255" s="411"/>
      <c r="C255" s="411"/>
      <c r="D255" s="449"/>
      <c r="E255" s="46"/>
      <c r="F255" s="49" t="s">
        <v>6</v>
      </c>
      <c r="G255" s="1"/>
      <c r="H255" s="1"/>
      <c r="I255" s="1"/>
    </row>
    <row r="256" spans="1:10" s="9" customFormat="1" ht="69" x14ac:dyDescent="0.25">
      <c r="A256" s="426"/>
      <c r="B256" s="411"/>
      <c r="C256" s="411"/>
      <c r="D256" s="449"/>
      <c r="E256" s="47">
        <v>11011</v>
      </c>
      <c r="F256" s="169" t="s">
        <v>583</v>
      </c>
      <c r="G256" s="11">
        <f t="shared" ref="G256" si="107">+G258</f>
        <v>100666.3</v>
      </c>
      <c r="H256" s="11">
        <f t="shared" ref="H256:I256" si="108">+H258</f>
        <v>100666.3</v>
      </c>
      <c r="I256" s="11">
        <f t="shared" si="108"/>
        <v>100666.3</v>
      </c>
    </row>
    <row r="257" spans="1:10" s="9" customFormat="1" ht="16.149999999999999" customHeight="1" x14ac:dyDescent="0.3">
      <c r="A257" s="426"/>
      <c r="B257" s="411"/>
      <c r="C257" s="411"/>
      <c r="D257" s="449"/>
      <c r="E257" s="139"/>
      <c r="F257" s="49" t="s">
        <v>15</v>
      </c>
      <c r="G257" s="4"/>
      <c r="H257" s="5"/>
      <c r="I257" s="4"/>
    </row>
    <row r="258" spans="1:10" s="12" customFormat="1" ht="36.6" customHeight="1" x14ac:dyDescent="0.25">
      <c r="A258" s="426"/>
      <c r="B258" s="411"/>
      <c r="C258" s="411"/>
      <c r="D258" s="449"/>
      <c r="E258" s="449"/>
      <c r="F258" s="29" t="s">
        <v>139</v>
      </c>
      <c r="G258" s="26">
        <f t="shared" ref="G258:I258" si="109">+G260</f>
        <v>100666.3</v>
      </c>
      <c r="H258" s="26">
        <f t="shared" si="109"/>
        <v>100666.3</v>
      </c>
      <c r="I258" s="26">
        <f t="shared" si="109"/>
        <v>100666.3</v>
      </c>
    </row>
    <row r="259" spans="1:10" s="9" customFormat="1" ht="34.5" x14ac:dyDescent="0.25">
      <c r="A259" s="426"/>
      <c r="B259" s="411"/>
      <c r="C259" s="411"/>
      <c r="D259" s="449"/>
      <c r="E259" s="449"/>
      <c r="F259" s="49" t="s">
        <v>63</v>
      </c>
      <c r="G259" s="4"/>
      <c r="H259" s="27"/>
      <c r="I259" s="4"/>
    </row>
    <row r="260" spans="1:10" s="9" customFormat="1" ht="16.899999999999999" customHeight="1" x14ac:dyDescent="0.25">
      <c r="A260" s="426"/>
      <c r="B260" s="411"/>
      <c r="C260" s="411"/>
      <c r="D260" s="449"/>
      <c r="E260" s="449"/>
      <c r="F260" s="57" t="s">
        <v>7</v>
      </c>
      <c r="G260" s="5">
        <f t="shared" ref="G260:I260" si="110">G261</f>
        <v>100666.3</v>
      </c>
      <c r="H260" s="5">
        <f t="shared" si="110"/>
        <v>100666.3</v>
      </c>
      <c r="I260" s="5">
        <f t="shared" si="110"/>
        <v>100666.3</v>
      </c>
    </row>
    <row r="261" spans="1:10" s="9" customFormat="1" ht="16.899999999999999" customHeight="1" x14ac:dyDescent="0.25">
      <c r="A261" s="426"/>
      <c r="B261" s="411"/>
      <c r="C261" s="411"/>
      <c r="D261" s="449"/>
      <c r="E261" s="449"/>
      <c r="F261" s="49" t="s">
        <v>140</v>
      </c>
      <c r="G261" s="6">
        <f t="shared" ref="G261:I263" si="111">+G262</f>
        <v>100666.3</v>
      </c>
      <c r="H261" s="6">
        <f t="shared" si="111"/>
        <v>100666.3</v>
      </c>
      <c r="I261" s="6">
        <f t="shared" si="111"/>
        <v>100666.3</v>
      </c>
    </row>
    <row r="262" spans="1:10" s="9" customFormat="1" ht="16.149999999999999" customHeight="1" x14ac:dyDescent="0.25">
      <c r="A262" s="426"/>
      <c r="B262" s="411"/>
      <c r="C262" s="411"/>
      <c r="D262" s="449"/>
      <c r="E262" s="449"/>
      <c r="F262" s="49" t="s">
        <v>513</v>
      </c>
      <c r="G262" s="6">
        <f>+G263+G265</f>
        <v>100666.3</v>
      </c>
      <c r="H262" s="6">
        <f t="shared" ref="H262" si="112">+H263+H265</f>
        <v>100666.3</v>
      </c>
      <c r="I262" s="6">
        <f t="shared" ref="I262" si="113">+I263+I265</f>
        <v>100666.3</v>
      </c>
    </row>
    <row r="263" spans="1:10" s="9" customFormat="1" ht="51.75" x14ac:dyDescent="0.25">
      <c r="A263" s="426"/>
      <c r="B263" s="411"/>
      <c r="C263" s="411"/>
      <c r="D263" s="449"/>
      <c r="E263" s="449"/>
      <c r="F263" s="49" t="s">
        <v>515</v>
      </c>
      <c r="G263" s="22">
        <f t="shared" si="111"/>
        <v>100666.3</v>
      </c>
      <c r="H263" s="22">
        <f t="shared" si="111"/>
        <v>100666.3</v>
      </c>
      <c r="I263" s="22">
        <f t="shared" si="111"/>
        <v>100666.3</v>
      </c>
      <c r="J263" s="13"/>
    </row>
    <row r="264" spans="1:10" s="9" customFormat="1" x14ac:dyDescent="0.25">
      <c r="A264" s="426"/>
      <c r="B264" s="412"/>
      <c r="C264" s="412"/>
      <c r="D264" s="449"/>
      <c r="E264" s="449"/>
      <c r="F264" s="51" t="s">
        <v>514</v>
      </c>
      <c r="G264" s="22">
        <f>+I264</f>
        <v>100666.3</v>
      </c>
      <c r="H264" s="22">
        <f>+I264</f>
        <v>100666.3</v>
      </c>
      <c r="I264" s="22">
        <v>100666.3</v>
      </c>
      <c r="J264" s="13"/>
    </row>
    <row r="265" spans="1:10" s="286" customFormat="1" x14ac:dyDescent="0.3"/>
    <row r="266" spans="1:10" s="9" customFormat="1" ht="32.450000000000003" customHeight="1" x14ac:dyDescent="0.25">
      <c r="A266" s="49"/>
      <c r="B266" s="49"/>
      <c r="C266" s="49"/>
      <c r="D266" s="31"/>
      <c r="E266" s="31"/>
      <c r="F266" s="56" t="s">
        <v>561</v>
      </c>
      <c r="G266" s="285">
        <f>+G267</f>
        <v>0</v>
      </c>
      <c r="H266" s="285">
        <f>+H267</f>
        <v>0</v>
      </c>
      <c r="I266" s="285">
        <f>+I267</f>
        <v>0</v>
      </c>
    </row>
    <row r="267" spans="1:10" s="9" customFormat="1" ht="17.649999999999999" customHeight="1" x14ac:dyDescent="0.25">
      <c r="A267" s="431" t="s">
        <v>562</v>
      </c>
      <c r="B267" s="432"/>
      <c r="C267" s="432"/>
      <c r="D267" s="433"/>
      <c r="E267" s="20"/>
      <c r="F267" s="56" t="s">
        <v>563</v>
      </c>
      <c r="G267" s="285">
        <f t="shared" ref="G267:H267" si="114">+G269</f>
        <v>0</v>
      </c>
      <c r="H267" s="285">
        <f t="shared" si="114"/>
        <v>0</v>
      </c>
      <c r="I267" s="285">
        <f t="shared" ref="I267" si="115">+I269</f>
        <v>0</v>
      </c>
    </row>
    <row r="268" spans="1:10" s="9" customFormat="1" ht="16.899999999999999" customHeight="1" x14ac:dyDescent="0.25">
      <c r="A268" s="431"/>
      <c r="B268" s="432"/>
      <c r="C268" s="432"/>
      <c r="D268" s="434"/>
      <c r="E268" s="21"/>
      <c r="F268" s="49" t="s">
        <v>6</v>
      </c>
      <c r="G268" s="279"/>
      <c r="H268" s="263"/>
      <c r="I268" s="263"/>
    </row>
    <row r="269" spans="1:10" s="9" customFormat="1" ht="34.5" x14ac:dyDescent="0.25">
      <c r="A269" s="431"/>
      <c r="B269" s="426" t="s">
        <v>28</v>
      </c>
      <c r="C269" s="432"/>
      <c r="D269" s="434"/>
      <c r="E269" s="21"/>
      <c r="F269" s="56" t="s">
        <v>564</v>
      </c>
      <c r="G269" s="263">
        <f t="shared" ref="G269:H269" si="116">+G271</f>
        <v>0</v>
      </c>
      <c r="H269" s="263">
        <f t="shared" si="116"/>
        <v>0</v>
      </c>
      <c r="I269" s="263">
        <f t="shared" ref="I269" si="117">+I271</f>
        <v>0</v>
      </c>
    </row>
    <row r="270" spans="1:10" s="9" customFormat="1" ht="16.899999999999999" customHeight="1" x14ac:dyDescent="0.25">
      <c r="A270" s="431"/>
      <c r="B270" s="426"/>
      <c r="C270" s="432"/>
      <c r="D270" s="434"/>
      <c r="E270" s="21"/>
      <c r="F270" s="49" t="s">
        <v>6</v>
      </c>
      <c r="G270" s="279"/>
      <c r="H270" s="263"/>
      <c r="I270" s="263"/>
    </row>
    <row r="271" spans="1:10" s="9" customFormat="1" x14ac:dyDescent="0.25">
      <c r="A271" s="431"/>
      <c r="B271" s="426"/>
      <c r="C271" s="426" t="s">
        <v>28</v>
      </c>
      <c r="D271" s="434"/>
      <c r="E271" s="21"/>
      <c r="F271" s="56" t="s">
        <v>565</v>
      </c>
      <c r="G271" s="263">
        <f t="shared" ref="G271:H271" si="118">+G273</f>
        <v>0</v>
      </c>
      <c r="H271" s="263">
        <f t="shared" si="118"/>
        <v>0</v>
      </c>
      <c r="I271" s="263">
        <f t="shared" ref="I271" si="119">+I273</f>
        <v>0</v>
      </c>
    </row>
    <row r="272" spans="1:10" s="9" customFormat="1" ht="16.899999999999999" customHeight="1" x14ac:dyDescent="0.25">
      <c r="A272" s="431"/>
      <c r="B272" s="426"/>
      <c r="C272" s="426"/>
      <c r="D272" s="434"/>
      <c r="E272" s="21"/>
      <c r="F272" s="49" t="s">
        <v>6</v>
      </c>
      <c r="G272" s="287"/>
      <c r="H272" s="263"/>
      <c r="I272" s="263"/>
    </row>
    <row r="273" spans="1:9" s="9" customFormat="1" ht="34.5" x14ac:dyDescent="0.25">
      <c r="A273" s="431"/>
      <c r="B273" s="426"/>
      <c r="C273" s="426"/>
      <c r="D273" s="434"/>
      <c r="E273" s="21"/>
      <c r="F273" s="50" t="s">
        <v>12</v>
      </c>
      <c r="G273" s="263">
        <f t="shared" ref="G273:H273" si="120">+G275</f>
        <v>0</v>
      </c>
      <c r="H273" s="263">
        <f t="shared" si="120"/>
        <v>0</v>
      </c>
      <c r="I273" s="263">
        <f t="shared" ref="I273" si="121">+I275</f>
        <v>0</v>
      </c>
    </row>
    <row r="274" spans="1:9" s="9" customFormat="1" ht="16.899999999999999" customHeight="1" x14ac:dyDescent="0.25">
      <c r="A274" s="431"/>
      <c r="B274" s="426"/>
      <c r="C274" s="426"/>
      <c r="D274" s="435"/>
      <c r="E274" s="25"/>
      <c r="F274" s="49" t="s">
        <v>6</v>
      </c>
      <c r="G274" s="287"/>
      <c r="H274" s="263"/>
      <c r="I274" s="263"/>
    </row>
    <row r="275" spans="1:9" s="9" customFormat="1" ht="18" customHeight="1" x14ac:dyDescent="0.25">
      <c r="A275" s="431"/>
      <c r="B275" s="426"/>
      <c r="C275" s="426"/>
      <c r="D275" s="436">
        <v>1139</v>
      </c>
      <c r="E275" s="419" t="s">
        <v>565</v>
      </c>
      <c r="F275" s="419"/>
      <c r="G275" s="285">
        <f>+G277+G285</f>
        <v>0</v>
      </c>
      <c r="H275" s="285">
        <f>+H277+H285</f>
        <v>0</v>
      </c>
      <c r="I275" s="285">
        <f>+I277+I285</f>
        <v>0</v>
      </c>
    </row>
    <row r="276" spans="1:9" s="9" customFormat="1" ht="16.899999999999999" customHeight="1" x14ac:dyDescent="0.3">
      <c r="A276" s="431"/>
      <c r="B276" s="426"/>
      <c r="C276" s="426"/>
      <c r="D276" s="436"/>
      <c r="E276" s="46"/>
      <c r="F276" s="49" t="s">
        <v>6</v>
      </c>
      <c r="G276" s="285"/>
      <c r="H276" s="285"/>
      <c r="I276" s="285"/>
    </row>
    <row r="277" spans="1:9" s="9" customFormat="1" x14ac:dyDescent="0.25">
      <c r="A277" s="431"/>
      <c r="B277" s="426"/>
      <c r="C277" s="426"/>
      <c r="D277" s="436"/>
      <c r="E277" s="47">
        <v>11001</v>
      </c>
      <c r="F277" s="48" t="s">
        <v>565</v>
      </c>
      <c r="G277" s="276">
        <f t="shared" ref="G277:H277" si="122">+G279</f>
        <v>-110666.3</v>
      </c>
      <c r="H277" s="276">
        <f t="shared" si="122"/>
        <v>-110666.3</v>
      </c>
      <c r="I277" s="276">
        <f t="shared" ref="I277" si="123">+I279</f>
        <v>-110666.3</v>
      </c>
    </row>
    <row r="278" spans="1:9" s="9" customFormat="1" ht="15.6" customHeight="1" x14ac:dyDescent="0.25">
      <c r="A278" s="431"/>
      <c r="B278" s="426"/>
      <c r="C278" s="426"/>
      <c r="D278" s="436"/>
      <c r="E278" s="445"/>
      <c r="F278" s="49" t="s">
        <v>15</v>
      </c>
      <c r="G278" s="279"/>
      <c r="H278" s="263"/>
      <c r="I278" s="263"/>
    </row>
    <row r="279" spans="1:9" s="12" customFormat="1" ht="36.6" customHeight="1" x14ac:dyDescent="0.25">
      <c r="A279" s="431"/>
      <c r="B279" s="426"/>
      <c r="C279" s="426"/>
      <c r="D279" s="436"/>
      <c r="E279" s="446"/>
      <c r="F279" s="29" t="s">
        <v>96</v>
      </c>
      <c r="G279" s="288">
        <f t="shared" ref="G279:H279" si="124">+G281</f>
        <v>-110666.3</v>
      </c>
      <c r="H279" s="288">
        <f t="shared" si="124"/>
        <v>-110666.3</v>
      </c>
      <c r="I279" s="288">
        <f t="shared" ref="I279" si="125">+I281</f>
        <v>-110666.3</v>
      </c>
    </row>
    <row r="280" spans="1:9" s="9" customFormat="1" ht="51.75" x14ac:dyDescent="0.25">
      <c r="A280" s="431"/>
      <c r="B280" s="426"/>
      <c r="C280" s="426"/>
      <c r="D280" s="436"/>
      <c r="E280" s="446"/>
      <c r="F280" s="49" t="s">
        <v>172</v>
      </c>
      <c r="G280" s="279"/>
      <c r="H280" s="289"/>
      <c r="I280" s="289"/>
    </row>
    <row r="281" spans="1:9" s="9" customFormat="1" ht="16.899999999999999" customHeight="1" x14ac:dyDescent="0.25">
      <c r="A281" s="431"/>
      <c r="B281" s="426"/>
      <c r="C281" s="426"/>
      <c r="D281" s="436"/>
      <c r="E281" s="446"/>
      <c r="F281" s="57" t="s">
        <v>7</v>
      </c>
      <c r="G281" s="263">
        <f t="shared" ref="G281:I283" si="126">+G282</f>
        <v>-110666.3</v>
      </c>
      <c r="H281" s="263">
        <f t="shared" si="126"/>
        <v>-110666.3</v>
      </c>
      <c r="I281" s="263">
        <f t="shared" si="126"/>
        <v>-110666.3</v>
      </c>
    </row>
    <row r="282" spans="1:9" s="9" customFormat="1" ht="16.899999999999999" customHeight="1" x14ac:dyDescent="0.25">
      <c r="A282" s="431"/>
      <c r="B282" s="426"/>
      <c r="C282" s="426"/>
      <c r="D282" s="436"/>
      <c r="E282" s="446"/>
      <c r="F282" s="49" t="s">
        <v>140</v>
      </c>
      <c r="G282" s="278">
        <f t="shared" si="126"/>
        <v>-110666.3</v>
      </c>
      <c r="H282" s="289">
        <f t="shared" si="126"/>
        <v>-110666.3</v>
      </c>
      <c r="I282" s="289">
        <f t="shared" si="126"/>
        <v>-110666.3</v>
      </c>
    </row>
    <row r="283" spans="1:9" s="9" customFormat="1" ht="15.6" customHeight="1" x14ac:dyDescent="0.25">
      <c r="A283" s="431"/>
      <c r="B283" s="426"/>
      <c r="C283" s="426"/>
      <c r="D283" s="436"/>
      <c r="E283" s="446"/>
      <c r="F283" s="49" t="s">
        <v>513</v>
      </c>
      <c r="G283" s="278">
        <f t="shared" si="126"/>
        <v>-110666.3</v>
      </c>
      <c r="H283" s="278">
        <f t="shared" si="126"/>
        <v>-110666.3</v>
      </c>
      <c r="I283" s="278">
        <f t="shared" si="126"/>
        <v>-110666.3</v>
      </c>
    </row>
    <row r="284" spans="1:9" s="9" customFormat="1" x14ac:dyDescent="0.25">
      <c r="A284" s="431"/>
      <c r="B284" s="426"/>
      <c r="C284" s="426"/>
      <c r="D284" s="436"/>
      <c r="E284" s="446"/>
      <c r="F284" s="283" t="s">
        <v>566</v>
      </c>
      <c r="G284" s="278">
        <f>-G292</f>
        <v>-110666.3</v>
      </c>
      <c r="H284" s="278">
        <f t="shared" ref="H284:I284" si="127">-H292</f>
        <v>-110666.3</v>
      </c>
      <c r="I284" s="278">
        <f t="shared" si="127"/>
        <v>-110666.3</v>
      </c>
    </row>
    <row r="285" spans="1:9" s="9" customFormat="1" x14ac:dyDescent="0.25">
      <c r="A285" s="431"/>
      <c r="B285" s="426"/>
      <c r="C285" s="426"/>
      <c r="D285" s="436"/>
      <c r="E285" s="47">
        <v>11001</v>
      </c>
      <c r="F285" s="48" t="s">
        <v>565</v>
      </c>
      <c r="G285" s="276">
        <f t="shared" ref="G285:H285" si="128">+G287</f>
        <v>110666.3</v>
      </c>
      <c r="H285" s="276">
        <f t="shared" si="128"/>
        <v>110666.3</v>
      </c>
      <c r="I285" s="276">
        <f t="shared" ref="I285" si="129">+I287</f>
        <v>110666.3</v>
      </c>
    </row>
    <row r="286" spans="1:9" s="9" customFormat="1" x14ac:dyDescent="0.25">
      <c r="A286" s="431"/>
      <c r="B286" s="426"/>
      <c r="C286" s="426"/>
      <c r="D286" s="436"/>
      <c r="E286" s="447"/>
      <c r="F286" s="49" t="s">
        <v>15</v>
      </c>
      <c r="G286" s="279"/>
      <c r="H286" s="263"/>
      <c r="I286" s="263"/>
    </row>
    <row r="287" spans="1:9" s="12" customFormat="1" ht="36.6" customHeight="1" x14ac:dyDescent="0.25">
      <c r="A287" s="431"/>
      <c r="B287" s="426"/>
      <c r="C287" s="426"/>
      <c r="D287" s="436"/>
      <c r="E287" s="447"/>
      <c r="F287" s="29" t="s">
        <v>96</v>
      </c>
      <c r="G287" s="288">
        <f t="shared" ref="G287:H287" si="130">+G289</f>
        <v>110666.3</v>
      </c>
      <c r="H287" s="288">
        <f t="shared" si="130"/>
        <v>110666.3</v>
      </c>
      <c r="I287" s="288">
        <f t="shared" ref="I287" si="131">+I289</f>
        <v>110666.3</v>
      </c>
    </row>
    <row r="288" spans="1:9" s="9" customFormat="1" ht="51.75" x14ac:dyDescent="0.25">
      <c r="A288" s="431"/>
      <c r="B288" s="426"/>
      <c r="C288" s="426"/>
      <c r="D288" s="436"/>
      <c r="E288" s="447"/>
      <c r="F288" s="49" t="s">
        <v>172</v>
      </c>
      <c r="G288" s="279"/>
      <c r="H288" s="289"/>
      <c r="I288" s="289"/>
    </row>
    <row r="289" spans="1:9" s="9" customFormat="1" ht="16.899999999999999" customHeight="1" x14ac:dyDescent="0.25">
      <c r="A289" s="431"/>
      <c r="B289" s="426"/>
      <c r="C289" s="426"/>
      <c r="D289" s="436"/>
      <c r="E289" s="447"/>
      <c r="F289" s="57" t="s">
        <v>7</v>
      </c>
      <c r="G289" s="263">
        <f t="shared" ref="G289:I291" si="132">+G290</f>
        <v>110666.3</v>
      </c>
      <c r="H289" s="263">
        <f t="shared" si="132"/>
        <v>110666.3</v>
      </c>
      <c r="I289" s="263">
        <f t="shared" si="132"/>
        <v>110666.3</v>
      </c>
    </row>
    <row r="290" spans="1:9" s="9" customFormat="1" ht="16.899999999999999" customHeight="1" x14ac:dyDescent="0.25">
      <c r="A290" s="431"/>
      <c r="B290" s="426"/>
      <c r="C290" s="426"/>
      <c r="D290" s="436"/>
      <c r="E290" s="447"/>
      <c r="F290" s="49" t="s">
        <v>140</v>
      </c>
      <c r="G290" s="278">
        <f t="shared" si="132"/>
        <v>110666.3</v>
      </c>
      <c r="H290" s="289">
        <f t="shared" si="132"/>
        <v>110666.3</v>
      </c>
      <c r="I290" s="289">
        <f t="shared" si="132"/>
        <v>110666.3</v>
      </c>
    </row>
    <row r="291" spans="1:9" s="9" customFormat="1" x14ac:dyDescent="0.25">
      <c r="A291" s="431"/>
      <c r="B291" s="426"/>
      <c r="C291" s="426"/>
      <c r="D291" s="436"/>
      <c r="E291" s="447"/>
      <c r="F291" s="49" t="s">
        <v>513</v>
      </c>
      <c r="G291" s="278">
        <f t="shared" si="132"/>
        <v>110666.3</v>
      </c>
      <c r="H291" s="278">
        <f t="shared" si="132"/>
        <v>110666.3</v>
      </c>
      <c r="I291" s="278">
        <f t="shared" si="132"/>
        <v>110666.3</v>
      </c>
    </row>
    <row r="292" spans="1:9" s="9" customFormat="1" x14ac:dyDescent="0.25">
      <c r="A292" s="431"/>
      <c r="B292" s="426"/>
      <c r="C292" s="426"/>
      <c r="D292" s="436"/>
      <c r="E292" s="447"/>
      <c r="F292" s="283" t="s">
        <v>566</v>
      </c>
      <c r="G292" s="278">
        <f>+G79+G256</f>
        <v>110666.3</v>
      </c>
      <c r="H292" s="278">
        <f t="shared" ref="H292:I292" si="133">+H79+H256</f>
        <v>110666.3</v>
      </c>
      <c r="I292" s="278">
        <f t="shared" si="133"/>
        <v>110666.3</v>
      </c>
    </row>
  </sheetData>
  <mergeCells count="77">
    <mergeCell ref="C58:C63"/>
    <mergeCell ref="E62:F62"/>
    <mergeCell ref="D64:D72"/>
    <mergeCell ref="D58:D61"/>
    <mergeCell ref="B16:B17"/>
    <mergeCell ref="E24:F24"/>
    <mergeCell ref="D42:D50"/>
    <mergeCell ref="A16:A41"/>
    <mergeCell ref="B18:B41"/>
    <mergeCell ref="C20:C41"/>
    <mergeCell ref="D26:D41"/>
    <mergeCell ref="F1:I1"/>
    <mergeCell ref="F3:I3"/>
    <mergeCell ref="A7:I7"/>
    <mergeCell ref="A11:C11"/>
    <mergeCell ref="D11:E11"/>
    <mergeCell ref="F2:I2"/>
    <mergeCell ref="F11:F12"/>
    <mergeCell ref="G11:I11"/>
    <mergeCell ref="E190:E196"/>
    <mergeCell ref="E197:E203"/>
    <mergeCell ref="E214:E220"/>
    <mergeCell ref="D88:D91"/>
    <mergeCell ref="E92:F92"/>
    <mergeCell ref="D103:D111"/>
    <mergeCell ref="D112:D115"/>
    <mergeCell ref="E116:F116"/>
    <mergeCell ref="D118:D126"/>
    <mergeCell ref="E120:E132"/>
    <mergeCell ref="E165:F165"/>
    <mergeCell ref="D142:D158"/>
    <mergeCell ref="E141:F141"/>
    <mergeCell ref="E152:E158"/>
    <mergeCell ref="D133:D140"/>
    <mergeCell ref="E183:E189"/>
    <mergeCell ref="E275:F275"/>
    <mergeCell ref="E278:E284"/>
    <mergeCell ref="E286:E292"/>
    <mergeCell ref="C248:C249"/>
    <mergeCell ref="D248:D253"/>
    <mergeCell ref="E254:F254"/>
    <mergeCell ref="D255:D264"/>
    <mergeCell ref="E258:E264"/>
    <mergeCell ref="C250:C264"/>
    <mergeCell ref="A133:A264"/>
    <mergeCell ref="D94:D102"/>
    <mergeCell ref="A267:A292"/>
    <mergeCell ref="B267:B268"/>
    <mergeCell ref="C267:C270"/>
    <mergeCell ref="D267:D274"/>
    <mergeCell ref="B269:B292"/>
    <mergeCell ref="C271:C292"/>
    <mergeCell ref="D275:D292"/>
    <mergeCell ref="B204:B247"/>
    <mergeCell ref="C206:C247"/>
    <mergeCell ref="D211:D236"/>
    <mergeCell ref="D238:D247"/>
    <mergeCell ref="D204:D209"/>
    <mergeCell ref="C204:C205"/>
    <mergeCell ref="B159:B189"/>
    <mergeCell ref="C73:C87"/>
    <mergeCell ref="D73:D76"/>
    <mergeCell ref="E77:F77"/>
    <mergeCell ref="D79:D87"/>
    <mergeCell ref="C88:C111"/>
    <mergeCell ref="C112:C126"/>
    <mergeCell ref="C161:C189"/>
    <mergeCell ref="B133:B134"/>
    <mergeCell ref="B135:B158"/>
    <mergeCell ref="C137:C158"/>
    <mergeCell ref="B248:B264"/>
    <mergeCell ref="E248:E253"/>
    <mergeCell ref="E230:E236"/>
    <mergeCell ref="E223:E229"/>
    <mergeCell ref="E210:F210"/>
    <mergeCell ref="E237:F237"/>
    <mergeCell ref="E241:E247"/>
  </mergeCells>
  <phoneticPr fontId="96" type="noConversion"/>
  <pageMargins left="0.7" right="0.7" top="0.75" bottom="0.75" header="0.3" footer="0.3"/>
  <pageSetup paperSize="9" scale="5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39"/>
  <sheetViews>
    <sheetView topLeftCell="A6" zoomScale="85" zoomScaleNormal="85" workbookViewId="0">
      <selection activeCell="C19" sqref="C19"/>
    </sheetView>
  </sheetViews>
  <sheetFormatPr defaultColWidth="9.140625" defaultRowHeight="17.25" x14ac:dyDescent="0.3"/>
  <cols>
    <col min="1" max="1" width="9.140625" style="105"/>
    <col min="2" max="2" width="9.140625" style="105" customWidth="1"/>
    <col min="3" max="3" width="54.28515625" style="105" customWidth="1"/>
    <col min="4" max="4" width="18.42578125" style="105" customWidth="1"/>
    <col min="5" max="8" width="20.42578125" style="105" customWidth="1"/>
    <col min="9" max="9" width="15.140625" style="359" bestFit="1" customWidth="1"/>
    <col min="10" max="10" width="15.7109375" style="343" customWidth="1"/>
    <col min="11" max="11" width="13.42578125" style="341" customWidth="1"/>
    <col min="12" max="12" width="15.7109375" style="341" bestFit="1" customWidth="1"/>
    <col min="13" max="13" width="13.42578125" style="341" customWidth="1"/>
    <col min="14" max="16384" width="9.140625" style="105"/>
  </cols>
  <sheetData>
    <row r="1" spans="1:13" s="81" customFormat="1" ht="26.65" customHeight="1" x14ac:dyDescent="0.25">
      <c r="A1" s="79"/>
      <c r="B1" s="80"/>
      <c r="C1" s="80"/>
      <c r="D1" s="80"/>
      <c r="E1" s="79"/>
      <c r="F1" s="465" t="s">
        <v>486</v>
      </c>
      <c r="G1" s="465"/>
      <c r="H1" s="465"/>
      <c r="I1" s="337"/>
      <c r="J1" s="338"/>
      <c r="K1" s="339"/>
      <c r="L1" s="339"/>
      <c r="M1" s="339"/>
    </row>
    <row r="2" spans="1:13" s="84" customFormat="1" x14ac:dyDescent="0.3">
      <c r="A2" s="82"/>
      <c r="B2" s="82"/>
      <c r="C2" s="82"/>
      <c r="D2" s="82"/>
      <c r="E2" s="83"/>
      <c r="F2" s="466" t="s">
        <v>54</v>
      </c>
      <c r="G2" s="466"/>
      <c r="H2" s="466"/>
      <c r="I2" s="340"/>
      <c r="J2" s="281"/>
      <c r="K2" s="341"/>
      <c r="L2" s="341"/>
      <c r="M2" s="341"/>
    </row>
    <row r="3" spans="1:13" s="84" customFormat="1" x14ac:dyDescent="0.3">
      <c r="A3" s="82"/>
      <c r="B3" s="82"/>
      <c r="C3" s="82"/>
      <c r="D3" s="82"/>
      <c r="E3" s="83"/>
      <c r="F3" s="466" t="s">
        <v>19</v>
      </c>
      <c r="G3" s="466"/>
      <c r="H3" s="466"/>
      <c r="I3" s="340"/>
      <c r="J3" s="281"/>
      <c r="K3" s="341"/>
      <c r="L3" s="341"/>
      <c r="M3" s="341"/>
    </row>
    <row r="4" spans="1:13" s="84" customFormat="1" x14ac:dyDescent="0.3">
      <c r="A4" s="85"/>
      <c r="B4" s="85"/>
      <c r="C4" s="86"/>
      <c r="D4" s="83"/>
      <c r="E4" s="83"/>
      <c r="F4" s="83"/>
      <c r="G4" s="83"/>
      <c r="H4" s="83"/>
      <c r="I4" s="340"/>
      <c r="J4" s="281"/>
      <c r="K4" s="341"/>
      <c r="L4" s="341"/>
      <c r="M4" s="341"/>
    </row>
    <row r="5" spans="1:13" s="84" customFormat="1" ht="37.5" customHeight="1" x14ac:dyDescent="0.3">
      <c r="A5" s="467" t="s">
        <v>136</v>
      </c>
      <c r="B5" s="468"/>
      <c r="C5" s="468"/>
      <c r="D5" s="468"/>
      <c r="E5" s="468"/>
      <c r="F5" s="468"/>
      <c r="G5" s="468"/>
      <c r="H5" s="468"/>
      <c r="I5" s="340"/>
      <c r="J5" s="281"/>
      <c r="K5" s="341"/>
      <c r="L5" s="341"/>
      <c r="M5" s="341"/>
    </row>
    <row r="6" spans="1:13" s="84" customFormat="1" ht="37.5" customHeight="1" x14ac:dyDescent="0.3">
      <c r="A6" s="468"/>
      <c r="B6" s="468"/>
      <c r="C6" s="468"/>
      <c r="D6" s="468"/>
      <c r="E6" s="468"/>
      <c r="F6" s="468"/>
      <c r="G6" s="468"/>
      <c r="H6" s="468"/>
      <c r="I6" s="340"/>
      <c r="J6" s="281"/>
      <c r="K6" s="341"/>
      <c r="L6" s="341"/>
      <c r="M6" s="341"/>
    </row>
    <row r="7" spans="1:13" s="84" customFormat="1" x14ac:dyDescent="0.3">
      <c r="E7" s="83"/>
      <c r="F7" s="83"/>
      <c r="G7" s="83"/>
      <c r="I7" s="340"/>
      <c r="J7" s="281"/>
      <c r="K7" s="341"/>
      <c r="L7" s="341"/>
      <c r="M7" s="341"/>
    </row>
    <row r="8" spans="1:13" s="84" customFormat="1" x14ac:dyDescent="0.3">
      <c r="A8" s="87"/>
      <c r="B8" s="87"/>
      <c r="C8" s="87"/>
      <c r="D8" s="230"/>
      <c r="E8" s="83"/>
      <c r="F8" s="83"/>
      <c r="G8" s="469" t="s">
        <v>9</v>
      </c>
      <c r="H8" s="469"/>
      <c r="I8" s="340"/>
      <c r="J8" s="281"/>
      <c r="K8" s="341"/>
      <c r="L8" s="341"/>
      <c r="M8" s="341"/>
    </row>
    <row r="9" spans="1:13" s="84" customFormat="1" ht="45" customHeight="1" x14ac:dyDescent="0.3">
      <c r="A9" s="456" t="s">
        <v>56</v>
      </c>
      <c r="B9" s="457"/>
      <c r="C9" s="458" t="s">
        <v>57</v>
      </c>
      <c r="D9" s="460" t="s">
        <v>87</v>
      </c>
      <c r="E9" s="462" t="s">
        <v>25</v>
      </c>
      <c r="F9" s="463"/>
      <c r="G9" s="463"/>
      <c r="H9" s="464"/>
      <c r="I9" s="340"/>
      <c r="J9" s="281"/>
      <c r="K9" s="341"/>
      <c r="L9" s="341"/>
      <c r="M9" s="341"/>
    </row>
    <row r="10" spans="1:13" s="84" customFormat="1" ht="103.5" x14ac:dyDescent="0.3">
      <c r="A10" s="60" t="s">
        <v>13</v>
      </c>
      <c r="B10" s="60" t="s">
        <v>14</v>
      </c>
      <c r="C10" s="459"/>
      <c r="D10" s="461"/>
      <c r="E10" s="88" t="s">
        <v>88</v>
      </c>
      <c r="F10" s="88" t="s">
        <v>89</v>
      </c>
      <c r="G10" s="88" t="s">
        <v>90</v>
      </c>
      <c r="H10" s="88" t="s">
        <v>91</v>
      </c>
      <c r="I10" s="340"/>
      <c r="J10" s="281"/>
      <c r="K10" s="341"/>
      <c r="L10" s="341"/>
      <c r="M10" s="341"/>
    </row>
    <row r="11" spans="1:13" s="84" customFormat="1" x14ac:dyDescent="0.3">
      <c r="A11" s="60"/>
      <c r="B11" s="60"/>
      <c r="C11" s="65" t="s">
        <v>92</v>
      </c>
      <c r="D11" s="30">
        <f>SUM(E11:H11)</f>
        <v>-490703.1</v>
      </c>
      <c r="E11" s="30">
        <f>+E13</f>
        <v>143276.30000000002</v>
      </c>
      <c r="F11" s="30">
        <f>+F13</f>
        <v>-565972.69999999995</v>
      </c>
      <c r="G11" s="30">
        <f>+G13</f>
        <v>-136512.29999999999</v>
      </c>
      <c r="H11" s="30">
        <f>+H13</f>
        <v>68505.600000000006</v>
      </c>
      <c r="I11" s="342"/>
      <c r="J11" s="342"/>
      <c r="K11" s="342"/>
      <c r="L11" s="342"/>
      <c r="M11" s="342"/>
    </row>
    <row r="12" spans="1:13" s="84" customFormat="1" x14ac:dyDescent="0.3">
      <c r="A12" s="89"/>
      <c r="B12" s="89"/>
      <c r="C12" s="65" t="s">
        <v>93</v>
      </c>
      <c r="D12" s="362"/>
      <c r="E12" s="90"/>
      <c r="F12" s="90"/>
      <c r="G12" s="90"/>
      <c r="H12" s="90"/>
      <c r="I12" s="360"/>
      <c r="J12" s="361"/>
      <c r="K12" s="361"/>
      <c r="L12" s="361"/>
      <c r="M12" s="361"/>
    </row>
    <row r="13" spans="1:13" s="84" customFormat="1" ht="51.75" x14ac:dyDescent="0.3">
      <c r="A13" s="91"/>
      <c r="B13" s="92"/>
      <c r="C13" s="92" t="s">
        <v>16</v>
      </c>
      <c r="D13" s="30">
        <f>SUM(E13:H13)</f>
        <v>-490703.1</v>
      </c>
      <c r="E13" s="30">
        <f>+E15+E25+E36+E81+E85+E89+E93+E94+E97</f>
        <v>143276.30000000002</v>
      </c>
      <c r="F13" s="30">
        <f t="shared" ref="F13:H13" si="0">+F15+F25+F36+F81+F85+F89+F93+F94+F97</f>
        <v>-565972.69999999995</v>
      </c>
      <c r="G13" s="30">
        <f t="shared" si="0"/>
        <v>-136512.29999999999</v>
      </c>
      <c r="H13" s="30">
        <f t="shared" si="0"/>
        <v>68505.600000000006</v>
      </c>
      <c r="I13" s="350"/>
      <c r="J13" s="281"/>
      <c r="K13" s="341"/>
      <c r="L13" s="341"/>
      <c r="M13" s="341"/>
    </row>
    <row r="14" spans="1:13" s="84" customFormat="1" x14ac:dyDescent="0.3">
      <c r="A14" s="91"/>
      <c r="B14" s="91"/>
      <c r="C14" s="91" t="s">
        <v>94</v>
      </c>
      <c r="D14" s="93"/>
      <c r="E14" s="93"/>
      <c r="F14" s="93"/>
      <c r="G14" s="93"/>
      <c r="H14" s="93"/>
      <c r="I14" s="340"/>
      <c r="J14" s="281"/>
      <c r="K14" s="341"/>
      <c r="L14" s="341"/>
      <c r="M14" s="341"/>
    </row>
    <row r="15" spans="1:13" s="84" customFormat="1" ht="51.75" x14ac:dyDescent="0.3">
      <c r="A15" s="65">
        <v>1045</v>
      </c>
      <c r="B15" s="65">
        <v>32001</v>
      </c>
      <c r="C15" s="34" t="s">
        <v>201</v>
      </c>
      <c r="D15" s="30">
        <f>SUM(E15:H15)</f>
        <v>-521729.3</v>
      </c>
      <c r="E15" s="206">
        <f>+E17+E20+E23</f>
        <v>0</v>
      </c>
      <c r="F15" s="206">
        <f t="shared" ref="F15:H15" si="1">+F17+F20+F23</f>
        <v>-521729.3</v>
      </c>
      <c r="G15" s="206">
        <f t="shared" si="1"/>
        <v>0</v>
      </c>
      <c r="H15" s="206">
        <f t="shared" si="1"/>
        <v>0</v>
      </c>
      <c r="I15" s="344"/>
      <c r="J15" s="340"/>
      <c r="K15" s="340"/>
      <c r="L15" s="340"/>
      <c r="M15" s="340"/>
    </row>
    <row r="16" spans="1:13" s="213" customFormat="1" x14ac:dyDescent="0.3">
      <c r="A16" s="207"/>
      <c r="B16" s="207"/>
      <c r="C16" s="208" t="s">
        <v>6</v>
      </c>
      <c r="D16" s="209"/>
      <c r="E16" s="210"/>
      <c r="F16" s="211"/>
      <c r="G16" s="212"/>
      <c r="H16" s="211"/>
      <c r="I16" s="345"/>
      <c r="J16" s="345"/>
      <c r="K16" s="345"/>
      <c r="L16" s="345"/>
      <c r="M16" s="345"/>
    </row>
    <row r="17" spans="1:13" s="101" customFormat="1" ht="16.899999999999999" customHeight="1" x14ac:dyDescent="0.3">
      <c r="A17" s="96"/>
      <c r="B17" s="96"/>
      <c r="C17" s="99" t="s">
        <v>216</v>
      </c>
      <c r="D17" s="100">
        <f>SUM(E17:H17)</f>
        <v>0</v>
      </c>
      <c r="E17" s="100">
        <f>SUM(E18:E19)</f>
        <v>0</v>
      </c>
      <c r="F17" s="100">
        <f t="shared" ref="F17:H17" si="2">SUM(F18:F19)</f>
        <v>0</v>
      </c>
      <c r="G17" s="100">
        <f t="shared" si="2"/>
        <v>0</v>
      </c>
      <c r="H17" s="100">
        <f t="shared" si="2"/>
        <v>0</v>
      </c>
      <c r="I17" s="346"/>
      <c r="J17" s="346"/>
      <c r="K17" s="347"/>
      <c r="L17" s="347"/>
      <c r="M17" s="347"/>
    </row>
    <row r="18" spans="1:13" s="104" customFormat="1" ht="34.5" x14ac:dyDescent="0.3">
      <c r="A18" s="214"/>
      <c r="B18" s="214"/>
      <c r="C18" s="215" t="s">
        <v>253</v>
      </c>
      <c r="D18" s="103">
        <f>+E18+F18+G18+H18</f>
        <v>-111195.1</v>
      </c>
      <c r="E18" s="103"/>
      <c r="F18" s="103">
        <v>-111195.1</v>
      </c>
      <c r="G18" s="103"/>
      <c r="H18" s="103"/>
      <c r="I18" s="348"/>
      <c r="J18" s="348"/>
      <c r="K18" s="349"/>
      <c r="L18" s="349"/>
      <c r="M18" s="349"/>
    </row>
    <row r="19" spans="1:13" s="104" customFormat="1" ht="56.45" customHeight="1" x14ac:dyDescent="0.3">
      <c r="A19" s="214"/>
      <c r="B19" s="214"/>
      <c r="C19" s="215" t="s">
        <v>254</v>
      </c>
      <c r="D19" s="103">
        <f>+E19+F19+G19+H19</f>
        <v>111195.1</v>
      </c>
      <c r="E19" s="103"/>
      <c r="F19" s="103">
        <f>-F18</f>
        <v>111195.1</v>
      </c>
      <c r="G19" s="103"/>
      <c r="H19" s="103"/>
      <c r="I19" s="348"/>
      <c r="J19" s="348"/>
      <c r="K19" s="349"/>
      <c r="L19" s="349"/>
      <c r="M19" s="349"/>
    </row>
    <row r="20" spans="1:13" s="101" customFormat="1" ht="16.899999999999999" customHeight="1" x14ac:dyDescent="0.3">
      <c r="A20" s="96"/>
      <c r="B20" s="96"/>
      <c r="C20" s="99" t="s">
        <v>105</v>
      </c>
      <c r="D20" s="100">
        <f>SUM(E20:H20)</f>
        <v>-262729.3</v>
      </c>
      <c r="E20" s="100">
        <f>SUM(E21:E22)</f>
        <v>0</v>
      </c>
      <c r="F20" s="100">
        <f t="shared" ref="F20:H20" si="3">SUM(F21:F22)</f>
        <v>-262729.3</v>
      </c>
      <c r="G20" s="100">
        <f t="shared" si="3"/>
        <v>0</v>
      </c>
      <c r="H20" s="100">
        <f t="shared" si="3"/>
        <v>0</v>
      </c>
      <c r="I20" s="346"/>
      <c r="J20" s="346"/>
      <c r="K20" s="347"/>
      <c r="L20" s="347"/>
      <c r="M20" s="347"/>
    </row>
    <row r="21" spans="1:13" s="104" customFormat="1" x14ac:dyDescent="0.3">
      <c r="A21" s="214"/>
      <c r="B21" s="214"/>
      <c r="C21" s="215" t="s">
        <v>276</v>
      </c>
      <c r="D21" s="103">
        <f>+E21+F21+G21+H21</f>
        <v>-32768.6</v>
      </c>
      <c r="E21" s="103"/>
      <c r="F21" s="103">
        <f>+'Հավելված N 12'!I66+'Հավելված N 12'!I70+'Հավելված N 12'!I73</f>
        <v>-32768.6</v>
      </c>
      <c r="G21" s="103"/>
      <c r="H21" s="103"/>
      <c r="I21" s="348"/>
      <c r="J21" s="348"/>
      <c r="K21" s="349"/>
      <c r="L21" s="349"/>
      <c r="M21" s="349"/>
    </row>
    <row r="22" spans="1:13" s="104" customFormat="1" x14ac:dyDescent="0.3">
      <c r="A22" s="214"/>
      <c r="B22" s="214"/>
      <c r="C22" s="215" t="s">
        <v>427</v>
      </c>
      <c r="D22" s="103">
        <f>+E22+F22+G22+H22</f>
        <v>-229960.7</v>
      </c>
      <c r="E22" s="103"/>
      <c r="F22" s="103">
        <f>+'Հավելված N 12'!I67+'Հավելված N 12'!I71+'Հավելված N 12'!I74</f>
        <v>-229960.7</v>
      </c>
      <c r="G22" s="103"/>
      <c r="H22" s="103"/>
      <c r="I22" s="348"/>
      <c r="J22" s="348"/>
      <c r="K22" s="349"/>
      <c r="L22" s="349"/>
      <c r="M22" s="349"/>
    </row>
    <row r="23" spans="1:13" s="101" customFormat="1" ht="16.899999999999999" customHeight="1" x14ac:dyDescent="0.3">
      <c r="A23" s="96"/>
      <c r="B23" s="96"/>
      <c r="C23" s="99" t="s">
        <v>109</v>
      </c>
      <c r="D23" s="100">
        <f>SUM(E23:H23)</f>
        <v>-259000</v>
      </c>
      <c r="E23" s="100">
        <f>+E24</f>
        <v>0</v>
      </c>
      <c r="F23" s="100">
        <f t="shared" ref="F23:H23" si="4">+F24</f>
        <v>-259000</v>
      </c>
      <c r="G23" s="100">
        <f t="shared" si="4"/>
        <v>0</v>
      </c>
      <c r="H23" s="100">
        <f t="shared" si="4"/>
        <v>0</v>
      </c>
      <c r="I23" s="346"/>
      <c r="J23" s="346"/>
      <c r="K23" s="347"/>
      <c r="L23" s="347"/>
      <c r="M23" s="347"/>
    </row>
    <row r="24" spans="1:13" s="104" customFormat="1" ht="34.5" x14ac:dyDescent="0.3">
      <c r="A24" s="214"/>
      <c r="B24" s="214"/>
      <c r="C24" s="215" t="s">
        <v>202</v>
      </c>
      <c r="D24" s="103">
        <f>+E24+F24+G24+H24</f>
        <v>-259000</v>
      </c>
      <c r="E24" s="103"/>
      <c r="F24" s="103">
        <f>+'Հավելված N 12'!I68+'Հավելված N 12'!I72+'Հավելված N 12'!I75</f>
        <v>-259000</v>
      </c>
      <c r="G24" s="103"/>
      <c r="H24" s="103"/>
      <c r="I24" s="348"/>
      <c r="J24" s="348"/>
      <c r="K24" s="349"/>
      <c r="L24" s="349"/>
      <c r="M24" s="349"/>
    </row>
    <row r="25" spans="1:13" s="84" customFormat="1" ht="34.5" x14ac:dyDescent="0.3">
      <c r="A25" s="65">
        <v>1045</v>
      </c>
      <c r="B25" s="65">
        <v>32005</v>
      </c>
      <c r="C25" s="34" t="s">
        <v>215</v>
      </c>
      <c r="D25" s="30">
        <f>SUM(E25:H25)</f>
        <v>136291.40000000002</v>
      </c>
      <c r="E25" s="206">
        <f>+E27+E29+E31+E33</f>
        <v>143276.30000000002</v>
      </c>
      <c r="F25" s="206">
        <f t="shared" ref="F25:H25" si="5">+F27+F29+F31+F33</f>
        <v>0</v>
      </c>
      <c r="G25" s="206">
        <f t="shared" si="5"/>
        <v>-6984.9000000000015</v>
      </c>
      <c r="H25" s="206">
        <f t="shared" si="5"/>
        <v>0</v>
      </c>
      <c r="I25" s="344"/>
      <c r="J25" s="340"/>
      <c r="K25" s="340"/>
      <c r="L25" s="340"/>
      <c r="M25" s="340"/>
    </row>
    <row r="26" spans="1:13" s="213" customFormat="1" x14ac:dyDescent="0.3">
      <c r="A26" s="207"/>
      <c r="B26" s="207"/>
      <c r="C26" s="208" t="s">
        <v>6</v>
      </c>
      <c r="D26" s="209"/>
      <c r="E26" s="210"/>
      <c r="F26" s="211"/>
      <c r="G26" s="212"/>
      <c r="H26" s="211"/>
      <c r="I26" s="345"/>
      <c r="J26" s="345"/>
      <c r="K26" s="345"/>
      <c r="L26" s="345"/>
      <c r="M26" s="345"/>
    </row>
    <row r="27" spans="1:13" s="101" customFormat="1" ht="16.899999999999999" customHeight="1" x14ac:dyDescent="0.3">
      <c r="A27" s="96"/>
      <c r="B27" s="96"/>
      <c r="C27" s="99" t="s">
        <v>216</v>
      </c>
      <c r="D27" s="100">
        <f>SUM(E27:H27)</f>
        <v>-131383.69999999998</v>
      </c>
      <c r="E27" s="100">
        <f>+E28</f>
        <v>-131383.69999999998</v>
      </c>
      <c r="F27" s="100">
        <f t="shared" ref="F27:H29" si="6">+F28</f>
        <v>0</v>
      </c>
      <c r="G27" s="100">
        <f t="shared" si="6"/>
        <v>0</v>
      </c>
      <c r="H27" s="100">
        <f t="shared" si="6"/>
        <v>0</v>
      </c>
      <c r="I27" s="346"/>
      <c r="J27" s="346"/>
      <c r="K27" s="347"/>
      <c r="L27" s="347"/>
      <c r="M27" s="347"/>
    </row>
    <row r="28" spans="1:13" s="104" customFormat="1" ht="34.5" x14ac:dyDescent="0.3">
      <c r="A28" s="214"/>
      <c r="B28" s="214"/>
      <c r="C28" s="215" t="s">
        <v>217</v>
      </c>
      <c r="D28" s="103">
        <f>+E28+F28+G28+H28</f>
        <v>-131383.69999999998</v>
      </c>
      <c r="E28" s="103">
        <f>+'Հավելված N 12'!I78+'Հավելված N 12'!I82+'Հավելված N 12'!I85</f>
        <v>-131383.69999999998</v>
      </c>
      <c r="F28" s="103"/>
      <c r="G28" s="103"/>
      <c r="H28" s="103"/>
      <c r="I28" s="348"/>
      <c r="J28" s="348"/>
      <c r="K28" s="349"/>
      <c r="L28" s="349"/>
      <c r="M28" s="349"/>
    </row>
    <row r="29" spans="1:13" s="101" customFormat="1" ht="16.899999999999999" customHeight="1" x14ac:dyDescent="0.3">
      <c r="A29" s="96"/>
      <c r="B29" s="96"/>
      <c r="C29" s="99" t="s">
        <v>225</v>
      </c>
      <c r="D29" s="100">
        <f>SUM(E29:H29)</f>
        <v>-17984.900000000001</v>
      </c>
      <c r="E29" s="100">
        <f>+E30</f>
        <v>0</v>
      </c>
      <c r="F29" s="100">
        <f t="shared" si="6"/>
        <v>0</v>
      </c>
      <c r="G29" s="100">
        <f t="shared" si="6"/>
        <v>-17984.900000000001</v>
      </c>
      <c r="H29" s="100">
        <f t="shared" si="6"/>
        <v>0</v>
      </c>
      <c r="I29" s="346"/>
      <c r="J29" s="346"/>
      <c r="K29" s="347"/>
      <c r="L29" s="347"/>
      <c r="M29" s="347"/>
    </row>
    <row r="30" spans="1:13" s="104" customFormat="1" ht="34.5" x14ac:dyDescent="0.3">
      <c r="A30" s="214"/>
      <c r="B30" s="214"/>
      <c r="C30" s="215" t="s">
        <v>226</v>
      </c>
      <c r="D30" s="103">
        <f>+E30+F30+G30+H30</f>
        <v>-17984.900000000001</v>
      </c>
      <c r="E30" s="103"/>
      <c r="F30" s="103"/>
      <c r="G30" s="103">
        <f>+'Հավելված N 12'!I108</f>
        <v>-17984.900000000001</v>
      </c>
      <c r="H30" s="103"/>
      <c r="I30" s="348"/>
      <c r="J30" s="348"/>
      <c r="K30" s="349"/>
      <c r="L30" s="349"/>
      <c r="M30" s="349"/>
    </row>
    <row r="31" spans="1:13" s="101" customFormat="1" ht="16.899999999999999" customHeight="1" x14ac:dyDescent="0.3">
      <c r="A31" s="96"/>
      <c r="B31" s="96"/>
      <c r="C31" s="99" t="s">
        <v>105</v>
      </c>
      <c r="D31" s="100">
        <f>SUM(E31:H31)</f>
        <v>173060</v>
      </c>
      <c r="E31" s="100">
        <f>+E32</f>
        <v>173060</v>
      </c>
      <c r="F31" s="100">
        <f t="shared" ref="F31:H31" si="7">+F32</f>
        <v>0</v>
      </c>
      <c r="G31" s="100">
        <f t="shared" si="7"/>
        <v>0</v>
      </c>
      <c r="H31" s="100">
        <f t="shared" si="7"/>
        <v>0</v>
      </c>
      <c r="I31" s="346"/>
      <c r="J31" s="346"/>
      <c r="K31" s="347"/>
      <c r="L31" s="347"/>
      <c r="M31" s="347"/>
    </row>
    <row r="32" spans="1:13" s="104" customFormat="1" x14ac:dyDescent="0.3">
      <c r="A32" s="214"/>
      <c r="B32" s="214"/>
      <c r="C32" s="215" t="s">
        <v>427</v>
      </c>
      <c r="D32" s="103">
        <f>+E32+F32+G32+H32</f>
        <v>173060</v>
      </c>
      <c r="E32" s="103">
        <f>+'Հավելված N 12'!I79+'Հավելված N 12'!I83+'Հավելված N 12'!I86</f>
        <v>173060</v>
      </c>
      <c r="F32" s="103"/>
      <c r="G32" s="103"/>
      <c r="H32" s="103"/>
      <c r="I32" s="348"/>
      <c r="J32" s="348"/>
      <c r="K32" s="349"/>
      <c r="L32" s="349"/>
      <c r="M32" s="349"/>
    </row>
    <row r="33" spans="1:13" s="101" customFormat="1" ht="16.899999999999999" customHeight="1" x14ac:dyDescent="0.3">
      <c r="A33" s="96"/>
      <c r="B33" s="96"/>
      <c r="C33" s="99" t="s">
        <v>109</v>
      </c>
      <c r="D33" s="100">
        <f>SUM(E33:H33)</f>
        <v>112600</v>
      </c>
      <c r="E33" s="100">
        <f>SUM(E34:E35)</f>
        <v>101600</v>
      </c>
      <c r="F33" s="100">
        <f t="shared" ref="F33:H33" si="8">SUM(F34:F35)</f>
        <v>0</v>
      </c>
      <c r="G33" s="100">
        <f t="shared" si="8"/>
        <v>11000</v>
      </c>
      <c r="H33" s="100">
        <f t="shared" si="8"/>
        <v>0</v>
      </c>
      <c r="I33" s="346"/>
      <c r="J33" s="346"/>
      <c r="K33" s="347"/>
      <c r="L33" s="347"/>
      <c r="M33" s="347"/>
    </row>
    <row r="34" spans="1:13" s="104" customFormat="1" ht="34.5" x14ac:dyDescent="0.3">
      <c r="A34" s="214"/>
      <c r="B34" s="214"/>
      <c r="C34" s="215" t="s">
        <v>202</v>
      </c>
      <c r="D34" s="103">
        <f>+E34+F34+G34+H34</f>
        <v>101600</v>
      </c>
      <c r="E34" s="103">
        <f>+'Հավելված N 12'!I80+'Հավելված N 12'!I84+'Հավելված N 12'!I87</f>
        <v>101600</v>
      </c>
      <c r="F34" s="103"/>
      <c r="G34" s="103"/>
      <c r="H34" s="103"/>
      <c r="I34" s="348"/>
      <c r="J34" s="348"/>
      <c r="K34" s="349"/>
      <c r="L34" s="349"/>
      <c r="M34" s="349"/>
    </row>
    <row r="35" spans="1:13" s="104" customFormat="1" x14ac:dyDescent="0.3">
      <c r="A35" s="214"/>
      <c r="B35" s="214"/>
      <c r="C35" s="215" t="s">
        <v>227</v>
      </c>
      <c r="D35" s="103">
        <f>+E35+F35+G35+H35</f>
        <v>11000</v>
      </c>
      <c r="E35" s="103"/>
      <c r="F35" s="103"/>
      <c r="G35" s="103">
        <f>+'Հավելված N 12'!I109</f>
        <v>11000</v>
      </c>
      <c r="H35" s="103"/>
      <c r="I35" s="348"/>
      <c r="J35" s="348"/>
      <c r="K35" s="349"/>
      <c r="L35" s="349"/>
      <c r="M35" s="349"/>
    </row>
    <row r="36" spans="1:13" s="84" customFormat="1" ht="34.5" x14ac:dyDescent="0.3">
      <c r="A36" s="65">
        <v>1075</v>
      </c>
      <c r="B36" s="47">
        <v>21001</v>
      </c>
      <c r="C36" s="169" t="s">
        <v>177</v>
      </c>
      <c r="D36" s="224">
        <f>SUM(E36:H36)</f>
        <v>-152172.5</v>
      </c>
      <c r="E36" s="224">
        <f>+E38+E53</f>
        <v>0</v>
      </c>
      <c r="F36" s="224">
        <f>+F38+F53</f>
        <v>-22645.1</v>
      </c>
      <c r="G36" s="224">
        <f>+G38+G53</f>
        <v>-129527.4</v>
      </c>
      <c r="H36" s="224">
        <f>+H38+H53</f>
        <v>0</v>
      </c>
      <c r="I36" s="350"/>
      <c r="J36" s="340"/>
      <c r="K36" s="281"/>
      <c r="L36" s="281"/>
      <c r="M36" s="281"/>
    </row>
    <row r="37" spans="1:13" s="2" customFormat="1" x14ac:dyDescent="0.3">
      <c r="A37" s="217"/>
      <c r="B37" s="217"/>
      <c r="C37" s="73" t="s">
        <v>6</v>
      </c>
      <c r="D37" s="218"/>
      <c r="E37" s="97"/>
      <c r="F37" s="219"/>
      <c r="G37" s="96"/>
      <c r="H37" s="96"/>
      <c r="I37" s="351"/>
      <c r="J37" s="351"/>
      <c r="K37" s="281"/>
      <c r="L37" s="281"/>
      <c r="M37" s="281"/>
    </row>
    <row r="38" spans="1:13" s="101" customFormat="1" x14ac:dyDescent="0.3">
      <c r="A38" s="98"/>
      <c r="B38" s="98"/>
      <c r="C38" s="168" t="s">
        <v>255</v>
      </c>
      <c r="D38" s="107">
        <f>SUM(E38:H38)</f>
        <v>-22645.1</v>
      </c>
      <c r="E38" s="107">
        <f>+E40+E42+E44+E47+E49+E51</f>
        <v>0</v>
      </c>
      <c r="F38" s="107">
        <f t="shared" ref="F38:H38" si="9">+F40+F42+F44+F47+F49+F51</f>
        <v>-22645.1</v>
      </c>
      <c r="G38" s="107">
        <f t="shared" si="9"/>
        <v>0</v>
      </c>
      <c r="H38" s="107">
        <f t="shared" si="9"/>
        <v>0</v>
      </c>
      <c r="I38" s="352"/>
      <c r="J38" s="347"/>
      <c r="K38" s="346"/>
      <c r="L38" s="346"/>
      <c r="M38" s="346"/>
    </row>
    <row r="39" spans="1:13" s="2" customFormat="1" x14ac:dyDescent="0.3">
      <c r="A39" s="217"/>
      <c r="B39" s="217"/>
      <c r="C39" s="91" t="s">
        <v>228</v>
      </c>
      <c r="D39" s="96"/>
      <c r="E39" s="97"/>
      <c r="F39" s="219"/>
      <c r="G39" s="96"/>
      <c r="H39" s="96"/>
      <c r="I39" s="351"/>
      <c r="J39" s="351"/>
      <c r="K39" s="281"/>
      <c r="L39" s="281"/>
      <c r="M39" s="281"/>
    </row>
    <row r="40" spans="1:13" s="101" customFormat="1" ht="16.899999999999999" customHeight="1" x14ac:dyDescent="0.3">
      <c r="A40" s="98"/>
      <c r="B40" s="98"/>
      <c r="C40" s="220" t="s">
        <v>95</v>
      </c>
      <c r="D40" s="100">
        <f>SUM(E40:H40)</f>
        <v>-13</v>
      </c>
      <c r="E40" s="100">
        <f>+E41</f>
        <v>0</v>
      </c>
      <c r="F40" s="100">
        <f>+F41</f>
        <v>-13</v>
      </c>
      <c r="G40" s="100">
        <f t="shared" ref="G40:H42" si="10">+G41</f>
        <v>0</v>
      </c>
      <c r="H40" s="100">
        <f t="shared" si="10"/>
        <v>0</v>
      </c>
      <c r="I40" s="352"/>
      <c r="J40" s="347"/>
      <c r="K40" s="346"/>
      <c r="L40" s="346"/>
      <c r="M40" s="346"/>
    </row>
    <row r="41" spans="1:13" s="104" customFormat="1" ht="51.75" x14ac:dyDescent="0.25">
      <c r="A41" s="217"/>
      <c r="B41" s="217"/>
      <c r="C41" s="76" t="s">
        <v>445</v>
      </c>
      <c r="D41" s="103">
        <f>+E41+F41+G41+H41</f>
        <v>-13</v>
      </c>
      <c r="E41" s="103"/>
      <c r="F41" s="103">
        <f>+'Հավելված N 12'!I39</f>
        <v>-13</v>
      </c>
      <c r="G41" s="103"/>
      <c r="H41" s="103"/>
      <c r="I41" s="349"/>
      <c r="J41" s="349"/>
      <c r="K41" s="348"/>
      <c r="L41" s="348"/>
      <c r="M41" s="348"/>
    </row>
    <row r="42" spans="1:13" s="101" customFormat="1" ht="16.899999999999999" customHeight="1" x14ac:dyDescent="0.3">
      <c r="A42" s="98"/>
      <c r="B42" s="98"/>
      <c r="C42" s="220" t="s">
        <v>97</v>
      </c>
      <c r="D42" s="100">
        <f>SUM(E42:H42)</f>
        <v>-5000</v>
      </c>
      <c r="E42" s="100">
        <f>+E43</f>
        <v>0</v>
      </c>
      <c r="F42" s="100">
        <f>+F43</f>
        <v>-5000</v>
      </c>
      <c r="G42" s="100">
        <f t="shared" si="10"/>
        <v>0</v>
      </c>
      <c r="H42" s="100">
        <f t="shared" si="10"/>
        <v>0</v>
      </c>
      <c r="I42" s="352"/>
      <c r="J42" s="347"/>
      <c r="K42" s="346"/>
      <c r="L42" s="346"/>
      <c r="M42" s="346"/>
    </row>
    <row r="43" spans="1:13" s="104" customFormat="1" ht="40.15" customHeight="1" x14ac:dyDescent="0.25">
      <c r="A43" s="217"/>
      <c r="B43" s="217"/>
      <c r="C43" s="102" t="s">
        <v>256</v>
      </c>
      <c r="D43" s="103">
        <f>+E43+F43+G43+H43</f>
        <v>-5000</v>
      </c>
      <c r="E43" s="103"/>
      <c r="F43" s="103">
        <f>+'Հավելված N 12'!I28+'Հավելված N 12'!I40+'Հավելված N 12'!I46</f>
        <v>-5000</v>
      </c>
      <c r="G43" s="103"/>
      <c r="H43" s="103"/>
      <c r="I43" s="349"/>
      <c r="J43" s="349"/>
      <c r="K43" s="348"/>
      <c r="L43" s="348"/>
      <c r="M43" s="348"/>
    </row>
    <row r="44" spans="1:13" s="101" customFormat="1" ht="16.899999999999999" customHeight="1" x14ac:dyDescent="0.3">
      <c r="A44" s="98"/>
      <c r="B44" s="98"/>
      <c r="C44" s="220" t="s">
        <v>225</v>
      </c>
      <c r="D44" s="100">
        <f>SUM(E44:H44)</f>
        <v>912.50000000000045</v>
      </c>
      <c r="E44" s="100">
        <f>SUM(E45:E46)</f>
        <v>0</v>
      </c>
      <c r="F44" s="100">
        <f t="shared" ref="F44:H44" si="11">SUM(F45:F46)</f>
        <v>912.50000000000045</v>
      </c>
      <c r="G44" s="100">
        <f t="shared" si="11"/>
        <v>0</v>
      </c>
      <c r="H44" s="100">
        <f t="shared" si="11"/>
        <v>0</v>
      </c>
      <c r="I44" s="352"/>
      <c r="J44" s="347"/>
      <c r="K44" s="346"/>
      <c r="L44" s="346"/>
      <c r="M44" s="346"/>
    </row>
    <row r="45" spans="1:13" s="104" customFormat="1" ht="40.15" customHeight="1" x14ac:dyDescent="0.25">
      <c r="A45" s="217"/>
      <c r="B45" s="217"/>
      <c r="C45" s="102" t="s">
        <v>275</v>
      </c>
      <c r="D45" s="103">
        <f>+E45+F45+G45+H45</f>
        <v>3967.3</v>
      </c>
      <c r="E45" s="103"/>
      <c r="F45" s="103">
        <f>+'Հավելված N 12'!I29+'Հավելված N 12'!I41+'Հավելված N 12'!I47</f>
        <v>3967.3</v>
      </c>
      <c r="G45" s="103"/>
      <c r="H45" s="103"/>
      <c r="I45" s="349"/>
      <c r="J45" s="349"/>
      <c r="K45" s="348"/>
      <c r="L45" s="348"/>
      <c r="M45" s="348"/>
    </row>
    <row r="46" spans="1:13" s="104" customFormat="1" ht="56.45" customHeight="1" x14ac:dyDescent="0.25">
      <c r="A46" s="217"/>
      <c r="B46" s="217"/>
      <c r="C46" s="76" t="s">
        <v>451</v>
      </c>
      <c r="D46" s="103">
        <f>+E46+F46+G46+H46</f>
        <v>-3054.7999999999997</v>
      </c>
      <c r="E46" s="103"/>
      <c r="F46" s="103">
        <f>+'Հավելված N 12'!I37+'Հավելված N 12'!I42</f>
        <v>-3054.7999999999997</v>
      </c>
      <c r="G46" s="103"/>
      <c r="H46" s="103"/>
      <c r="I46" s="349"/>
      <c r="J46" s="349"/>
      <c r="K46" s="348"/>
      <c r="L46" s="348"/>
      <c r="M46" s="348"/>
    </row>
    <row r="47" spans="1:13" s="101" customFormat="1" ht="16.899999999999999" customHeight="1" x14ac:dyDescent="0.3">
      <c r="A47" s="98"/>
      <c r="B47" s="98"/>
      <c r="C47" s="220" t="s">
        <v>105</v>
      </c>
      <c r="D47" s="100">
        <f>SUM(E47:H47)</f>
        <v>-457.4</v>
      </c>
      <c r="E47" s="100">
        <f>+E48</f>
        <v>0</v>
      </c>
      <c r="F47" s="100">
        <f>+F48</f>
        <v>-457.4</v>
      </c>
      <c r="G47" s="100">
        <f t="shared" ref="G47:H49" si="12">+G48</f>
        <v>0</v>
      </c>
      <c r="H47" s="100">
        <f t="shared" si="12"/>
        <v>0</v>
      </c>
      <c r="I47" s="352"/>
      <c r="J47" s="347"/>
      <c r="K47" s="346"/>
      <c r="L47" s="346"/>
      <c r="M47" s="346"/>
    </row>
    <row r="48" spans="1:13" s="104" customFormat="1" ht="37.9" customHeight="1" x14ac:dyDescent="0.25">
      <c r="A48" s="217"/>
      <c r="B48" s="217"/>
      <c r="C48" s="76" t="s">
        <v>452</v>
      </c>
      <c r="D48" s="103">
        <f>+E48+F48+G48+H48</f>
        <v>-457.4</v>
      </c>
      <c r="E48" s="103"/>
      <c r="F48" s="103">
        <f>+'Հավելված N 12'!I43</f>
        <v>-457.4</v>
      </c>
      <c r="G48" s="103"/>
      <c r="H48" s="103"/>
      <c r="I48" s="349"/>
      <c r="J48" s="349"/>
      <c r="K48" s="348"/>
      <c r="L48" s="348"/>
      <c r="M48" s="348"/>
    </row>
    <row r="49" spans="1:13" s="101" customFormat="1" ht="16.899999999999999" customHeight="1" x14ac:dyDescent="0.3">
      <c r="A49" s="98"/>
      <c r="B49" s="98"/>
      <c r="C49" s="220" t="s">
        <v>107</v>
      </c>
      <c r="D49" s="100">
        <f>SUM(E49:H49)</f>
        <v>-10657.199999999999</v>
      </c>
      <c r="E49" s="100">
        <f>+E50</f>
        <v>0</v>
      </c>
      <c r="F49" s="100">
        <f>+F50</f>
        <v>-10657.199999999999</v>
      </c>
      <c r="G49" s="100">
        <f t="shared" si="12"/>
        <v>0</v>
      </c>
      <c r="H49" s="100">
        <f t="shared" si="12"/>
        <v>0</v>
      </c>
      <c r="I49" s="352"/>
      <c r="J49" s="347"/>
      <c r="K49" s="346"/>
      <c r="L49" s="346"/>
      <c r="M49" s="346"/>
    </row>
    <row r="50" spans="1:13" s="104" customFormat="1" ht="51.75" x14ac:dyDescent="0.25">
      <c r="A50" s="217"/>
      <c r="B50" s="217"/>
      <c r="C50" s="76" t="s">
        <v>453</v>
      </c>
      <c r="D50" s="103">
        <f>+E50+F50+G50+H50</f>
        <v>-10657.199999999999</v>
      </c>
      <c r="E50" s="103"/>
      <c r="F50" s="103">
        <f>+'Հավելված N 12'!I36+'Հավելված N 12'!I44</f>
        <v>-10657.199999999999</v>
      </c>
      <c r="G50" s="103"/>
      <c r="H50" s="103"/>
      <c r="I50" s="349"/>
      <c r="J50" s="349"/>
      <c r="K50" s="348"/>
      <c r="L50" s="348"/>
      <c r="M50" s="348"/>
    </row>
    <row r="51" spans="1:13" s="101" customFormat="1" ht="16.899999999999999" customHeight="1" x14ac:dyDescent="0.3">
      <c r="A51" s="98"/>
      <c r="B51" s="98"/>
      <c r="C51" s="220" t="s">
        <v>109</v>
      </c>
      <c r="D51" s="100">
        <f>SUM(E51:H51)</f>
        <v>-7430</v>
      </c>
      <c r="E51" s="100">
        <f>+E52</f>
        <v>0</v>
      </c>
      <c r="F51" s="100">
        <f t="shared" ref="F51:H51" si="13">+F52</f>
        <v>-7430</v>
      </c>
      <c r="G51" s="100">
        <f t="shared" si="13"/>
        <v>0</v>
      </c>
      <c r="H51" s="100">
        <f t="shared" si="13"/>
        <v>0</v>
      </c>
      <c r="I51" s="352"/>
      <c r="J51" s="347"/>
      <c r="K51" s="346"/>
      <c r="L51" s="346"/>
      <c r="M51" s="346"/>
    </row>
    <row r="52" spans="1:13" s="104" customFormat="1" ht="55.9" customHeight="1" x14ac:dyDescent="0.25">
      <c r="A52" s="217"/>
      <c r="B52" s="217"/>
      <c r="C52" s="102" t="s">
        <v>257</v>
      </c>
      <c r="D52" s="103">
        <f>+E52+F52+G52+H52</f>
        <v>-7430</v>
      </c>
      <c r="E52" s="103"/>
      <c r="F52" s="103">
        <f>+'Հավելված N 12'!I30+'Հավելված N 12'!I45+'Հավելված N 12'!I48</f>
        <v>-7430</v>
      </c>
      <c r="G52" s="103"/>
      <c r="H52" s="103"/>
      <c r="I52" s="349"/>
      <c r="J52" s="349"/>
      <c r="K52" s="348"/>
      <c r="L52" s="348"/>
      <c r="M52" s="348"/>
    </row>
    <row r="53" spans="1:13" s="101" customFormat="1" ht="69" x14ac:dyDescent="0.3">
      <c r="A53" s="98"/>
      <c r="B53" s="98"/>
      <c r="C53" s="168" t="s">
        <v>229</v>
      </c>
      <c r="D53" s="107">
        <f>SUM(E53:H53)</f>
        <v>-129527.4</v>
      </c>
      <c r="E53" s="107">
        <f>+E55+E56+E58+E65+E67+E69+E72+E75+E77+E79</f>
        <v>0</v>
      </c>
      <c r="F53" s="107">
        <f t="shared" ref="F53:H53" si="14">+F55+F56+F58+F65+F67+F69+F72+F75+F77+F79</f>
        <v>0</v>
      </c>
      <c r="G53" s="107">
        <f t="shared" si="14"/>
        <v>-129527.4</v>
      </c>
      <c r="H53" s="107">
        <f t="shared" si="14"/>
        <v>0</v>
      </c>
      <c r="I53" s="352"/>
      <c r="J53" s="347"/>
      <c r="K53" s="346"/>
      <c r="L53" s="346"/>
      <c r="M53" s="346"/>
    </row>
    <row r="54" spans="1:13" s="2" customFormat="1" x14ac:dyDescent="0.3">
      <c r="A54" s="217"/>
      <c r="B54" s="217"/>
      <c r="C54" s="91" t="s">
        <v>228</v>
      </c>
      <c r="D54" s="96"/>
      <c r="E54" s="97"/>
      <c r="F54" s="219"/>
      <c r="G54" s="96"/>
      <c r="H54" s="96"/>
      <c r="I54" s="351"/>
      <c r="J54" s="351"/>
      <c r="K54" s="281"/>
      <c r="L54" s="281"/>
      <c r="M54" s="281"/>
    </row>
    <row r="55" spans="1:13" s="108" customFormat="1" ht="138" x14ac:dyDescent="0.25">
      <c r="A55" s="106"/>
      <c r="B55" s="106"/>
      <c r="C55" s="220" t="s">
        <v>447</v>
      </c>
      <c r="D55" s="107">
        <f>+E55+F55+G55+H55</f>
        <v>-700</v>
      </c>
      <c r="E55" s="107"/>
      <c r="F55" s="107"/>
      <c r="G55" s="107">
        <f>+'Հավելված N 12'!I49</f>
        <v>-700</v>
      </c>
      <c r="H55" s="107"/>
      <c r="I55" s="353"/>
      <c r="J55" s="354"/>
      <c r="K55" s="355"/>
      <c r="L55" s="355"/>
      <c r="M55" s="355"/>
    </row>
    <row r="56" spans="1:13" s="101" customFormat="1" ht="16.899999999999999" customHeight="1" x14ac:dyDescent="0.3">
      <c r="A56" s="98"/>
      <c r="B56" s="98"/>
      <c r="C56" s="220" t="s">
        <v>216</v>
      </c>
      <c r="D56" s="100">
        <f>SUM(E56:H56)</f>
        <v>2500</v>
      </c>
      <c r="E56" s="100">
        <f>+E57</f>
        <v>0</v>
      </c>
      <c r="F56" s="100">
        <f t="shared" ref="F56" si="15">+F57</f>
        <v>0</v>
      </c>
      <c r="G56" s="100">
        <f t="shared" ref="G56" si="16">+G57</f>
        <v>2500</v>
      </c>
      <c r="H56" s="100">
        <f t="shared" ref="H56" si="17">+H57</f>
        <v>0</v>
      </c>
      <c r="I56" s="352"/>
      <c r="J56" s="347"/>
      <c r="K56" s="346"/>
      <c r="L56" s="346"/>
      <c r="M56" s="346"/>
    </row>
    <row r="57" spans="1:13" s="104" customFormat="1" ht="73.150000000000006" customHeight="1" x14ac:dyDescent="0.25">
      <c r="A57" s="217"/>
      <c r="B57" s="217"/>
      <c r="C57" s="102" t="s">
        <v>258</v>
      </c>
      <c r="D57" s="103">
        <f>+E57+F57+G57+H57</f>
        <v>2500</v>
      </c>
      <c r="E57" s="103"/>
      <c r="F57" s="103"/>
      <c r="G57" s="103">
        <f>+'Հավելված N 12'!I62</f>
        <v>2500</v>
      </c>
      <c r="H57" s="103"/>
      <c r="I57" s="349"/>
      <c r="J57" s="349"/>
      <c r="K57" s="348"/>
      <c r="L57" s="348"/>
      <c r="M57" s="348"/>
    </row>
    <row r="58" spans="1:13" s="101" customFormat="1" ht="16.899999999999999" customHeight="1" x14ac:dyDescent="0.3">
      <c r="A58" s="98"/>
      <c r="B58" s="98"/>
      <c r="C58" s="220" t="s">
        <v>95</v>
      </c>
      <c r="D58" s="100">
        <f>SUM(E58:H58)</f>
        <v>-47911</v>
      </c>
      <c r="E58" s="100">
        <f t="shared" ref="E58:F58" si="18">SUM(E59:E64)</f>
        <v>0</v>
      </c>
      <c r="F58" s="100">
        <f t="shared" si="18"/>
        <v>0</v>
      </c>
      <c r="G58" s="100">
        <f>SUM(G59:G64)</f>
        <v>-47911</v>
      </c>
      <c r="H58" s="100">
        <f>SUM(H59:H64)</f>
        <v>0</v>
      </c>
      <c r="I58" s="352"/>
      <c r="J58" s="347"/>
      <c r="K58" s="346"/>
      <c r="L58" s="346"/>
      <c r="M58" s="346"/>
    </row>
    <row r="59" spans="1:13" s="104" customFormat="1" ht="51.75" x14ac:dyDescent="0.25">
      <c r="A59" s="217"/>
      <c r="B59" s="217"/>
      <c r="C59" s="76" t="s">
        <v>446</v>
      </c>
      <c r="D59" s="103">
        <f t="shared" ref="D59:D64" si="19">+E59+F59+G59+H59</f>
        <v>-4000</v>
      </c>
      <c r="E59" s="103"/>
      <c r="F59" s="103"/>
      <c r="G59" s="103">
        <f>+'Հավելված N 12'!I50</f>
        <v>-4000</v>
      </c>
      <c r="H59" s="103"/>
      <c r="I59" s="349"/>
      <c r="J59" s="349"/>
      <c r="K59" s="348"/>
      <c r="L59" s="348"/>
      <c r="M59" s="348"/>
    </row>
    <row r="60" spans="1:13" s="104" customFormat="1" ht="34.5" x14ac:dyDescent="0.25">
      <c r="A60" s="217"/>
      <c r="B60" s="217"/>
      <c r="C60" s="102" t="s">
        <v>230</v>
      </c>
      <c r="D60" s="103">
        <f t="shared" si="19"/>
        <v>-5000</v>
      </c>
      <c r="E60" s="103"/>
      <c r="F60" s="103"/>
      <c r="G60" s="103">
        <f>+'Հավելված N 12'!I31</f>
        <v>-5000</v>
      </c>
      <c r="H60" s="103"/>
      <c r="I60" s="349"/>
      <c r="J60" s="349"/>
      <c r="K60" s="348"/>
      <c r="L60" s="348"/>
      <c r="M60" s="348"/>
    </row>
    <row r="61" spans="1:13" s="104" customFormat="1" ht="51.75" x14ac:dyDescent="0.25">
      <c r="A61" s="217"/>
      <c r="B61" s="217"/>
      <c r="C61" s="76" t="s">
        <v>448</v>
      </c>
      <c r="D61" s="103">
        <f t="shared" si="19"/>
        <v>-5111</v>
      </c>
      <c r="E61" s="103"/>
      <c r="F61" s="103"/>
      <c r="G61" s="103">
        <f>+'Հավելված N 12'!I51</f>
        <v>-5111</v>
      </c>
      <c r="H61" s="103"/>
      <c r="I61" s="349"/>
      <c r="J61" s="349"/>
      <c r="K61" s="348"/>
      <c r="L61" s="348"/>
      <c r="M61" s="348"/>
    </row>
    <row r="62" spans="1:13" s="104" customFormat="1" ht="34.5" x14ac:dyDescent="0.25">
      <c r="A62" s="217"/>
      <c r="B62" s="217"/>
      <c r="C62" s="102" t="s">
        <v>231</v>
      </c>
      <c r="D62" s="103">
        <f t="shared" si="19"/>
        <v>-8000</v>
      </c>
      <c r="E62" s="103"/>
      <c r="F62" s="103"/>
      <c r="G62" s="103">
        <f>+'Հավելված N 12'!I32</f>
        <v>-8000</v>
      </c>
      <c r="H62" s="103"/>
      <c r="I62" s="349"/>
      <c r="J62" s="349"/>
      <c r="K62" s="348"/>
      <c r="L62" s="348"/>
      <c r="M62" s="348"/>
    </row>
    <row r="63" spans="1:13" s="104" customFormat="1" ht="34.5" x14ac:dyDescent="0.25">
      <c r="A63" s="217"/>
      <c r="B63" s="217"/>
      <c r="C63" s="102" t="s">
        <v>190</v>
      </c>
      <c r="D63" s="103">
        <f t="shared" si="19"/>
        <v>-15000</v>
      </c>
      <c r="E63" s="103"/>
      <c r="F63" s="103"/>
      <c r="G63" s="103">
        <f>+'Հավելված N 12'!I33</f>
        <v>-15000</v>
      </c>
      <c r="H63" s="103"/>
      <c r="I63" s="349"/>
      <c r="J63" s="349"/>
      <c r="K63" s="348"/>
      <c r="L63" s="348"/>
      <c r="M63" s="348"/>
    </row>
    <row r="64" spans="1:13" s="104" customFormat="1" ht="86.25" x14ac:dyDescent="0.25">
      <c r="A64" s="217"/>
      <c r="B64" s="217"/>
      <c r="C64" s="76" t="s">
        <v>466</v>
      </c>
      <c r="D64" s="103">
        <f t="shared" si="19"/>
        <v>-10800</v>
      </c>
      <c r="E64" s="103"/>
      <c r="F64" s="103"/>
      <c r="G64" s="103">
        <f>+'Հավելված N 12'!I52+'Հավելված N 12'!I58</f>
        <v>-10800</v>
      </c>
      <c r="H64" s="103"/>
      <c r="I64" s="349"/>
      <c r="J64" s="349"/>
      <c r="K64" s="348"/>
      <c r="L64" s="348"/>
      <c r="M64" s="348"/>
    </row>
    <row r="65" spans="1:13" s="101" customFormat="1" ht="16.899999999999999" customHeight="1" x14ac:dyDescent="0.3">
      <c r="A65" s="98"/>
      <c r="B65" s="98"/>
      <c r="C65" s="220" t="s">
        <v>97</v>
      </c>
      <c r="D65" s="100">
        <f>SUM(E65:H65)</f>
        <v>-900</v>
      </c>
      <c r="E65" s="100">
        <f>+E66</f>
        <v>0</v>
      </c>
      <c r="F65" s="100">
        <f t="shared" ref="F65:H67" si="20">+F66</f>
        <v>0</v>
      </c>
      <c r="G65" s="100">
        <f t="shared" si="20"/>
        <v>-900</v>
      </c>
      <c r="H65" s="100">
        <f t="shared" si="20"/>
        <v>0</v>
      </c>
      <c r="I65" s="352"/>
      <c r="J65" s="347"/>
      <c r="K65" s="346"/>
      <c r="L65" s="346"/>
      <c r="M65" s="346"/>
    </row>
    <row r="66" spans="1:13" s="104" customFormat="1" ht="69" x14ac:dyDescent="0.25">
      <c r="A66" s="217"/>
      <c r="B66" s="217"/>
      <c r="C66" s="76" t="s">
        <v>449</v>
      </c>
      <c r="D66" s="103">
        <f>+E66+F66+G66+H66</f>
        <v>-900</v>
      </c>
      <c r="E66" s="103"/>
      <c r="F66" s="103"/>
      <c r="G66" s="103">
        <f>+'Հավելված N 12'!I53</f>
        <v>-900</v>
      </c>
      <c r="H66" s="103"/>
      <c r="I66" s="349"/>
      <c r="J66" s="349"/>
      <c r="K66" s="348"/>
      <c r="L66" s="348"/>
      <c r="M66" s="348"/>
    </row>
    <row r="67" spans="1:13" s="101" customFormat="1" ht="16.899999999999999" customHeight="1" x14ac:dyDescent="0.3">
      <c r="A67" s="98"/>
      <c r="B67" s="98"/>
      <c r="C67" s="220" t="s">
        <v>225</v>
      </c>
      <c r="D67" s="100">
        <f>SUM(E67:H67)</f>
        <v>-5440</v>
      </c>
      <c r="E67" s="100">
        <f>+E68</f>
        <v>0</v>
      </c>
      <c r="F67" s="100">
        <f t="shared" si="20"/>
        <v>0</v>
      </c>
      <c r="G67" s="100">
        <f t="shared" si="20"/>
        <v>-5440</v>
      </c>
      <c r="H67" s="100">
        <f t="shared" si="20"/>
        <v>0</v>
      </c>
      <c r="I67" s="352"/>
      <c r="J67" s="347"/>
      <c r="K67" s="346"/>
      <c r="L67" s="346"/>
      <c r="M67" s="346"/>
    </row>
    <row r="68" spans="1:13" s="104" customFormat="1" ht="86.25" x14ac:dyDescent="0.25">
      <c r="A68" s="217"/>
      <c r="B68" s="217"/>
      <c r="C68" s="76" t="s">
        <v>450</v>
      </c>
      <c r="D68" s="103">
        <f>+E68+F68+G68+H68</f>
        <v>-5440</v>
      </c>
      <c r="E68" s="103"/>
      <c r="F68" s="103"/>
      <c r="G68" s="103">
        <f>+'Հավելված N 12'!I54</f>
        <v>-5440</v>
      </c>
      <c r="H68" s="103"/>
      <c r="I68" s="349"/>
      <c r="J68" s="349"/>
      <c r="K68" s="348"/>
      <c r="L68" s="348"/>
      <c r="M68" s="348"/>
    </row>
    <row r="69" spans="1:13" s="101" customFormat="1" ht="16.899999999999999" customHeight="1" x14ac:dyDescent="0.3">
      <c r="A69" s="98"/>
      <c r="B69" s="98"/>
      <c r="C69" s="220" t="s">
        <v>101</v>
      </c>
      <c r="D69" s="100">
        <f>SUM(E69:H69)</f>
        <v>-25800</v>
      </c>
      <c r="E69" s="100">
        <f>SUM(E70:E71)</f>
        <v>0</v>
      </c>
      <c r="F69" s="100">
        <f t="shared" ref="F69:H69" si="21">SUM(F70:F71)</f>
        <v>0</v>
      </c>
      <c r="G69" s="100">
        <f t="shared" si="21"/>
        <v>-25800</v>
      </c>
      <c r="H69" s="100">
        <f t="shared" si="21"/>
        <v>0</v>
      </c>
      <c r="I69" s="352"/>
      <c r="J69" s="347"/>
      <c r="K69" s="346"/>
      <c r="L69" s="346"/>
      <c r="M69" s="346"/>
    </row>
    <row r="70" spans="1:13" s="104" customFormat="1" ht="51.75" x14ac:dyDescent="0.25">
      <c r="A70" s="217"/>
      <c r="B70" s="217"/>
      <c r="C70" s="76" t="s">
        <v>467</v>
      </c>
      <c r="D70" s="103">
        <f>+E70+F70+G70+H70</f>
        <v>-10800</v>
      </c>
      <c r="E70" s="103"/>
      <c r="F70" s="103"/>
      <c r="G70" s="103">
        <f>+'Հավելված N 12'!I55+'Հավելված N 12'!I59</f>
        <v>-10800</v>
      </c>
      <c r="H70" s="103"/>
      <c r="I70" s="349"/>
      <c r="J70" s="349"/>
      <c r="K70" s="348"/>
      <c r="L70" s="348"/>
      <c r="M70" s="348"/>
    </row>
    <row r="71" spans="1:13" s="104" customFormat="1" x14ac:dyDescent="0.25">
      <c r="A71" s="217"/>
      <c r="B71" s="217"/>
      <c r="C71" s="102" t="s">
        <v>191</v>
      </c>
      <c r="D71" s="103">
        <f>+E71+F71+G71+H71</f>
        <v>-15000</v>
      </c>
      <c r="E71" s="103"/>
      <c r="F71" s="103"/>
      <c r="G71" s="103">
        <f>+'Հավելված N 12'!I34</f>
        <v>-15000</v>
      </c>
      <c r="H71" s="103"/>
      <c r="I71" s="349"/>
      <c r="J71" s="349"/>
      <c r="K71" s="348"/>
      <c r="L71" s="348"/>
      <c r="M71" s="348"/>
    </row>
    <row r="72" spans="1:13" s="101" customFormat="1" ht="16.899999999999999" customHeight="1" x14ac:dyDescent="0.3">
      <c r="A72" s="98"/>
      <c r="B72" s="98"/>
      <c r="C72" s="220" t="s">
        <v>103</v>
      </c>
      <c r="D72" s="100">
        <f>SUM(E72:H72)</f>
        <v>0</v>
      </c>
      <c r="E72" s="100">
        <f>SUM(E73:E74)</f>
        <v>0</v>
      </c>
      <c r="F72" s="100">
        <f t="shared" ref="F72:H72" si="22">SUM(F73:F74)</f>
        <v>0</v>
      </c>
      <c r="G72" s="100">
        <f t="shared" si="22"/>
        <v>0</v>
      </c>
      <c r="H72" s="100">
        <f t="shared" si="22"/>
        <v>0</v>
      </c>
      <c r="I72" s="352"/>
      <c r="J72" s="347"/>
      <c r="K72" s="346"/>
      <c r="L72" s="346"/>
      <c r="M72" s="346"/>
    </row>
    <row r="73" spans="1:13" s="104" customFormat="1" ht="54.6" customHeight="1" x14ac:dyDescent="0.25">
      <c r="A73" s="217"/>
      <c r="B73" s="217"/>
      <c r="C73" s="102" t="s">
        <v>233</v>
      </c>
      <c r="D73" s="103">
        <f>+E73+F73+G73+H73</f>
        <v>-4092</v>
      </c>
      <c r="E73" s="103"/>
      <c r="F73" s="103"/>
      <c r="G73" s="103">
        <v>-4092</v>
      </c>
      <c r="H73" s="103"/>
      <c r="I73" s="349"/>
      <c r="J73" s="349"/>
      <c r="K73" s="348"/>
      <c r="L73" s="348"/>
      <c r="M73" s="348"/>
    </row>
    <row r="74" spans="1:13" s="104" customFormat="1" ht="54.6" customHeight="1" x14ac:dyDescent="0.25">
      <c r="A74" s="217"/>
      <c r="B74" s="217"/>
      <c r="C74" s="102" t="s">
        <v>234</v>
      </c>
      <c r="D74" s="103">
        <f>+E74+F74+G74+H74</f>
        <v>4092</v>
      </c>
      <c r="E74" s="103"/>
      <c r="F74" s="103"/>
      <c r="G74" s="103">
        <v>4092</v>
      </c>
      <c r="H74" s="103"/>
      <c r="I74" s="349"/>
      <c r="J74" s="349"/>
      <c r="K74" s="348"/>
      <c r="L74" s="348"/>
      <c r="M74" s="348"/>
    </row>
    <row r="75" spans="1:13" s="101" customFormat="1" ht="16.899999999999999" customHeight="1" x14ac:dyDescent="0.3">
      <c r="A75" s="98"/>
      <c r="B75" s="98"/>
      <c r="C75" s="221" t="s">
        <v>105</v>
      </c>
      <c r="D75" s="100">
        <f>SUM(E75:H75)</f>
        <v>-16200</v>
      </c>
      <c r="E75" s="100">
        <f>+E76</f>
        <v>0</v>
      </c>
      <c r="F75" s="100">
        <f t="shared" ref="F75:H79" si="23">+F76</f>
        <v>0</v>
      </c>
      <c r="G75" s="100">
        <f>+G76</f>
        <v>-16200</v>
      </c>
      <c r="H75" s="100">
        <f t="shared" si="23"/>
        <v>0</v>
      </c>
      <c r="I75" s="352"/>
      <c r="J75" s="347"/>
      <c r="K75" s="346"/>
      <c r="L75" s="346"/>
      <c r="M75" s="346"/>
    </row>
    <row r="76" spans="1:13" s="104" customFormat="1" ht="86.25" x14ac:dyDescent="0.25">
      <c r="A76" s="217"/>
      <c r="B76" s="217"/>
      <c r="C76" s="76" t="s">
        <v>468</v>
      </c>
      <c r="D76" s="103">
        <f>+E76+F76+G76+H76</f>
        <v>-16200</v>
      </c>
      <c r="E76" s="103"/>
      <c r="F76" s="103"/>
      <c r="G76" s="103">
        <f>+'Հավելված N 12'!I56+'Հավելված N 12'!I60</f>
        <v>-16200</v>
      </c>
      <c r="H76" s="103"/>
      <c r="I76" s="349"/>
      <c r="J76" s="349"/>
      <c r="K76" s="348"/>
      <c r="L76" s="348"/>
      <c r="M76" s="348"/>
    </row>
    <row r="77" spans="1:13" s="101" customFormat="1" ht="16.899999999999999" customHeight="1" x14ac:dyDescent="0.3">
      <c r="A77" s="98"/>
      <c r="B77" s="98"/>
      <c r="C77" s="221" t="s">
        <v>106</v>
      </c>
      <c r="D77" s="100">
        <f>SUM(E77:H77)</f>
        <v>-20076.400000000001</v>
      </c>
      <c r="E77" s="100">
        <f>+E78</f>
        <v>0</v>
      </c>
      <c r="F77" s="100">
        <f t="shared" si="23"/>
        <v>0</v>
      </c>
      <c r="G77" s="100">
        <f>+G78</f>
        <v>-20076.400000000001</v>
      </c>
      <c r="H77" s="100">
        <f t="shared" si="23"/>
        <v>0</v>
      </c>
      <c r="I77" s="352"/>
      <c r="J77" s="347"/>
      <c r="K77" s="346"/>
      <c r="L77" s="346"/>
      <c r="M77" s="346"/>
    </row>
    <row r="78" spans="1:13" s="104" customFormat="1" ht="69" x14ac:dyDescent="0.25">
      <c r="A78" s="217"/>
      <c r="B78" s="217"/>
      <c r="C78" s="76" t="s">
        <v>469</v>
      </c>
      <c r="D78" s="103">
        <f>+E78+F78+G78+H78</f>
        <v>-20076.400000000001</v>
      </c>
      <c r="E78" s="103"/>
      <c r="F78" s="103"/>
      <c r="G78" s="103">
        <f>+'Հավելված N 12'!I57+'Հավելված N 12'!I61</f>
        <v>-20076.400000000001</v>
      </c>
      <c r="H78" s="103"/>
      <c r="I78" s="349"/>
      <c r="J78" s="349"/>
      <c r="K78" s="348"/>
      <c r="L78" s="348"/>
      <c r="M78" s="348"/>
    </row>
    <row r="79" spans="1:13" s="101" customFormat="1" ht="16.899999999999999" customHeight="1" x14ac:dyDescent="0.3">
      <c r="A79" s="98"/>
      <c r="B79" s="98"/>
      <c r="C79" s="221" t="s">
        <v>107</v>
      </c>
      <c r="D79" s="100">
        <f>SUM(E79:H79)</f>
        <v>-15000</v>
      </c>
      <c r="E79" s="100">
        <f>+E80</f>
        <v>0</v>
      </c>
      <c r="F79" s="100">
        <f t="shared" si="23"/>
        <v>0</v>
      </c>
      <c r="G79" s="100">
        <f>+G80</f>
        <v>-15000</v>
      </c>
      <c r="H79" s="100">
        <f t="shared" si="23"/>
        <v>0</v>
      </c>
      <c r="I79" s="352"/>
      <c r="J79" s="347"/>
      <c r="K79" s="346"/>
      <c r="L79" s="346"/>
      <c r="M79" s="346"/>
    </row>
    <row r="80" spans="1:13" s="104" customFormat="1" ht="34.5" x14ac:dyDescent="0.25">
      <c r="A80" s="217"/>
      <c r="B80" s="217"/>
      <c r="C80" s="222" t="s">
        <v>232</v>
      </c>
      <c r="D80" s="103">
        <f>+E80+F80+G80+H80</f>
        <v>-15000</v>
      </c>
      <c r="E80" s="103"/>
      <c r="F80" s="103"/>
      <c r="G80" s="103">
        <f>+'Հավելված N 12'!I35</f>
        <v>-15000</v>
      </c>
      <c r="H80" s="103"/>
      <c r="I80" s="349"/>
      <c r="J80" s="349"/>
      <c r="K80" s="348"/>
      <c r="L80" s="348"/>
      <c r="M80" s="348"/>
    </row>
    <row r="81" spans="1:13" s="84" customFormat="1" ht="34.5" x14ac:dyDescent="0.3">
      <c r="A81" s="65">
        <v>1075</v>
      </c>
      <c r="B81" s="65">
        <v>32001</v>
      </c>
      <c r="C81" s="223" t="s">
        <v>182</v>
      </c>
      <c r="D81" s="30">
        <f>SUM(E81:H81)</f>
        <v>19791</v>
      </c>
      <c r="E81" s="206">
        <f>+E83</f>
        <v>0</v>
      </c>
      <c r="F81" s="206">
        <f t="shared" ref="F81:H81" si="24">+F83</f>
        <v>19791</v>
      </c>
      <c r="G81" s="206">
        <f t="shared" si="24"/>
        <v>0</v>
      </c>
      <c r="H81" s="206">
        <f t="shared" si="24"/>
        <v>0</v>
      </c>
      <c r="I81" s="344"/>
      <c r="J81" s="340"/>
      <c r="K81" s="340"/>
      <c r="L81" s="340"/>
      <c r="M81" s="340"/>
    </row>
    <row r="82" spans="1:13" s="213" customFormat="1" x14ac:dyDescent="0.3">
      <c r="A82" s="207"/>
      <c r="B82" s="207"/>
      <c r="C82" s="208" t="s">
        <v>6</v>
      </c>
      <c r="D82" s="209"/>
      <c r="E82" s="210"/>
      <c r="F82" s="210"/>
      <c r="G82" s="210"/>
      <c r="H82" s="210"/>
      <c r="I82" s="345"/>
      <c r="J82" s="345"/>
      <c r="K82" s="345"/>
      <c r="L82" s="345"/>
      <c r="M82" s="345"/>
    </row>
    <row r="83" spans="1:13" s="101" customFormat="1" ht="16.899999999999999" customHeight="1" x14ac:dyDescent="0.3">
      <c r="A83" s="96"/>
      <c r="B83" s="96"/>
      <c r="C83" s="99" t="s">
        <v>216</v>
      </c>
      <c r="D83" s="100">
        <f>SUM(E83:H83)</f>
        <v>19791</v>
      </c>
      <c r="E83" s="100">
        <f>SUM(E84:E84)</f>
        <v>0</v>
      </c>
      <c r="F83" s="100">
        <f>SUM(F84:F84)</f>
        <v>19791</v>
      </c>
      <c r="G83" s="100">
        <f>SUM(G84:G84)</f>
        <v>0</v>
      </c>
      <c r="H83" s="100">
        <f>SUM(H84:H84)</f>
        <v>0</v>
      </c>
      <c r="I83" s="346"/>
      <c r="J83" s="346"/>
      <c r="K83" s="347"/>
      <c r="L83" s="347"/>
      <c r="M83" s="347"/>
    </row>
    <row r="84" spans="1:13" s="104" customFormat="1" ht="51.75" x14ac:dyDescent="0.3">
      <c r="A84" s="214"/>
      <c r="B84" s="214"/>
      <c r="C84" s="215" t="s">
        <v>360</v>
      </c>
      <c r="D84" s="103">
        <f>+E84+F84+G84+H84</f>
        <v>19791</v>
      </c>
      <c r="E84" s="103"/>
      <c r="F84" s="103">
        <f>+SUM('Հավելված N 12'!I93:I97)</f>
        <v>19791</v>
      </c>
      <c r="G84" s="103"/>
      <c r="H84" s="103"/>
      <c r="I84" s="348"/>
      <c r="J84" s="348"/>
      <c r="K84" s="349"/>
      <c r="L84" s="349"/>
      <c r="M84" s="349"/>
    </row>
    <row r="85" spans="1:13" s="84" customFormat="1" ht="51.75" x14ac:dyDescent="0.3">
      <c r="A85" s="65">
        <v>1075</v>
      </c>
      <c r="B85" s="168">
        <v>32008</v>
      </c>
      <c r="C85" s="169" t="s">
        <v>476</v>
      </c>
      <c r="D85" s="30">
        <f>SUM(E85:H85)</f>
        <v>5127.2</v>
      </c>
      <c r="E85" s="206">
        <f>+E87</f>
        <v>0</v>
      </c>
      <c r="F85" s="206">
        <f t="shared" ref="F85:H85" si="25">+F87</f>
        <v>0</v>
      </c>
      <c r="G85" s="206">
        <f t="shared" si="25"/>
        <v>0</v>
      </c>
      <c r="H85" s="206">
        <f t="shared" si="25"/>
        <v>5127.2</v>
      </c>
      <c r="I85" s="344"/>
      <c r="J85" s="340"/>
      <c r="K85" s="340"/>
      <c r="L85" s="340"/>
      <c r="M85" s="340"/>
    </row>
    <row r="86" spans="1:13" s="213" customFormat="1" x14ac:dyDescent="0.3">
      <c r="A86" s="207"/>
      <c r="B86" s="207"/>
      <c r="C86" s="95" t="s">
        <v>6</v>
      </c>
      <c r="D86" s="209"/>
      <c r="E86" s="210"/>
      <c r="F86" s="210"/>
      <c r="G86" s="210"/>
      <c r="H86" s="210"/>
      <c r="I86" s="345"/>
      <c r="J86" s="345"/>
      <c r="K86" s="345"/>
      <c r="L86" s="345"/>
      <c r="M86" s="345"/>
    </row>
    <row r="87" spans="1:13" s="101" customFormat="1" ht="16.899999999999999" customHeight="1" x14ac:dyDescent="0.3">
      <c r="A87" s="96"/>
      <c r="B87" s="96"/>
      <c r="C87" s="99" t="s">
        <v>216</v>
      </c>
      <c r="D87" s="100">
        <f>SUM(E87:H87)</f>
        <v>5127.2</v>
      </c>
      <c r="E87" s="100">
        <f>+E88</f>
        <v>0</v>
      </c>
      <c r="F87" s="100">
        <f t="shared" ref="F87:H87" si="26">+F88</f>
        <v>0</v>
      </c>
      <c r="G87" s="100">
        <f t="shared" si="26"/>
        <v>0</v>
      </c>
      <c r="H87" s="100">
        <f t="shared" si="26"/>
        <v>5127.2</v>
      </c>
      <c r="I87" s="346"/>
      <c r="J87" s="346"/>
      <c r="K87" s="347"/>
      <c r="L87" s="347"/>
      <c r="M87" s="347"/>
    </row>
    <row r="88" spans="1:13" s="104" customFormat="1" ht="51.75" x14ac:dyDescent="0.3">
      <c r="A88" s="214"/>
      <c r="B88" s="214"/>
      <c r="C88" s="215" t="s">
        <v>360</v>
      </c>
      <c r="D88" s="103">
        <f>+E88+F88+G88+H88</f>
        <v>5127.2</v>
      </c>
      <c r="E88" s="103"/>
      <c r="F88" s="103"/>
      <c r="G88" s="103"/>
      <c r="H88" s="103">
        <f>+'Հավելված N 12'!I99</f>
        <v>5127.2</v>
      </c>
      <c r="I88" s="348"/>
      <c r="J88" s="348"/>
      <c r="K88" s="349"/>
      <c r="L88" s="349"/>
      <c r="M88" s="349"/>
    </row>
    <row r="89" spans="1:13" s="84" customFormat="1" ht="51.75" x14ac:dyDescent="0.3">
      <c r="A89" s="65">
        <v>1168</v>
      </c>
      <c r="B89" s="65">
        <v>32001</v>
      </c>
      <c r="C89" s="169" t="s">
        <v>185</v>
      </c>
      <c r="D89" s="206">
        <f>SUM(E89:H89)</f>
        <v>2412.2999999999997</v>
      </c>
      <c r="E89" s="206">
        <f>+E91</f>
        <v>0</v>
      </c>
      <c r="F89" s="206">
        <f t="shared" ref="F89:H89" si="27">+F91</f>
        <v>2412.2999999999997</v>
      </c>
      <c r="G89" s="206">
        <f t="shared" si="27"/>
        <v>0</v>
      </c>
      <c r="H89" s="206">
        <f t="shared" si="27"/>
        <v>0</v>
      </c>
      <c r="I89" s="281"/>
      <c r="J89" s="281"/>
      <c r="K89" s="281"/>
      <c r="L89" s="281"/>
      <c r="M89" s="281"/>
    </row>
    <row r="90" spans="1:13" s="2" customFormat="1" x14ac:dyDescent="0.3">
      <c r="A90" s="94"/>
      <c r="B90" s="94"/>
      <c r="C90" s="95" t="s">
        <v>6</v>
      </c>
      <c r="D90" s="96"/>
      <c r="E90" s="97"/>
      <c r="F90" s="97"/>
      <c r="G90" s="97"/>
      <c r="H90" s="97"/>
      <c r="I90" s="281"/>
      <c r="J90" s="281"/>
      <c r="K90" s="281"/>
      <c r="L90" s="281"/>
      <c r="M90" s="281"/>
    </row>
    <row r="91" spans="1:13" s="101" customFormat="1" ht="16.899999999999999" customHeight="1" x14ac:dyDescent="0.3">
      <c r="A91" s="98"/>
      <c r="B91" s="98"/>
      <c r="C91" s="99" t="s">
        <v>216</v>
      </c>
      <c r="D91" s="100">
        <f>SUM(E91:H91)</f>
        <v>2412.2999999999997</v>
      </c>
      <c r="E91" s="100">
        <f>SUM(E92:E92)</f>
        <v>0</v>
      </c>
      <c r="F91" s="100">
        <f>SUM(F92:F92)</f>
        <v>2412.2999999999997</v>
      </c>
      <c r="G91" s="100">
        <f>SUM(G92:G92)</f>
        <v>0</v>
      </c>
      <c r="H91" s="100">
        <f>SUM(H92:H92)</f>
        <v>0</v>
      </c>
      <c r="I91" s="346"/>
      <c r="J91" s="346"/>
      <c r="K91" s="346"/>
      <c r="L91" s="346"/>
      <c r="M91" s="346"/>
    </row>
    <row r="92" spans="1:13" s="104" customFormat="1" ht="34.5" x14ac:dyDescent="0.3">
      <c r="A92" s="73"/>
      <c r="B92" s="73"/>
      <c r="C92" s="222" t="s">
        <v>636</v>
      </c>
      <c r="D92" s="103">
        <f t="shared" ref="D92" si="28">+E92+F92+G92+H92</f>
        <v>2412.2999999999997</v>
      </c>
      <c r="E92" s="103"/>
      <c r="F92" s="225">
        <f>+'Հավելված N 12'!I24</f>
        <v>2412.2999999999997</v>
      </c>
      <c r="G92" s="103"/>
      <c r="H92" s="103"/>
      <c r="I92" s="348"/>
      <c r="J92" s="348"/>
      <c r="K92" s="348"/>
      <c r="L92" s="348"/>
      <c r="M92" s="348"/>
    </row>
    <row r="93" spans="1:13" s="84" customFormat="1" ht="34.5" x14ac:dyDescent="0.3">
      <c r="A93" s="65">
        <v>1196</v>
      </c>
      <c r="B93" s="65">
        <v>12002</v>
      </c>
      <c r="C93" s="169" t="s">
        <v>470</v>
      </c>
      <c r="D93" s="206">
        <f>SUM(E93:H93)</f>
        <v>-8319.4000000000015</v>
      </c>
      <c r="E93" s="206">
        <v>0</v>
      </c>
      <c r="F93" s="206">
        <f>+'Հավելված N 12'!I17+'Հավելված N 12'!I19+'Հավելված N 12'!I20</f>
        <v>-8319.4000000000015</v>
      </c>
      <c r="G93" s="206">
        <v>0</v>
      </c>
      <c r="H93" s="206">
        <v>0</v>
      </c>
      <c r="I93" s="281"/>
      <c r="J93" s="281"/>
      <c r="K93" s="281"/>
      <c r="L93" s="281"/>
      <c r="M93" s="281"/>
    </row>
    <row r="94" spans="1:13" s="84" customFormat="1" ht="44.45" customHeight="1" x14ac:dyDescent="0.3">
      <c r="A94" s="65">
        <v>1236</v>
      </c>
      <c r="B94" s="65">
        <v>32002</v>
      </c>
      <c r="C94" s="48" t="s">
        <v>83</v>
      </c>
      <c r="D94" s="30">
        <f>SUM(E94:H94)</f>
        <v>-35482.200000000004</v>
      </c>
      <c r="E94" s="30">
        <f>+E96</f>
        <v>0</v>
      </c>
      <c r="F94" s="30">
        <f t="shared" ref="F94:H94" si="29">+F96</f>
        <v>-35482.200000000004</v>
      </c>
      <c r="G94" s="30">
        <f t="shared" si="29"/>
        <v>0</v>
      </c>
      <c r="H94" s="30">
        <f t="shared" si="29"/>
        <v>0</v>
      </c>
      <c r="I94" s="281"/>
      <c r="J94" s="281"/>
      <c r="K94" s="341"/>
      <c r="L94" s="341"/>
      <c r="M94" s="341"/>
    </row>
    <row r="95" spans="1:13" s="2" customFormat="1" x14ac:dyDescent="0.3">
      <c r="A95" s="94"/>
      <c r="B95" s="94"/>
      <c r="C95" s="95" t="s">
        <v>6</v>
      </c>
      <c r="D95" s="96"/>
      <c r="E95" s="97"/>
      <c r="F95" s="97"/>
      <c r="G95" s="97"/>
      <c r="H95" s="97"/>
      <c r="I95" s="281"/>
      <c r="J95" s="281"/>
      <c r="K95" s="341"/>
      <c r="L95" s="341"/>
      <c r="M95" s="341"/>
    </row>
    <row r="96" spans="1:13" s="108" customFormat="1" ht="34.5" x14ac:dyDescent="0.25">
      <c r="A96" s="106"/>
      <c r="B96" s="106"/>
      <c r="C96" s="99" t="s">
        <v>83</v>
      </c>
      <c r="D96" s="107">
        <f>SUM(E96:H96)</f>
        <v>-35482.200000000004</v>
      </c>
      <c r="E96" s="72">
        <v>0</v>
      </c>
      <c r="F96" s="229">
        <f>-'Հավելված N 12'!I111-'Հավելված N 12'!I163-'Հավելված N 6'!H138</f>
        <v>-35482.200000000004</v>
      </c>
      <c r="G96" s="72">
        <v>0</v>
      </c>
      <c r="H96" s="72">
        <v>0</v>
      </c>
      <c r="I96" s="355"/>
      <c r="J96" s="355"/>
      <c r="K96" s="356"/>
      <c r="L96" s="356"/>
      <c r="M96" s="356"/>
    </row>
    <row r="97" spans="1:13" s="84" customFormat="1" ht="51.75" x14ac:dyDescent="0.3">
      <c r="A97" s="65">
        <v>1236</v>
      </c>
      <c r="B97" s="65">
        <v>32006</v>
      </c>
      <c r="C97" s="48" t="s">
        <v>284</v>
      </c>
      <c r="D97" s="30">
        <f>SUM(E97:H97)</f>
        <v>63378.400000000001</v>
      </c>
      <c r="E97" s="30">
        <f>+E99+E127+E136+E138</f>
        <v>0</v>
      </c>
      <c r="F97" s="30">
        <f t="shared" ref="F97:G97" si="30">+F99+F127+F136+F138</f>
        <v>0</v>
      </c>
      <c r="G97" s="30">
        <f t="shared" si="30"/>
        <v>0</v>
      </c>
      <c r="H97" s="30">
        <f>+H99+H127+H136+H138</f>
        <v>63378.400000000001</v>
      </c>
      <c r="I97" s="281"/>
      <c r="J97" s="281"/>
      <c r="K97" s="357"/>
      <c r="L97" s="357"/>
      <c r="M97" s="357"/>
    </row>
    <row r="98" spans="1:13" s="2" customFormat="1" x14ac:dyDescent="0.3">
      <c r="A98" s="94"/>
      <c r="B98" s="94"/>
      <c r="C98" s="95" t="s">
        <v>6</v>
      </c>
      <c r="D98" s="96"/>
      <c r="E98" s="97"/>
      <c r="F98" s="97"/>
      <c r="G98" s="97"/>
      <c r="H98" s="97"/>
      <c r="I98" s="281"/>
      <c r="J98" s="281"/>
      <c r="K98" s="357"/>
      <c r="L98" s="357"/>
      <c r="M98" s="357"/>
    </row>
    <row r="99" spans="1:13" s="101" customFormat="1" ht="16.899999999999999" customHeight="1" x14ac:dyDescent="0.3">
      <c r="A99" s="98"/>
      <c r="B99" s="98"/>
      <c r="C99" s="99" t="s">
        <v>225</v>
      </c>
      <c r="D99" s="100">
        <f>SUM(E99:H99)</f>
        <v>30480.199999999997</v>
      </c>
      <c r="E99" s="100">
        <f t="shared" ref="E99:G99" si="31">SUM(E119:E126)</f>
        <v>0</v>
      </c>
      <c r="F99" s="100">
        <f t="shared" si="31"/>
        <v>0</v>
      </c>
      <c r="G99" s="100">
        <f t="shared" si="31"/>
        <v>0</v>
      </c>
      <c r="H99" s="100">
        <f>SUM(H100:H126)</f>
        <v>30480.199999999997</v>
      </c>
      <c r="I99" s="346"/>
      <c r="J99" s="346"/>
      <c r="K99" s="346"/>
      <c r="L99" s="346"/>
      <c r="M99" s="346"/>
    </row>
    <row r="100" spans="1:13" s="104" customFormat="1" ht="34.5" x14ac:dyDescent="0.3">
      <c r="A100" s="73"/>
      <c r="B100" s="73"/>
      <c r="C100" s="215" t="s">
        <v>397</v>
      </c>
      <c r="D100" s="103">
        <f t="shared" ref="D100:D103" si="32">+E100+F100+G100+H100</f>
        <v>1246.5999999999999</v>
      </c>
      <c r="E100" s="103"/>
      <c r="F100" s="225"/>
      <c r="G100" s="103"/>
      <c r="H100" s="225">
        <v>1246.5999999999999</v>
      </c>
      <c r="I100" s="348"/>
      <c r="J100" s="348"/>
      <c r="K100" s="348"/>
      <c r="L100" s="348"/>
      <c r="M100" s="348"/>
    </row>
    <row r="101" spans="1:13" s="104" customFormat="1" ht="34.5" x14ac:dyDescent="0.3">
      <c r="A101" s="73"/>
      <c r="B101" s="73"/>
      <c r="C101" s="215" t="s">
        <v>398</v>
      </c>
      <c r="D101" s="103">
        <f t="shared" si="32"/>
        <v>1246.5999999999999</v>
      </c>
      <c r="E101" s="103"/>
      <c r="F101" s="225"/>
      <c r="G101" s="103"/>
      <c r="H101" s="225">
        <v>1246.5999999999999</v>
      </c>
      <c r="I101" s="348"/>
      <c r="J101" s="348"/>
      <c r="K101" s="348"/>
      <c r="L101" s="348"/>
      <c r="M101" s="348"/>
    </row>
    <row r="102" spans="1:13" s="104" customFormat="1" ht="34.5" x14ac:dyDescent="0.3">
      <c r="A102" s="73"/>
      <c r="B102" s="73"/>
      <c r="C102" s="215" t="s">
        <v>399</v>
      </c>
      <c r="D102" s="103">
        <f t="shared" si="32"/>
        <v>1246.5999999999999</v>
      </c>
      <c r="E102" s="103"/>
      <c r="F102" s="225"/>
      <c r="G102" s="103"/>
      <c r="H102" s="225">
        <v>1246.5999999999999</v>
      </c>
      <c r="I102" s="348"/>
      <c r="J102" s="348"/>
      <c r="K102" s="348"/>
      <c r="L102" s="348"/>
      <c r="M102" s="348"/>
    </row>
    <row r="103" spans="1:13" s="104" customFormat="1" ht="34.5" x14ac:dyDescent="0.3">
      <c r="A103" s="73"/>
      <c r="B103" s="73"/>
      <c r="C103" s="215" t="s">
        <v>400</v>
      </c>
      <c r="D103" s="103">
        <f t="shared" si="32"/>
        <v>1246.5999999999999</v>
      </c>
      <c r="E103" s="103"/>
      <c r="F103" s="225"/>
      <c r="G103" s="103"/>
      <c r="H103" s="225">
        <v>1246.5999999999999</v>
      </c>
      <c r="I103" s="348"/>
      <c r="J103" s="348"/>
      <c r="K103" s="348"/>
      <c r="L103" s="348"/>
      <c r="M103" s="348"/>
    </row>
    <row r="104" spans="1:13" s="104" customFormat="1" ht="34.5" x14ac:dyDescent="0.3">
      <c r="A104" s="73"/>
      <c r="B104" s="73"/>
      <c r="C104" s="215" t="s">
        <v>401</v>
      </c>
      <c r="D104" s="103">
        <f t="shared" ref="D104:D110" si="33">+E104+F104+G104+H104</f>
        <v>758.8</v>
      </c>
      <c r="E104" s="103"/>
      <c r="F104" s="225"/>
      <c r="G104" s="103"/>
      <c r="H104" s="225">
        <v>758.8</v>
      </c>
      <c r="I104" s="348"/>
      <c r="J104" s="348"/>
      <c r="K104" s="348"/>
      <c r="L104" s="348"/>
      <c r="M104" s="348"/>
    </row>
    <row r="105" spans="1:13" s="104" customFormat="1" ht="34.5" x14ac:dyDescent="0.3">
      <c r="A105" s="73"/>
      <c r="B105" s="73"/>
      <c r="C105" s="215" t="s">
        <v>402</v>
      </c>
      <c r="D105" s="103">
        <f t="shared" si="33"/>
        <v>758.8</v>
      </c>
      <c r="E105" s="103"/>
      <c r="F105" s="225"/>
      <c r="G105" s="103"/>
      <c r="H105" s="225">
        <v>758.8</v>
      </c>
      <c r="I105" s="348"/>
      <c r="J105" s="348"/>
      <c r="K105" s="348"/>
      <c r="L105" s="348"/>
      <c r="M105" s="348"/>
    </row>
    <row r="106" spans="1:13" s="104" customFormat="1" ht="34.5" x14ac:dyDescent="0.3">
      <c r="A106" s="73"/>
      <c r="B106" s="73"/>
      <c r="C106" s="215" t="s">
        <v>403</v>
      </c>
      <c r="D106" s="103">
        <f t="shared" si="33"/>
        <v>1010.6</v>
      </c>
      <c r="E106" s="103"/>
      <c r="F106" s="225"/>
      <c r="G106" s="103"/>
      <c r="H106" s="225">
        <v>1010.6</v>
      </c>
      <c r="I106" s="348"/>
      <c r="J106" s="348"/>
      <c r="K106" s="348"/>
      <c r="L106" s="348"/>
      <c r="M106" s="348"/>
    </row>
    <row r="107" spans="1:13" s="104" customFormat="1" ht="34.5" x14ac:dyDescent="0.3">
      <c r="A107" s="73"/>
      <c r="B107" s="73"/>
      <c r="C107" s="215" t="s">
        <v>404</v>
      </c>
      <c r="D107" s="103">
        <f t="shared" si="33"/>
        <v>1110.8</v>
      </c>
      <c r="E107" s="103"/>
      <c r="F107" s="225"/>
      <c r="G107" s="103"/>
      <c r="H107" s="225">
        <v>1110.8</v>
      </c>
      <c r="I107" s="348"/>
      <c r="J107" s="348"/>
      <c r="K107" s="348"/>
      <c r="L107" s="348"/>
      <c r="M107" s="348"/>
    </row>
    <row r="108" spans="1:13" s="104" customFormat="1" ht="51.75" x14ac:dyDescent="0.3">
      <c r="A108" s="73"/>
      <c r="B108" s="73"/>
      <c r="C108" s="215" t="s">
        <v>405</v>
      </c>
      <c r="D108" s="103">
        <f t="shared" si="33"/>
        <v>1168.9000000000001</v>
      </c>
      <c r="E108" s="103"/>
      <c r="F108" s="225"/>
      <c r="G108" s="103"/>
      <c r="H108" s="225">
        <v>1168.9000000000001</v>
      </c>
      <c r="I108" s="348"/>
      <c r="J108" s="348"/>
      <c r="K108" s="348"/>
      <c r="L108" s="348"/>
      <c r="M108" s="348"/>
    </row>
    <row r="109" spans="1:13" s="104" customFormat="1" ht="34.5" x14ac:dyDescent="0.3">
      <c r="A109" s="73"/>
      <c r="B109" s="73"/>
      <c r="C109" s="215" t="s">
        <v>406</v>
      </c>
      <c r="D109" s="103">
        <f t="shared" si="33"/>
        <v>183.3</v>
      </c>
      <c r="E109" s="103"/>
      <c r="F109" s="225"/>
      <c r="G109" s="103"/>
      <c r="H109" s="225">
        <v>183.3</v>
      </c>
      <c r="I109" s="348"/>
      <c r="J109" s="348"/>
      <c r="K109" s="348"/>
      <c r="L109" s="348"/>
      <c r="M109" s="348"/>
    </row>
    <row r="110" spans="1:13" s="104" customFormat="1" x14ac:dyDescent="0.3">
      <c r="A110" s="73"/>
      <c r="B110" s="73"/>
      <c r="C110" s="215" t="s">
        <v>407</v>
      </c>
      <c r="D110" s="103">
        <f t="shared" si="33"/>
        <v>468.2</v>
      </c>
      <c r="E110" s="103"/>
      <c r="F110" s="225"/>
      <c r="G110" s="103"/>
      <c r="H110" s="225">
        <v>468.2</v>
      </c>
      <c r="I110" s="358"/>
      <c r="J110" s="348"/>
      <c r="K110" s="348"/>
      <c r="L110" s="348"/>
      <c r="M110" s="348"/>
    </row>
    <row r="111" spans="1:13" s="104" customFormat="1" ht="34.5" x14ac:dyDescent="0.3">
      <c r="A111" s="73"/>
      <c r="B111" s="73"/>
      <c r="C111" s="215" t="s">
        <v>408</v>
      </c>
      <c r="D111" s="103">
        <f t="shared" ref="D111:D118" si="34">+E111+F111+G111+H111</f>
        <v>662.9</v>
      </c>
      <c r="E111" s="103"/>
      <c r="F111" s="225"/>
      <c r="G111" s="103"/>
      <c r="H111" s="225">
        <v>662.9</v>
      </c>
      <c r="I111" s="348"/>
      <c r="J111" s="348"/>
      <c r="K111" s="348"/>
      <c r="L111" s="348"/>
      <c r="M111" s="348"/>
    </row>
    <row r="112" spans="1:13" s="104" customFormat="1" ht="34.5" x14ac:dyDescent="0.3">
      <c r="A112" s="73"/>
      <c r="B112" s="73"/>
      <c r="C112" s="215" t="s">
        <v>409</v>
      </c>
      <c r="D112" s="103">
        <f t="shared" si="34"/>
        <v>410.1</v>
      </c>
      <c r="E112" s="103"/>
      <c r="F112" s="225"/>
      <c r="G112" s="103"/>
      <c r="H112" s="225">
        <v>410.1</v>
      </c>
      <c r="I112" s="348"/>
      <c r="J112" s="348"/>
      <c r="K112" s="348"/>
      <c r="L112" s="348"/>
      <c r="M112" s="348"/>
    </row>
    <row r="113" spans="1:13" s="104" customFormat="1" ht="34.5" x14ac:dyDescent="0.3">
      <c r="A113" s="73"/>
      <c r="B113" s="73"/>
      <c r="C113" s="215" t="s">
        <v>410</v>
      </c>
      <c r="D113" s="103">
        <f t="shared" si="34"/>
        <v>1753.4</v>
      </c>
      <c r="E113" s="103"/>
      <c r="F113" s="225"/>
      <c r="G113" s="103"/>
      <c r="H113" s="225">
        <v>1753.4</v>
      </c>
      <c r="I113" s="348"/>
      <c r="J113" s="348"/>
      <c r="K113" s="348"/>
      <c r="L113" s="348"/>
      <c r="M113" s="348"/>
    </row>
    <row r="114" spans="1:13" s="104" customFormat="1" ht="34.5" x14ac:dyDescent="0.3">
      <c r="A114" s="73"/>
      <c r="B114" s="73"/>
      <c r="C114" s="215" t="s">
        <v>411</v>
      </c>
      <c r="D114" s="103">
        <f t="shared" si="34"/>
        <v>758.8</v>
      </c>
      <c r="E114" s="103"/>
      <c r="F114" s="225"/>
      <c r="G114" s="103"/>
      <c r="H114" s="225">
        <v>758.8</v>
      </c>
      <c r="I114" s="348"/>
      <c r="J114" s="348"/>
      <c r="K114" s="348"/>
      <c r="L114" s="348"/>
      <c r="M114" s="348"/>
    </row>
    <row r="115" spans="1:13" s="104" customFormat="1" ht="34.5" x14ac:dyDescent="0.3">
      <c r="A115" s="73"/>
      <c r="B115" s="73"/>
      <c r="C115" s="215" t="s">
        <v>412</v>
      </c>
      <c r="D115" s="103">
        <f t="shared" si="34"/>
        <v>1362.7</v>
      </c>
      <c r="E115" s="103"/>
      <c r="F115" s="225"/>
      <c r="G115" s="103"/>
      <c r="H115" s="225">
        <v>1362.7</v>
      </c>
      <c r="I115" s="348"/>
      <c r="J115" s="348"/>
      <c r="K115" s="348"/>
      <c r="L115" s="348"/>
      <c r="M115" s="348"/>
    </row>
    <row r="116" spans="1:13" s="104" customFormat="1" ht="34.5" x14ac:dyDescent="0.3">
      <c r="A116" s="73"/>
      <c r="B116" s="73"/>
      <c r="C116" s="215" t="s">
        <v>413</v>
      </c>
      <c r="D116" s="103">
        <f t="shared" si="34"/>
        <v>1246.5999999999999</v>
      </c>
      <c r="E116" s="103"/>
      <c r="F116" s="225"/>
      <c r="G116" s="103"/>
      <c r="H116" s="225">
        <v>1246.5999999999999</v>
      </c>
      <c r="I116" s="348"/>
      <c r="J116" s="348"/>
      <c r="K116" s="348"/>
      <c r="L116" s="348"/>
      <c r="M116" s="348"/>
    </row>
    <row r="117" spans="1:13" s="104" customFormat="1" ht="34.5" x14ac:dyDescent="0.3">
      <c r="A117" s="73"/>
      <c r="B117" s="73"/>
      <c r="C117" s="215" t="s">
        <v>414</v>
      </c>
      <c r="D117" s="103">
        <f t="shared" si="34"/>
        <v>1304.7</v>
      </c>
      <c r="E117" s="103"/>
      <c r="F117" s="225"/>
      <c r="G117" s="103"/>
      <c r="H117" s="225">
        <v>1304.7</v>
      </c>
      <c r="I117" s="348"/>
      <c r="J117" s="348"/>
      <c r="K117" s="348"/>
      <c r="L117" s="348"/>
      <c r="M117" s="348"/>
    </row>
    <row r="118" spans="1:13" s="104" customFormat="1" ht="34.5" x14ac:dyDescent="0.3">
      <c r="A118" s="73"/>
      <c r="B118" s="73"/>
      <c r="C118" s="215" t="s">
        <v>415</v>
      </c>
      <c r="D118" s="103">
        <f t="shared" si="34"/>
        <v>1420.8</v>
      </c>
      <c r="E118" s="103"/>
      <c r="F118" s="225"/>
      <c r="G118" s="103"/>
      <c r="H118" s="225">
        <v>1420.8</v>
      </c>
      <c r="I118" s="358"/>
      <c r="J118" s="348"/>
      <c r="K118" s="348"/>
      <c r="L118" s="348"/>
      <c r="M118" s="348"/>
    </row>
    <row r="119" spans="1:13" s="104" customFormat="1" ht="34.5" x14ac:dyDescent="0.3">
      <c r="A119" s="73"/>
      <c r="B119" s="73"/>
      <c r="C119" s="215" t="s">
        <v>416</v>
      </c>
      <c r="D119" s="103">
        <f t="shared" ref="D119:D126" si="35">+E119+F119+G119+H119</f>
        <v>1536.9</v>
      </c>
      <c r="E119" s="103"/>
      <c r="F119" s="225"/>
      <c r="G119" s="103"/>
      <c r="H119" s="225">
        <v>1536.9</v>
      </c>
      <c r="I119" s="348"/>
      <c r="J119" s="348"/>
      <c r="K119" s="348"/>
      <c r="L119" s="348"/>
      <c r="M119" s="348"/>
    </row>
    <row r="120" spans="1:13" s="104" customFormat="1" ht="34.5" x14ac:dyDescent="0.3">
      <c r="A120" s="73"/>
      <c r="B120" s="73"/>
      <c r="C120" s="215" t="s">
        <v>417</v>
      </c>
      <c r="D120" s="103">
        <f t="shared" si="35"/>
        <v>1246.5999999999999</v>
      </c>
      <c r="E120" s="103"/>
      <c r="F120" s="225"/>
      <c r="G120" s="103"/>
      <c r="H120" s="225">
        <v>1246.5999999999999</v>
      </c>
      <c r="I120" s="348"/>
      <c r="J120" s="348"/>
      <c r="K120" s="348"/>
      <c r="L120" s="348"/>
      <c r="M120" s="348"/>
    </row>
    <row r="121" spans="1:13" s="104" customFormat="1" ht="34.5" x14ac:dyDescent="0.3">
      <c r="A121" s="73"/>
      <c r="B121" s="73"/>
      <c r="C121" s="215" t="s">
        <v>418</v>
      </c>
      <c r="D121" s="103">
        <f t="shared" si="35"/>
        <v>1246.5999999999999</v>
      </c>
      <c r="E121" s="103"/>
      <c r="F121" s="225"/>
      <c r="G121" s="103"/>
      <c r="H121" s="225">
        <v>1246.5999999999999</v>
      </c>
      <c r="I121" s="348"/>
      <c r="J121" s="348"/>
      <c r="K121" s="348"/>
      <c r="L121" s="348"/>
      <c r="M121" s="348"/>
    </row>
    <row r="122" spans="1:13" s="104" customFormat="1" ht="34.5" x14ac:dyDescent="0.3">
      <c r="A122" s="73"/>
      <c r="B122" s="73"/>
      <c r="C122" s="215" t="s">
        <v>419</v>
      </c>
      <c r="D122" s="103">
        <f t="shared" si="35"/>
        <v>1653</v>
      </c>
      <c r="E122" s="103"/>
      <c r="F122" s="225"/>
      <c r="G122" s="103"/>
      <c r="H122" s="225">
        <v>1653</v>
      </c>
      <c r="I122" s="348"/>
      <c r="J122" s="348"/>
      <c r="K122" s="348"/>
      <c r="L122" s="348"/>
      <c r="M122" s="348"/>
    </row>
    <row r="123" spans="1:13" s="104" customFormat="1" ht="34.5" x14ac:dyDescent="0.3">
      <c r="A123" s="73"/>
      <c r="B123" s="73"/>
      <c r="C123" s="215" t="s">
        <v>420</v>
      </c>
      <c r="D123" s="103">
        <f t="shared" si="35"/>
        <v>1653</v>
      </c>
      <c r="E123" s="103"/>
      <c r="F123" s="225"/>
      <c r="G123" s="103"/>
      <c r="H123" s="225">
        <v>1653</v>
      </c>
      <c r="I123" s="348"/>
      <c r="J123" s="348"/>
      <c r="K123" s="348"/>
      <c r="L123" s="348"/>
      <c r="M123" s="348"/>
    </row>
    <row r="124" spans="1:13" s="104" customFormat="1" x14ac:dyDescent="0.3">
      <c r="A124" s="73"/>
      <c r="B124" s="73"/>
      <c r="C124" s="215" t="s">
        <v>421</v>
      </c>
      <c r="D124" s="103">
        <f t="shared" si="35"/>
        <v>1246.5999999999999</v>
      </c>
      <c r="E124" s="103"/>
      <c r="F124" s="225"/>
      <c r="G124" s="103"/>
      <c r="H124" s="225">
        <v>1246.5999999999999</v>
      </c>
      <c r="I124" s="348"/>
      <c r="J124" s="348"/>
      <c r="K124" s="348"/>
      <c r="L124" s="348"/>
      <c r="M124" s="348"/>
    </row>
    <row r="125" spans="1:13" s="104" customFormat="1" ht="34.5" x14ac:dyDescent="0.3">
      <c r="A125" s="73"/>
      <c r="B125" s="73"/>
      <c r="C125" s="215" t="s">
        <v>422</v>
      </c>
      <c r="D125" s="103">
        <f t="shared" si="35"/>
        <v>1304.7</v>
      </c>
      <c r="E125" s="103"/>
      <c r="F125" s="225"/>
      <c r="G125" s="103"/>
      <c r="H125" s="225">
        <v>1304.7</v>
      </c>
      <c r="I125" s="348"/>
      <c r="J125" s="348"/>
      <c r="K125" s="348"/>
      <c r="L125" s="348"/>
      <c r="M125" s="348"/>
    </row>
    <row r="126" spans="1:13" s="104" customFormat="1" ht="34.5" x14ac:dyDescent="0.3">
      <c r="A126" s="73"/>
      <c r="B126" s="73"/>
      <c r="C126" s="215" t="s">
        <v>423</v>
      </c>
      <c r="D126" s="103">
        <f t="shared" si="35"/>
        <v>1227</v>
      </c>
      <c r="E126" s="103"/>
      <c r="F126" s="225"/>
      <c r="G126" s="103"/>
      <c r="H126" s="225">
        <v>1227</v>
      </c>
      <c r="I126" s="358"/>
      <c r="J126" s="348"/>
      <c r="K126" s="348"/>
      <c r="L126" s="348"/>
      <c r="M126" s="348"/>
    </row>
    <row r="127" spans="1:13" s="101" customFormat="1" ht="16.899999999999999" customHeight="1" x14ac:dyDescent="0.3">
      <c r="A127" s="98"/>
      <c r="B127" s="98"/>
      <c r="C127" s="99" t="s">
        <v>100</v>
      </c>
      <c r="D127" s="100">
        <f>SUM(E127:H127)</f>
        <v>32487.4</v>
      </c>
      <c r="E127" s="100">
        <f t="shared" ref="E127:G127" si="36">SUM(E128:E135)</f>
        <v>0</v>
      </c>
      <c r="F127" s="100">
        <f t="shared" si="36"/>
        <v>0</v>
      </c>
      <c r="G127" s="100">
        <f t="shared" si="36"/>
        <v>0</v>
      </c>
      <c r="H127" s="100">
        <f>SUM(H128:H135)</f>
        <v>32487.4</v>
      </c>
      <c r="I127" s="346"/>
      <c r="J127" s="346"/>
      <c r="K127" s="346"/>
      <c r="L127" s="346"/>
      <c r="M127" s="346"/>
    </row>
    <row r="128" spans="1:13" s="104" customFormat="1" ht="34.5" x14ac:dyDescent="0.3">
      <c r="A128" s="73"/>
      <c r="B128" s="73"/>
      <c r="C128" s="215" t="s">
        <v>296</v>
      </c>
      <c r="D128" s="103">
        <f t="shared" ref="D128" si="37">+E128+F128+G128+H128</f>
        <v>4077.9</v>
      </c>
      <c r="E128" s="103"/>
      <c r="F128" s="225"/>
      <c r="G128" s="103"/>
      <c r="H128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28" s="348"/>
      <c r="J128" s="348"/>
      <c r="K128" s="348"/>
      <c r="L128" s="348"/>
      <c r="M128" s="348"/>
    </row>
    <row r="129" spans="1:13" s="104" customFormat="1" ht="34.5" x14ac:dyDescent="0.3">
      <c r="A129" s="73"/>
      <c r="B129" s="73"/>
      <c r="C129" s="215" t="s">
        <v>297</v>
      </c>
      <c r="D129" s="103">
        <f t="shared" ref="D129:D135" si="38">+E129+F129+G129+H129</f>
        <v>4077.9</v>
      </c>
      <c r="E129" s="103"/>
      <c r="F129" s="225"/>
      <c r="G129" s="103"/>
      <c r="H129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29" s="348"/>
      <c r="J129" s="348"/>
      <c r="K129" s="348"/>
      <c r="L129" s="348"/>
      <c r="M129" s="348"/>
    </row>
    <row r="130" spans="1:13" s="104" customFormat="1" x14ac:dyDescent="0.3">
      <c r="A130" s="73"/>
      <c r="B130" s="73"/>
      <c r="C130" s="215" t="s">
        <v>298</v>
      </c>
      <c r="D130" s="103">
        <f t="shared" si="38"/>
        <v>4077.9</v>
      </c>
      <c r="E130" s="103"/>
      <c r="F130" s="225"/>
      <c r="G130" s="103"/>
      <c r="H130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30" s="348"/>
      <c r="J130" s="348"/>
      <c r="K130" s="348"/>
      <c r="L130" s="348"/>
      <c r="M130" s="348"/>
    </row>
    <row r="131" spans="1:13" s="104" customFormat="1" ht="34.5" x14ac:dyDescent="0.3">
      <c r="A131" s="73"/>
      <c r="B131" s="73"/>
      <c r="C131" s="215" t="s">
        <v>299</v>
      </c>
      <c r="D131" s="103">
        <f t="shared" si="38"/>
        <v>4077.9</v>
      </c>
      <c r="E131" s="103"/>
      <c r="F131" s="225"/>
      <c r="G131" s="103"/>
      <c r="H131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31" s="348"/>
      <c r="J131" s="348"/>
      <c r="K131" s="348"/>
      <c r="L131" s="348"/>
      <c r="M131" s="348"/>
    </row>
    <row r="132" spans="1:13" s="104" customFormat="1" ht="34.5" x14ac:dyDescent="0.3">
      <c r="A132" s="73"/>
      <c r="B132" s="73"/>
      <c r="C132" s="215" t="s">
        <v>300</v>
      </c>
      <c r="D132" s="103">
        <f t="shared" si="38"/>
        <v>4077.9</v>
      </c>
      <c r="E132" s="103"/>
      <c r="F132" s="225"/>
      <c r="G132" s="103"/>
      <c r="H132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32" s="348"/>
      <c r="J132" s="348"/>
      <c r="K132" s="348"/>
      <c r="L132" s="348"/>
      <c r="M132" s="348"/>
    </row>
    <row r="133" spans="1:13" s="104" customFormat="1" ht="34.5" x14ac:dyDescent="0.3">
      <c r="A133" s="73"/>
      <c r="B133" s="73"/>
      <c r="C133" s="215" t="s">
        <v>301</v>
      </c>
      <c r="D133" s="103">
        <f t="shared" si="38"/>
        <v>4077.9</v>
      </c>
      <c r="E133" s="103"/>
      <c r="F133" s="225"/>
      <c r="G133" s="103"/>
      <c r="H133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33" s="348"/>
      <c r="J133" s="348"/>
      <c r="K133" s="348"/>
      <c r="L133" s="348"/>
      <c r="M133" s="348"/>
    </row>
    <row r="134" spans="1:13" s="104" customFormat="1" x14ac:dyDescent="0.3">
      <c r="A134" s="73"/>
      <c r="B134" s="73"/>
      <c r="C134" s="215" t="s">
        <v>302</v>
      </c>
      <c r="D134" s="103">
        <f t="shared" si="38"/>
        <v>4077.9</v>
      </c>
      <c r="E134" s="103"/>
      <c r="F134" s="225"/>
      <c r="G134" s="103"/>
      <c r="H134" s="225">
        <f>+ROUND(('Հավելված N 12'!$G$129+'Հավելված N 12'!$G$130*2+'Հավելված N 12'!$G$131*25+'Հավելված N 12'!$G$132*10+'Հավելված N 12'!$G$133+'Հավելված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4077.9</v>
      </c>
      <c r="I134" s="348"/>
      <c r="J134" s="348"/>
      <c r="K134" s="348"/>
      <c r="L134" s="348"/>
      <c r="M134" s="348"/>
    </row>
    <row r="135" spans="1:13" s="104" customFormat="1" x14ac:dyDescent="0.3">
      <c r="A135" s="73"/>
      <c r="B135" s="73"/>
      <c r="C135" s="215" t="s">
        <v>303</v>
      </c>
      <c r="D135" s="103">
        <f t="shared" si="38"/>
        <v>3942.1</v>
      </c>
      <c r="E135" s="103"/>
      <c r="F135" s="225"/>
      <c r="G135" s="103"/>
      <c r="H135" s="225">
        <f>+ROUND(('Հավելված N 12'!$G$129+'Հավելված N 12'!$G$130*2+'Հավելված N 12'!$G$131*25+'Հավելված N 12'!$G$132*10+'Հավելված N 12'!$G$134*2+'Հավելված N 12'!$G$135*8+'Հավելված N 12'!$G$136+'Հավելված N 12'!$G$137*2+'Հավելված N 12'!$G$138+'Հավելված N 12'!$G$139*3+'Հավելված N 12'!$G$140+'Հավելված N 12'!$G$141+'Հավելված N 12'!$G$142+'Հավելված N 12'!$G$143*40+'Հավելված N 12'!$G$144*10+'Հավելված N 12'!$G$145*10+'Հավելված N 12'!$G$146*8+'Հավելված N 12'!$G$147*30+'Հավելված N 12'!$G$148+'Հավելված N 12'!$G$149*4+'Հավելված N 12'!$G$150*0.7+'Հավելված N 12'!$G$151+'Հավելված N 12'!$G$152*4+'Հավելված N 12'!$G$153*40+'Հավելված N 12'!$G$154*20+'Հավելված N 12'!$G$155+'Հավելված N 12'!$G$156*2+'Հավելված N 12'!$G$157*50+'Հավելված N 12'!$G$158+'Հավելված N 12'!$G$159*5+'Հավելված N 12'!$G$160*5+'Հավելված N 12'!$G$161*5)/1000,1)</f>
        <v>3942.1</v>
      </c>
      <c r="I135" s="358"/>
      <c r="J135" s="348"/>
      <c r="K135" s="348"/>
      <c r="L135" s="348"/>
      <c r="M135" s="348"/>
    </row>
    <row r="136" spans="1:13" s="101" customFormat="1" ht="16.899999999999999" customHeight="1" x14ac:dyDescent="0.3">
      <c r="A136" s="98"/>
      <c r="B136" s="98"/>
      <c r="C136" s="99" t="s">
        <v>103</v>
      </c>
      <c r="D136" s="100">
        <f>SUM(E136:H136)</f>
        <v>306</v>
      </c>
      <c r="E136" s="100">
        <f>+E137</f>
        <v>0</v>
      </c>
      <c r="F136" s="100">
        <f t="shared" ref="F136:H136" si="39">+F137</f>
        <v>0</v>
      </c>
      <c r="G136" s="100">
        <f t="shared" si="39"/>
        <v>0</v>
      </c>
      <c r="H136" s="100">
        <f t="shared" si="39"/>
        <v>306</v>
      </c>
      <c r="I136" s="346"/>
      <c r="J136" s="346"/>
      <c r="K136" s="346"/>
      <c r="L136" s="346"/>
      <c r="M136" s="346"/>
    </row>
    <row r="137" spans="1:13" s="104" customFormat="1" ht="34.5" x14ac:dyDescent="0.3">
      <c r="A137" s="73"/>
      <c r="B137" s="73"/>
      <c r="C137" s="215" t="s">
        <v>387</v>
      </c>
      <c r="D137" s="103">
        <f t="shared" ref="D137" si="40">+E137+F137+G137+H137</f>
        <v>306</v>
      </c>
      <c r="E137" s="103"/>
      <c r="F137" s="225"/>
      <c r="G137" s="103"/>
      <c r="H137" s="225">
        <f>+'Հավելված N 12'!I166</f>
        <v>306</v>
      </c>
      <c r="I137" s="348"/>
      <c r="J137" s="348"/>
      <c r="K137" s="348"/>
      <c r="L137" s="348"/>
      <c r="M137" s="348"/>
    </row>
    <row r="138" spans="1:13" s="101" customFormat="1" ht="16.899999999999999" customHeight="1" x14ac:dyDescent="0.3">
      <c r="A138" s="98"/>
      <c r="B138" s="98"/>
      <c r="C138" s="99" t="s">
        <v>109</v>
      </c>
      <c r="D138" s="100">
        <f>SUM(E138:H138)</f>
        <v>104.8</v>
      </c>
      <c r="E138" s="100">
        <f>+E139</f>
        <v>0</v>
      </c>
      <c r="F138" s="100">
        <f t="shared" ref="F138" si="41">+F139</f>
        <v>0</v>
      </c>
      <c r="G138" s="100">
        <f t="shared" ref="G138" si="42">+G139</f>
        <v>0</v>
      </c>
      <c r="H138" s="100">
        <f t="shared" ref="H138" si="43">+H139</f>
        <v>104.8</v>
      </c>
      <c r="I138" s="346"/>
      <c r="J138" s="346"/>
      <c r="K138" s="346"/>
      <c r="L138" s="346"/>
      <c r="M138" s="346"/>
    </row>
    <row r="139" spans="1:13" s="104" customFormat="1" ht="34.5" x14ac:dyDescent="0.3">
      <c r="A139" s="73"/>
      <c r="B139" s="73"/>
      <c r="C139" s="215" t="s">
        <v>386</v>
      </c>
      <c r="D139" s="103">
        <f t="shared" ref="D139" si="44">+E139+F139+G139+H139</f>
        <v>104.8</v>
      </c>
      <c r="E139" s="103"/>
      <c r="F139" s="225"/>
      <c r="G139" s="103"/>
      <c r="H139" s="225">
        <v>104.8</v>
      </c>
      <c r="I139" s="348"/>
      <c r="J139" s="348"/>
      <c r="K139" s="348"/>
      <c r="L139" s="348"/>
      <c r="M139" s="34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H165"/>
  <sheetViews>
    <sheetView zoomScale="84" zoomScaleNormal="84" workbookViewId="0">
      <selection activeCell="E30" sqref="E30:F30"/>
    </sheetView>
  </sheetViews>
  <sheetFormatPr defaultColWidth="9.140625" defaultRowHeight="17.25" x14ac:dyDescent="0.3"/>
  <cols>
    <col min="1" max="3" width="9.140625" style="18"/>
    <col min="4" max="4" width="54.28515625" style="18" customWidth="1"/>
    <col min="5" max="5" width="22.85546875" style="78" bestFit="1" customWidth="1"/>
    <col min="6" max="6" width="22.85546875" style="78" customWidth="1"/>
    <col min="7" max="7" width="22.85546875" style="78" bestFit="1" customWidth="1"/>
    <col min="8" max="8" width="20.7109375" style="18" customWidth="1"/>
    <col min="9" max="9" width="19.28515625" style="18" customWidth="1"/>
    <col min="10" max="10" width="20" style="18" customWidth="1"/>
    <col min="11" max="16384" width="9.140625" style="18"/>
  </cols>
  <sheetData>
    <row r="1" spans="2:8" s="17" customFormat="1" ht="25.5" customHeight="1" x14ac:dyDescent="0.25">
      <c r="E1" s="180"/>
      <c r="F1" s="470" t="s">
        <v>128</v>
      </c>
      <c r="G1" s="470"/>
    </row>
    <row r="2" spans="2:8" ht="17.850000000000001" customHeight="1" x14ac:dyDescent="0.3">
      <c r="D2" s="19"/>
      <c r="E2" s="466" t="s">
        <v>54</v>
      </c>
      <c r="F2" s="466"/>
      <c r="G2" s="466"/>
    </row>
    <row r="3" spans="2:8" x14ac:dyDescent="0.3">
      <c r="D3" s="19"/>
      <c r="E3" s="181"/>
      <c r="F3" s="471" t="s">
        <v>19</v>
      </c>
      <c r="G3" s="471"/>
    </row>
    <row r="4" spans="2:8" ht="13.7" customHeight="1" x14ac:dyDescent="0.3">
      <c r="D4" s="19"/>
      <c r="E4" s="28"/>
      <c r="F4" s="28"/>
      <c r="G4" s="28"/>
    </row>
    <row r="5" spans="2:8" ht="13.7" customHeight="1" x14ac:dyDescent="0.3">
      <c r="D5" s="19"/>
      <c r="E5" s="28"/>
      <c r="F5" s="28"/>
      <c r="G5" s="28"/>
    </row>
    <row r="6" spans="2:8" ht="85.7" customHeight="1" x14ac:dyDescent="0.3">
      <c r="B6" s="472" t="s">
        <v>137</v>
      </c>
      <c r="C6" s="472"/>
      <c r="D6" s="472"/>
      <c r="E6" s="472"/>
      <c r="F6" s="472"/>
      <c r="G6" s="472"/>
    </row>
    <row r="8" spans="2:8" x14ac:dyDescent="0.3">
      <c r="E8" s="59"/>
      <c r="F8" s="59"/>
      <c r="G8" s="59" t="s">
        <v>9</v>
      </c>
    </row>
    <row r="9" spans="2:8" ht="41.65" customHeight="1" x14ac:dyDescent="0.3">
      <c r="B9" s="456" t="s">
        <v>56</v>
      </c>
      <c r="C9" s="457"/>
      <c r="D9" s="458" t="s">
        <v>57</v>
      </c>
      <c r="E9" s="473" t="s">
        <v>25</v>
      </c>
      <c r="F9" s="474"/>
      <c r="G9" s="475"/>
    </row>
    <row r="10" spans="2:8" ht="79.150000000000006" customHeight="1" x14ac:dyDescent="0.3">
      <c r="B10" s="60" t="s">
        <v>13</v>
      </c>
      <c r="C10" s="60" t="s">
        <v>14</v>
      </c>
      <c r="D10" s="459"/>
      <c r="E10" s="61" t="s">
        <v>24</v>
      </c>
      <c r="F10" s="61" t="s">
        <v>2</v>
      </c>
      <c r="G10" s="61" t="s">
        <v>3</v>
      </c>
    </row>
    <row r="11" spans="2:8" ht="51.75" x14ac:dyDescent="0.3">
      <c r="B11" s="60"/>
      <c r="C11" s="60"/>
      <c r="D11" s="62" t="s">
        <v>16</v>
      </c>
      <c r="E11" s="30">
        <f>+E13+E25+E41+E88+E94+E100+E106+E109+E112</f>
        <v>601350.1</v>
      </c>
      <c r="F11" s="30">
        <f t="shared" ref="F11:G11" si="0">+F13+F25+F41+F88+F94+F100+F106+F109+F112</f>
        <v>529075.89999999991</v>
      </c>
      <c r="G11" s="30">
        <f t="shared" si="0"/>
        <v>-490703.09999999986</v>
      </c>
    </row>
    <row r="12" spans="2:8" x14ac:dyDescent="0.3">
      <c r="B12" s="60"/>
      <c r="C12" s="60"/>
      <c r="D12" s="63" t="s">
        <v>58</v>
      </c>
      <c r="E12" s="64"/>
      <c r="F12" s="64"/>
      <c r="G12" s="64"/>
    </row>
    <row r="13" spans="2:8" s="66" customFormat="1" ht="51.75" x14ac:dyDescent="0.3">
      <c r="B13" s="65">
        <v>1045</v>
      </c>
      <c r="C13" s="65">
        <v>32001</v>
      </c>
      <c r="D13" s="34" t="s">
        <v>201</v>
      </c>
      <c r="E13" s="30">
        <f>+E15</f>
        <v>-208152.9</v>
      </c>
      <c r="F13" s="30">
        <f t="shared" ref="F13:G13" si="1">+F15</f>
        <v>-375041.1</v>
      </c>
      <c r="G13" s="30">
        <f t="shared" si="1"/>
        <v>-521729.3</v>
      </c>
    </row>
    <row r="14" spans="2:8" s="66" customFormat="1" x14ac:dyDescent="0.3">
      <c r="B14" s="67"/>
      <c r="C14" s="67"/>
      <c r="D14" s="68" t="s">
        <v>15</v>
      </c>
      <c r="E14" s="170"/>
      <c r="F14" s="170"/>
      <c r="G14" s="170"/>
      <c r="H14" s="134"/>
    </row>
    <row r="15" spans="2:8" s="66" customFormat="1" ht="34.5" x14ac:dyDescent="0.3">
      <c r="B15" s="70"/>
      <c r="C15" s="70"/>
      <c r="D15" s="71" t="s">
        <v>135</v>
      </c>
      <c r="E15" s="72">
        <f>+E17+E20+E23</f>
        <v>-208152.9</v>
      </c>
      <c r="F15" s="72">
        <f t="shared" ref="F15:G15" si="2">+F17+F20+F23</f>
        <v>-375041.1</v>
      </c>
      <c r="G15" s="72">
        <f t="shared" si="2"/>
        <v>-521729.3</v>
      </c>
      <c r="H15" s="134"/>
    </row>
    <row r="16" spans="2:8" s="66" customFormat="1" x14ac:dyDescent="0.3">
      <c r="B16" s="70"/>
      <c r="C16" s="70"/>
      <c r="D16" s="73" t="s">
        <v>59</v>
      </c>
      <c r="E16" s="136"/>
      <c r="F16" s="136"/>
      <c r="G16" s="136"/>
    </row>
    <row r="17" spans="2:8" s="66" customFormat="1" x14ac:dyDescent="0.3">
      <c r="B17" s="70"/>
      <c r="C17" s="70"/>
      <c r="D17" s="74" t="s">
        <v>216</v>
      </c>
      <c r="E17" s="75">
        <f>SUM(E18:E19)</f>
        <v>0</v>
      </c>
      <c r="F17" s="75">
        <f t="shared" ref="F17:G17" si="3">SUM(F18:F19)</f>
        <v>0</v>
      </c>
      <c r="G17" s="75">
        <f t="shared" si="3"/>
        <v>0</v>
      </c>
    </row>
    <row r="18" spans="2:8" s="66" customFormat="1" ht="34.5" x14ac:dyDescent="0.3">
      <c r="B18" s="60"/>
      <c r="C18" s="60"/>
      <c r="D18" s="76" t="str">
        <f>+'Հավելված N 6'!C18</f>
        <v>«Երևանի հ․8 արհեստագործական պետական ուսումնարան» ՊՈԱԿ</v>
      </c>
      <c r="E18" s="77">
        <v>-55597.599999999999</v>
      </c>
      <c r="F18" s="77">
        <f>+G18</f>
        <v>-111195.1</v>
      </c>
      <c r="G18" s="77">
        <f>+'Հավելված N 6'!D18</f>
        <v>-111195.1</v>
      </c>
    </row>
    <row r="19" spans="2:8" s="66" customFormat="1" ht="51.75" x14ac:dyDescent="0.3">
      <c r="B19" s="60"/>
      <c r="C19" s="60"/>
      <c r="D19" s="76" t="str">
        <f>+'Հավելված N 6'!C19</f>
        <v>Երևանի հ․8 արհեստագործական պետական ուսումնարան (իրավահաջորդը՝ «Երևանի արհեստի պետական քոլեջ» ՊՈԱԿ)</v>
      </c>
      <c r="E19" s="77">
        <v>55597.599999999999</v>
      </c>
      <c r="F19" s="77">
        <f>+G19</f>
        <v>111195.1</v>
      </c>
      <c r="G19" s="77">
        <f>+'Հավելված N 6'!D19</f>
        <v>111195.1</v>
      </c>
    </row>
    <row r="20" spans="2:8" s="66" customFormat="1" x14ac:dyDescent="0.3">
      <c r="B20" s="70"/>
      <c r="C20" s="70"/>
      <c r="D20" s="74" t="s">
        <v>105</v>
      </c>
      <c r="E20" s="75">
        <f>SUM(E21:E22)</f>
        <v>-130902.9</v>
      </c>
      <c r="F20" s="75">
        <f t="shared" ref="F20:G20" si="4">SUM(F21:F22)</f>
        <v>-193741.1</v>
      </c>
      <c r="G20" s="75">
        <f t="shared" si="4"/>
        <v>-262729.3</v>
      </c>
    </row>
    <row r="21" spans="2:8" s="66" customFormat="1" x14ac:dyDescent="0.3">
      <c r="B21" s="60"/>
      <c r="C21" s="60"/>
      <c r="D21" s="76" t="str">
        <f>+'Հավելված N 6'!C21</f>
        <v>«Գյումրու պետական բժշկական քոլեջ» ՊՈԱԿ</v>
      </c>
      <c r="E21" s="77">
        <f>-62318.1</f>
        <v>-62318.1</v>
      </c>
      <c r="F21" s="248">
        <f>+G21</f>
        <v>-32768.6</v>
      </c>
      <c r="G21" s="77">
        <f>+'Հավելված N 6'!D21</f>
        <v>-32768.6</v>
      </c>
    </row>
    <row r="22" spans="2:8" s="66" customFormat="1" x14ac:dyDescent="0.3">
      <c r="B22" s="60"/>
      <c r="C22" s="60"/>
      <c r="D22" s="76" t="str">
        <f>+'Հավելված N 6'!C22</f>
        <v>«Արթիկի պետական քոլեջ» ՊՈԱԿ</v>
      </c>
      <c r="E22" s="77">
        <v>-68584.800000000003</v>
      </c>
      <c r="F22" s="248">
        <v>-160972.5</v>
      </c>
      <c r="G22" s="77">
        <f>+'Հավելված N 6'!D22</f>
        <v>-229960.7</v>
      </c>
    </row>
    <row r="23" spans="2:8" s="66" customFormat="1" x14ac:dyDescent="0.3">
      <c r="B23" s="70"/>
      <c r="C23" s="70"/>
      <c r="D23" s="74" t="s">
        <v>109</v>
      </c>
      <c r="E23" s="75">
        <f>+E24</f>
        <v>-77250</v>
      </c>
      <c r="F23" s="75">
        <f t="shared" ref="F23:G23" si="5">+F24</f>
        <v>-181300</v>
      </c>
      <c r="G23" s="75">
        <f t="shared" si="5"/>
        <v>-259000</v>
      </c>
    </row>
    <row r="24" spans="2:8" s="66" customFormat="1" ht="34.5" x14ac:dyDescent="0.3">
      <c r="B24" s="60"/>
      <c r="C24" s="60"/>
      <c r="D24" s="76" t="str">
        <f>+'Հավելված N 6'!C24</f>
        <v>«Դիլիջանի բազմագործառութային պետական քոլեջ» ՊՈԱԿ</v>
      </c>
      <c r="E24" s="77">
        <v>-77250</v>
      </c>
      <c r="F24" s="248">
        <v>-181300</v>
      </c>
      <c r="G24" s="77">
        <f>+'Հավելված N 6'!D24</f>
        <v>-259000</v>
      </c>
    </row>
    <row r="25" spans="2:8" s="66" customFormat="1" ht="34.5" x14ac:dyDescent="0.3">
      <c r="B25" s="65">
        <v>1045</v>
      </c>
      <c r="C25" s="65">
        <v>32005</v>
      </c>
      <c r="D25" s="34" t="s">
        <v>215</v>
      </c>
      <c r="E25" s="30">
        <f>+E27+E35</f>
        <v>-58446.6</v>
      </c>
      <c r="F25" s="30">
        <f t="shared" ref="F25:G25" si="6">+F27+F35</f>
        <v>-22098.199999999997</v>
      </c>
      <c r="G25" s="30">
        <f t="shared" si="6"/>
        <v>136291.40000000002</v>
      </c>
    </row>
    <row r="26" spans="2:8" s="66" customFormat="1" x14ac:dyDescent="0.3">
      <c r="B26" s="67"/>
      <c r="C26" s="67"/>
      <c r="D26" s="68" t="s">
        <v>15</v>
      </c>
      <c r="E26" s="170"/>
      <c r="F26" s="170"/>
      <c r="G26" s="170"/>
      <c r="H26" s="134"/>
    </row>
    <row r="27" spans="2:8" s="66" customFormat="1" ht="34.5" x14ac:dyDescent="0.3">
      <c r="B27" s="70"/>
      <c r="C27" s="70"/>
      <c r="D27" s="71" t="s">
        <v>135</v>
      </c>
      <c r="E27" s="72">
        <f>+E29+E31+E33</f>
        <v>-58446.6</v>
      </c>
      <c r="F27" s="72">
        <f t="shared" ref="F27:G27" si="7">+F29+F31+F33</f>
        <v>-33098.199999999997</v>
      </c>
      <c r="G27" s="72">
        <f t="shared" si="7"/>
        <v>143276.30000000002</v>
      </c>
      <c r="H27" s="134"/>
    </row>
    <row r="28" spans="2:8" s="66" customFormat="1" x14ac:dyDescent="0.3">
      <c r="B28" s="70"/>
      <c r="C28" s="70"/>
      <c r="D28" s="73" t="s">
        <v>59</v>
      </c>
      <c r="E28" s="136"/>
      <c r="F28" s="136"/>
      <c r="G28" s="136"/>
    </row>
    <row r="29" spans="2:8" s="66" customFormat="1" x14ac:dyDescent="0.3">
      <c r="B29" s="70"/>
      <c r="C29" s="70"/>
      <c r="D29" s="74" t="s">
        <v>216</v>
      </c>
      <c r="E29" s="75">
        <f>+E30</f>
        <v>-58446.6</v>
      </c>
      <c r="F29" s="75">
        <f t="shared" ref="F29:G29" si="8">+F30</f>
        <v>-137170</v>
      </c>
      <c r="G29" s="75">
        <f t="shared" si="8"/>
        <v>-131383.69999999998</v>
      </c>
    </row>
    <row r="30" spans="2:8" s="66" customFormat="1" ht="34.5" x14ac:dyDescent="0.3">
      <c r="B30" s="60"/>
      <c r="C30" s="60"/>
      <c r="D30" s="76" t="str">
        <f>+'Հավելված N 6'!C28</f>
        <v>«Երևանի զարդարվեստի պետական արհեստագործական ուսումնարան» ՊՈԱԿ</v>
      </c>
      <c r="E30" s="77">
        <v>-58446.6</v>
      </c>
      <c r="F30" s="77">
        <v>-137170</v>
      </c>
      <c r="G30" s="77">
        <f>+'Հավելված N 6'!D28</f>
        <v>-131383.69999999998</v>
      </c>
    </row>
    <row r="31" spans="2:8" s="66" customFormat="1" x14ac:dyDescent="0.3">
      <c r="B31" s="70"/>
      <c r="C31" s="70"/>
      <c r="D31" s="74" t="s">
        <v>105</v>
      </c>
      <c r="E31" s="75">
        <f>+E32</f>
        <v>0</v>
      </c>
      <c r="F31" s="75">
        <f t="shared" ref="F31" si="9">+F32</f>
        <v>104071.8</v>
      </c>
      <c r="G31" s="75">
        <f t="shared" ref="G31" si="10">+G32</f>
        <v>173060</v>
      </c>
    </row>
    <row r="32" spans="2:8" s="66" customFormat="1" x14ac:dyDescent="0.3">
      <c r="B32" s="60"/>
      <c r="C32" s="60"/>
      <c r="D32" s="76" t="str">
        <f>+'Հավելված N 6'!C32</f>
        <v>«Արթիկի պետական քոլեջ» ՊՈԱԿ</v>
      </c>
      <c r="E32" s="77">
        <v>0</v>
      </c>
      <c r="F32" s="77">
        <f>100998.6+2467.2+606</f>
        <v>104071.8</v>
      </c>
      <c r="G32" s="77">
        <f>+'Հավելված N 6'!D32</f>
        <v>173060</v>
      </c>
      <c r="H32" s="134"/>
    </row>
    <row r="33" spans="2:8" s="66" customFormat="1" x14ac:dyDescent="0.3">
      <c r="B33" s="70"/>
      <c r="C33" s="70"/>
      <c r="D33" s="74" t="s">
        <v>109</v>
      </c>
      <c r="E33" s="75">
        <f>+E34</f>
        <v>0</v>
      </c>
      <c r="F33" s="75">
        <f t="shared" ref="F33" si="11">+F34</f>
        <v>0</v>
      </c>
      <c r="G33" s="75">
        <f t="shared" ref="G33" si="12">+G34</f>
        <v>101600</v>
      </c>
    </row>
    <row r="34" spans="2:8" s="66" customFormat="1" ht="34.5" x14ac:dyDescent="0.3">
      <c r="B34" s="60"/>
      <c r="C34" s="60"/>
      <c r="D34" s="76" t="str">
        <f>+'Հավելված N 6'!C34</f>
        <v>«Դիլիջանի բազմագործառութային պետական քոլեջ» ՊՈԱԿ</v>
      </c>
      <c r="E34" s="77">
        <v>0</v>
      </c>
      <c r="F34" s="77">
        <v>0</v>
      </c>
      <c r="G34" s="77">
        <f>+'Հավելված N 6'!D34</f>
        <v>101600</v>
      </c>
      <c r="H34" s="134"/>
    </row>
    <row r="35" spans="2:8" s="66" customFormat="1" x14ac:dyDescent="0.3">
      <c r="B35" s="70"/>
      <c r="C35" s="70"/>
      <c r="D35" s="71" t="s">
        <v>134</v>
      </c>
      <c r="E35" s="72">
        <f>+E37+E39</f>
        <v>0</v>
      </c>
      <c r="F35" s="72">
        <f t="shared" ref="F35:G35" si="13">+F37+F39</f>
        <v>11000</v>
      </c>
      <c r="G35" s="72">
        <f t="shared" si="13"/>
        <v>-6984.9000000000015</v>
      </c>
      <c r="H35" s="134"/>
    </row>
    <row r="36" spans="2:8" s="66" customFormat="1" x14ac:dyDescent="0.3">
      <c r="B36" s="70"/>
      <c r="C36" s="70"/>
      <c r="D36" s="73" t="s">
        <v>59</v>
      </c>
      <c r="E36" s="136"/>
      <c r="F36" s="136"/>
      <c r="G36" s="136"/>
    </row>
    <row r="37" spans="2:8" s="66" customFormat="1" x14ac:dyDescent="0.3">
      <c r="B37" s="70"/>
      <c r="C37" s="70"/>
      <c r="D37" s="74" t="s">
        <v>225</v>
      </c>
      <c r="E37" s="75">
        <f>+E38</f>
        <v>0</v>
      </c>
      <c r="F37" s="75">
        <f t="shared" ref="F37" si="14">+F38</f>
        <v>0</v>
      </c>
      <c r="G37" s="75">
        <f t="shared" ref="G37" si="15">+G38</f>
        <v>-17984.900000000001</v>
      </c>
    </row>
    <row r="38" spans="2:8" s="66" customFormat="1" ht="34.5" x14ac:dyDescent="0.3">
      <c r="B38" s="60"/>
      <c r="C38" s="60"/>
      <c r="D38" s="76" t="str">
        <f>+'Հավելված N 6'!C30</f>
        <v>«Արմավիրի տարածաշրջանային պետական քոլեջ» ՊՈԱԿ</v>
      </c>
      <c r="E38" s="77">
        <v>0</v>
      </c>
      <c r="F38" s="77">
        <v>0</v>
      </c>
      <c r="G38" s="77">
        <f>+'Հավելված N 6'!D30</f>
        <v>-17984.900000000001</v>
      </c>
    </row>
    <row r="39" spans="2:8" s="66" customFormat="1" x14ac:dyDescent="0.3">
      <c r="B39" s="70"/>
      <c r="C39" s="70"/>
      <c r="D39" s="74" t="s">
        <v>109</v>
      </c>
      <c r="E39" s="75">
        <f>+E40</f>
        <v>0</v>
      </c>
      <c r="F39" s="75">
        <f t="shared" ref="F39" si="16">+F40</f>
        <v>11000</v>
      </c>
      <c r="G39" s="75">
        <f t="shared" ref="G39" si="17">+G40</f>
        <v>11000</v>
      </c>
    </row>
    <row r="40" spans="2:8" s="66" customFormat="1" x14ac:dyDescent="0.3">
      <c r="B40" s="60"/>
      <c r="C40" s="60"/>
      <c r="D40" s="76" t="str">
        <f>+'Հավելված N 6'!C35</f>
        <v>«Նոյեմբերյանի պետական քոլեջ» ՊՈԱԿ</v>
      </c>
      <c r="E40" s="77">
        <v>0</v>
      </c>
      <c r="F40" s="77">
        <f>+G40</f>
        <v>11000</v>
      </c>
      <c r="G40" s="77">
        <f>+'Հավելված N 6'!D35</f>
        <v>11000</v>
      </c>
    </row>
    <row r="41" spans="2:8" s="66" customFormat="1" ht="34.5" x14ac:dyDescent="0.3">
      <c r="B41" s="65">
        <v>1075</v>
      </c>
      <c r="C41" s="47">
        <v>21001</v>
      </c>
      <c r="D41" s="169" t="s">
        <v>177</v>
      </c>
      <c r="E41" s="30">
        <f>+E43</f>
        <v>-117980.9</v>
      </c>
      <c r="F41" s="30">
        <f>+F43</f>
        <v>-131313.69999999998</v>
      </c>
      <c r="G41" s="30">
        <f>+G43</f>
        <v>-152172.5</v>
      </c>
    </row>
    <row r="42" spans="2:8" s="66" customFormat="1" x14ac:dyDescent="0.3">
      <c r="B42" s="67"/>
      <c r="C42" s="67"/>
      <c r="D42" s="68" t="s">
        <v>15</v>
      </c>
      <c r="E42" s="170"/>
      <c r="F42" s="170"/>
      <c r="G42" s="170"/>
      <c r="H42" s="134"/>
    </row>
    <row r="43" spans="2:8" s="66" customFormat="1" ht="34.5" x14ac:dyDescent="0.3">
      <c r="B43" s="70"/>
      <c r="C43" s="70"/>
      <c r="D43" s="71" t="s">
        <v>135</v>
      </c>
      <c r="E43" s="72">
        <f>+E45+E60</f>
        <v>-117980.9</v>
      </c>
      <c r="F43" s="72">
        <f>+F45+F60</f>
        <v>-131313.69999999998</v>
      </c>
      <c r="G43" s="72">
        <f>+G45+G60</f>
        <v>-152172.5</v>
      </c>
      <c r="H43" s="134"/>
    </row>
    <row r="44" spans="2:8" s="66" customFormat="1" x14ac:dyDescent="0.3">
      <c r="B44" s="70"/>
      <c r="C44" s="70"/>
      <c r="D44" s="73" t="s">
        <v>59</v>
      </c>
      <c r="E44" s="136"/>
      <c r="F44" s="136"/>
      <c r="G44" s="136"/>
    </row>
    <row r="45" spans="2:8" s="66" customFormat="1" x14ac:dyDescent="0.3">
      <c r="B45" s="70"/>
      <c r="C45" s="70"/>
      <c r="D45" s="65" t="s">
        <v>255</v>
      </c>
      <c r="E45" s="75">
        <f>+E47+E49+E51+E54+E56+E58</f>
        <v>-2104.5</v>
      </c>
      <c r="F45" s="75">
        <f t="shared" ref="F45:G45" si="18">+F47+F49+F51+F54+F56+F58</f>
        <v>-15437.3</v>
      </c>
      <c r="G45" s="75">
        <f t="shared" si="18"/>
        <v>-22645.1</v>
      </c>
    </row>
    <row r="46" spans="2:8" s="66" customFormat="1" x14ac:dyDescent="0.3">
      <c r="B46" s="60"/>
      <c r="C46" s="60"/>
      <c r="D46" s="91" t="s">
        <v>228</v>
      </c>
      <c r="E46" s="77"/>
      <c r="F46" s="77"/>
      <c r="G46" s="77"/>
    </row>
    <row r="47" spans="2:8" s="66" customFormat="1" x14ac:dyDescent="0.3">
      <c r="B47" s="70"/>
      <c r="C47" s="70"/>
      <c r="D47" s="74" t="s">
        <v>95</v>
      </c>
      <c r="E47" s="75">
        <f>+E48</f>
        <v>0</v>
      </c>
      <c r="F47" s="75">
        <f t="shared" ref="F47" si="19">+F48</f>
        <v>-9.1</v>
      </c>
      <c r="G47" s="75">
        <f t="shared" ref="G47" si="20">+G48</f>
        <v>-13</v>
      </c>
    </row>
    <row r="48" spans="2:8" s="66" customFormat="1" ht="51.75" x14ac:dyDescent="0.3">
      <c r="B48" s="60"/>
      <c r="C48" s="60"/>
      <c r="D48" s="76" t="str">
        <f>+'Հավելված N 6'!C41</f>
        <v>Փարպի համայնքի 5-րդ դարի Ծիրանավոր եկեղեցու ամրակայում, վերականգնում և տարածքի բարեկարգում</v>
      </c>
      <c r="E48" s="77">
        <v>0</v>
      </c>
      <c r="F48" s="77">
        <v>-9.1</v>
      </c>
      <c r="G48" s="77">
        <f>+'Հավելված N 6'!D41</f>
        <v>-13</v>
      </c>
    </row>
    <row r="49" spans="2:7" s="66" customFormat="1" x14ac:dyDescent="0.3">
      <c r="B49" s="70"/>
      <c r="C49" s="70"/>
      <c r="D49" s="74" t="s">
        <v>97</v>
      </c>
      <c r="E49" s="75">
        <f>+E50</f>
        <v>-4611</v>
      </c>
      <c r="F49" s="75">
        <f t="shared" ref="F49:G49" si="21">+F50</f>
        <v>-3500</v>
      </c>
      <c r="G49" s="75">
        <f t="shared" si="21"/>
        <v>-5000</v>
      </c>
    </row>
    <row r="50" spans="2:7" s="66" customFormat="1" ht="51.75" x14ac:dyDescent="0.3">
      <c r="B50" s="60"/>
      <c r="C50" s="60"/>
      <c r="D50" s="76" t="str">
        <f>+'Հավելված N 6'!C43</f>
        <v>Հավուց Թառ վանական համալիրի Սբ. Ամենափրկիչ եկեղեցու ամրակայում, նորոգում և վերականգնում</v>
      </c>
      <c r="E50" s="77">
        <v>-4611</v>
      </c>
      <c r="F50" s="77">
        <f>-3301.9-66-132.1</f>
        <v>-3500</v>
      </c>
      <c r="G50" s="77">
        <f>+'Հավելված N 6'!D43</f>
        <v>-5000</v>
      </c>
    </row>
    <row r="51" spans="2:7" s="66" customFormat="1" x14ac:dyDescent="0.3">
      <c r="B51" s="70"/>
      <c r="C51" s="70"/>
      <c r="D51" s="74" t="s">
        <v>225</v>
      </c>
      <c r="E51" s="75">
        <f>SUM(E52:E53)</f>
        <v>2597.9</v>
      </c>
      <c r="F51" s="75">
        <f t="shared" ref="F51:G51" si="22">SUM(F52:F53)</f>
        <v>1053.0000000000005</v>
      </c>
      <c r="G51" s="75">
        <f t="shared" si="22"/>
        <v>912.50000000000045</v>
      </c>
    </row>
    <row r="52" spans="2:7" s="66" customFormat="1" ht="34.5" x14ac:dyDescent="0.3">
      <c r="B52" s="60"/>
      <c r="C52" s="60"/>
      <c r="D52" s="76" t="str">
        <f>+'Հավելված N 6'!C45</f>
        <v xml:space="preserve"> Այգեշատ համայնքի Թարգմանչաց եկեղեցու վերականգնում </v>
      </c>
      <c r="E52" s="77">
        <f>+'Հավելված N 12'!I29-18.8</f>
        <v>4122</v>
      </c>
      <c r="F52" s="77">
        <f>+'Հավելված N 12'!I29-33</f>
        <v>4107.8</v>
      </c>
      <c r="G52" s="77">
        <f>+'Հավելված N 6'!D45</f>
        <v>3967.3</v>
      </c>
    </row>
    <row r="53" spans="2:7" s="66" customFormat="1" ht="69" x14ac:dyDescent="0.3">
      <c r="B53" s="60"/>
      <c r="C53" s="60"/>
      <c r="D53" s="76" t="str">
        <f>+'Հավելված N 6'!C46</f>
        <v>Ապագա գյուղի մշակույթի տան Սարգիս Մուրադյանի «Սասունցիներ» որմնանկարի (պետ.ցուցիչ 3.12.1) ամրակայում և վերականգնում</v>
      </c>
      <c r="E53" s="77">
        <v>-1524.1</v>
      </c>
      <c r="F53" s="77">
        <f>+G53</f>
        <v>-3054.7999999999997</v>
      </c>
      <c r="G53" s="77">
        <f>+'Հավելված N 6'!D46</f>
        <v>-3054.7999999999997</v>
      </c>
    </row>
    <row r="54" spans="2:7" s="66" customFormat="1" x14ac:dyDescent="0.3">
      <c r="B54" s="70"/>
      <c r="C54" s="70"/>
      <c r="D54" s="74" t="s">
        <v>105</v>
      </c>
      <c r="E54" s="75">
        <f>+E55</f>
        <v>-91.4</v>
      </c>
      <c r="F54" s="75">
        <f t="shared" ref="F54:G54" si="23">+F55</f>
        <v>-320.2</v>
      </c>
      <c r="G54" s="75">
        <f t="shared" si="23"/>
        <v>-457.4</v>
      </c>
    </row>
    <row r="55" spans="2:7" s="66" customFormat="1" ht="51.75" x14ac:dyDescent="0.3">
      <c r="B55" s="60"/>
      <c r="C55" s="60"/>
      <c r="D55" s="76" t="str">
        <f>+'Հավելված N 6'!C48</f>
        <v>Աշոցք համայնքի Կրասար բնակավայրի 19-րդ դարի կամրջի նորոգում, ամրակայում և վերականգնում</v>
      </c>
      <c r="E55" s="77">
        <v>-91.4</v>
      </c>
      <c r="F55" s="77">
        <v>-320.2</v>
      </c>
      <c r="G55" s="77">
        <f>+'Հավելված N 6'!D48</f>
        <v>-457.4</v>
      </c>
    </row>
    <row r="56" spans="2:7" s="66" customFormat="1" x14ac:dyDescent="0.3">
      <c r="B56" s="70"/>
      <c r="C56" s="70"/>
      <c r="D56" s="74" t="s">
        <v>107</v>
      </c>
      <c r="E56" s="75">
        <f>+E57</f>
        <v>0</v>
      </c>
      <c r="F56" s="75">
        <f t="shared" ref="F56" si="24">+F57</f>
        <v>-7460.0999999999995</v>
      </c>
      <c r="G56" s="75">
        <f t="shared" ref="G56" si="25">+G57</f>
        <v>-10657.199999999999</v>
      </c>
    </row>
    <row r="57" spans="2:7" s="66" customFormat="1" ht="51.75" x14ac:dyDescent="0.3">
      <c r="B57" s="60"/>
      <c r="C57" s="60"/>
      <c r="D57" s="76" t="str">
        <f>+'Հավելված N 6'!C50</f>
        <v>Եղեգիս խոշորացված համայնքի Շատիվանքի Սբ․ Սիոն եկեղեցու որմնանկարների ամրակայում և վերականգնում</v>
      </c>
      <c r="E57" s="77">
        <v>0</v>
      </c>
      <c r="F57" s="77">
        <f>-7439.9-20.2</f>
        <v>-7460.0999999999995</v>
      </c>
      <c r="G57" s="77">
        <f>+'Հավելված N 6'!D50</f>
        <v>-10657.199999999999</v>
      </c>
    </row>
    <row r="58" spans="2:7" s="66" customFormat="1" x14ac:dyDescent="0.3">
      <c r="B58" s="70"/>
      <c r="C58" s="70"/>
      <c r="D58" s="74" t="s">
        <v>109</v>
      </c>
      <c r="E58" s="75">
        <f>+E59</f>
        <v>0</v>
      </c>
      <c r="F58" s="75">
        <f t="shared" ref="F58" si="26">+F59</f>
        <v>-5200.9000000000005</v>
      </c>
      <c r="G58" s="75">
        <f t="shared" ref="G58" si="27">+G59</f>
        <v>-7430</v>
      </c>
    </row>
    <row r="59" spans="2:7" s="66" customFormat="1" ht="69" x14ac:dyDescent="0.3">
      <c r="B59" s="60"/>
      <c r="C59" s="60"/>
      <c r="D59" s="76" t="str">
        <f>+'Հավելված N 6'!C52</f>
        <v>Տավուշի մարզի «Տավուշ» ամրոցի պարիսպների, կից կառույցների, եկեղեցու ամրակայում, վերականգնում և տարածքի բարեկարգում</v>
      </c>
      <c r="E59" s="77">
        <v>0</v>
      </c>
      <c r="F59" s="77">
        <f>-4921.6-73.8-205.5</f>
        <v>-5200.9000000000005</v>
      </c>
      <c r="G59" s="77">
        <f>+'Հավելված N 6'!D52</f>
        <v>-7430</v>
      </c>
    </row>
    <row r="60" spans="2:7" s="66" customFormat="1" ht="69" x14ac:dyDescent="0.3">
      <c r="B60" s="70"/>
      <c r="C60" s="70"/>
      <c r="D60" s="168" t="s">
        <v>229</v>
      </c>
      <c r="E60" s="75">
        <f>+E62+E63+E65+E72+E74+E76+E79+E82+E84+E86</f>
        <v>-115876.4</v>
      </c>
      <c r="F60" s="75">
        <f t="shared" ref="F60:G60" si="28">+F62+F63+F65+F72+F74+F76+F79+F82+F84+F86</f>
        <v>-115876.4</v>
      </c>
      <c r="G60" s="75">
        <f t="shared" si="28"/>
        <v>-129527.4</v>
      </c>
    </row>
    <row r="61" spans="2:7" s="66" customFormat="1" x14ac:dyDescent="0.3">
      <c r="B61" s="60"/>
      <c r="C61" s="60"/>
      <c r="D61" s="91" t="s">
        <v>228</v>
      </c>
      <c r="E61" s="77"/>
      <c r="F61" s="77"/>
      <c r="G61" s="77"/>
    </row>
    <row r="62" spans="2:7" s="66" customFormat="1" ht="138" x14ac:dyDescent="0.3">
      <c r="B62" s="70"/>
      <c r="C62" s="70"/>
      <c r="D62" s="74" t="str">
        <f>+'Հավելված N 6'!C55</f>
        <v>Հայաստանի ուրարտական 7 արձանագրությունների (Մարմաշեն, Սպանդարյան, Զվարթնոց, Գառնի, Լճաշեն, Օձաբերդ, Ծովակ), Ագարակի ուրարտական դմաբարանի, Գառնիի և Արմավիրի հունական արձանագրությունների ամրակայում, պահպանություն (կոնսերվցիա) և տարածքների բարեկարգում</v>
      </c>
      <c r="E62" s="75">
        <f>+E63</f>
        <v>0</v>
      </c>
      <c r="F62" s="75">
        <f t="shared" ref="F62" si="29">+F63</f>
        <v>0</v>
      </c>
      <c r="G62" s="75">
        <f>+'Հավելված N 6'!D55</f>
        <v>-700</v>
      </c>
    </row>
    <row r="63" spans="2:7" s="66" customFormat="1" x14ac:dyDescent="0.3">
      <c r="B63" s="70"/>
      <c r="C63" s="70"/>
      <c r="D63" s="74" t="s">
        <v>216</v>
      </c>
      <c r="E63" s="75">
        <f>+E64</f>
        <v>0</v>
      </c>
      <c r="F63" s="75">
        <f t="shared" ref="F63" si="30">+F64</f>
        <v>0</v>
      </c>
      <c r="G63" s="75">
        <f t="shared" ref="G63" si="31">+G64</f>
        <v>2500</v>
      </c>
    </row>
    <row r="64" spans="2:7" s="66" customFormat="1" ht="75" customHeight="1" x14ac:dyDescent="0.3">
      <c r="B64" s="60"/>
      <c r="C64" s="60"/>
      <c r="D64" s="76" t="str">
        <f>+'Հավելված N 6'!C57</f>
        <v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v>
      </c>
      <c r="E64" s="77">
        <v>0</v>
      </c>
      <c r="F64" s="77">
        <v>0</v>
      </c>
      <c r="G64" s="77">
        <f>+'Հավելված N 6'!D56</f>
        <v>2500</v>
      </c>
    </row>
    <row r="65" spans="2:7" s="66" customFormat="1" x14ac:dyDescent="0.3">
      <c r="B65" s="70"/>
      <c r="C65" s="70"/>
      <c r="D65" s="74" t="s">
        <v>95</v>
      </c>
      <c r="E65" s="75">
        <f>SUM(E66:E71)</f>
        <v>-38800</v>
      </c>
      <c r="F65" s="75">
        <f t="shared" ref="F65:G65" si="32">SUM(F66:F71)</f>
        <v>-38800</v>
      </c>
      <c r="G65" s="75">
        <f t="shared" si="32"/>
        <v>-47911</v>
      </c>
    </row>
    <row r="66" spans="2:7" s="66" customFormat="1" ht="51.75" x14ac:dyDescent="0.3">
      <c r="B66" s="60"/>
      <c r="C66" s="60"/>
      <c r="D66" s="76" t="str">
        <f>+'Հավելված N 6'!C59</f>
        <v>Ագարակ քաղաքի Սբ. Աստվածածին եկեղեցու ամրակայման, նորոգման և վերականգնման գիտանախագծային փաստաթղթեր</v>
      </c>
      <c r="E66" s="77">
        <v>0</v>
      </c>
      <c r="F66" s="77">
        <v>0</v>
      </c>
      <c r="G66" s="77">
        <f>+'Հավելված N 6'!D59</f>
        <v>-4000</v>
      </c>
    </row>
    <row r="67" spans="2:7" s="66" customFormat="1" ht="34.5" x14ac:dyDescent="0.3">
      <c r="B67" s="60"/>
      <c r="C67" s="60"/>
      <c r="D67" s="76" t="str">
        <f>+'Հավելված N 6'!C60</f>
        <v>Ագարակ քաղաքի Սբ. Աստվածածին եկեղեցու տարածքի պեղման աշխատանքներ</v>
      </c>
      <c r="E67" s="77">
        <f>+G67</f>
        <v>-5000</v>
      </c>
      <c r="F67" s="77">
        <f>+G67</f>
        <v>-5000</v>
      </c>
      <c r="G67" s="77">
        <f>+'Հավելված N 6'!D60</f>
        <v>-5000</v>
      </c>
    </row>
    <row r="68" spans="2:7" s="66" customFormat="1" ht="51.75" x14ac:dyDescent="0.3">
      <c r="B68" s="60"/>
      <c r="C68" s="60"/>
      <c r="D68" s="76" t="str">
        <f>+'Հավելված N 6'!C61</f>
        <v>Թալինի քարավանատան ամրակայման, նորոգման և վերականգնման գիտանախագծային փաստաթղթեր</v>
      </c>
      <c r="E68" s="77">
        <v>0</v>
      </c>
      <c r="F68" s="77">
        <v>0</v>
      </c>
      <c r="G68" s="77">
        <f>+'Հավելված N 6'!D61</f>
        <v>-5111</v>
      </c>
    </row>
    <row r="69" spans="2:7" s="66" customFormat="1" ht="34.5" x14ac:dyDescent="0.3">
      <c r="B69" s="60"/>
      <c r="C69" s="60"/>
      <c r="D69" s="76" t="str">
        <f>+'Հավելված N 6'!C62</f>
        <v>Թալինի քարավանատան տարածքի պեղման աշխատանքներ</v>
      </c>
      <c r="E69" s="77">
        <f>+G69</f>
        <v>-8000</v>
      </c>
      <c r="F69" s="77">
        <f>+G69</f>
        <v>-8000</v>
      </c>
      <c r="G69" s="77">
        <f>+'Հավելված N 6'!D62</f>
        <v>-8000</v>
      </c>
    </row>
    <row r="70" spans="2:7" s="66" customFormat="1" ht="34.5" x14ac:dyDescent="0.3">
      <c r="B70" s="60"/>
      <c r="C70" s="60"/>
      <c r="D70" s="76" t="str">
        <f>+'Հավելված N 6'!C63</f>
        <v>Տիրինկատարի հնավայրի հնագիտական պեղումներ</v>
      </c>
      <c r="E70" s="77">
        <f>+G70</f>
        <v>-15000</v>
      </c>
      <c r="F70" s="77">
        <f>+G70</f>
        <v>-15000</v>
      </c>
      <c r="G70" s="77">
        <f>+'Հավելված N 6'!D63</f>
        <v>-15000</v>
      </c>
    </row>
    <row r="71" spans="2:7" s="66" customFormat="1" ht="86.25" x14ac:dyDescent="0.3">
      <c r="B71" s="60"/>
      <c r="C71" s="60"/>
      <c r="D71" s="76" t="str">
        <f>+'Հավելված N 6'!C64</f>
        <v>Օհանավան գյուղի ժայռափոր համալիրի պեղման, մաքրման աշխատանքներ, քարայրների ամրակայման, տարածքի բարեկարգման գիտանախագծային փաստաթղթեր</v>
      </c>
      <c r="E71" s="77">
        <f>+G71</f>
        <v>-10800</v>
      </c>
      <c r="F71" s="77">
        <f>+G71</f>
        <v>-10800</v>
      </c>
      <c r="G71" s="77">
        <f>+'Հավելված N 6'!D64</f>
        <v>-10800</v>
      </c>
    </row>
    <row r="72" spans="2:7" s="66" customFormat="1" x14ac:dyDescent="0.3">
      <c r="B72" s="70"/>
      <c r="C72" s="70"/>
      <c r="D72" s="74" t="s">
        <v>97</v>
      </c>
      <c r="E72" s="75">
        <f>+E73</f>
        <v>0</v>
      </c>
      <c r="F72" s="75">
        <f t="shared" ref="F72:G72" si="33">+F73</f>
        <v>0</v>
      </c>
      <c r="G72" s="75">
        <f t="shared" si="33"/>
        <v>-900</v>
      </c>
    </row>
    <row r="73" spans="2:7" s="66" customFormat="1" ht="69" x14ac:dyDescent="0.3">
      <c r="B73" s="60"/>
      <c r="C73" s="60"/>
      <c r="D73" s="76" t="str">
        <f>+'Հավելված N 6'!C66</f>
        <v>Վերին Դվին գյուղի Ասորական Ումրա եկեղեցու ամրակայման, նորոգման և վերականգնման գիտանախագծային փաստաթղթեր</v>
      </c>
      <c r="E73" s="77">
        <v>0</v>
      </c>
      <c r="F73" s="77">
        <v>0</v>
      </c>
      <c r="G73" s="77">
        <f>+'Հավելված N 6'!D66</f>
        <v>-900</v>
      </c>
    </row>
    <row r="74" spans="2:7" s="66" customFormat="1" x14ac:dyDescent="0.3">
      <c r="B74" s="70"/>
      <c r="C74" s="70"/>
      <c r="D74" s="74" t="s">
        <v>225</v>
      </c>
      <c r="E74" s="75">
        <f>+E75</f>
        <v>0</v>
      </c>
      <c r="F74" s="75">
        <f t="shared" ref="F74" si="34">+F75</f>
        <v>0</v>
      </c>
      <c r="G74" s="75">
        <f t="shared" ref="G74" si="35">+G75</f>
        <v>-5440</v>
      </c>
    </row>
    <row r="75" spans="2:7" s="66" customFormat="1" ht="86.25" x14ac:dyDescent="0.3">
      <c r="B75" s="60"/>
      <c r="C75" s="60"/>
      <c r="D75" s="76" t="str">
        <f>+'Հավելված N 6'!C68</f>
        <v>Զվարթնոցի տաճարի չօգտագործված բեկորների ցուցադրության համար նախատեսված ժամանակակից նյութերով և ճարտարապետական լուծումներով ցուցասրահի  կառուցման գիտանախագծային փաստաթղթեր</v>
      </c>
      <c r="E75" s="77">
        <v>0</v>
      </c>
      <c r="F75" s="77">
        <v>0</v>
      </c>
      <c r="G75" s="77">
        <f>+'Հավելված N 6'!D68</f>
        <v>-5440</v>
      </c>
    </row>
    <row r="76" spans="2:7" s="66" customFormat="1" x14ac:dyDescent="0.3">
      <c r="B76" s="70"/>
      <c r="C76" s="70"/>
      <c r="D76" s="74" t="s">
        <v>101</v>
      </c>
      <c r="E76" s="75">
        <f>SUM(E77:E78)</f>
        <v>-25800</v>
      </c>
      <c r="F76" s="75">
        <f t="shared" ref="F76:G76" si="36">SUM(F77:F78)</f>
        <v>-25800</v>
      </c>
      <c r="G76" s="75">
        <f t="shared" si="36"/>
        <v>-25800</v>
      </c>
    </row>
    <row r="77" spans="2:7" s="66" customFormat="1" ht="51.75" x14ac:dyDescent="0.3">
      <c r="B77" s="60"/>
      <c r="C77" s="60"/>
      <c r="D77" s="76" t="str">
        <f>+'Հավելված N 6'!C70</f>
        <v>Դսեղ համայնքի Բարձրաքաշի Սբ Գրիգոր վանական համալիրի ինժեներաերկրաբանական հետազոտություն</v>
      </c>
      <c r="E77" s="77">
        <f>+G77</f>
        <v>-10800</v>
      </c>
      <c r="F77" s="77">
        <f>+G77</f>
        <v>-10800</v>
      </c>
      <c r="G77" s="77">
        <f>+'Հավելված N 6'!D70</f>
        <v>-10800</v>
      </c>
    </row>
    <row r="78" spans="2:7" s="66" customFormat="1" x14ac:dyDescent="0.3">
      <c r="B78" s="60"/>
      <c r="C78" s="60"/>
      <c r="D78" s="76" t="str">
        <f>+'Հավելված N 6'!C71</f>
        <v>Լոռի Բերդի հնագիտական պեղումներ</v>
      </c>
      <c r="E78" s="77">
        <f>+G78</f>
        <v>-15000</v>
      </c>
      <c r="F78" s="77">
        <f>+G78</f>
        <v>-15000</v>
      </c>
      <c r="G78" s="77">
        <f>+'Հավելված N 6'!D71</f>
        <v>-15000</v>
      </c>
    </row>
    <row r="79" spans="2:7" s="66" customFormat="1" x14ac:dyDescent="0.3">
      <c r="B79" s="70"/>
      <c r="C79" s="70"/>
      <c r="D79" s="74" t="s">
        <v>103</v>
      </c>
      <c r="E79" s="75">
        <f>SUM(E80:E81)</f>
        <v>0</v>
      </c>
      <c r="F79" s="75">
        <f t="shared" ref="F79" si="37">SUM(F80:F81)</f>
        <v>0</v>
      </c>
      <c r="G79" s="75">
        <f t="shared" ref="G79" si="38">SUM(G80:G81)</f>
        <v>0</v>
      </c>
    </row>
    <row r="80" spans="2:7" s="66" customFormat="1" ht="69" x14ac:dyDescent="0.3">
      <c r="B80" s="60"/>
      <c r="C80" s="60"/>
      <c r="D80" s="76" t="str">
        <f>+'Հավելված N 6'!C73</f>
        <v>Կամարիս գյուղի Սբ. Հակոբ  եկեղեցու որմնանկարների ամրակայման և վերականգնման գիտանախագծային փաստաթղթեր</v>
      </c>
      <c r="E80" s="77">
        <v>0</v>
      </c>
      <c r="F80" s="77">
        <v>0</v>
      </c>
      <c r="G80" s="77">
        <f>+'Հավելված N 6'!D73</f>
        <v>-4092</v>
      </c>
    </row>
    <row r="81" spans="2:8" s="66" customFormat="1" ht="69" x14ac:dyDescent="0.3">
      <c r="B81" s="60"/>
      <c r="C81" s="60"/>
      <c r="D81" s="76" t="str">
        <f>+'Հավելված N 6'!C74</f>
        <v>Կամարիս գյուղի Սբ. Հովհաննես  եկեղեցու որմնանկարների ամրակայման և վերականգնման գիտանախագծային փաստաթղթեր</v>
      </c>
      <c r="E81" s="77">
        <v>0</v>
      </c>
      <c r="F81" s="77">
        <v>0</v>
      </c>
      <c r="G81" s="77">
        <f>+'Հավելված N 6'!D74</f>
        <v>4092</v>
      </c>
    </row>
    <row r="82" spans="2:8" s="66" customFormat="1" x14ac:dyDescent="0.3">
      <c r="B82" s="70"/>
      <c r="C82" s="70"/>
      <c r="D82" s="74" t="s">
        <v>105</v>
      </c>
      <c r="E82" s="75">
        <f>+E83</f>
        <v>-16200</v>
      </c>
      <c r="F82" s="75">
        <f t="shared" ref="F82:G82" si="39">+F83</f>
        <v>-16200</v>
      </c>
      <c r="G82" s="75">
        <f t="shared" si="39"/>
        <v>-16200</v>
      </c>
    </row>
    <row r="83" spans="2:8" s="66" customFormat="1" ht="86.25" x14ac:dyDescent="0.3">
      <c r="B83" s="60"/>
      <c r="C83" s="60"/>
      <c r="D83" s="76" t="str">
        <f>+'Հավելված N 6'!C76</f>
        <v>Երերույքի տաճարի հարակից քարայրների պեղման-մաքրման աշխատանքներ, քարայրների ամրակայման, տարածքի բարեկարգման գիտանախագծային փաստաթղթեր</v>
      </c>
      <c r="E83" s="77">
        <f>+G83</f>
        <v>-16200</v>
      </c>
      <c r="F83" s="77">
        <f>+G83</f>
        <v>-16200</v>
      </c>
      <c r="G83" s="77">
        <f>+'Հավելված N 6'!D76</f>
        <v>-16200</v>
      </c>
    </row>
    <row r="84" spans="2:8" s="66" customFormat="1" x14ac:dyDescent="0.3">
      <c r="B84" s="70"/>
      <c r="C84" s="70"/>
      <c r="D84" s="74" t="s">
        <v>106</v>
      </c>
      <c r="E84" s="75">
        <f>+E85</f>
        <v>-20076.400000000001</v>
      </c>
      <c r="F84" s="75">
        <f t="shared" ref="F84" si="40">+F85</f>
        <v>-20076.400000000001</v>
      </c>
      <c r="G84" s="75">
        <f t="shared" ref="G84" si="41">+G85</f>
        <v>-20076.400000000001</v>
      </c>
    </row>
    <row r="85" spans="2:8" s="66" customFormat="1" ht="69" x14ac:dyDescent="0.3">
      <c r="B85" s="60"/>
      <c r="C85" s="60"/>
      <c r="D85" s="76" t="str">
        <f>+'Հավելված N 6'!C78</f>
        <v>Երիցվանքի հնագիտական պեղումներ, համալիրի նորոգման, ամրակայման, վերականգնման և տարածքի բարեկարգման գիտանախագծային փաստաթղթեր</v>
      </c>
      <c r="E85" s="77">
        <f>+G85</f>
        <v>-20076.400000000001</v>
      </c>
      <c r="F85" s="77">
        <f>+G85</f>
        <v>-20076.400000000001</v>
      </c>
      <c r="G85" s="77">
        <f>+'Հավելված N 6'!D78</f>
        <v>-20076.400000000001</v>
      </c>
    </row>
    <row r="86" spans="2:8" s="66" customFormat="1" x14ac:dyDescent="0.3">
      <c r="B86" s="70"/>
      <c r="C86" s="70"/>
      <c r="D86" s="74" t="s">
        <v>107</v>
      </c>
      <c r="E86" s="75">
        <f>+E87</f>
        <v>-15000</v>
      </c>
      <c r="F86" s="75">
        <f t="shared" ref="F86" si="42">+F87</f>
        <v>-15000</v>
      </c>
      <c r="G86" s="75">
        <f t="shared" ref="G86" si="43">+G87</f>
        <v>-15000</v>
      </c>
    </row>
    <row r="87" spans="2:8" s="66" customFormat="1" ht="34.5" x14ac:dyDescent="0.3">
      <c r="B87" s="60"/>
      <c r="C87" s="60"/>
      <c r="D87" s="76" t="str">
        <f>+'Հավելված N 6'!C80</f>
        <v>Շատիվանք վանական համալիրի հնագիտական պեղումների իրականացում</v>
      </c>
      <c r="E87" s="77">
        <f>+G87</f>
        <v>-15000</v>
      </c>
      <c r="F87" s="77">
        <f>+G87</f>
        <v>-15000</v>
      </c>
      <c r="G87" s="77">
        <f>+'Հավելված N 6'!D80</f>
        <v>-15000</v>
      </c>
    </row>
    <row r="88" spans="2:8" s="66" customFormat="1" ht="34.5" x14ac:dyDescent="0.3">
      <c r="B88" s="65">
        <v>1075</v>
      </c>
      <c r="C88" s="65">
        <v>32001</v>
      </c>
      <c r="D88" s="223" t="s">
        <v>182</v>
      </c>
      <c r="E88" s="30">
        <f>+E90</f>
        <v>0</v>
      </c>
      <c r="F88" s="30">
        <f t="shared" ref="F88:G88" si="44">+F90</f>
        <v>19791</v>
      </c>
      <c r="G88" s="30">
        <f t="shared" si="44"/>
        <v>19791</v>
      </c>
    </row>
    <row r="89" spans="2:8" s="66" customFormat="1" x14ac:dyDescent="0.3">
      <c r="B89" s="67"/>
      <c r="C89" s="67"/>
      <c r="D89" s="68" t="s">
        <v>15</v>
      </c>
      <c r="E89" s="170"/>
      <c r="F89" s="170"/>
      <c r="G89" s="170"/>
      <c r="H89" s="134"/>
    </row>
    <row r="90" spans="2:8" s="66" customFormat="1" x14ac:dyDescent="0.3">
      <c r="B90" s="70"/>
      <c r="C90" s="70"/>
      <c r="D90" s="71" t="s">
        <v>134</v>
      </c>
      <c r="E90" s="72">
        <f>+E92</f>
        <v>0</v>
      </c>
      <c r="F90" s="72">
        <f t="shared" ref="F90:G90" si="45">+F92</f>
        <v>19791</v>
      </c>
      <c r="G90" s="72">
        <f t="shared" si="45"/>
        <v>19791</v>
      </c>
      <c r="H90" s="134"/>
    </row>
    <row r="91" spans="2:8" s="66" customFormat="1" x14ac:dyDescent="0.3">
      <c r="B91" s="70"/>
      <c r="C91" s="70"/>
      <c r="D91" s="73" t="s">
        <v>59</v>
      </c>
      <c r="E91" s="136"/>
      <c r="F91" s="136"/>
      <c r="G91" s="136"/>
    </row>
    <row r="92" spans="2:8" s="66" customFormat="1" x14ac:dyDescent="0.3">
      <c r="B92" s="70"/>
      <c r="C92" s="70"/>
      <c r="D92" s="74" t="s">
        <v>216</v>
      </c>
      <c r="E92" s="75">
        <f>SUM(E93:E93)</f>
        <v>0</v>
      </c>
      <c r="F92" s="75">
        <f>SUM(F93:F93)</f>
        <v>19791</v>
      </c>
      <c r="G92" s="75">
        <f>SUM(G93:G93)</f>
        <v>19791</v>
      </c>
    </row>
    <row r="93" spans="2:8" s="66" customFormat="1" ht="51.75" x14ac:dyDescent="0.3">
      <c r="B93" s="60"/>
      <c r="C93" s="60"/>
      <c r="D93" s="76" t="str">
        <f>+'Հավելված N 6'!C84</f>
        <v>«Ալեքսանդր Թամանյանի անվան ճարտարապետության ազգային թանգարան-ինստիտուտ» ՊՈԱԿ</v>
      </c>
      <c r="E93" s="77">
        <v>0</v>
      </c>
      <c r="F93" s="77">
        <f>+G93</f>
        <v>19791</v>
      </c>
      <c r="G93" s="77">
        <f>+'Հավելված N 6'!D84</f>
        <v>19791</v>
      </c>
    </row>
    <row r="94" spans="2:8" s="66" customFormat="1" ht="51.75" x14ac:dyDescent="0.3">
      <c r="B94" s="65">
        <v>1075</v>
      </c>
      <c r="C94" s="168">
        <v>32008</v>
      </c>
      <c r="D94" s="169" t="s">
        <v>476</v>
      </c>
      <c r="E94" s="30">
        <f>+E96</f>
        <v>5127.2</v>
      </c>
      <c r="F94" s="30">
        <f t="shared" ref="F94:G94" si="46">+F96</f>
        <v>5127.2</v>
      </c>
      <c r="G94" s="30">
        <f t="shared" si="46"/>
        <v>5127.2</v>
      </c>
    </row>
    <row r="95" spans="2:8" s="66" customFormat="1" x14ac:dyDescent="0.3">
      <c r="B95" s="67"/>
      <c r="C95" s="67"/>
      <c r="D95" s="68" t="s">
        <v>15</v>
      </c>
      <c r="E95" s="170"/>
      <c r="F95" s="170"/>
      <c r="G95" s="170"/>
      <c r="H95" s="134"/>
    </row>
    <row r="96" spans="2:8" s="66" customFormat="1" x14ac:dyDescent="0.3">
      <c r="B96" s="70"/>
      <c r="C96" s="70"/>
      <c r="D96" s="71" t="s">
        <v>134</v>
      </c>
      <c r="E96" s="72">
        <f>+E98</f>
        <v>5127.2</v>
      </c>
      <c r="F96" s="72">
        <f t="shared" ref="F96:G96" si="47">+F98</f>
        <v>5127.2</v>
      </c>
      <c r="G96" s="72">
        <f t="shared" si="47"/>
        <v>5127.2</v>
      </c>
      <c r="H96" s="134"/>
    </row>
    <row r="97" spans="2:8" s="66" customFormat="1" x14ac:dyDescent="0.3">
      <c r="B97" s="70"/>
      <c r="C97" s="70"/>
      <c r="D97" s="73" t="s">
        <v>59</v>
      </c>
      <c r="E97" s="136"/>
      <c r="F97" s="136"/>
      <c r="G97" s="136"/>
    </row>
    <row r="98" spans="2:8" s="66" customFormat="1" x14ac:dyDescent="0.3">
      <c r="B98" s="70"/>
      <c r="C98" s="70"/>
      <c r="D98" s="74" t="s">
        <v>216</v>
      </c>
      <c r="E98" s="75">
        <f>+E99</f>
        <v>5127.2</v>
      </c>
      <c r="F98" s="75">
        <f t="shared" ref="F98:G98" si="48">+F99</f>
        <v>5127.2</v>
      </c>
      <c r="G98" s="75">
        <f t="shared" si="48"/>
        <v>5127.2</v>
      </c>
    </row>
    <row r="99" spans="2:8" s="66" customFormat="1" ht="51.75" x14ac:dyDescent="0.3">
      <c r="B99" s="60"/>
      <c r="C99" s="60"/>
      <c r="D99" s="76" t="str">
        <f>+'Հավելված N 6'!C88</f>
        <v>«Ալեքսանդր Թամանյանի անվան ճարտարապետության ազգային թանգարան-ինստիտուտ» ՊՈԱԿ</v>
      </c>
      <c r="E99" s="77">
        <f>+G99</f>
        <v>5127.2</v>
      </c>
      <c r="F99" s="77">
        <f>+G99</f>
        <v>5127.2</v>
      </c>
      <c r="G99" s="77">
        <f>+'Հավելված N 6'!D88</f>
        <v>5127.2</v>
      </c>
    </row>
    <row r="100" spans="2:8" s="66" customFormat="1" ht="51.75" x14ac:dyDescent="0.3">
      <c r="B100" s="65">
        <v>1168</v>
      </c>
      <c r="C100" s="65">
        <v>32001</v>
      </c>
      <c r="D100" s="169" t="s">
        <v>185</v>
      </c>
      <c r="E100" s="30">
        <f>+E102</f>
        <v>2412.2999999999997</v>
      </c>
      <c r="F100" s="30">
        <f t="shared" ref="F100:G100" si="49">+F102</f>
        <v>2412.2999999999997</v>
      </c>
      <c r="G100" s="30">
        <f t="shared" si="49"/>
        <v>2412.2999999999997</v>
      </c>
    </row>
    <row r="101" spans="2:8" s="66" customFormat="1" x14ac:dyDescent="0.3">
      <c r="B101" s="67"/>
      <c r="C101" s="67"/>
      <c r="D101" s="68" t="s">
        <v>15</v>
      </c>
      <c r="E101" s="170"/>
      <c r="F101" s="170"/>
      <c r="G101" s="170"/>
      <c r="H101" s="134"/>
    </row>
    <row r="102" spans="2:8" s="66" customFormat="1" ht="34.5" x14ac:dyDescent="0.3">
      <c r="B102" s="70"/>
      <c r="C102" s="70"/>
      <c r="D102" s="71" t="s">
        <v>135</v>
      </c>
      <c r="E102" s="72">
        <f>+E104</f>
        <v>2412.2999999999997</v>
      </c>
      <c r="F102" s="72">
        <f t="shared" ref="F102:G102" si="50">+F104</f>
        <v>2412.2999999999997</v>
      </c>
      <c r="G102" s="72">
        <f t="shared" si="50"/>
        <v>2412.2999999999997</v>
      </c>
      <c r="H102" s="134"/>
    </row>
    <row r="103" spans="2:8" s="66" customFormat="1" x14ac:dyDescent="0.3">
      <c r="B103" s="70"/>
      <c r="C103" s="70"/>
      <c r="D103" s="73" t="s">
        <v>59</v>
      </c>
      <c r="E103" s="136"/>
      <c r="F103" s="136"/>
      <c r="G103" s="136"/>
    </row>
    <row r="104" spans="2:8" s="66" customFormat="1" x14ac:dyDescent="0.3">
      <c r="B104" s="70"/>
      <c r="C104" s="70"/>
      <c r="D104" s="74" t="s">
        <v>216</v>
      </c>
      <c r="E104" s="75">
        <f>SUM(E105:E105)</f>
        <v>2412.2999999999997</v>
      </c>
      <c r="F104" s="75">
        <f>SUM(F105:F105)</f>
        <v>2412.2999999999997</v>
      </c>
      <c r="G104" s="75">
        <f>SUM(G105:G105)</f>
        <v>2412.2999999999997</v>
      </c>
    </row>
    <row r="105" spans="2:8" s="66" customFormat="1" ht="34.5" x14ac:dyDescent="0.3">
      <c r="B105" s="60"/>
      <c r="C105" s="60"/>
      <c r="D105" s="76" t="str">
        <f>+'Հավելված N 6'!C92</f>
        <v>«Հայաստանի ազգային ֆիլհարմոնիկ նվագախումբ» ՊՈԱԿ</v>
      </c>
      <c r="E105" s="77">
        <f>+G105</f>
        <v>2412.2999999999997</v>
      </c>
      <c r="F105" s="77">
        <f>+G105</f>
        <v>2412.2999999999997</v>
      </c>
      <c r="G105" s="77">
        <f>+'Հավելված N 6'!D92</f>
        <v>2412.2999999999997</v>
      </c>
    </row>
    <row r="106" spans="2:8" s="66" customFormat="1" ht="34.5" x14ac:dyDescent="0.3">
      <c r="B106" s="65">
        <v>1196</v>
      </c>
      <c r="C106" s="65">
        <v>12002</v>
      </c>
      <c r="D106" s="169" t="s">
        <v>470</v>
      </c>
      <c r="E106" s="30">
        <f>+E108</f>
        <v>-52500</v>
      </c>
      <c r="F106" s="30">
        <f t="shared" ref="F106:G106" si="51">+F108</f>
        <v>-33180</v>
      </c>
      <c r="G106" s="30">
        <f t="shared" si="51"/>
        <v>-8319.4000000000015</v>
      </c>
    </row>
    <row r="107" spans="2:8" s="66" customFormat="1" x14ac:dyDescent="0.3">
      <c r="B107" s="67"/>
      <c r="C107" s="67"/>
      <c r="D107" s="68" t="s">
        <v>15</v>
      </c>
      <c r="E107" s="170"/>
      <c r="F107" s="170"/>
      <c r="G107" s="170"/>
      <c r="H107" s="134"/>
    </row>
    <row r="108" spans="2:8" s="66" customFormat="1" ht="34.5" x14ac:dyDescent="0.3">
      <c r="B108" s="70"/>
      <c r="C108" s="70"/>
      <c r="D108" s="71" t="s">
        <v>135</v>
      </c>
      <c r="E108" s="72">
        <v>-52500</v>
      </c>
      <c r="F108" s="72">
        <f>-32339.2-646.8-194</f>
        <v>-33180</v>
      </c>
      <c r="G108" s="72">
        <f>+'Հավելված N 6'!D93</f>
        <v>-8319.4000000000015</v>
      </c>
      <c r="H108" s="134"/>
    </row>
    <row r="109" spans="2:8" s="66" customFormat="1" ht="34.5" x14ac:dyDescent="0.3">
      <c r="B109" s="65">
        <v>1236</v>
      </c>
      <c r="C109" s="65">
        <v>32002</v>
      </c>
      <c r="D109" s="48" t="s">
        <v>83</v>
      </c>
      <c r="E109" s="30">
        <f>+E111</f>
        <v>0</v>
      </c>
      <c r="F109" s="30">
        <f t="shared" ref="F109:G109" si="52">+F111</f>
        <v>0</v>
      </c>
      <c r="G109" s="30">
        <f t="shared" si="52"/>
        <v>-35482.200000000004</v>
      </c>
    </row>
    <row r="110" spans="2:8" s="66" customFormat="1" x14ac:dyDescent="0.3">
      <c r="B110" s="67"/>
      <c r="C110" s="67"/>
      <c r="D110" s="68" t="s">
        <v>15</v>
      </c>
      <c r="E110" s="170"/>
      <c r="F110" s="170"/>
      <c r="G110" s="170"/>
      <c r="H110" s="134"/>
    </row>
    <row r="111" spans="2:8" s="66" customFormat="1" x14ac:dyDescent="0.3">
      <c r="B111" s="70"/>
      <c r="C111" s="70"/>
      <c r="D111" s="71" t="s">
        <v>96</v>
      </c>
      <c r="E111" s="72">
        <v>0</v>
      </c>
      <c r="F111" s="72">
        <v>0</v>
      </c>
      <c r="G111" s="72">
        <f>+'Հավելված N 6'!F96</f>
        <v>-35482.200000000004</v>
      </c>
      <c r="H111" s="134"/>
    </row>
    <row r="112" spans="2:8" s="66" customFormat="1" ht="51.75" x14ac:dyDescent="0.3">
      <c r="B112" s="65">
        <v>1236</v>
      </c>
      <c r="C112" s="65">
        <v>32006</v>
      </c>
      <c r="D112" s="48" t="s">
        <v>284</v>
      </c>
      <c r="E112" s="30">
        <f>+E114+E117+E147+E158+E162</f>
        <v>1030891</v>
      </c>
      <c r="F112" s="30">
        <f t="shared" ref="F112:G112" si="53">+F114+F117+F147+F158+F162</f>
        <v>1063378.3999999999</v>
      </c>
      <c r="G112" s="30">
        <f t="shared" si="53"/>
        <v>63378.400000000001</v>
      </c>
    </row>
    <row r="113" spans="2:8" s="66" customFormat="1" x14ac:dyDescent="0.3">
      <c r="B113" s="67"/>
      <c r="C113" s="67"/>
      <c r="D113" s="68" t="s">
        <v>15</v>
      </c>
      <c r="E113" s="69"/>
      <c r="F113" s="69"/>
      <c r="G113" s="69"/>
    </row>
    <row r="114" spans="2:8" s="66" customFormat="1" ht="34.5" x14ac:dyDescent="0.3">
      <c r="B114" s="70"/>
      <c r="C114" s="70"/>
      <c r="D114" s="71" t="s">
        <v>12</v>
      </c>
      <c r="E114" s="72">
        <f>+E116</f>
        <v>1000000</v>
      </c>
      <c r="F114" s="72">
        <f t="shared" ref="F114:G114" si="54">+F116</f>
        <v>1000000</v>
      </c>
      <c r="G114" s="72">
        <f t="shared" si="54"/>
        <v>0</v>
      </c>
      <c r="H114" s="134"/>
    </row>
    <row r="115" spans="2:8" s="66" customFormat="1" x14ac:dyDescent="0.3">
      <c r="B115" s="70"/>
      <c r="C115" s="70"/>
      <c r="D115" s="73" t="s">
        <v>59</v>
      </c>
      <c r="E115" s="136"/>
      <c r="F115" s="136"/>
      <c r="G115" s="136"/>
    </row>
    <row r="116" spans="2:8" s="66" customFormat="1" ht="51.75" x14ac:dyDescent="0.3">
      <c r="B116" s="70"/>
      <c r="C116" s="70"/>
      <c r="D116" s="74" t="s">
        <v>284</v>
      </c>
      <c r="E116" s="75">
        <v>1000000</v>
      </c>
      <c r="F116" s="75">
        <v>1000000</v>
      </c>
      <c r="G116" s="75">
        <v>0</v>
      </c>
    </row>
    <row r="117" spans="2:8" s="66" customFormat="1" x14ac:dyDescent="0.3">
      <c r="B117" s="70"/>
      <c r="C117" s="70"/>
      <c r="D117" s="71" t="s">
        <v>98</v>
      </c>
      <c r="E117" s="72">
        <f>+E119</f>
        <v>30480.199999999997</v>
      </c>
      <c r="F117" s="72">
        <f t="shared" ref="F117:G117" si="55">+F119</f>
        <v>30480.199999999997</v>
      </c>
      <c r="G117" s="72">
        <f t="shared" si="55"/>
        <v>30480.199999999997</v>
      </c>
      <c r="H117" s="134"/>
    </row>
    <row r="118" spans="2:8" s="66" customFormat="1" x14ac:dyDescent="0.3">
      <c r="B118" s="70"/>
      <c r="C118" s="70"/>
      <c r="D118" s="73" t="s">
        <v>59</v>
      </c>
      <c r="E118" s="136"/>
      <c r="F118" s="136"/>
      <c r="G118" s="136"/>
    </row>
    <row r="119" spans="2:8" s="66" customFormat="1" x14ac:dyDescent="0.3">
      <c r="B119" s="70"/>
      <c r="C119" s="70"/>
      <c r="D119" s="74" t="s">
        <v>225</v>
      </c>
      <c r="E119" s="75">
        <f>SUM(E120:E146)</f>
        <v>30480.199999999997</v>
      </c>
      <c r="F119" s="75">
        <f>SUM(F120:F146)</f>
        <v>30480.199999999997</v>
      </c>
      <c r="G119" s="75">
        <f>SUM(G120:G146)</f>
        <v>30480.199999999997</v>
      </c>
    </row>
    <row r="120" spans="2:8" s="66" customFormat="1" ht="34.5" x14ac:dyDescent="0.3">
      <c r="B120" s="60"/>
      <c r="C120" s="60"/>
      <c r="D120" s="76" t="str">
        <f>+'Հավելված N 6'!C100</f>
        <v>Արաքս համայնքի Խորոնք գյուղի մանկապարտեզ</v>
      </c>
      <c r="E120" s="77">
        <f>+G120</f>
        <v>1246.5999999999999</v>
      </c>
      <c r="F120" s="77">
        <f>+G120</f>
        <v>1246.5999999999999</v>
      </c>
      <c r="G120" s="77">
        <f>+'Հավելված N 6'!D100</f>
        <v>1246.5999999999999</v>
      </c>
    </row>
    <row r="121" spans="2:8" s="66" customFormat="1" ht="34.5" x14ac:dyDescent="0.3">
      <c r="B121" s="60"/>
      <c r="C121" s="60"/>
      <c r="D121" s="76" t="str">
        <f>+'Հավելված N 6'!C101</f>
        <v>Արաքս համայնքի Ջրառատ գյուղի մանկապարտեզ</v>
      </c>
      <c r="E121" s="77">
        <f t="shared" ref="E121:E146" si="56">+G121</f>
        <v>1246.5999999999999</v>
      </c>
      <c r="F121" s="77">
        <f t="shared" ref="F121:F146" si="57">+G121</f>
        <v>1246.5999999999999</v>
      </c>
      <c r="G121" s="77">
        <f>+'Հավելված N 6'!D101</f>
        <v>1246.5999999999999</v>
      </c>
    </row>
    <row r="122" spans="2:8" s="66" customFormat="1" ht="34.5" x14ac:dyDescent="0.3">
      <c r="B122" s="60"/>
      <c r="C122" s="60"/>
      <c r="D122" s="76" t="str">
        <f>+'Հավելված N 6'!C102</f>
        <v>Արաքս համայնքի Մեծամոր գյուղի մանկապարտեզ</v>
      </c>
      <c r="E122" s="77">
        <f t="shared" si="56"/>
        <v>1246.5999999999999</v>
      </c>
      <c r="F122" s="77">
        <f t="shared" si="57"/>
        <v>1246.5999999999999</v>
      </c>
      <c r="G122" s="77">
        <f>+'Հավելված N 6'!D102</f>
        <v>1246.5999999999999</v>
      </c>
    </row>
    <row r="123" spans="2:8" s="66" customFormat="1" ht="34.5" x14ac:dyDescent="0.3">
      <c r="B123" s="60"/>
      <c r="C123" s="60"/>
      <c r="D123" s="76" t="str">
        <f>+'Հավելված N 6'!C103</f>
        <v>Բաղրամյան համայնքի Հուշակերտ գյուղի  մանկապարտեզ</v>
      </c>
      <c r="E123" s="77">
        <f t="shared" si="56"/>
        <v>1246.5999999999999</v>
      </c>
      <c r="F123" s="77">
        <f t="shared" si="57"/>
        <v>1246.5999999999999</v>
      </c>
      <c r="G123" s="77">
        <f>+'Հավելված N 6'!D103</f>
        <v>1246.5999999999999</v>
      </c>
    </row>
    <row r="124" spans="2:8" s="66" customFormat="1" ht="34.5" x14ac:dyDescent="0.3">
      <c r="B124" s="60"/>
      <c r="C124" s="60"/>
      <c r="D124" s="76" t="str">
        <f>+'Հավելված N 6'!C104</f>
        <v>Արմավիր համայնքի Սարդարապատ գյուղի մանկապարտեզ</v>
      </c>
      <c r="E124" s="77">
        <f t="shared" si="56"/>
        <v>758.8</v>
      </c>
      <c r="F124" s="77">
        <f t="shared" si="57"/>
        <v>758.8</v>
      </c>
      <c r="G124" s="77">
        <f>+'Հավելված N 6'!D104</f>
        <v>758.8</v>
      </c>
    </row>
    <row r="125" spans="2:8" s="66" customFormat="1" ht="34.5" x14ac:dyDescent="0.3">
      <c r="B125" s="60"/>
      <c r="C125" s="60"/>
      <c r="D125" s="76" t="str">
        <f>+'Հավելված N 6'!C105</f>
        <v>Արմավիր համայնքի Արաքս գյուղի մանկապարտեզ</v>
      </c>
      <c r="E125" s="77">
        <f t="shared" si="56"/>
        <v>758.8</v>
      </c>
      <c r="F125" s="77">
        <f t="shared" si="57"/>
        <v>758.8</v>
      </c>
      <c r="G125" s="77">
        <f>+'Հավելված N 6'!D105</f>
        <v>758.8</v>
      </c>
    </row>
    <row r="126" spans="2:8" s="66" customFormat="1" ht="34.5" x14ac:dyDescent="0.3">
      <c r="B126" s="60"/>
      <c r="C126" s="60"/>
      <c r="D126" s="76" t="str">
        <f>+'Հավելված N 6'!C106</f>
        <v>Մեծամոր համայնքի Ջանֆիդա գյուղի Վազգեն Սարգսյանի անվան մանկապարտեզ</v>
      </c>
      <c r="E126" s="77">
        <f t="shared" si="56"/>
        <v>1010.6</v>
      </c>
      <c r="F126" s="77">
        <f t="shared" si="57"/>
        <v>1010.6</v>
      </c>
      <c r="G126" s="77">
        <f>+'Հավելված N 6'!D106</f>
        <v>1010.6</v>
      </c>
    </row>
    <row r="127" spans="2:8" s="66" customFormat="1" ht="34.5" x14ac:dyDescent="0.3">
      <c r="B127" s="60"/>
      <c r="C127" s="60"/>
      <c r="D127" s="76" t="str">
        <f>+'Հավելված N 6'!C107</f>
        <v>Մեծամոր համայնքի Զարթոնք գյուղի մանկապարտեզ</v>
      </c>
      <c r="E127" s="77">
        <f t="shared" si="56"/>
        <v>1110.8</v>
      </c>
      <c r="F127" s="77">
        <f t="shared" si="57"/>
        <v>1110.8</v>
      </c>
      <c r="G127" s="77">
        <f>+'Հավելված N 6'!D107</f>
        <v>1110.8</v>
      </c>
    </row>
    <row r="128" spans="2:8" s="66" customFormat="1" ht="37.15" customHeight="1" x14ac:dyDescent="0.3">
      <c r="B128" s="60"/>
      <c r="C128" s="60"/>
      <c r="D128" s="76" t="str">
        <f>+'Հավելված N 6'!C108</f>
        <v>Մեծամոր համայնքի Արևիկ գյուղի «Մոդուլային» տիպի 144 տեղ հզորությամբ մսուր-մանկապարտեզ</v>
      </c>
      <c r="E128" s="77">
        <f t="shared" si="56"/>
        <v>1168.9000000000001</v>
      </c>
      <c r="F128" s="77">
        <f t="shared" si="57"/>
        <v>1168.9000000000001</v>
      </c>
      <c r="G128" s="77">
        <f>+'Հավելված N 6'!D108</f>
        <v>1168.9000000000001</v>
      </c>
    </row>
    <row r="129" spans="2:7" s="66" customFormat="1" ht="34.5" x14ac:dyDescent="0.3">
      <c r="B129" s="60"/>
      <c r="C129" s="60"/>
      <c r="D129" s="76" t="str">
        <f>+'Հավելված N 6'!C109</f>
        <v>Վաղարշապատ համայնքի թիվ 3 Ծիծեռնակ մսուր-մանկապարտեզ</v>
      </c>
      <c r="E129" s="77">
        <f t="shared" si="56"/>
        <v>183.3</v>
      </c>
      <c r="F129" s="77">
        <f t="shared" si="57"/>
        <v>183.3</v>
      </c>
      <c r="G129" s="77">
        <f>+'Հավելված N 6'!D109</f>
        <v>183.3</v>
      </c>
    </row>
    <row r="130" spans="2:7" s="66" customFormat="1" x14ac:dyDescent="0.3">
      <c r="B130" s="60"/>
      <c r="C130" s="60"/>
      <c r="D130" s="76" t="str">
        <f>+'Հավելված N 6'!C110</f>
        <v>Արաքս համայնքի Գայ գյուղի մանկապարտեզ</v>
      </c>
      <c r="E130" s="77">
        <f t="shared" si="56"/>
        <v>468.2</v>
      </c>
      <c r="F130" s="77">
        <f t="shared" si="57"/>
        <v>468.2</v>
      </c>
      <c r="G130" s="77">
        <f>+'Հավելված N 6'!D110</f>
        <v>468.2</v>
      </c>
    </row>
    <row r="131" spans="2:7" s="66" customFormat="1" ht="34.5" x14ac:dyDescent="0.3">
      <c r="B131" s="60"/>
      <c r="C131" s="60"/>
      <c r="D131" s="76" t="str">
        <f>+'Հավելված N 6'!C111</f>
        <v>Արաքս համայնքի Արաքս գյուղի մանկապարտեզ</v>
      </c>
      <c r="E131" s="77">
        <f t="shared" si="56"/>
        <v>662.9</v>
      </c>
      <c r="F131" s="77">
        <f t="shared" si="57"/>
        <v>662.9</v>
      </c>
      <c r="G131" s="77">
        <f>+'Հավելված N 6'!D111</f>
        <v>662.9</v>
      </c>
    </row>
    <row r="132" spans="2:7" s="66" customFormat="1" ht="34.5" x14ac:dyDescent="0.3">
      <c r="B132" s="60"/>
      <c r="C132" s="60"/>
      <c r="D132" s="76" t="str">
        <f>+'Հավելված N 6'!C112</f>
        <v>Արաքս համայնք Առատաշեն գյուղի մանկապարտեզ</v>
      </c>
      <c r="E132" s="77">
        <f t="shared" si="56"/>
        <v>410.1</v>
      </c>
      <c r="F132" s="77">
        <f t="shared" si="57"/>
        <v>410.1</v>
      </c>
      <c r="G132" s="77">
        <f>+'Հավելված N 6'!D112</f>
        <v>410.1</v>
      </c>
    </row>
    <row r="133" spans="2:7" s="66" customFormat="1" ht="34.5" x14ac:dyDescent="0.3">
      <c r="B133" s="60"/>
      <c r="C133" s="60"/>
      <c r="D133" s="76" t="str">
        <f>+'Հավելված N 6'!C113</f>
        <v>Փարաքար համայնքի Արևաշատ գյուղի մանկապարտեզ</v>
      </c>
      <c r="E133" s="77">
        <f t="shared" si="56"/>
        <v>1753.4</v>
      </c>
      <c r="F133" s="77">
        <f t="shared" si="57"/>
        <v>1753.4</v>
      </c>
      <c r="G133" s="77">
        <f>+'Հավելված N 6'!D113</f>
        <v>1753.4</v>
      </c>
    </row>
    <row r="134" spans="2:7" s="66" customFormat="1" ht="34.5" x14ac:dyDescent="0.3">
      <c r="B134" s="60"/>
      <c r="C134" s="60"/>
      <c r="D134" s="76" t="str">
        <f>+'Հավելված N 6'!C114</f>
        <v>Արմավիր համայնքի Արմավիր քաղաքի թիվ 2 մսուր-մանկապարտեզ</v>
      </c>
      <c r="E134" s="77">
        <f t="shared" si="56"/>
        <v>758.8</v>
      </c>
      <c r="F134" s="77">
        <f t="shared" si="57"/>
        <v>758.8</v>
      </c>
      <c r="G134" s="77">
        <f>+'Հավելված N 6'!D114</f>
        <v>758.8</v>
      </c>
    </row>
    <row r="135" spans="2:7" s="66" customFormat="1" ht="34.5" x14ac:dyDescent="0.3">
      <c r="B135" s="60"/>
      <c r="C135" s="60"/>
      <c r="D135" s="76" t="str">
        <f>+'Հավելված N 6'!C115</f>
        <v>Արմավիր համայնքի Արմավիր քաղաքի թիվ 11 մսուր-մանկապարտեզ</v>
      </c>
      <c r="E135" s="77">
        <f t="shared" si="56"/>
        <v>1362.7</v>
      </c>
      <c r="F135" s="77">
        <f t="shared" si="57"/>
        <v>1362.7</v>
      </c>
      <c r="G135" s="77">
        <f>+'Հավելված N 6'!D115</f>
        <v>1362.7</v>
      </c>
    </row>
    <row r="136" spans="2:7" s="66" customFormat="1" ht="34.5" x14ac:dyDescent="0.3">
      <c r="B136" s="60"/>
      <c r="C136" s="60"/>
      <c r="D136" s="76" t="str">
        <f>+'Հավելված N 6'!C116</f>
        <v>Արմավիր համայնքի Խանջյան գյուղի մանկապարտեզ</v>
      </c>
      <c r="E136" s="77">
        <f t="shared" si="56"/>
        <v>1246.5999999999999</v>
      </c>
      <c r="F136" s="77">
        <f t="shared" si="57"/>
        <v>1246.5999999999999</v>
      </c>
      <c r="G136" s="77">
        <f>+'Հավելված N 6'!D116</f>
        <v>1246.5999999999999</v>
      </c>
    </row>
    <row r="137" spans="2:7" s="66" customFormat="1" ht="34.5" x14ac:dyDescent="0.3">
      <c r="B137" s="60"/>
      <c r="C137" s="60"/>
      <c r="D137" s="76" t="str">
        <f>+'Հավելված N 6'!C117</f>
        <v>Արմավիր համայնքի Արմավիր քաղաքի թիվ 5 մսուր-մանկապարտեզ</v>
      </c>
      <c r="E137" s="77">
        <f t="shared" si="56"/>
        <v>1304.7</v>
      </c>
      <c r="F137" s="77">
        <f t="shared" si="57"/>
        <v>1304.7</v>
      </c>
      <c r="G137" s="77">
        <f>+'Հավելված N 6'!D117</f>
        <v>1304.7</v>
      </c>
    </row>
    <row r="138" spans="2:7" s="66" customFormat="1" ht="34.5" x14ac:dyDescent="0.3">
      <c r="B138" s="60"/>
      <c r="C138" s="60"/>
      <c r="D138" s="76" t="str">
        <f>+'Հավելված N 6'!C118</f>
        <v>Մեծամոր համայնքի Մեծամոր քաղաքի թիվ 2 մսուր մանկապարտեզ</v>
      </c>
      <c r="E138" s="77">
        <f t="shared" si="56"/>
        <v>1420.8</v>
      </c>
      <c r="F138" s="77">
        <f t="shared" si="57"/>
        <v>1420.8</v>
      </c>
      <c r="G138" s="77">
        <f>+'Հավելված N 6'!D118</f>
        <v>1420.8</v>
      </c>
    </row>
    <row r="139" spans="2:7" s="66" customFormat="1" ht="34.5" x14ac:dyDescent="0.3">
      <c r="B139" s="60"/>
      <c r="C139" s="60"/>
      <c r="D139" s="76" t="str">
        <f>+'Հավելված N 6'!C119</f>
        <v>Մեծամոր համայնքի Մեծամոր քաղաքի թիվ 3 մսուր մանկապարտեզ</v>
      </c>
      <c r="E139" s="77">
        <f t="shared" si="56"/>
        <v>1536.9</v>
      </c>
      <c r="F139" s="77">
        <f t="shared" si="57"/>
        <v>1536.9</v>
      </c>
      <c r="G139" s="77">
        <f>+'Հավելված N 6'!D119</f>
        <v>1536.9</v>
      </c>
    </row>
    <row r="140" spans="2:7" s="66" customFormat="1" ht="34.5" x14ac:dyDescent="0.3">
      <c r="B140" s="60"/>
      <c r="C140" s="60"/>
      <c r="D140" s="76" t="str">
        <f>+'Հավելված N 6'!C120</f>
        <v>Մեծամոր համայնքի Տարոնիկ գյուղի մանկապարտեզ</v>
      </c>
      <c r="E140" s="77">
        <f t="shared" si="56"/>
        <v>1246.5999999999999</v>
      </c>
      <c r="F140" s="77">
        <f t="shared" si="57"/>
        <v>1246.5999999999999</v>
      </c>
      <c r="G140" s="77">
        <f>+'Հավելված N 6'!D120</f>
        <v>1246.5999999999999</v>
      </c>
    </row>
    <row r="141" spans="2:7" s="66" customFormat="1" ht="34.5" x14ac:dyDescent="0.3">
      <c r="B141" s="60"/>
      <c r="C141" s="60"/>
      <c r="D141" s="76" t="str">
        <f>+'Հավելված N 6'!C121</f>
        <v xml:space="preserve">Մեծամոր համայնքի Տանձուտ գյուղի մանկապարտեզ </v>
      </c>
      <c r="E141" s="77">
        <f t="shared" si="56"/>
        <v>1246.5999999999999</v>
      </c>
      <c r="F141" s="77">
        <f t="shared" si="57"/>
        <v>1246.5999999999999</v>
      </c>
      <c r="G141" s="77">
        <f>+'Հավելված N 6'!D121</f>
        <v>1246.5999999999999</v>
      </c>
    </row>
    <row r="142" spans="2:7" s="66" customFormat="1" ht="34.5" x14ac:dyDescent="0.3">
      <c r="B142" s="60"/>
      <c r="C142" s="60"/>
      <c r="D142" s="76" t="str">
        <f>+'Հավելված N 6'!C122</f>
        <v xml:space="preserve">Վաղարշապատ համայնքի թիվ 4 Ձնծաղիկ մսուր-մանկապարտեզ </v>
      </c>
      <c r="E142" s="77">
        <f t="shared" si="56"/>
        <v>1653</v>
      </c>
      <c r="F142" s="77">
        <f t="shared" si="57"/>
        <v>1653</v>
      </c>
      <c r="G142" s="77">
        <f>+'Հավելված N 6'!D122</f>
        <v>1653</v>
      </c>
    </row>
    <row r="143" spans="2:7" s="66" customFormat="1" ht="34.5" x14ac:dyDescent="0.3">
      <c r="B143" s="60"/>
      <c r="C143" s="60"/>
      <c r="D143" s="76" t="str">
        <f>+'Հավելված N 6'!C123</f>
        <v xml:space="preserve">Վաղարշապատ համայնքի թիվ 6 Արևիկ մսուր-մանկապարտեզ </v>
      </c>
      <c r="E143" s="77">
        <f t="shared" si="56"/>
        <v>1653</v>
      </c>
      <c r="F143" s="77">
        <f t="shared" si="57"/>
        <v>1653</v>
      </c>
      <c r="G143" s="77">
        <f>+'Հավելված N 6'!D123</f>
        <v>1653</v>
      </c>
    </row>
    <row r="144" spans="2:7" s="66" customFormat="1" x14ac:dyDescent="0.3">
      <c r="B144" s="60"/>
      <c r="C144" s="60"/>
      <c r="D144" s="76" t="str">
        <f>+'Հավելված N 6'!C124</f>
        <v xml:space="preserve">Խոյ համայնքի Հայթաղ գյուղի մանկապարտեզ </v>
      </c>
      <c r="E144" s="77">
        <f t="shared" si="56"/>
        <v>1246.5999999999999</v>
      </c>
      <c r="F144" s="77">
        <f t="shared" si="57"/>
        <v>1246.5999999999999</v>
      </c>
      <c r="G144" s="77">
        <f>+'Հավելված N 6'!D124</f>
        <v>1246.5999999999999</v>
      </c>
    </row>
    <row r="145" spans="2:8" s="66" customFormat="1" ht="34.5" x14ac:dyDescent="0.3">
      <c r="B145" s="60"/>
      <c r="C145" s="60"/>
      <c r="D145" s="76" t="str">
        <f>+'Հավելված N 6'!C125</f>
        <v>Բաղրամյան համայնքի Լեռնագոգ գյուղի  մանկապարտեզ</v>
      </c>
      <c r="E145" s="77">
        <f t="shared" si="56"/>
        <v>1304.7</v>
      </c>
      <c r="F145" s="77">
        <f t="shared" si="57"/>
        <v>1304.7</v>
      </c>
      <c r="G145" s="77">
        <f>+'Հավելված N 6'!D125</f>
        <v>1304.7</v>
      </c>
    </row>
    <row r="146" spans="2:8" s="66" customFormat="1" ht="34.5" x14ac:dyDescent="0.3">
      <c r="B146" s="60"/>
      <c r="C146" s="60"/>
      <c r="D146" s="76" t="str">
        <f>+'Հավելված N 6'!C126</f>
        <v>Փարաքար համայնքի Բաղրամյան գյուղի մանկապարտեզ</v>
      </c>
      <c r="E146" s="77">
        <f t="shared" si="56"/>
        <v>1227</v>
      </c>
      <c r="F146" s="77">
        <f t="shared" si="57"/>
        <v>1227</v>
      </c>
      <c r="G146" s="77">
        <f>+'Հավելված N 6'!D126</f>
        <v>1227</v>
      </c>
    </row>
    <row r="147" spans="2:8" s="66" customFormat="1" ht="34.5" x14ac:dyDescent="0.3">
      <c r="B147" s="70"/>
      <c r="C147" s="70"/>
      <c r="D147" s="71" t="s">
        <v>99</v>
      </c>
      <c r="E147" s="72">
        <f>+E149</f>
        <v>0</v>
      </c>
      <c r="F147" s="72">
        <f t="shared" ref="F147:G147" si="58">+F149</f>
        <v>32487.4</v>
      </c>
      <c r="G147" s="72">
        <f t="shared" si="58"/>
        <v>32487.4</v>
      </c>
      <c r="H147" s="134"/>
    </row>
    <row r="148" spans="2:8" s="66" customFormat="1" x14ac:dyDescent="0.3">
      <c r="B148" s="70"/>
      <c r="C148" s="70"/>
      <c r="D148" s="73" t="s">
        <v>59</v>
      </c>
      <c r="E148" s="136"/>
      <c r="F148" s="136"/>
      <c r="G148" s="136"/>
    </row>
    <row r="149" spans="2:8" s="66" customFormat="1" x14ac:dyDescent="0.3">
      <c r="B149" s="70"/>
      <c r="C149" s="70"/>
      <c r="D149" s="74" t="s">
        <v>100</v>
      </c>
      <c r="E149" s="75">
        <f>SUM(E150:E157)</f>
        <v>0</v>
      </c>
      <c r="F149" s="75">
        <f t="shared" ref="F149:G149" si="59">SUM(F150:F157)</f>
        <v>32487.4</v>
      </c>
      <c r="G149" s="75">
        <f t="shared" si="59"/>
        <v>32487.4</v>
      </c>
    </row>
    <row r="150" spans="2:8" s="66" customFormat="1" ht="34.5" x14ac:dyDescent="0.3">
      <c r="B150" s="60"/>
      <c r="C150" s="60"/>
      <c r="D150" s="76" t="str">
        <f>+'Հավելված N 6'!C128</f>
        <v>«Ճամբարակի Մ․ Քոչարյանի Անվան N 2 hիմնական դպրոց» ՊՈԱԿ</v>
      </c>
      <c r="E150" s="77">
        <v>0</v>
      </c>
      <c r="F150" s="77">
        <f>+G150</f>
        <v>4077.9</v>
      </c>
      <c r="G150" s="77">
        <f>+'Հավելված N 6'!D128</f>
        <v>4077.9</v>
      </c>
    </row>
    <row r="151" spans="2:8" s="66" customFormat="1" ht="34.5" x14ac:dyDescent="0.3">
      <c r="B151" s="60"/>
      <c r="C151" s="60"/>
      <c r="D151" s="76" t="str">
        <f>+'Հավելված N 6'!C129</f>
        <v>«գ. Վարդենիկի  Ռ. Հովհաննիսյանի թիվ 1 հիմնական դպրոց» ՊՈԱԿ</v>
      </c>
      <c r="E151" s="77">
        <v>0</v>
      </c>
      <c r="F151" s="77">
        <f t="shared" ref="F151:F157" si="60">+G151</f>
        <v>4077.9</v>
      </c>
      <c r="G151" s="77">
        <f>+'Հավելված N 6'!D129</f>
        <v>4077.9</v>
      </c>
    </row>
    <row r="152" spans="2:8" s="66" customFormat="1" x14ac:dyDescent="0.3">
      <c r="B152" s="60"/>
      <c r="C152" s="60"/>
      <c r="D152" s="76" t="str">
        <f>+'Հավելված N 6'!C130</f>
        <v>«Վարդենիսի N4 հիմնական դպրոց» ՊՈԱԿ</v>
      </c>
      <c r="E152" s="77">
        <v>0</v>
      </c>
      <c r="F152" s="77">
        <f t="shared" si="60"/>
        <v>4077.9</v>
      </c>
      <c r="G152" s="77">
        <f>+'Հավելված N 6'!D130</f>
        <v>4077.9</v>
      </c>
    </row>
    <row r="153" spans="2:8" s="66" customFormat="1" ht="34.5" x14ac:dyDescent="0.3">
      <c r="B153" s="60"/>
      <c r="C153" s="60"/>
      <c r="D153" s="76" t="str">
        <f>+'Հավելված N 6'!C131</f>
        <v>«գ. Գանձակի թիվ 1 միջնակարգ դպրոց» ՊՈԱԿ</v>
      </c>
      <c r="E153" s="77">
        <v>0</v>
      </c>
      <c r="F153" s="77">
        <f t="shared" si="60"/>
        <v>4077.9</v>
      </c>
      <c r="G153" s="77">
        <f>+'Հավելված N 6'!D131</f>
        <v>4077.9</v>
      </c>
    </row>
    <row r="154" spans="2:8" s="66" customFormat="1" ht="34.5" x14ac:dyDescent="0.3">
      <c r="B154" s="60"/>
      <c r="C154" s="60"/>
      <c r="D154" s="76" t="str">
        <f>+'Հավելված N 6'!C132</f>
        <v>«գ. Գանձակի թիվ 2 միջնակարգ դպրոց» ՊՈԱԿ</v>
      </c>
      <c r="E154" s="77">
        <v>0</v>
      </c>
      <c r="F154" s="77">
        <f t="shared" si="60"/>
        <v>4077.9</v>
      </c>
      <c r="G154" s="77">
        <f>+'Հավելված N 6'!D132</f>
        <v>4077.9</v>
      </c>
    </row>
    <row r="155" spans="2:8" s="66" customFormat="1" ht="34.5" x14ac:dyDescent="0.3">
      <c r="B155" s="60"/>
      <c r="C155" s="60"/>
      <c r="D155" s="76" t="str">
        <f>+'Հավելված N 6'!C133</f>
        <v>«ք. Գավառի Մ. Բունիաթյանի անվան թիվ 8 միջնակարգ դպրոց» ՊՈԱԿ</v>
      </c>
      <c r="E155" s="77">
        <v>0</v>
      </c>
      <c r="F155" s="77">
        <f t="shared" si="60"/>
        <v>4077.9</v>
      </c>
      <c r="G155" s="77">
        <f>+'Հավելված N 6'!D133</f>
        <v>4077.9</v>
      </c>
    </row>
    <row r="156" spans="2:8" s="66" customFormat="1" x14ac:dyDescent="0.3">
      <c r="B156" s="60"/>
      <c r="C156" s="60"/>
      <c r="D156" s="76" t="str">
        <f>+'Հավելված N 6'!C134</f>
        <v>«Լճափի միջնակարգ դպրոց» ՊՈԱԿ</v>
      </c>
      <c r="E156" s="77">
        <v>0</v>
      </c>
      <c r="F156" s="77">
        <f t="shared" si="60"/>
        <v>4077.9</v>
      </c>
      <c r="G156" s="77">
        <f>+'Հավելված N 6'!D134</f>
        <v>4077.9</v>
      </c>
    </row>
    <row r="157" spans="2:8" s="66" customFormat="1" x14ac:dyDescent="0.3">
      <c r="B157" s="60"/>
      <c r="C157" s="60"/>
      <c r="D157" s="76" t="str">
        <f>+'Հավելված N 6'!C135</f>
        <v>«Սևանի հ․ 6 միջնակարգ դպրոց» ՊՈԱԿ</v>
      </c>
      <c r="E157" s="77">
        <v>0</v>
      </c>
      <c r="F157" s="77">
        <f t="shared" si="60"/>
        <v>3942.1</v>
      </c>
      <c r="G157" s="77">
        <f>+'Հավելված N 6'!D135</f>
        <v>3942.1</v>
      </c>
    </row>
    <row r="158" spans="2:8" s="66" customFormat="1" x14ac:dyDescent="0.3">
      <c r="B158" s="70"/>
      <c r="C158" s="70"/>
      <c r="D158" s="71" t="s">
        <v>102</v>
      </c>
      <c r="E158" s="72">
        <f>+E160</f>
        <v>306</v>
      </c>
      <c r="F158" s="72">
        <f t="shared" ref="F158:G158" si="61">+F160</f>
        <v>306</v>
      </c>
      <c r="G158" s="72">
        <f t="shared" si="61"/>
        <v>306</v>
      </c>
      <c r="H158" s="134"/>
    </row>
    <row r="159" spans="2:8" s="66" customFormat="1" x14ac:dyDescent="0.3">
      <c r="B159" s="70"/>
      <c r="C159" s="70"/>
      <c r="D159" s="73" t="s">
        <v>59</v>
      </c>
      <c r="E159" s="136"/>
      <c r="F159" s="136"/>
      <c r="G159" s="136"/>
    </row>
    <row r="160" spans="2:8" s="66" customFormat="1" x14ac:dyDescent="0.3">
      <c r="B160" s="70"/>
      <c r="C160" s="70"/>
      <c r="D160" s="74" t="s">
        <v>103</v>
      </c>
      <c r="E160" s="75">
        <f>+E161</f>
        <v>306</v>
      </c>
      <c r="F160" s="75">
        <f t="shared" ref="F160:G160" si="62">+F161</f>
        <v>306</v>
      </c>
      <c r="G160" s="75">
        <f t="shared" si="62"/>
        <v>306</v>
      </c>
    </row>
    <row r="161" spans="2:8" s="66" customFormat="1" ht="34.5" x14ac:dyDescent="0.3">
      <c r="B161" s="60"/>
      <c r="C161" s="60"/>
      <c r="D161" s="76" t="str">
        <f>+'Հավելված N 6'!C137</f>
        <v xml:space="preserve">Հրազդան համայնքում «Մոդուլային» տիպի 144 տեղ հզորությամբ մսուր-մանկապարտեզ </v>
      </c>
      <c r="E161" s="77">
        <f>+G161</f>
        <v>306</v>
      </c>
      <c r="F161" s="77">
        <f>+G161</f>
        <v>306</v>
      </c>
      <c r="G161" s="77">
        <f>+'Հավելված N 6'!D137</f>
        <v>306</v>
      </c>
    </row>
    <row r="162" spans="2:8" s="66" customFormat="1" x14ac:dyDescent="0.3">
      <c r="B162" s="70"/>
      <c r="C162" s="70"/>
      <c r="D162" s="71" t="s">
        <v>108</v>
      </c>
      <c r="E162" s="72">
        <f>+E164</f>
        <v>104.8</v>
      </c>
      <c r="F162" s="72">
        <f t="shared" ref="F162:G162" si="63">+F164</f>
        <v>104.8</v>
      </c>
      <c r="G162" s="72">
        <f t="shared" si="63"/>
        <v>104.8</v>
      </c>
      <c r="H162" s="134"/>
    </row>
    <row r="163" spans="2:8" s="66" customFormat="1" x14ac:dyDescent="0.3">
      <c r="B163" s="70"/>
      <c r="C163" s="70"/>
      <c r="D163" s="73" t="s">
        <v>59</v>
      </c>
      <c r="E163" s="136"/>
      <c r="F163" s="136"/>
      <c r="G163" s="136"/>
    </row>
    <row r="164" spans="2:8" s="66" customFormat="1" x14ac:dyDescent="0.3">
      <c r="B164" s="70"/>
      <c r="C164" s="70"/>
      <c r="D164" s="74" t="s">
        <v>109</v>
      </c>
      <c r="E164" s="75">
        <f>+E165</f>
        <v>104.8</v>
      </c>
      <c r="F164" s="75">
        <f t="shared" ref="F164" si="64">+F165</f>
        <v>104.8</v>
      </c>
      <c r="G164" s="75">
        <f t="shared" ref="G164" si="65">+G165</f>
        <v>104.8</v>
      </c>
    </row>
    <row r="165" spans="2:8" s="66" customFormat="1" ht="34.5" x14ac:dyDescent="0.3">
      <c r="B165" s="60"/>
      <c r="C165" s="60"/>
      <c r="D165" s="76" t="str">
        <f>+'Հավելված N 6'!C139</f>
        <v>Բերդ համայնքի Այգեձոր գյուղի մանկապարտեզ</v>
      </c>
      <c r="E165" s="77">
        <f>+G165</f>
        <v>104.8</v>
      </c>
      <c r="F165" s="77">
        <f>+G165</f>
        <v>104.8</v>
      </c>
      <c r="G165" s="77">
        <f>+'Հավելված N 6'!D139</f>
        <v>104.8</v>
      </c>
    </row>
  </sheetData>
  <mergeCells count="7">
    <mergeCell ref="B9:C9"/>
    <mergeCell ref="D9:D10"/>
    <mergeCell ref="F1:G1"/>
    <mergeCell ref="E2:G2"/>
    <mergeCell ref="F3:G3"/>
    <mergeCell ref="B6:G6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2"/>
  <sheetViews>
    <sheetView zoomScale="70" zoomScaleNormal="70" workbookViewId="0">
      <selection activeCell="A7" sqref="A7:G7"/>
    </sheetView>
  </sheetViews>
  <sheetFormatPr defaultColWidth="9.140625" defaultRowHeight="17.25" x14ac:dyDescent="0.25"/>
  <cols>
    <col min="1" max="1" width="9.85546875" style="198" customWidth="1"/>
    <col min="2" max="2" width="15" style="198" customWidth="1"/>
    <col min="3" max="3" width="8" style="198" customWidth="1"/>
    <col min="4" max="4" width="7.7109375" style="198" customWidth="1"/>
    <col min="5" max="5" width="39.140625" style="198" customWidth="1"/>
    <col min="6" max="6" width="50.140625" style="198" customWidth="1"/>
    <col min="7" max="7" width="35" style="198" customWidth="1"/>
    <col min="8" max="8" width="12.28515625" style="198" bestFit="1" customWidth="1"/>
    <col min="9" max="9" width="50.140625" style="198" customWidth="1"/>
    <col min="10" max="10" width="9.140625" style="198"/>
    <col min="11" max="11" width="12.140625" style="198" customWidth="1"/>
    <col min="12" max="16384" width="9.140625" style="198"/>
  </cols>
  <sheetData>
    <row r="1" spans="1:30" s="183" customFormat="1" ht="25.35" customHeight="1" x14ac:dyDescent="0.25">
      <c r="F1" s="452" t="s">
        <v>649</v>
      </c>
      <c r="G1" s="452"/>
      <c r="AB1" s="452"/>
      <c r="AC1" s="452"/>
      <c r="AD1" s="452"/>
    </row>
    <row r="2" spans="1:30" s="2" customFormat="1" x14ac:dyDescent="0.3">
      <c r="F2" s="453" t="s">
        <v>53</v>
      </c>
      <c r="G2" s="453"/>
      <c r="AA2" s="453"/>
      <c r="AB2" s="453"/>
      <c r="AC2" s="453"/>
      <c r="AD2" s="453"/>
    </row>
    <row r="3" spans="1:30" s="2" customFormat="1" ht="16.149999999999999" customHeight="1" x14ac:dyDescent="0.3">
      <c r="F3" s="453" t="s">
        <v>0</v>
      </c>
      <c r="G3" s="453"/>
      <c r="Y3" s="453"/>
      <c r="Z3" s="453"/>
      <c r="AA3" s="453"/>
      <c r="AB3" s="453"/>
      <c r="AC3" s="453"/>
      <c r="AD3" s="453"/>
    </row>
    <row r="4" spans="1:30" s="2" customFormat="1" x14ac:dyDescent="0.3">
      <c r="F4" s="53"/>
      <c r="G4" s="53"/>
      <c r="H4" s="53"/>
    </row>
    <row r="5" spans="1:30" s="2" customFormat="1" ht="16.149999999999999" customHeight="1" x14ac:dyDescent="0.3">
      <c r="F5" s="53"/>
      <c r="G5" s="53"/>
      <c r="H5" s="53"/>
    </row>
    <row r="6" spans="1:30" s="2" customFormat="1" ht="67.7" customHeight="1" x14ac:dyDescent="0.3">
      <c r="A6" s="405" t="s">
        <v>186</v>
      </c>
      <c r="B6" s="405"/>
      <c r="C6" s="405"/>
      <c r="D6" s="405"/>
      <c r="E6" s="405"/>
      <c r="F6" s="405"/>
      <c r="G6" s="405"/>
      <c r="H6" s="54"/>
    </row>
    <row r="7" spans="1:30" s="2" customFormat="1" ht="21" customHeight="1" x14ac:dyDescent="0.3">
      <c r="A7" s="487" t="s">
        <v>653</v>
      </c>
      <c r="B7" s="487"/>
      <c r="C7" s="487"/>
      <c r="D7" s="487"/>
      <c r="E7" s="487"/>
      <c r="F7" s="487"/>
      <c r="G7" s="487"/>
      <c r="H7" s="54"/>
    </row>
    <row r="8" spans="1:30" s="188" customFormat="1" ht="69" x14ac:dyDescent="0.25">
      <c r="A8" s="488" t="s">
        <v>1</v>
      </c>
      <c r="B8" s="488"/>
      <c r="C8" s="187"/>
      <c r="D8" s="489" t="s">
        <v>5</v>
      </c>
      <c r="E8" s="490"/>
      <c r="F8" s="493" t="s">
        <v>175</v>
      </c>
      <c r="G8" s="187" t="s">
        <v>138</v>
      </c>
    </row>
    <row r="9" spans="1:30" s="189" customFormat="1" ht="34.5" x14ac:dyDescent="0.25">
      <c r="A9" s="187" t="s">
        <v>13</v>
      </c>
      <c r="B9" s="187" t="s">
        <v>14</v>
      </c>
      <c r="C9" s="187"/>
      <c r="D9" s="491"/>
      <c r="E9" s="492"/>
      <c r="F9" s="494"/>
      <c r="G9" s="187" t="s">
        <v>3</v>
      </c>
    </row>
    <row r="10" spans="1:30" s="189" customFormat="1" ht="31.7" customHeight="1" x14ac:dyDescent="0.25">
      <c r="A10" s="484" t="s">
        <v>12</v>
      </c>
      <c r="B10" s="485"/>
      <c r="C10" s="485"/>
      <c r="D10" s="485"/>
      <c r="E10" s="485"/>
      <c r="F10" s="486"/>
      <c r="G10" s="224">
        <f>+G11+G15+G39</f>
        <v>417932.79999999999</v>
      </c>
      <c r="H10" s="190"/>
    </row>
    <row r="11" spans="1:30" s="188" customFormat="1" ht="24" customHeight="1" x14ac:dyDescent="0.25">
      <c r="A11" s="191">
        <v>1111</v>
      </c>
      <c r="B11" s="478" t="s">
        <v>187</v>
      </c>
      <c r="C11" s="479"/>
      <c r="D11" s="479"/>
      <c r="E11" s="479"/>
      <c r="F11" s="480"/>
      <c r="G11" s="193">
        <f>+G12</f>
        <v>190409.3</v>
      </c>
    </row>
    <row r="12" spans="1:30" s="188" customFormat="1" ht="69.400000000000006" customHeight="1" x14ac:dyDescent="0.25">
      <c r="A12" s="194"/>
      <c r="B12" s="191">
        <v>32001</v>
      </c>
      <c r="C12" s="481" t="s">
        <v>188</v>
      </c>
      <c r="D12" s="482"/>
      <c r="E12" s="483"/>
      <c r="F12" s="195" t="s">
        <v>12</v>
      </c>
      <c r="G12" s="196">
        <f>+G14</f>
        <v>190409.3</v>
      </c>
      <c r="H12" s="197"/>
    </row>
    <row r="13" spans="1:30" s="188" customFormat="1" ht="36" customHeight="1" x14ac:dyDescent="0.25">
      <c r="A13" s="194"/>
      <c r="B13" s="191"/>
      <c r="C13" s="192"/>
      <c r="D13" s="476" t="s">
        <v>178</v>
      </c>
      <c r="E13" s="477"/>
      <c r="F13" s="195"/>
      <c r="G13" s="201"/>
      <c r="H13" s="202"/>
    </row>
    <row r="14" spans="1:30" s="188" customFormat="1" ht="86.25" x14ac:dyDescent="0.25">
      <c r="A14" s="194"/>
      <c r="B14" s="194"/>
      <c r="C14" s="194"/>
      <c r="D14" s="33"/>
      <c r="E14" s="50" t="s">
        <v>645</v>
      </c>
      <c r="F14" s="76" t="s">
        <v>189</v>
      </c>
      <c r="G14" s="199">
        <f>124225.4+66183.9</f>
        <v>190409.3</v>
      </c>
    </row>
    <row r="15" spans="1:30" s="188" customFormat="1" ht="24" customHeight="1" x14ac:dyDescent="0.25">
      <c r="A15" s="191">
        <v>1075</v>
      </c>
      <c r="B15" s="478" t="s">
        <v>176</v>
      </c>
      <c r="C15" s="479"/>
      <c r="D15" s="479"/>
      <c r="E15" s="479"/>
      <c r="F15" s="480"/>
      <c r="G15" s="193">
        <f>+G16+G28+G33+G36</f>
        <v>221427.90000000002</v>
      </c>
      <c r="H15" s="200"/>
    </row>
    <row r="16" spans="1:30" s="188" customFormat="1" ht="54.6" customHeight="1" x14ac:dyDescent="0.25">
      <c r="A16" s="194"/>
      <c r="B16" s="191">
        <v>21001</v>
      </c>
      <c r="C16" s="481" t="s">
        <v>177</v>
      </c>
      <c r="D16" s="482"/>
      <c r="E16" s="483"/>
      <c r="F16" s="195" t="s">
        <v>12</v>
      </c>
      <c r="G16" s="201">
        <f>+G18</f>
        <v>128103.3</v>
      </c>
      <c r="H16" s="197"/>
    </row>
    <row r="17" spans="1:9" s="188" customFormat="1" ht="36" customHeight="1" x14ac:dyDescent="0.25">
      <c r="A17" s="194"/>
      <c r="B17" s="191"/>
      <c r="C17" s="192"/>
      <c r="D17" s="476" t="s">
        <v>178</v>
      </c>
      <c r="E17" s="477"/>
      <c r="F17" s="195"/>
      <c r="G17" s="201"/>
      <c r="H17" s="202"/>
    </row>
    <row r="18" spans="1:9" s="188" customFormat="1" ht="106.15" customHeight="1" x14ac:dyDescent="0.25">
      <c r="A18" s="194"/>
      <c r="B18" s="194"/>
      <c r="C18" s="194"/>
      <c r="D18" s="33"/>
      <c r="E18" s="47" t="s">
        <v>180</v>
      </c>
      <c r="F18" s="203"/>
      <c r="G18" s="204">
        <f>SUM(G19:G27)</f>
        <v>128103.3</v>
      </c>
    </row>
    <row r="19" spans="1:9" s="247" customFormat="1" ht="120.75" x14ac:dyDescent="0.25">
      <c r="A19" s="243"/>
      <c r="B19" s="243"/>
      <c r="C19" s="243"/>
      <c r="D19" s="244"/>
      <c r="E19" s="179" t="s">
        <v>466</v>
      </c>
      <c r="F19" s="245" t="s">
        <v>181</v>
      </c>
      <c r="G19" s="205">
        <f>+ROUND(10000*1.2,1)</f>
        <v>12000</v>
      </c>
      <c r="H19" s="246"/>
      <c r="I19" s="246"/>
    </row>
    <row r="20" spans="1:9" s="247" customFormat="1" ht="69" x14ac:dyDescent="0.25">
      <c r="A20" s="243"/>
      <c r="B20" s="243"/>
      <c r="C20" s="243"/>
      <c r="D20" s="244"/>
      <c r="E20" s="179" t="s">
        <v>467</v>
      </c>
      <c r="F20" s="245" t="s">
        <v>181</v>
      </c>
      <c r="G20" s="205">
        <f>+ROUND(10000*1.2,1)</f>
        <v>12000</v>
      </c>
    </row>
    <row r="21" spans="1:9" s="247" customFormat="1" ht="120.75" x14ac:dyDescent="0.25">
      <c r="A21" s="243"/>
      <c r="B21" s="243"/>
      <c r="C21" s="243"/>
      <c r="D21" s="244"/>
      <c r="E21" s="179" t="s">
        <v>468</v>
      </c>
      <c r="F21" s="245" t="s">
        <v>181</v>
      </c>
      <c r="G21" s="205">
        <f>+ROUND(15000*1.2,1)</f>
        <v>18000</v>
      </c>
    </row>
    <row r="22" spans="1:9" s="247" customFormat="1" ht="103.5" x14ac:dyDescent="0.25">
      <c r="A22" s="243"/>
      <c r="B22" s="243"/>
      <c r="C22" s="243"/>
      <c r="D22" s="244"/>
      <c r="E22" s="179" t="s">
        <v>469</v>
      </c>
      <c r="F22" s="245" t="s">
        <v>179</v>
      </c>
      <c r="G22" s="205">
        <f>+ROUND(18763*1.2,1)</f>
        <v>22515.599999999999</v>
      </c>
      <c r="I22" s="246"/>
    </row>
    <row r="23" spans="1:9" s="188" customFormat="1" ht="51.75" x14ac:dyDescent="0.25">
      <c r="A23" s="194"/>
      <c r="B23" s="194"/>
      <c r="C23" s="194"/>
      <c r="D23" s="33"/>
      <c r="E23" s="50" t="s">
        <v>192</v>
      </c>
      <c r="F23" s="203" t="s">
        <v>179</v>
      </c>
      <c r="G23" s="199">
        <f>+ROUND(4989.75*1.2,1)</f>
        <v>5987.7</v>
      </c>
      <c r="H23" s="202"/>
    </row>
    <row r="24" spans="1:9" s="188" customFormat="1" ht="34.5" x14ac:dyDescent="0.25">
      <c r="A24" s="194"/>
      <c r="B24" s="194"/>
      <c r="C24" s="194"/>
      <c r="D24" s="33"/>
      <c r="E24" s="50" t="s">
        <v>193</v>
      </c>
      <c r="F24" s="203" t="s">
        <v>181</v>
      </c>
      <c r="G24" s="199">
        <f>+ROUND(8000*1.2,1)</f>
        <v>9600</v>
      </c>
    </row>
    <row r="25" spans="1:9" s="188" customFormat="1" ht="34.5" x14ac:dyDescent="0.25">
      <c r="A25" s="194"/>
      <c r="B25" s="194"/>
      <c r="C25" s="194"/>
      <c r="D25" s="33"/>
      <c r="E25" s="50" t="s">
        <v>190</v>
      </c>
      <c r="F25" s="203" t="s">
        <v>195</v>
      </c>
      <c r="G25" s="199">
        <v>15000</v>
      </c>
      <c r="H25" s="202"/>
    </row>
    <row r="26" spans="1:9" s="188" customFormat="1" ht="34.5" x14ac:dyDescent="0.25">
      <c r="A26" s="194"/>
      <c r="B26" s="194"/>
      <c r="C26" s="194"/>
      <c r="D26" s="33"/>
      <c r="E26" s="50" t="s">
        <v>191</v>
      </c>
      <c r="F26" s="203" t="s">
        <v>181</v>
      </c>
      <c r="G26" s="199">
        <f>+ROUND(15000*1.2,1)</f>
        <v>18000</v>
      </c>
    </row>
    <row r="27" spans="1:9" s="188" customFormat="1" ht="34.5" x14ac:dyDescent="0.25">
      <c r="A27" s="194"/>
      <c r="B27" s="194"/>
      <c r="C27" s="194"/>
      <c r="D27" s="33"/>
      <c r="E27" s="50" t="s">
        <v>194</v>
      </c>
      <c r="F27" s="203" t="s">
        <v>195</v>
      </c>
      <c r="G27" s="199">
        <v>15000</v>
      </c>
    </row>
    <row r="28" spans="1:9" s="188" customFormat="1" ht="55.35" customHeight="1" x14ac:dyDescent="0.25">
      <c r="A28" s="194"/>
      <c r="B28" s="191">
        <v>32001</v>
      </c>
      <c r="C28" s="481" t="s">
        <v>182</v>
      </c>
      <c r="D28" s="482"/>
      <c r="E28" s="483"/>
      <c r="F28" s="195" t="s">
        <v>12</v>
      </c>
      <c r="G28" s="196">
        <f>SUM(G30:G32)</f>
        <v>53674.600000000006</v>
      </c>
      <c r="H28" s="197"/>
    </row>
    <row r="29" spans="1:9" s="188" customFormat="1" ht="36" customHeight="1" x14ac:dyDescent="0.25">
      <c r="A29" s="194"/>
      <c r="B29" s="191"/>
      <c r="C29" s="192"/>
      <c r="D29" s="476" t="s">
        <v>178</v>
      </c>
      <c r="E29" s="477"/>
      <c r="F29" s="195"/>
      <c r="G29" s="201"/>
      <c r="H29" s="202"/>
    </row>
    <row r="30" spans="1:9" s="188" customFormat="1" ht="86.25" x14ac:dyDescent="0.25">
      <c r="A30" s="194"/>
      <c r="B30" s="194"/>
      <c r="C30" s="194"/>
      <c r="D30" s="33"/>
      <c r="E30" s="50" t="s">
        <v>198</v>
      </c>
      <c r="F30" s="203" t="s">
        <v>196</v>
      </c>
      <c r="G30" s="205">
        <v>12840</v>
      </c>
    </row>
    <row r="31" spans="1:9" s="188" customFormat="1" ht="51.75" x14ac:dyDescent="0.25">
      <c r="A31" s="194"/>
      <c r="B31" s="194"/>
      <c r="C31" s="194"/>
      <c r="D31" s="33"/>
      <c r="E31" s="179" t="s">
        <v>199</v>
      </c>
      <c r="F31" s="203" t="s">
        <v>196</v>
      </c>
      <c r="G31" s="205">
        <v>24634.400000000001</v>
      </c>
    </row>
    <row r="32" spans="1:9" s="188" customFormat="1" ht="69" x14ac:dyDescent="0.25">
      <c r="A32" s="194"/>
      <c r="B32" s="194"/>
      <c r="C32" s="194"/>
      <c r="D32" s="33"/>
      <c r="E32" s="179" t="s">
        <v>197</v>
      </c>
      <c r="F32" s="203" t="s">
        <v>196</v>
      </c>
      <c r="G32" s="205">
        <v>16200.2</v>
      </c>
    </row>
    <row r="33" spans="1:8" s="188" customFormat="1" ht="55.35" customHeight="1" x14ac:dyDescent="0.25">
      <c r="A33" s="194"/>
      <c r="B33" s="191">
        <v>32008</v>
      </c>
      <c r="C33" s="481" t="s">
        <v>183</v>
      </c>
      <c r="D33" s="482"/>
      <c r="E33" s="483"/>
      <c r="F33" s="195" t="s">
        <v>12</v>
      </c>
      <c r="G33" s="196">
        <f>+G35</f>
        <v>29650</v>
      </c>
      <c r="H33" s="197"/>
    </row>
    <row r="34" spans="1:8" s="188" customFormat="1" ht="36" customHeight="1" x14ac:dyDescent="0.25">
      <c r="A34" s="194"/>
      <c r="B34" s="191"/>
      <c r="C34" s="192"/>
      <c r="D34" s="476" t="s">
        <v>178</v>
      </c>
      <c r="E34" s="477"/>
      <c r="F34" s="195"/>
      <c r="G34" s="201"/>
      <c r="H34" s="202"/>
    </row>
    <row r="35" spans="1:8" s="188" customFormat="1" ht="69" x14ac:dyDescent="0.25">
      <c r="A35" s="194"/>
      <c r="B35" s="194"/>
      <c r="C35" s="194"/>
      <c r="D35" s="33"/>
      <c r="E35" s="50" t="s">
        <v>646</v>
      </c>
      <c r="F35" s="203" t="s">
        <v>179</v>
      </c>
      <c r="G35" s="199">
        <v>29650</v>
      </c>
      <c r="H35" s="202"/>
    </row>
    <row r="36" spans="1:8" s="188" customFormat="1" ht="72" customHeight="1" x14ac:dyDescent="0.25">
      <c r="A36" s="194"/>
      <c r="B36" s="191">
        <v>32009</v>
      </c>
      <c r="C36" s="481" t="s">
        <v>627</v>
      </c>
      <c r="D36" s="482"/>
      <c r="E36" s="483"/>
      <c r="F36" s="195" t="s">
        <v>12</v>
      </c>
      <c r="G36" s="196">
        <f>+G38</f>
        <v>10000</v>
      </c>
      <c r="H36" s="197"/>
    </row>
    <row r="37" spans="1:8" s="188" customFormat="1" ht="36" customHeight="1" x14ac:dyDescent="0.25">
      <c r="A37" s="194"/>
      <c r="B37" s="191"/>
      <c r="C37" s="192"/>
      <c r="D37" s="476" t="s">
        <v>178</v>
      </c>
      <c r="E37" s="477"/>
      <c r="F37" s="195"/>
      <c r="G37" s="201"/>
      <c r="H37" s="202"/>
    </row>
    <row r="38" spans="1:8" s="188" customFormat="1" ht="36" customHeight="1" x14ac:dyDescent="0.25">
      <c r="A38" s="194"/>
      <c r="B38" s="194"/>
      <c r="C38" s="194"/>
      <c r="D38" s="33"/>
      <c r="E38" s="50" t="s">
        <v>647</v>
      </c>
      <c r="F38" s="215" t="s">
        <v>181</v>
      </c>
      <c r="G38" s="199">
        <v>10000</v>
      </c>
    </row>
    <row r="39" spans="1:8" s="188" customFormat="1" ht="24" customHeight="1" x14ac:dyDescent="0.25">
      <c r="A39" s="191">
        <v>1168</v>
      </c>
      <c r="B39" s="478" t="s">
        <v>184</v>
      </c>
      <c r="C39" s="479"/>
      <c r="D39" s="479"/>
      <c r="E39" s="479"/>
      <c r="F39" s="480"/>
      <c r="G39" s="193">
        <f>+G40</f>
        <v>6095.6</v>
      </c>
    </row>
    <row r="40" spans="1:8" s="188" customFormat="1" ht="55.35" customHeight="1" x14ac:dyDescent="0.25">
      <c r="A40" s="194"/>
      <c r="B40" s="191">
        <v>32007</v>
      </c>
      <c r="C40" s="481" t="s">
        <v>505</v>
      </c>
      <c r="D40" s="482"/>
      <c r="E40" s="483"/>
      <c r="F40" s="195" t="s">
        <v>12</v>
      </c>
      <c r="G40" s="196">
        <f>+G42</f>
        <v>6095.6</v>
      </c>
      <c r="H40" s="197"/>
    </row>
    <row r="41" spans="1:8" s="188" customFormat="1" ht="36" customHeight="1" x14ac:dyDescent="0.25">
      <c r="A41" s="194"/>
      <c r="B41" s="191"/>
      <c r="C41" s="192"/>
      <c r="D41" s="476" t="s">
        <v>178</v>
      </c>
      <c r="E41" s="477"/>
      <c r="F41" s="195"/>
      <c r="G41" s="201"/>
      <c r="H41" s="202"/>
    </row>
    <row r="42" spans="1:8" s="188" customFormat="1" ht="34.5" x14ac:dyDescent="0.25">
      <c r="A42" s="194"/>
      <c r="B42" s="194"/>
      <c r="C42" s="194"/>
      <c r="D42" s="33"/>
      <c r="E42" s="50" t="s">
        <v>648</v>
      </c>
      <c r="F42" s="76" t="s">
        <v>200</v>
      </c>
      <c r="G42" s="205">
        <f>+ROUND(15.239*400,1)</f>
        <v>6095.6</v>
      </c>
    </row>
  </sheetData>
  <mergeCells count="27">
    <mergeCell ref="A10:F10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D8:E9"/>
    <mergeCell ref="F8:F9"/>
    <mergeCell ref="C28:E28"/>
    <mergeCell ref="C36:E36"/>
    <mergeCell ref="D13:E13"/>
    <mergeCell ref="D34:E34"/>
    <mergeCell ref="D37:E37"/>
    <mergeCell ref="B11:F11"/>
    <mergeCell ref="C12:E12"/>
    <mergeCell ref="B15:F15"/>
    <mergeCell ref="C16:E16"/>
    <mergeCell ref="D17:E17"/>
    <mergeCell ref="D41:E41"/>
    <mergeCell ref="D29:E29"/>
    <mergeCell ref="B39:F39"/>
    <mergeCell ref="C40:E40"/>
    <mergeCell ref="C33:E33"/>
  </mergeCells>
  <pageMargins left="0.7" right="0.7" top="0.75" bottom="0.75" header="0.3" footer="0.3"/>
  <pageSetup paperSize="9" scale="27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zoomScale="85" zoomScaleNormal="85" zoomScaleSheetLayoutView="115" workbookViewId="0">
      <selection activeCell="I14" sqref="I14"/>
    </sheetView>
  </sheetViews>
  <sheetFormatPr defaultColWidth="8.28515625" defaultRowHeight="17.25" x14ac:dyDescent="0.25"/>
  <cols>
    <col min="1" max="1" width="9.7109375" style="258" customWidth="1"/>
    <col min="2" max="2" width="15.42578125" style="258" customWidth="1"/>
    <col min="3" max="3" width="48" style="258" customWidth="1"/>
    <col min="4" max="4" width="38" style="258" customWidth="1"/>
    <col min="5" max="7" width="22.28515625" style="258" customWidth="1"/>
    <col min="8" max="8" width="20.7109375" style="258" customWidth="1"/>
    <col min="9" max="9" width="21" style="258" customWidth="1"/>
    <col min="10" max="11" width="8.7109375" style="258" bestFit="1" customWidth="1"/>
    <col min="12" max="16384" width="8.28515625" style="258"/>
  </cols>
  <sheetData>
    <row r="1" spans="1:8" ht="36.6" customHeight="1" x14ac:dyDescent="0.25">
      <c r="C1" s="497" t="s">
        <v>650</v>
      </c>
      <c r="D1" s="497"/>
      <c r="E1" s="497"/>
      <c r="F1" s="497"/>
      <c r="G1" s="497"/>
    </row>
    <row r="2" spans="1:8" ht="17.100000000000001" customHeight="1" x14ac:dyDescent="0.3">
      <c r="C2" s="372" t="s">
        <v>54</v>
      </c>
      <c r="D2" s="372"/>
      <c r="E2" s="372"/>
      <c r="F2" s="372"/>
      <c r="G2" s="372"/>
      <c r="H2" s="274"/>
    </row>
    <row r="3" spans="1:8" ht="17.100000000000001" customHeight="1" x14ac:dyDescent="0.3">
      <c r="C3" s="372" t="s">
        <v>0</v>
      </c>
      <c r="D3" s="372"/>
      <c r="E3" s="372"/>
      <c r="F3" s="372"/>
      <c r="G3" s="372"/>
      <c r="H3" s="274"/>
    </row>
    <row r="4" spans="1:8" x14ac:dyDescent="0.3">
      <c r="C4" s="275"/>
      <c r="D4" s="275"/>
      <c r="E4" s="275"/>
      <c r="F4" s="275"/>
      <c r="G4" s="275"/>
      <c r="H4" s="274"/>
    </row>
    <row r="5" spans="1:8" x14ac:dyDescent="0.3">
      <c r="C5" s="275"/>
      <c r="D5" s="275"/>
      <c r="E5" s="275"/>
      <c r="F5" s="275"/>
      <c r="G5" s="275"/>
      <c r="H5" s="274"/>
    </row>
    <row r="6" spans="1:8" ht="62.65" customHeight="1" x14ac:dyDescent="0.25">
      <c r="A6" s="373" t="s">
        <v>487</v>
      </c>
      <c r="B6" s="373"/>
      <c r="C6" s="373"/>
      <c r="D6" s="373"/>
      <c r="E6" s="373"/>
      <c r="F6" s="373"/>
      <c r="G6" s="373"/>
    </row>
    <row r="7" spans="1:8" x14ac:dyDescent="0.25">
      <c r="A7" s="273"/>
      <c r="B7" s="273"/>
      <c r="C7" s="273"/>
      <c r="D7" s="273"/>
      <c r="E7" s="273"/>
      <c r="F7" s="273"/>
      <c r="G7" s="273"/>
    </row>
    <row r="8" spans="1:8" ht="17.649999999999999" customHeight="1" x14ac:dyDescent="0.25">
      <c r="A8" s="272"/>
      <c r="B8" s="272"/>
      <c r="C8" s="272"/>
      <c r="D8" s="272"/>
      <c r="E8" s="271"/>
      <c r="F8" s="271"/>
      <c r="G8" s="271" t="s">
        <v>9</v>
      </c>
    </row>
    <row r="9" spans="1:8" ht="60.2" customHeight="1" x14ac:dyDescent="0.25">
      <c r="A9" s="498" t="s">
        <v>485</v>
      </c>
      <c r="B9" s="500" t="s">
        <v>484</v>
      </c>
      <c r="C9" s="501"/>
      <c r="D9" s="498" t="s">
        <v>483</v>
      </c>
      <c r="E9" s="393" t="s">
        <v>482</v>
      </c>
      <c r="F9" s="394"/>
      <c r="G9" s="395"/>
    </row>
    <row r="10" spans="1:8" x14ac:dyDescent="0.25">
      <c r="A10" s="499"/>
      <c r="B10" s="502"/>
      <c r="C10" s="503"/>
      <c r="D10" s="499"/>
      <c r="E10" s="31" t="s">
        <v>24</v>
      </c>
      <c r="F10" s="31" t="s">
        <v>2</v>
      </c>
      <c r="G10" s="31" t="s">
        <v>3</v>
      </c>
    </row>
    <row r="11" spans="1:8" ht="28.35" customHeight="1" x14ac:dyDescent="0.25">
      <c r="A11" s="377" t="s">
        <v>481</v>
      </c>
      <c r="B11" s="378"/>
      <c r="C11" s="379"/>
      <c r="D11" s="270"/>
      <c r="E11" s="269">
        <f>+E13</f>
        <v>0</v>
      </c>
      <c r="F11" s="269">
        <f>+F13</f>
        <v>32487.4</v>
      </c>
      <c r="G11" s="269">
        <f>+G13</f>
        <v>32487.4</v>
      </c>
    </row>
    <row r="12" spans="1:8" x14ac:dyDescent="0.25">
      <c r="A12" s="268"/>
      <c r="B12" s="383" t="s">
        <v>31</v>
      </c>
      <c r="C12" s="385"/>
      <c r="D12" s="267"/>
      <c r="E12" s="266"/>
      <c r="F12" s="266"/>
      <c r="G12" s="266"/>
    </row>
    <row r="13" spans="1:8" s="262" customFormat="1" ht="36" customHeight="1" x14ac:dyDescent="0.25">
      <c r="A13" s="265">
        <v>6</v>
      </c>
      <c r="B13" s="495" t="s">
        <v>480</v>
      </c>
      <c r="C13" s="495"/>
      <c r="D13" s="264"/>
      <c r="E13" s="263">
        <f>+E14</f>
        <v>0</v>
      </c>
      <c r="F13" s="263">
        <f>+F14</f>
        <v>32487.4</v>
      </c>
      <c r="G13" s="263">
        <f>+G14</f>
        <v>32487.4</v>
      </c>
    </row>
    <row r="14" spans="1:8" s="259" customFormat="1" ht="73.150000000000006" customHeight="1" x14ac:dyDescent="0.25">
      <c r="A14" s="261">
        <v>6.8</v>
      </c>
      <c r="B14" s="496" t="s">
        <v>479</v>
      </c>
      <c r="C14" s="496"/>
      <c r="D14" s="261" t="s">
        <v>478</v>
      </c>
      <c r="E14" s="260">
        <f>+'Հավելված N 7'!E147</f>
        <v>0</v>
      </c>
      <c r="F14" s="260">
        <f>+'Հավելված N 7'!F147</f>
        <v>32487.4</v>
      </c>
      <c r="G14" s="260">
        <f>+'Հավելված N 7'!G147</f>
        <v>32487.4</v>
      </c>
    </row>
  </sheetData>
  <mergeCells count="12">
    <mergeCell ref="B12:C12"/>
    <mergeCell ref="B13:C13"/>
    <mergeCell ref="B14:C14"/>
    <mergeCell ref="C1:G1"/>
    <mergeCell ref="C2:G2"/>
    <mergeCell ref="C3:G3"/>
    <mergeCell ref="A6:G6"/>
    <mergeCell ref="A9:A10"/>
    <mergeCell ref="B9:C10"/>
    <mergeCell ref="D9:D10"/>
    <mergeCell ref="E9:G9"/>
    <mergeCell ref="A11:C11"/>
  </mergeCells>
  <pageMargins left="0.75" right="0.75" top="1" bottom="1" header="0.5" footer="0.5"/>
  <pageSetup paperSize="9" scale="91" orientation="landscape" r:id="rId1"/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J103"/>
  <sheetViews>
    <sheetView zoomScale="55" zoomScaleNormal="55" workbookViewId="0">
      <selection activeCell="H18" sqref="H18:L18"/>
    </sheetView>
  </sheetViews>
  <sheetFormatPr defaultColWidth="8.7109375" defaultRowHeight="17.25" x14ac:dyDescent="0.25"/>
  <cols>
    <col min="1" max="1" width="6.42578125" style="38" bestFit="1" customWidth="1"/>
    <col min="2" max="2" width="10" style="40" customWidth="1"/>
    <col min="3" max="3" width="16.85546875" style="38" customWidth="1"/>
    <col min="4" max="4" width="16.28515625" style="40" customWidth="1"/>
    <col min="5" max="5" width="15.7109375" style="38" customWidth="1"/>
    <col min="6" max="6" width="15.42578125" style="38" customWidth="1"/>
    <col min="7" max="7" width="12" style="38" customWidth="1"/>
    <col min="8" max="8" width="22.5703125" style="38" customWidth="1"/>
    <col min="9" max="9" width="46.28515625" style="38" customWidth="1"/>
    <col min="10" max="12" width="19.42578125" style="38" customWidth="1"/>
    <col min="13" max="16384" width="8.7109375" style="38"/>
  </cols>
  <sheetData>
    <row r="1" spans="1:36" ht="28.5" customHeight="1" x14ac:dyDescent="0.25">
      <c r="D1" s="322"/>
      <c r="E1" s="17"/>
      <c r="F1" s="17"/>
      <c r="G1" s="470"/>
      <c r="H1" s="470"/>
      <c r="J1" s="470" t="s">
        <v>560</v>
      </c>
      <c r="K1" s="470"/>
      <c r="L1" s="470"/>
    </row>
    <row r="2" spans="1:36" ht="17.649999999999999" customHeight="1" x14ac:dyDescent="0.3">
      <c r="D2" s="323"/>
      <c r="E2" s="18"/>
      <c r="F2" s="19"/>
      <c r="H2" s="28"/>
      <c r="I2" s="28"/>
      <c r="J2" s="471" t="s">
        <v>54</v>
      </c>
      <c r="K2" s="471"/>
      <c r="L2" s="471"/>
    </row>
    <row r="3" spans="1:36" x14ac:dyDescent="0.3">
      <c r="D3" s="323"/>
      <c r="E3" s="18"/>
      <c r="F3" s="19"/>
      <c r="G3" s="471"/>
      <c r="H3" s="471"/>
      <c r="J3" s="471" t="s">
        <v>19</v>
      </c>
      <c r="K3" s="471"/>
      <c r="L3" s="471"/>
    </row>
    <row r="4" spans="1:36" x14ac:dyDescent="0.3">
      <c r="D4" s="323"/>
      <c r="E4" s="18"/>
      <c r="F4" s="19"/>
      <c r="G4" s="28"/>
      <c r="H4" s="28"/>
      <c r="I4" s="28"/>
    </row>
    <row r="5" spans="1:36" x14ac:dyDescent="0.3">
      <c r="D5" s="323"/>
      <c r="E5" s="18"/>
      <c r="F5" s="19"/>
      <c r="G5" s="28"/>
      <c r="H5" s="28"/>
      <c r="I5" s="28"/>
    </row>
    <row r="6" spans="1:36" x14ac:dyDescent="0.25">
      <c r="A6" s="472" t="s">
        <v>151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  <c r="L6" s="472"/>
    </row>
    <row r="8" spans="1:36" x14ac:dyDescent="0.25">
      <c r="K8" s="527" t="s">
        <v>55</v>
      </c>
      <c r="L8" s="527"/>
    </row>
    <row r="9" spans="1:36" ht="43.9" customHeight="1" x14ac:dyDescent="0.25">
      <c r="A9" s="406" t="s">
        <v>38</v>
      </c>
      <c r="B9" s="406" t="s">
        <v>39</v>
      </c>
      <c r="C9" s="406"/>
      <c r="D9" s="406" t="s">
        <v>40</v>
      </c>
      <c r="E9" s="406"/>
      <c r="F9" s="406"/>
      <c r="G9" s="406"/>
      <c r="H9" s="406" t="s">
        <v>41</v>
      </c>
      <c r="I9" s="406" t="s">
        <v>42</v>
      </c>
      <c r="J9" s="535" t="s">
        <v>25</v>
      </c>
      <c r="K9" s="536"/>
      <c r="L9" s="537"/>
    </row>
    <row r="10" spans="1:36" ht="51" customHeight="1" x14ac:dyDescent="0.25">
      <c r="A10" s="406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406"/>
      <c r="I10" s="406"/>
      <c r="J10" s="32" t="s">
        <v>45</v>
      </c>
      <c r="K10" s="32" t="s">
        <v>46</v>
      </c>
      <c r="L10" s="32" t="s">
        <v>47</v>
      </c>
    </row>
    <row r="11" spans="1:36" s="44" customFormat="1" ht="48.4" customHeight="1" x14ac:dyDescent="0.25">
      <c r="A11" s="525" t="s">
        <v>51</v>
      </c>
      <c r="B11" s="525"/>
      <c r="C11" s="525"/>
      <c r="D11" s="525"/>
      <c r="E11" s="525"/>
      <c r="F11" s="525"/>
      <c r="G11" s="525"/>
      <c r="H11" s="525"/>
      <c r="I11" s="525"/>
      <c r="J11" s="43">
        <f>+J13+J94</f>
        <v>1124540.6000000001</v>
      </c>
      <c r="K11" s="43">
        <f>+K13+K94</f>
        <v>1052266.3999999999</v>
      </c>
      <c r="L11" s="43">
        <f>+L13+L94</f>
        <v>32487.40000000006</v>
      </c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</row>
    <row r="12" spans="1:36" s="41" customFormat="1" x14ac:dyDescent="0.25">
      <c r="A12" s="526" t="s">
        <v>31</v>
      </c>
      <c r="B12" s="526"/>
      <c r="C12" s="526"/>
      <c r="D12" s="526"/>
      <c r="E12" s="526"/>
      <c r="F12" s="526"/>
      <c r="G12" s="526"/>
      <c r="H12" s="526"/>
      <c r="I12" s="526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41" customFormat="1" ht="30" customHeight="1" x14ac:dyDescent="0.25">
      <c r="A13" s="506" t="s">
        <v>52</v>
      </c>
      <c r="B13" s="506"/>
      <c r="C13" s="506"/>
      <c r="D13" s="506"/>
      <c r="E13" s="506"/>
      <c r="F13" s="506"/>
      <c r="G13" s="506"/>
      <c r="H13" s="506"/>
      <c r="I13" s="506"/>
      <c r="J13" s="42">
        <f>+J14+J28+J49+J56+J62+J73+J79</f>
        <v>1124540.6000000001</v>
      </c>
      <c r="K13" s="42">
        <f t="shared" ref="K13:L13" si="0">+K14+K28+K49+K56+K62+K73+K79</f>
        <v>1052266.3999999999</v>
      </c>
      <c r="L13" s="42">
        <f t="shared" si="0"/>
        <v>32487.40000000006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x14ac:dyDescent="0.25">
      <c r="A14" s="504"/>
      <c r="B14" s="135">
        <v>1045</v>
      </c>
      <c r="C14" s="514" t="s">
        <v>508</v>
      </c>
      <c r="D14" s="514"/>
      <c r="E14" s="514"/>
      <c r="F14" s="514"/>
      <c r="G14" s="514"/>
      <c r="H14" s="514"/>
      <c r="I14" s="514"/>
      <c r="J14" s="30">
        <f>+J15+J21</f>
        <v>-266599.5</v>
      </c>
      <c r="K14" s="30">
        <f>+K15+K21</f>
        <v>-397139.3</v>
      </c>
      <c r="L14" s="30">
        <f>+L15+L21</f>
        <v>-385437.89999999997</v>
      </c>
    </row>
    <row r="15" spans="1:36" s="39" customFormat="1" x14ac:dyDescent="0.25">
      <c r="A15" s="504"/>
      <c r="B15" s="515"/>
      <c r="C15" s="505"/>
      <c r="D15" s="135" t="s">
        <v>520</v>
      </c>
      <c r="E15" s="514" t="s">
        <v>521</v>
      </c>
      <c r="F15" s="514"/>
      <c r="G15" s="514"/>
      <c r="H15" s="514"/>
      <c r="I15" s="514"/>
      <c r="J15" s="312">
        <f>+'Հավելված N 4'!G17</f>
        <v>-208152.9</v>
      </c>
      <c r="K15" s="312">
        <f>+'Հավելված N 4'!H17</f>
        <v>-375041.1</v>
      </c>
      <c r="L15" s="312">
        <f>+'Հավելված N 4'!I17</f>
        <v>-521729.3</v>
      </c>
    </row>
    <row r="16" spans="1:36" ht="33.4" customHeight="1" x14ac:dyDescent="0.25">
      <c r="A16" s="504"/>
      <c r="B16" s="515"/>
      <c r="C16" s="505"/>
      <c r="D16" s="530"/>
      <c r="E16" s="530"/>
      <c r="F16" s="540" t="s">
        <v>585</v>
      </c>
      <c r="G16" s="541"/>
      <c r="H16" s="541"/>
      <c r="I16" s="541"/>
      <c r="J16" s="541"/>
      <c r="K16" s="541"/>
      <c r="L16" s="542"/>
    </row>
    <row r="17" spans="1:12" ht="33.4" customHeight="1" x14ac:dyDescent="0.25">
      <c r="A17" s="504"/>
      <c r="B17" s="515"/>
      <c r="C17" s="505"/>
      <c r="D17" s="531"/>
      <c r="E17" s="531"/>
      <c r="F17" s="530"/>
      <c r="G17" s="540" t="s">
        <v>66</v>
      </c>
      <c r="H17" s="541"/>
      <c r="I17" s="541"/>
      <c r="J17" s="541"/>
      <c r="K17" s="541"/>
      <c r="L17" s="542"/>
    </row>
    <row r="18" spans="1:12" ht="33.4" customHeight="1" x14ac:dyDescent="0.25">
      <c r="A18" s="504"/>
      <c r="B18" s="515"/>
      <c r="C18" s="505"/>
      <c r="D18" s="531"/>
      <c r="E18" s="531"/>
      <c r="F18" s="531"/>
      <c r="G18" s="530"/>
      <c r="H18" s="540" t="s">
        <v>586</v>
      </c>
      <c r="I18" s="541"/>
      <c r="J18" s="541"/>
      <c r="K18" s="541"/>
      <c r="L18" s="542"/>
    </row>
    <row r="19" spans="1:12" ht="51.75" x14ac:dyDescent="0.25">
      <c r="A19" s="504"/>
      <c r="B19" s="515"/>
      <c r="C19" s="505"/>
      <c r="D19" s="531"/>
      <c r="E19" s="249"/>
      <c r="F19" s="249"/>
      <c r="G19" s="531"/>
      <c r="H19" s="313"/>
      <c r="I19" s="174" t="s">
        <v>589</v>
      </c>
      <c r="J19" s="315">
        <v>-3</v>
      </c>
      <c r="K19" s="314"/>
      <c r="L19" s="315">
        <v>-3</v>
      </c>
    </row>
    <row r="20" spans="1:12" ht="69" x14ac:dyDescent="0.25">
      <c r="A20" s="504"/>
      <c r="B20" s="515"/>
      <c r="C20" s="505"/>
      <c r="D20" s="531"/>
      <c r="E20" s="249"/>
      <c r="F20" s="249"/>
      <c r="G20" s="531"/>
      <c r="H20" s="313"/>
      <c r="I20" s="174" t="s">
        <v>590</v>
      </c>
      <c r="J20" s="314">
        <v>1</v>
      </c>
      <c r="K20" s="314"/>
      <c r="L20" s="315">
        <v>-1</v>
      </c>
    </row>
    <row r="21" spans="1:12" s="39" customFormat="1" x14ac:dyDescent="0.25">
      <c r="A21" s="504"/>
      <c r="B21" s="515"/>
      <c r="C21" s="505"/>
      <c r="D21" s="135" t="s">
        <v>523</v>
      </c>
      <c r="E21" s="514" t="s">
        <v>524</v>
      </c>
      <c r="F21" s="514"/>
      <c r="G21" s="514"/>
      <c r="H21" s="514"/>
      <c r="I21" s="514"/>
      <c r="J21" s="312">
        <f>+'Հավելված N 4'!G18</f>
        <v>-58446.6</v>
      </c>
      <c r="K21" s="312">
        <f>+'Հավելված N 4'!H18</f>
        <v>-22098.199999999997</v>
      </c>
      <c r="L21" s="312">
        <f>+'Հավելված N 4'!I18</f>
        <v>136291.40000000002</v>
      </c>
    </row>
    <row r="22" spans="1:12" ht="33.4" customHeight="1" x14ac:dyDescent="0.25">
      <c r="A22" s="504"/>
      <c r="B22" s="515"/>
      <c r="C22" s="505"/>
      <c r="D22" s="505"/>
      <c r="E22" s="505"/>
      <c r="F22" s="520" t="s">
        <v>587</v>
      </c>
      <c r="G22" s="519"/>
      <c r="H22" s="519"/>
      <c r="I22" s="519"/>
      <c r="J22" s="519"/>
      <c r="K22" s="519"/>
      <c r="L22" s="519"/>
    </row>
    <row r="23" spans="1:12" ht="33.4" customHeight="1" x14ac:dyDescent="0.25">
      <c r="A23" s="504"/>
      <c r="B23" s="515"/>
      <c r="C23" s="505"/>
      <c r="D23" s="505"/>
      <c r="E23" s="505"/>
      <c r="F23" s="521"/>
      <c r="G23" s="520" t="s">
        <v>66</v>
      </c>
      <c r="H23" s="519"/>
      <c r="I23" s="519"/>
      <c r="J23" s="519"/>
      <c r="K23" s="519"/>
      <c r="L23" s="519"/>
    </row>
    <row r="24" spans="1:12" ht="33.4" customHeight="1" x14ac:dyDescent="0.25">
      <c r="A24" s="504"/>
      <c r="B24" s="515"/>
      <c r="C24" s="505"/>
      <c r="D24" s="505"/>
      <c r="E24" s="505"/>
      <c r="F24" s="521"/>
      <c r="G24" s="521"/>
      <c r="H24" s="520" t="s">
        <v>586</v>
      </c>
      <c r="I24" s="519"/>
      <c r="J24" s="519"/>
      <c r="K24" s="519"/>
      <c r="L24" s="519"/>
    </row>
    <row r="25" spans="1:12" ht="36.6" customHeight="1" x14ac:dyDescent="0.25">
      <c r="A25" s="504"/>
      <c r="B25" s="515"/>
      <c r="C25" s="505"/>
      <c r="D25" s="505"/>
      <c r="E25" s="505"/>
      <c r="F25" s="521"/>
      <c r="G25" s="521"/>
      <c r="H25" s="313"/>
      <c r="I25" s="174" t="s">
        <v>588</v>
      </c>
      <c r="J25" s="315">
        <v>-1</v>
      </c>
      <c r="K25" s="314"/>
      <c r="L25" s="315">
        <f>2</f>
        <v>2</v>
      </c>
    </row>
    <row r="26" spans="1:12" ht="34.5" x14ac:dyDescent="0.25">
      <c r="A26" s="504"/>
      <c r="B26" s="515"/>
      <c r="C26" s="505"/>
      <c r="D26" s="505"/>
      <c r="E26" s="505"/>
      <c r="F26" s="521"/>
      <c r="G26" s="521"/>
      <c r="H26" s="313"/>
      <c r="I26" s="174" t="s">
        <v>163</v>
      </c>
      <c r="J26" s="314"/>
      <c r="K26" s="314"/>
      <c r="L26" s="315">
        <v>1</v>
      </c>
    </row>
    <row r="27" spans="1:12" ht="8.65" customHeight="1" x14ac:dyDescent="0.25">
      <c r="A27" s="504"/>
      <c r="B27" s="316"/>
      <c r="C27" s="316"/>
      <c r="D27" s="324"/>
      <c r="E27" s="316"/>
      <c r="F27" s="316"/>
      <c r="G27" s="316"/>
      <c r="H27" s="316"/>
      <c r="I27" s="316"/>
      <c r="J27" s="316"/>
      <c r="K27" s="316"/>
      <c r="L27" s="184"/>
    </row>
    <row r="28" spans="1:12" s="317" customFormat="1" x14ac:dyDescent="0.25">
      <c r="A28" s="504"/>
      <c r="B28" s="58">
        <v>1075</v>
      </c>
      <c r="C28" s="428" t="s">
        <v>497</v>
      </c>
      <c r="D28" s="428"/>
      <c r="E28" s="428"/>
      <c r="F28" s="428"/>
      <c r="G28" s="428"/>
      <c r="H28" s="428"/>
      <c r="I28" s="428"/>
      <c r="J28" s="30">
        <f>+J29+J33+J38+J43</f>
        <v>108574.20000000001</v>
      </c>
      <c r="K28" s="30">
        <f>+K29+K33+K38+K43</f>
        <v>115032.40000000002</v>
      </c>
      <c r="L28" s="30">
        <f>+L29+L33+L38+L43</f>
        <v>94173.6</v>
      </c>
    </row>
    <row r="29" spans="1:12" s="319" customFormat="1" x14ac:dyDescent="0.25">
      <c r="A29" s="504"/>
      <c r="B29" s="523"/>
      <c r="C29" s="427"/>
      <c r="D29" s="47" t="s">
        <v>529</v>
      </c>
      <c r="E29" s="428" t="s">
        <v>530</v>
      </c>
      <c r="F29" s="428"/>
      <c r="G29" s="428"/>
      <c r="H29" s="428"/>
      <c r="I29" s="428"/>
      <c r="J29" s="318">
        <f>+'Հավելված N 4'!G20</f>
        <v>10122.400000000009</v>
      </c>
      <c r="K29" s="318">
        <f>+'Հավելված N 4'!H20</f>
        <v>-3210.3999999999796</v>
      </c>
      <c r="L29" s="318">
        <f>+'Հավելված N 4'!I20</f>
        <v>-24069.199999999997</v>
      </c>
    </row>
    <row r="30" spans="1:12" s="317" customFormat="1" x14ac:dyDescent="0.25">
      <c r="A30" s="504"/>
      <c r="B30" s="405"/>
      <c r="C30" s="427"/>
      <c r="D30" s="433"/>
      <c r="E30" s="433"/>
      <c r="F30" s="482" t="s">
        <v>591</v>
      </c>
      <c r="G30" s="482"/>
      <c r="H30" s="482"/>
      <c r="I30" s="482"/>
      <c r="J30" s="482"/>
      <c r="K30" s="482"/>
      <c r="L30" s="483"/>
    </row>
    <row r="31" spans="1:12" s="317" customFormat="1" ht="17.649999999999999" customHeight="1" x14ac:dyDescent="0.25">
      <c r="A31" s="504"/>
      <c r="B31" s="405"/>
      <c r="C31" s="427"/>
      <c r="D31" s="434"/>
      <c r="E31" s="434"/>
      <c r="F31" s="433"/>
      <c r="G31" s="482" t="s">
        <v>171</v>
      </c>
      <c r="H31" s="482"/>
      <c r="I31" s="482"/>
      <c r="J31" s="482"/>
      <c r="K31" s="482"/>
      <c r="L31" s="483"/>
    </row>
    <row r="32" spans="1:12" s="317" customFormat="1" x14ac:dyDescent="0.25">
      <c r="A32" s="504"/>
      <c r="B32" s="405"/>
      <c r="C32" s="427"/>
      <c r="D32" s="434"/>
      <c r="E32" s="434"/>
      <c r="F32" s="434"/>
      <c r="G32" s="309"/>
      <c r="H32" s="482" t="s">
        <v>592</v>
      </c>
      <c r="I32" s="482"/>
      <c r="J32" s="482"/>
      <c r="K32" s="482"/>
      <c r="L32" s="483"/>
    </row>
    <row r="33" spans="1:12" s="319" customFormat="1" x14ac:dyDescent="0.25">
      <c r="A33" s="504"/>
      <c r="B33" s="405"/>
      <c r="C33" s="427"/>
      <c r="D33" s="47" t="s">
        <v>534</v>
      </c>
      <c r="E33" s="524" t="s">
        <v>182</v>
      </c>
      <c r="F33" s="524"/>
      <c r="G33" s="524"/>
      <c r="H33" s="524"/>
      <c r="I33" s="524"/>
      <c r="J33" s="318">
        <f>+'Հավելված N 4'!G21</f>
        <v>53674.600000000006</v>
      </c>
      <c r="K33" s="318">
        <f>+'Հավելված N 4'!H21</f>
        <v>73465.600000000006</v>
      </c>
      <c r="L33" s="318">
        <f>+'Հավելված N 4'!I21</f>
        <v>73465.600000000006</v>
      </c>
    </row>
    <row r="34" spans="1:12" s="317" customFormat="1" ht="38.450000000000003" customHeight="1" x14ac:dyDescent="0.25">
      <c r="A34" s="504"/>
      <c r="B34" s="405"/>
      <c r="C34" s="427"/>
      <c r="D34" s="427"/>
      <c r="E34" s="427"/>
      <c r="F34" s="482" t="s">
        <v>596</v>
      </c>
      <c r="G34" s="482"/>
      <c r="H34" s="482"/>
      <c r="I34" s="482"/>
      <c r="J34" s="482"/>
      <c r="K34" s="482"/>
      <c r="L34" s="483"/>
    </row>
    <row r="35" spans="1:12" s="317" customFormat="1" ht="17.649999999999999" customHeight="1" x14ac:dyDescent="0.25">
      <c r="A35" s="504"/>
      <c r="B35" s="405"/>
      <c r="C35" s="427"/>
      <c r="D35" s="427"/>
      <c r="E35" s="427"/>
      <c r="F35" s="427"/>
      <c r="G35" s="482" t="s">
        <v>66</v>
      </c>
      <c r="H35" s="482"/>
      <c r="I35" s="482"/>
      <c r="J35" s="482"/>
      <c r="K35" s="482"/>
      <c r="L35" s="483"/>
    </row>
    <row r="36" spans="1:12" s="317" customFormat="1" ht="17.649999999999999" customHeight="1" x14ac:dyDescent="0.25">
      <c r="A36" s="504"/>
      <c r="B36" s="405"/>
      <c r="C36" s="427"/>
      <c r="D36" s="427"/>
      <c r="E36" s="427"/>
      <c r="F36" s="427"/>
      <c r="G36" s="427"/>
      <c r="H36" s="481" t="s">
        <v>594</v>
      </c>
      <c r="I36" s="482"/>
      <c r="J36" s="482"/>
      <c r="K36" s="482"/>
      <c r="L36" s="483"/>
    </row>
    <row r="37" spans="1:12" ht="34.5" x14ac:dyDescent="0.25">
      <c r="A37" s="504"/>
      <c r="B37" s="405"/>
      <c r="C37" s="427"/>
      <c r="D37" s="427"/>
      <c r="E37" s="427"/>
      <c r="F37" s="427"/>
      <c r="G37" s="427"/>
      <c r="H37" s="313"/>
      <c r="I37" s="320" t="s">
        <v>597</v>
      </c>
      <c r="J37" s="320">
        <v>3</v>
      </c>
      <c r="K37" s="320"/>
      <c r="L37" s="321">
        <v>3</v>
      </c>
    </row>
    <row r="38" spans="1:12" s="319" customFormat="1" ht="33" customHeight="1" x14ac:dyDescent="0.25">
      <c r="A38" s="504"/>
      <c r="B38" s="405"/>
      <c r="C38" s="427"/>
      <c r="D38" s="47" t="s">
        <v>532</v>
      </c>
      <c r="E38" s="428" t="s">
        <v>476</v>
      </c>
      <c r="F38" s="428"/>
      <c r="G38" s="428"/>
      <c r="H38" s="428"/>
      <c r="I38" s="428"/>
      <c r="J38" s="318">
        <f>+'Հավելված N 4'!G22</f>
        <v>34777.199999999997</v>
      </c>
      <c r="K38" s="318">
        <f>+'Հավելված N 4'!H22</f>
        <v>34777.199999999997</v>
      </c>
      <c r="L38" s="318">
        <f>+'Հավելված N 4'!I22</f>
        <v>34777.199999999997</v>
      </c>
    </row>
    <row r="39" spans="1:12" s="317" customFormat="1" x14ac:dyDescent="0.25">
      <c r="A39" s="504"/>
      <c r="B39" s="405"/>
      <c r="C39" s="427"/>
      <c r="D39" s="427"/>
      <c r="E39" s="427"/>
      <c r="F39" s="482" t="s">
        <v>593</v>
      </c>
      <c r="G39" s="482"/>
      <c r="H39" s="482"/>
      <c r="I39" s="482"/>
      <c r="J39" s="482"/>
      <c r="K39" s="482"/>
      <c r="L39" s="483"/>
    </row>
    <row r="40" spans="1:12" s="317" customFormat="1" ht="17.649999999999999" customHeight="1" x14ac:dyDescent="0.25">
      <c r="A40" s="504"/>
      <c r="B40" s="405"/>
      <c r="C40" s="427"/>
      <c r="D40" s="427"/>
      <c r="E40" s="427"/>
      <c r="F40" s="427"/>
      <c r="G40" s="482" t="s">
        <v>66</v>
      </c>
      <c r="H40" s="482"/>
      <c r="I40" s="482"/>
      <c r="J40" s="482"/>
      <c r="K40" s="482"/>
      <c r="L40" s="483"/>
    </row>
    <row r="41" spans="1:12" s="317" customFormat="1" ht="17.649999999999999" customHeight="1" x14ac:dyDescent="0.25">
      <c r="A41" s="504"/>
      <c r="B41" s="405"/>
      <c r="C41" s="427"/>
      <c r="D41" s="427"/>
      <c r="E41" s="427"/>
      <c r="F41" s="427"/>
      <c r="G41" s="427"/>
      <c r="H41" s="481" t="s">
        <v>594</v>
      </c>
      <c r="I41" s="482"/>
      <c r="J41" s="482"/>
      <c r="K41" s="482"/>
      <c r="L41" s="483"/>
    </row>
    <row r="42" spans="1:12" ht="34.5" x14ac:dyDescent="0.25">
      <c r="A42" s="504"/>
      <c r="B42" s="405"/>
      <c r="C42" s="427"/>
      <c r="D42" s="427"/>
      <c r="E42" s="427"/>
      <c r="F42" s="427"/>
      <c r="G42" s="427"/>
      <c r="H42" s="313"/>
      <c r="I42" s="320" t="s">
        <v>595</v>
      </c>
      <c r="J42" s="320">
        <v>2</v>
      </c>
      <c r="K42" s="320"/>
      <c r="L42" s="321">
        <v>2</v>
      </c>
    </row>
    <row r="43" spans="1:12" s="319" customFormat="1" ht="33" customHeight="1" x14ac:dyDescent="0.25">
      <c r="A43" s="504"/>
      <c r="B43" s="36"/>
      <c r="C43" s="427"/>
      <c r="D43" s="47" t="s">
        <v>630</v>
      </c>
      <c r="E43" s="428" t="s">
        <v>631</v>
      </c>
      <c r="F43" s="428"/>
      <c r="G43" s="428"/>
      <c r="H43" s="428"/>
      <c r="I43" s="428"/>
      <c r="J43" s="318">
        <f>+'Հավելված N 4'!G23</f>
        <v>10000</v>
      </c>
      <c r="K43" s="318">
        <f>+'Հավելված N 4'!H23</f>
        <v>10000</v>
      </c>
      <c r="L43" s="318">
        <f>+'Հավելված N 4'!I23</f>
        <v>10000</v>
      </c>
    </row>
    <row r="44" spans="1:12" s="317" customFormat="1" x14ac:dyDescent="0.25">
      <c r="A44" s="504"/>
      <c r="B44" s="36"/>
      <c r="C44" s="427"/>
      <c r="D44" s="427"/>
      <c r="E44" s="427"/>
      <c r="F44" s="482" t="s">
        <v>633</v>
      </c>
      <c r="G44" s="482"/>
      <c r="H44" s="482"/>
      <c r="I44" s="482"/>
      <c r="J44" s="482"/>
      <c r="K44" s="482"/>
      <c r="L44" s="483"/>
    </row>
    <row r="45" spans="1:12" s="317" customFormat="1" ht="17.649999999999999" customHeight="1" x14ac:dyDescent="0.25">
      <c r="A45" s="504"/>
      <c r="B45" s="36"/>
      <c r="C45" s="427"/>
      <c r="D45" s="427"/>
      <c r="E45" s="427"/>
      <c r="F45" s="427"/>
      <c r="G45" s="482" t="s">
        <v>66</v>
      </c>
      <c r="H45" s="482"/>
      <c r="I45" s="482"/>
      <c r="J45" s="482"/>
      <c r="K45" s="482"/>
      <c r="L45" s="483"/>
    </row>
    <row r="46" spans="1:12" s="317" customFormat="1" ht="17.649999999999999" customHeight="1" x14ac:dyDescent="0.25">
      <c r="A46" s="504"/>
      <c r="B46" s="36"/>
      <c r="C46" s="427"/>
      <c r="D46" s="427"/>
      <c r="E46" s="427"/>
      <c r="F46" s="427"/>
      <c r="G46" s="427"/>
      <c r="H46" s="481" t="s">
        <v>634</v>
      </c>
      <c r="I46" s="482"/>
      <c r="J46" s="482"/>
      <c r="K46" s="482"/>
      <c r="L46" s="483"/>
    </row>
    <row r="47" spans="1:12" ht="34.5" x14ac:dyDescent="0.25">
      <c r="A47" s="504"/>
      <c r="B47" s="36"/>
      <c r="C47" s="427"/>
      <c r="D47" s="427"/>
      <c r="E47" s="427"/>
      <c r="F47" s="427"/>
      <c r="G47" s="427"/>
      <c r="H47" s="313"/>
      <c r="I47" s="320" t="s">
        <v>595</v>
      </c>
      <c r="J47" s="320">
        <v>1</v>
      </c>
      <c r="K47" s="320"/>
      <c r="L47" s="321">
        <v>1</v>
      </c>
    </row>
    <row r="48" spans="1:12" ht="8.65" customHeight="1" x14ac:dyDescent="0.25">
      <c r="A48" s="504"/>
      <c r="B48" s="316"/>
      <c r="C48" s="316"/>
      <c r="D48" s="324"/>
      <c r="E48" s="316"/>
      <c r="F48" s="316"/>
      <c r="G48" s="316"/>
      <c r="H48" s="316"/>
      <c r="I48" s="316"/>
      <c r="J48" s="316"/>
      <c r="K48" s="316"/>
      <c r="L48" s="184"/>
    </row>
    <row r="49" spans="1:12" s="317" customFormat="1" ht="18" customHeight="1" x14ac:dyDescent="0.25">
      <c r="A49" s="504"/>
      <c r="B49" s="58">
        <v>1111</v>
      </c>
      <c r="C49" s="519" t="s">
        <v>602</v>
      </c>
      <c r="D49" s="519"/>
      <c r="E49" s="519"/>
      <c r="F49" s="519"/>
      <c r="G49" s="519"/>
      <c r="H49" s="519"/>
      <c r="I49" s="519"/>
      <c r="J49" s="30">
        <f>+J50</f>
        <v>190409.3</v>
      </c>
      <c r="K49" s="30">
        <f t="shared" ref="K49:L49" si="1">+K50</f>
        <v>190409.3</v>
      </c>
      <c r="L49" s="30">
        <f t="shared" si="1"/>
        <v>190409.3</v>
      </c>
    </row>
    <row r="50" spans="1:12" s="319" customFormat="1" ht="37.15" customHeight="1" x14ac:dyDescent="0.25">
      <c r="A50" s="504"/>
      <c r="B50" s="486"/>
      <c r="C50" s="427"/>
      <c r="D50" s="175" t="s">
        <v>598</v>
      </c>
      <c r="E50" s="519" t="s">
        <v>510</v>
      </c>
      <c r="F50" s="519"/>
      <c r="G50" s="519"/>
      <c r="H50" s="519"/>
      <c r="I50" s="519"/>
      <c r="J50" s="318">
        <f>+'Հավելված N 4'!G25</f>
        <v>190409.3</v>
      </c>
      <c r="K50" s="318">
        <f>+'Հավելված N 4'!H25</f>
        <v>190409.3</v>
      </c>
      <c r="L50" s="318">
        <f>+'Հավելված N 4'!I25</f>
        <v>190409.3</v>
      </c>
    </row>
    <row r="51" spans="1:12" s="317" customFormat="1" x14ac:dyDescent="0.25">
      <c r="A51" s="504"/>
      <c r="B51" s="486"/>
      <c r="C51" s="427"/>
      <c r="D51" s="522"/>
      <c r="E51" s="433"/>
      <c r="F51" s="482" t="s">
        <v>599</v>
      </c>
      <c r="G51" s="482"/>
      <c r="H51" s="482"/>
      <c r="I51" s="482"/>
      <c r="J51" s="482"/>
      <c r="K51" s="482"/>
      <c r="L51" s="483"/>
    </row>
    <row r="52" spans="1:12" s="317" customFormat="1" ht="17.649999999999999" customHeight="1" x14ac:dyDescent="0.25">
      <c r="A52" s="504"/>
      <c r="B52" s="486"/>
      <c r="C52" s="427"/>
      <c r="D52" s="441"/>
      <c r="E52" s="434"/>
      <c r="F52" s="433"/>
      <c r="G52" s="482" t="s">
        <v>66</v>
      </c>
      <c r="H52" s="482"/>
      <c r="I52" s="482"/>
      <c r="J52" s="482"/>
      <c r="K52" s="482"/>
      <c r="L52" s="483"/>
    </row>
    <row r="53" spans="1:12" s="317" customFormat="1" x14ac:dyDescent="0.25">
      <c r="A53" s="504"/>
      <c r="B53" s="486"/>
      <c r="C53" s="427"/>
      <c r="D53" s="441"/>
      <c r="E53" s="434"/>
      <c r="F53" s="434"/>
      <c r="G53" s="433"/>
      <c r="H53" s="482" t="s">
        <v>600</v>
      </c>
      <c r="I53" s="482"/>
      <c r="J53" s="482"/>
      <c r="K53" s="482"/>
      <c r="L53" s="483"/>
    </row>
    <row r="54" spans="1:12" ht="37.9" customHeight="1" x14ac:dyDescent="0.25">
      <c r="A54" s="504"/>
      <c r="B54" s="486"/>
      <c r="C54" s="427"/>
      <c r="D54" s="441"/>
      <c r="E54" s="434"/>
      <c r="F54" s="434"/>
      <c r="G54" s="434"/>
      <c r="H54" s="313"/>
      <c r="I54" s="41" t="s">
        <v>601</v>
      </c>
      <c r="J54" s="165">
        <v>1</v>
      </c>
      <c r="K54" s="314"/>
      <c r="L54" s="315">
        <v>1</v>
      </c>
    </row>
    <row r="55" spans="1:12" ht="8.65" customHeight="1" x14ac:dyDescent="0.25">
      <c r="A55" s="504"/>
      <c r="B55" s="316"/>
      <c r="C55" s="316"/>
      <c r="D55" s="324"/>
      <c r="E55" s="316"/>
      <c r="F55" s="316"/>
      <c r="G55" s="316"/>
      <c r="H55" s="316"/>
      <c r="I55" s="316"/>
      <c r="J55" s="316"/>
      <c r="K55" s="316"/>
      <c r="L55" s="184"/>
    </row>
    <row r="56" spans="1:12" s="317" customFormat="1" ht="35.450000000000003" customHeight="1" x14ac:dyDescent="0.25">
      <c r="A56" s="504"/>
      <c r="B56" s="58">
        <v>1130</v>
      </c>
      <c r="C56" s="428" t="s">
        <v>512</v>
      </c>
      <c r="D56" s="428"/>
      <c r="E56" s="428"/>
      <c r="F56" s="428"/>
      <c r="G56" s="428"/>
      <c r="H56" s="428"/>
      <c r="I56" s="428"/>
      <c r="J56" s="30">
        <f>+J57</f>
        <v>100666.3</v>
      </c>
      <c r="K56" s="30">
        <f t="shared" ref="K56:L56" si="2">+K57</f>
        <v>100666.3</v>
      </c>
      <c r="L56" s="30">
        <f t="shared" si="2"/>
        <v>100666.3</v>
      </c>
    </row>
    <row r="57" spans="1:12" s="319" customFormat="1" ht="37.15" customHeight="1" x14ac:dyDescent="0.25">
      <c r="A57" s="504"/>
      <c r="B57" s="486"/>
      <c r="C57" s="427"/>
      <c r="D57" s="186" t="s">
        <v>582</v>
      </c>
      <c r="E57" s="519" t="s">
        <v>583</v>
      </c>
      <c r="F57" s="519"/>
      <c r="G57" s="519"/>
      <c r="H57" s="519"/>
      <c r="I57" s="519"/>
      <c r="J57" s="318">
        <f>+'Հավելված N 4'!G27</f>
        <v>100666.3</v>
      </c>
      <c r="K57" s="318">
        <f>+'Հավելված N 4'!H27</f>
        <v>100666.3</v>
      </c>
      <c r="L57" s="318">
        <f>+'Հավելված N 4'!I27</f>
        <v>100666.3</v>
      </c>
    </row>
    <row r="58" spans="1:12" s="317" customFormat="1" ht="37.9" customHeight="1" x14ac:dyDescent="0.25">
      <c r="A58" s="504"/>
      <c r="B58" s="486"/>
      <c r="C58" s="427"/>
      <c r="D58" s="427"/>
      <c r="E58" s="427"/>
      <c r="F58" s="482" t="s">
        <v>584</v>
      </c>
      <c r="G58" s="482"/>
      <c r="H58" s="482"/>
      <c r="I58" s="482"/>
      <c r="J58" s="482"/>
      <c r="K58" s="482"/>
      <c r="L58" s="483"/>
    </row>
    <row r="59" spans="1:12" s="317" customFormat="1" ht="17.649999999999999" customHeight="1" x14ac:dyDescent="0.25">
      <c r="A59" s="504"/>
      <c r="B59" s="486"/>
      <c r="C59" s="427"/>
      <c r="D59" s="427"/>
      <c r="E59" s="427"/>
      <c r="F59" s="427"/>
      <c r="G59" s="482" t="s">
        <v>603</v>
      </c>
      <c r="H59" s="482"/>
      <c r="I59" s="482"/>
      <c r="J59" s="482"/>
      <c r="K59" s="482"/>
      <c r="L59" s="483"/>
    </row>
    <row r="60" spans="1:12" s="317" customFormat="1" x14ac:dyDescent="0.25">
      <c r="A60" s="504"/>
      <c r="B60" s="486"/>
      <c r="C60" s="427"/>
      <c r="D60" s="427"/>
      <c r="E60" s="427"/>
      <c r="F60" s="427"/>
      <c r="G60" s="47"/>
      <c r="H60" s="482" t="s">
        <v>604</v>
      </c>
      <c r="I60" s="482"/>
      <c r="J60" s="482"/>
      <c r="K60" s="482"/>
      <c r="L60" s="483"/>
    </row>
    <row r="61" spans="1:12" ht="8.65" customHeight="1" x14ac:dyDescent="0.25">
      <c r="A61" s="504"/>
      <c r="B61" s="316"/>
      <c r="C61" s="316"/>
      <c r="D61" s="316"/>
      <c r="E61" s="316"/>
      <c r="F61" s="316"/>
      <c r="G61" s="316"/>
      <c r="H61" s="316"/>
      <c r="I61" s="316"/>
      <c r="J61" s="316"/>
      <c r="K61" s="316"/>
      <c r="L61" s="184"/>
    </row>
    <row r="62" spans="1:12" s="317" customFormat="1" x14ac:dyDescent="0.25">
      <c r="A62" s="504"/>
      <c r="B62" s="58">
        <v>1168</v>
      </c>
      <c r="C62" s="428" t="s">
        <v>504</v>
      </c>
      <c r="D62" s="428"/>
      <c r="E62" s="428"/>
      <c r="F62" s="428"/>
      <c r="G62" s="428"/>
      <c r="H62" s="428"/>
      <c r="I62" s="428"/>
      <c r="J62" s="30">
        <f>+J63+J67</f>
        <v>8507.9</v>
      </c>
      <c r="K62" s="30">
        <f t="shared" ref="K62:L62" si="3">+K63+K67</f>
        <v>8507.9</v>
      </c>
      <c r="L62" s="30">
        <f t="shared" si="3"/>
        <v>8507.9</v>
      </c>
    </row>
    <row r="63" spans="1:12" s="319" customFormat="1" ht="34.9" customHeight="1" x14ac:dyDescent="0.25">
      <c r="A63" s="504"/>
      <c r="B63" s="518"/>
      <c r="C63" s="516"/>
      <c r="D63" s="58" t="s">
        <v>548</v>
      </c>
      <c r="E63" s="428" t="s">
        <v>185</v>
      </c>
      <c r="F63" s="428"/>
      <c r="G63" s="428"/>
      <c r="H63" s="428"/>
      <c r="I63" s="428"/>
      <c r="J63" s="318">
        <f>+'Հավելված N 4'!G29</f>
        <v>2412.2999999999997</v>
      </c>
      <c r="K63" s="318">
        <f>+'Հավելված N 4'!H29</f>
        <v>2412.2999999999997</v>
      </c>
      <c r="L63" s="318">
        <f>+'Հավելված N 4'!I29</f>
        <v>2412.2999999999997</v>
      </c>
    </row>
    <row r="64" spans="1:12" s="317" customFormat="1" ht="33.950000000000003" customHeight="1" x14ac:dyDescent="0.25">
      <c r="A64" s="504"/>
      <c r="B64" s="518"/>
      <c r="C64" s="516"/>
      <c r="D64" s="522"/>
      <c r="E64" s="433"/>
      <c r="F64" s="428" t="s">
        <v>606</v>
      </c>
      <c r="G64" s="428"/>
      <c r="H64" s="428"/>
      <c r="I64" s="428"/>
      <c r="J64" s="428"/>
      <c r="K64" s="428"/>
      <c r="L64" s="428"/>
    </row>
    <row r="65" spans="1:12" s="317" customFormat="1" ht="17.649999999999999" customHeight="1" x14ac:dyDescent="0.25">
      <c r="A65" s="504"/>
      <c r="B65" s="518"/>
      <c r="C65" s="516"/>
      <c r="D65" s="441"/>
      <c r="E65" s="434"/>
      <c r="F65" s="433"/>
      <c r="G65" s="428" t="s">
        <v>66</v>
      </c>
      <c r="H65" s="428"/>
      <c r="I65" s="428"/>
      <c r="J65" s="428"/>
      <c r="K65" s="428"/>
      <c r="L65" s="428"/>
    </row>
    <row r="66" spans="1:12" s="317" customFormat="1" x14ac:dyDescent="0.25">
      <c r="A66" s="504"/>
      <c r="B66" s="518"/>
      <c r="C66" s="516"/>
      <c r="D66" s="441"/>
      <c r="E66" s="434"/>
      <c r="F66" s="434"/>
      <c r="G66" s="309"/>
      <c r="H66" s="481" t="s">
        <v>607</v>
      </c>
      <c r="I66" s="482"/>
      <c r="J66" s="482"/>
      <c r="K66" s="482"/>
      <c r="L66" s="483"/>
    </row>
    <row r="67" spans="1:12" s="319" customFormat="1" ht="17.649999999999999" customHeight="1" x14ac:dyDescent="0.25">
      <c r="A67" s="504"/>
      <c r="B67" s="518"/>
      <c r="C67" s="516"/>
      <c r="D67" s="58" t="s">
        <v>550</v>
      </c>
      <c r="E67" s="519" t="s">
        <v>505</v>
      </c>
      <c r="F67" s="519"/>
      <c r="G67" s="519"/>
      <c r="H67" s="519"/>
      <c r="I67" s="519"/>
      <c r="J67" s="318">
        <f>+'Հավելված N 4'!G30</f>
        <v>6095.6</v>
      </c>
      <c r="K67" s="318">
        <f>+'Հավելված N 4'!H30</f>
        <v>6095.6</v>
      </c>
      <c r="L67" s="318">
        <f>+'Հավելված N 4'!I30</f>
        <v>6095.6</v>
      </c>
    </row>
    <row r="68" spans="1:12" s="317" customFormat="1" ht="17.649999999999999" customHeight="1" x14ac:dyDescent="0.25">
      <c r="A68" s="504"/>
      <c r="B68" s="518"/>
      <c r="C68" s="516"/>
      <c r="D68" s="486"/>
      <c r="E68" s="427"/>
      <c r="F68" s="520" t="s">
        <v>608</v>
      </c>
      <c r="G68" s="519"/>
      <c r="H68" s="519"/>
      <c r="I68" s="519"/>
      <c r="J68" s="519"/>
      <c r="K68" s="519"/>
      <c r="L68" s="519"/>
    </row>
    <row r="69" spans="1:12" s="317" customFormat="1" ht="17.649999999999999" customHeight="1" x14ac:dyDescent="0.25">
      <c r="A69" s="504"/>
      <c r="B69" s="518"/>
      <c r="C69" s="516"/>
      <c r="D69" s="486"/>
      <c r="E69" s="427"/>
      <c r="F69" s="521"/>
      <c r="G69" s="520" t="s">
        <v>66</v>
      </c>
      <c r="H69" s="519"/>
      <c r="I69" s="519"/>
      <c r="J69" s="519"/>
      <c r="K69" s="519"/>
      <c r="L69" s="519"/>
    </row>
    <row r="70" spans="1:12" s="317" customFormat="1" ht="18" customHeight="1" x14ac:dyDescent="0.25">
      <c r="A70" s="504"/>
      <c r="B70" s="518"/>
      <c r="C70" s="516"/>
      <c r="D70" s="486"/>
      <c r="E70" s="427"/>
      <c r="F70" s="521"/>
      <c r="G70" s="521"/>
      <c r="H70" s="520" t="s">
        <v>609</v>
      </c>
      <c r="I70" s="519"/>
      <c r="J70" s="519"/>
      <c r="K70" s="519"/>
      <c r="L70" s="519"/>
    </row>
    <row r="71" spans="1:12" ht="34.5" x14ac:dyDescent="0.25">
      <c r="A71" s="504"/>
      <c r="B71" s="518"/>
      <c r="C71" s="516"/>
      <c r="D71" s="486"/>
      <c r="E71" s="427"/>
      <c r="F71" s="521"/>
      <c r="G71" s="521"/>
      <c r="H71" s="175"/>
      <c r="I71" s="174" t="s">
        <v>610</v>
      </c>
      <c r="J71" s="330">
        <v>1</v>
      </c>
      <c r="K71" s="329"/>
      <c r="L71" s="330">
        <v>1</v>
      </c>
    </row>
    <row r="72" spans="1:12" s="328" customFormat="1" ht="8.65" customHeight="1" x14ac:dyDescent="0.25">
      <c r="A72" s="504"/>
      <c r="B72" s="325"/>
      <c r="C72" s="325"/>
      <c r="D72" s="326"/>
      <c r="E72" s="325"/>
      <c r="F72" s="325"/>
      <c r="G72" s="325"/>
      <c r="H72" s="325"/>
      <c r="I72" s="325"/>
      <c r="J72" s="325"/>
      <c r="K72" s="325"/>
      <c r="L72" s="327"/>
    </row>
    <row r="73" spans="1:12" s="317" customFormat="1" ht="18" customHeight="1" x14ac:dyDescent="0.25">
      <c r="A73" s="504"/>
      <c r="B73" s="58">
        <v>1196</v>
      </c>
      <c r="C73" s="517" t="s">
        <v>611</v>
      </c>
      <c r="D73" s="517"/>
      <c r="E73" s="517"/>
      <c r="F73" s="517"/>
      <c r="G73" s="517"/>
      <c r="H73" s="517"/>
      <c r="I73" s="517"/>
      <c r="J73" s="30">
        <f>+J74</f>
        <v>-52500</v>
      </c>
      <c r="K73" s="30">
        <f t="shared" ref="K73:L73" si="4">+K74</f>
        <v>-33180</v>
      </c>
      <c r="L73" s="30">
        <f t="shared" si="4"/>
        <v>-8319.4000000000015</v>
      </c>
    </row>
    <row r="74" spans="1:12" s="319" customFormat="1" ht="17.649999999999999" customHeight="1" x14ac:dyDescent="0.25">
      <c r="A74" s="504"/>
      <c r="B74" s="518"/>
      <c r="C74" s="516"/>
      <c r="D74" s="58" t="s">
        <v>558</v>
      </c>
      <c r="E74" s="519" t="s">
        <v>470</v>
      </c>
      <c r="F74" s="519"/>
      <c r="G74" s="519"/>
      <c r="H74" s="519"/>
      <c r="I74" s="519"/>
      <c r="J74" s="318">
        <f>+'Հավելված N 4'!G32</f>
        <v>-52500</v>
      </c>
      <c r="K74" s="318">
        <f>+'Հավելված N 4'!H32</f>
        <v>-33180</v>
      </c>
      <c r="L74" s="318">
        <f>+'Հավելված N 4'!I32</f>
        <v>-8319.4000000000015</v>
      </c>
    </row>
    <row r="75" spans="1:12" s="317" customFormat="1" ht="37.15" customHeight="1" x14ac:dyDescent="0.25">
      <c r="A75" s="504"/>
      <c r="B75" s="518"/>
      <c r="C75" s="516"/>
      <c r="D75" s="486"/>
      <c r="E75" s="427"/>
      <c r="F75" s="520" t="s">
        <v>613</v>
      </c>
      <c r="G75" s="519"/>
      <c r="H75" s="519"/>
      <c r="I75" s="519"/>
      <c r="J75" s="519"/>
      <c r="K75" s="519"/>
      <c r="L75" s="519"/>
    </row>
    <row r="76" spans="1:12" s="317" customFormat="1" ht="17.649999999999999" customHeight="1" x14ac:dyDescent="0.25">
      <c r="A76" s="504"/>
      <c r="B76" s="518"/>
      <c r="C76" s="516"/>
      <c r="D76" s="486"/>
      <c r="E76" s="427"/>
      <c r="F76" s="521"/>
      <c r="G76" s="483" t="s">
        <v>605</v>
      </c>
      <c r="H76" s="428"/>
      <c r="I76" s="428"/>
      <c r="J76" s="428"/>
      <c r="K76" s="428"/>
      <c r="L76" s="428"/>
    </row>
    <row r="77" spans="1:12" s="317" customFormat="1" ht="18" customHeight="1" x14ac:dyDescent="0.25">
      <c r="A77" s="504"/>
      <c r="B77" s="518"/>
      <c r="C77" s="516"/>
      <c r="D77" s="486"/>
      <c r="E77" s="427"/>
      <c r="F77" s="521"/>
      <c r="G77" s="309"/>
      <c r="H77" s="482" t="s">
        <v>612</v>
      </c>
      <c r="I77" s="482"/>
      <c r="J77" s="482"/>
      <c r="K77" s="482"/>
      <c r="L77" s="483"/>
    </row>
    <row r="78" spans="1:12" ht="8.65" customHeight="1" x14ac:dyDescent="0.25">
      <c r="A78" s="504"/>
      <c r="B78" s="316"/>
      <c r="C78" s="316"/>
      <c r="D78" s="324"/>
      <c r="E78" s="316"/>
      <c r="F78" s="316"/>
      <c r="G78" s="316"/>
      <c r="H78" s="316"/>
      <c r="I78" s="316"/>
      <c r="J78" s="316"/>
      <c r="K78" s="316"/>
      <c r="L78" s="184"/>
    </row>
    <row r="79" spans="1:12" ht="18" customHeight="1" x14ac:dyDescent="0.25">
      <c r="A79" s="504"/>
      <c r="B79" s="135">
        <v>1236</v>
      </c>
      <c r="C79" s="528" t="s">
        <v>125</v>
      </c>
      <c r="D79" s="529"/>
      <c r="E79" s="529"/>
      <c r="F79" s="529"/>
      <c r="G79" s="529"/>
      <c r="H79" s="529"/>
      <c r="I79" s="520"/>
      <c r="J79" s="30">
        <f>+J80+J84</f>
        <v>1035482.4</v>
      </c>
      <c r="K79" s="30">
        <f t="shared" ref="K79:L79" si="5">+K80+K84</f>
        <v>1067969.7999999998</v>
      </c>
      <c r="L79" s="30">
        <f t="shared" si="5"/>
        <v>32487.599999999999</v>
      </c>
    </row>
    <row r="80" spans="1:12" s="39" customFormat="1" x14ac:dyDescent="0.25">
      <c r="A80" s="504"/>
      <c r="B80" s="505"/>
      <c r="C80" s="504"/>
      <c r="D80" s="175" t="s">
        <v>111</v>
      </c>
      <c r="E80" s="528" t="s">
        <v>115</v>
      </c>
      <c r="F80" s="529"/>
      <c r="G80" s="529"/>
      <c r="H80" s="529"/>
      <c r="I80" s="520"/>
      <c r="J80" s="173">
        <f>+'Հավելված N 4'!G34</f>
        <v>4591.3999999999996</v>
      </c>
      <c r="K80" s="173">
        <f>+'Հավելված N 4'!H34</f>
        <v>4591.3999999999996</v>
      </c>
      <c r="L80" s="173">
        <f>+'Հավելված N 4'!I34</f>
        <v>-30890.800000000003</v>
      </c>
    </row>
    <row r="81" spans="1:36" ht="18" customHeight="1" x14ac:dyDescent="0.25">
      <c r="A81" s="504"/>
      <c r="B81" s="505"/>
      <c r="C81" s="504"/>
      <c r="D81" s="530"/>
      <c r="E81" s="538"/>
      <c r="F81" s="528" t="s">
        <v>126</v>
      </c>
      <c r="G81" s="529"/>
      <c r="H81" s="529"/>
      <c r="I81" s="529"/>
      <c r="J81" s="529"/>
      <c r="K81" s="529"/>
      <c r="L81" s="520"/>
    </row>
    <row r="82" spans="1:36" ht="17.649999999999999" customHeight="1" x14ac:dyDescent="0.25">
      <c r="A82" s="504"/>
      <c r="B82" s="505"/>
      <c r="C82" s="504"/>
      <c r="D82" s="531"/>
      <c r="E82" s="539"/>
      <c r="F82" s="538"/>
      <c r="G82" s="528" t="s">
        <v>66</v>
      </c>
      <c r="H82" s="529"/>
      <c r="I82" s="529"/>
      <c r="J82" s="529"/>
      <c r="K82" s="529"/>
      <c r="L82" s="520"/>
    </row>
    <row r="83" spans="1:36" ht="18" customHeight="1" x14ac:dyDescent="0.25">
      <c r="A83" s="504"/>
      <c r="B83" s="505"/>
      <c r="C83" s="504"/>
      <c r="D83" s="531"/>
      <c r="E83" s="539"/>
      <c r="F83" s="539"/>
      <c r="G83" s="310"/>
      <c r="H83" s="528" t="s">
        <v>127</v>
      </c>
      <c r="I83" s="529"/>
      <c r="J83" s="529"/>
      <c r="K83" s="529"/>
      <c r="L83" s="520"/>
    </row>
    <row r="84" spans="1:36" s="41" customFormat="1" ht="16.5" customHeight="1" x14ac:dyDescent="0.25">
      <c r="A84" s="504"/>
      <c r="B84" s="505"/>
      <c r="C84" s="504"/>
      <c r="D84" s="47" t="s">
        <v>552</v>
      </c>
      <c r="E84" s="428" t="s">
        <v>284</v>
      </c>
      <c r="F84" s="428"/>
      <c r="G84" s="428"/>
      <c r="H84" s="428"/>
      <c r="I84" s="428"/>
      <c r="J84" s="318">
        <f>+'Հավելված N 4'!G35</f>
        <v>1030891</v>
      </c>
      <c r="K84" s="318">
        <f>+'Հավելված N 4'!H35</f>
        <v>1063378.3999999999</v>
      </c>
      <c r="L84" s="318">
        <f>+'Հավելված N 4'!I35</f>
        <v>63378.400000000001</v>
      </c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1:36" s="41" customFormat="1" ht="16.5" customHeight="1" x14ac:dyDescent="0.25">
      <c r="A85" s="504"/>
      <c r="B85" s="505"/>
      <c r="C85" s="504"/>
      <c r="D85" s="427"/>
      <c r="E85" s="427"/>
      <c r="F85" s="483" t="s">
        <v>614</v>
      </c>
      <c r="G85" s="428"/>
      <c r="H85" s="428"/>
      <c r="I85" s="428"/>
      <c r="J85" s="428"/>
      <c r="K85" s="428"/>
      <c r="L85" s="428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1:36" s="41" customFormat="1" ht="16.5" customHeight="1" x14ac:dyDescent="0.25">
      <c r="A86" s="504"/>
      <c r="B86" s="505"/>
      <c r="C86" s="504"/>
      <c r="D86" s="427"/>
      <c r="E86" s="427"/>
      <c r="F86" s="427"/>
      <c r="G86" s="483" t="s">
        <v>66</v>
      </c>
      <c r="H86" s="428"/>
      <c r="I86" s="428"/>
      <c r="J86" s="428"/>
      <c r="K86" s="428"/>
      <c r="L86" s="428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1:36" s="41" customFormat="1" ht="16.5" customHeight="1" x14ac:dyDescent="0.25">
      <c r="A87" s="504"/>
      <c r="B87" s="505"/>
      <c r="C87" s="504"/>
      <c r="D87" s="427"/>
      <c r="E87" s="427"/>
      <c r="F87" s="427"/>
      <c r="G87" s="427"/>
      <c r="H87" s="483" t="s">
        <v>615</v>
      </c>
      <c r="I87" s="428"/>
      <c r="J87" s="428"/>
      <c r="K87" s="428"/>
      <c r="L87" s="428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  <row r="88" spans="1:36" ht="34.5" x14ac:dyDescent="0.25">
      <c r="A88" s="504"/>
      <c r="B88" s="505"/>
      <c r="C88" s="504"/>
      <c r="D88" s="427"/>
      <c r="E88" s="427"/>
      <c r="F88" s="427"/>
      <c r="G88" s="427"/>
      <c r="H88" s="532"/>
      <c r="I88" s="184" t="s">
        <v>620</v>
      </c>
      <c r="J88" s="165">
        <v>0</v>
      </c>
      <c r="K88" s="165"/>
      <c r="L88" s="165">
        <v>8</v>
      </c>
    </row>
    <row r="89" spans="1:36" s="317" customFormat="1" ht="75.599999999999994" customHeight="1" x14ac:dyDescent="0.25">
      <c r="A89" s="504"/>
      <c r="B89" s="505"/>
      <c r="C89" s="504"/>
      <c r="D89" s="427"/>
      <c r="E89" s="427"/>
      <c r="F89" s="427"/>
      <c r="G89" s="427"/>
      <c r="H89" s="533"/>
      <c r="I89" s="33" t="s">
        <v>616</v>
      </c>
      <c r="J89" s="331">
        <v>23</v>
      </c>
      <c r="K89" s="332"/>
      <c r="L89" s="332">
        <v>23</v>
      </c>
    </row>
    <row r="90" spans="1:36" s="317" customFormat="1" ht="75.599999999999994" customHeight="1" x14ac:dyDescent="0.25">
      <c r="A90" s="504"/>
      <c r="B90" s="505"/>
      <c r="C90" s="504"/>
      <c r="D90" s="427"/>
      <c r="E90" s="427"/>
      <c r="F90" s="427"/>
      <c r="G90" s="427"/>
      <c r="H90" s="533"/>
      <c r="I90" s="33" t="s">
        <v>617</v>
      </c>
      <c r="J90" s="331">
        <v>1</v>
      </c>
      <c r="K90" s="332"/>
      <c r="L90" s="332">
        <v>1</v>
      </c>
    </row>
    <row r="91" spans="1:36" s="317" customFormat="1" ht="58.15" customHeight="1" x14ac:dyDescent="0.25">
      <c r="A91" s="504"/>
      <c r="B91" s="505"/>
      <c r="C91" s="504"/>
      <c r="D91" s="427"/>
      <c r="E91" s="427"/>
      <c r="F91" s="427"/>
      <c r="G91" s="427"/>
      <c r="H91" s="533"/>
      <c r="I91" s="33" t="s">
        <v>618</v>
      </c>
      <c r="J91" s="331">
        <v>2</v>
      </c>
      <c r="K91" s="332"/>
      <c r="L91" s="332">
        <v>2</v>
      </c>
    </row>
    <row r="92" spans="1:36" s="317" customFormat="1" ht="75.599999999999994" customHeight="1" x14ac:dyDescent="0.25">
      <c r="A92" s="504"/>
      <c r="B92" s="505"/>
      <c r="C92" s="504"/>
      <c r="D92" s="427"/>
      <c r="E92" s="427"/>
      <c r="F92" s="427"/>
      <c r="G92" s="427"/>
      <c r="H92" s="534"/>
      <c r="I92" s="33" t="s">
        <v>619</v>
      </c>
      <c r="J92" s="331">
        <v>3</v>
      </c>
      <c r="K92" s="332"/>
      <c r="L92" s="332">
        <v>3</v>
      </c>
    </row>
    <row r="93" spans="1:36" x14ac:dyDescent="0.25">
      <c r="B93" s="38"/>
    </row>
    <row r="94" spans="1:36" s="41" customFormat="1" ht="30" customHeight="1" x14ac:dyDescent="0.25">
      <c r="A94" s="506" t="s">
        <v>154</v>
      </c>
      <c r="B94" s="506"/>
      <c r="C94" s="506"/>
      <c r="D94" s="506"/>
      <c r="E94" s="506"/>
      <c r="F94" s="506"/>
      <c r="G94" s="506"/>
      <c r="H94" s="506"/>
      <c r="I94" s="506"/>
      <c r="J94" s="333">
        <f>+J95</f>
        <v>0</v>
      </c>
      <c r="K94" s="333">
        <f t="shared" ref="K94:L94" si="6">+K95</f>
        <v>0</v>
      </c>
      <c r="L94" s="333">
        <f t="shared" si="6"/>
        <v>0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36" x14ac:dyDescent="0.25">
      <c r="A95" s="516"/>
      <c r="B95" s="135">
        <v>1139</v>
      </c>
      <c r="C95" s="507" t="s">
        <v>623</v>
      </c>
      <c r="D95" s="507"/>
      <c r="E95" s="507"/>
      <c r="F95" s="507"/>
      <c r="G95" s="507"/>
      <c r="H95" s="507"/>
      <c r="I95" s="507"/>
      <c r="J95" s="334">
        <f>+J96+J100</f>
        <v>0</v>
      </c>
      <c r="K95" s="334">
        <f t="shared" ref="K95:L95" si="7">+K96+K100</f>
        <v>0</v>
      </c>
      <c r="L95" s="334">
        <f t="shared" si="7"/>
        <v>0</v>
      </c>
    </row>
    <row r="96" spans="1:36" s="39" customFormat="1" x14ac:dyDescent="0.25">
      <c r="A96" s="516"/>
      <c r="B96" s="508"/>
      <c r="C96" s="511"/>
      <c r="D96" s="135" t="s">
        <v>624</v>
      </c>
      <c r="E96" s="514" t="s">
        <v>567</v>
      </c>
      <c r="F96" s="514"/>
      <c r="G96" s="514"/>
      <c r="H96" s="514"/>
      <c r="I96" s="514"/>
      <c r="J96" s="312">
        <f>+'Հավելված N 4'!G39</f>
        <v>-110666.3</v>
      </c>
      <c r="K96" s="312">
        <f>+'Հավելված N 4'!H39</f>
        <v>-110666.3</v>
      </c>
      <c r="L96" s="312">
        <f>+'Հավելված N 4'!I39</f>
        <v>-110666.3</v>
      </c>
    </row>
    <row r="97" spans="1:12" x14ac:dyDescent="0.25">
      <c r="A97" s="516"/>
      <c r="B97" s="509"/>
      <c r="C97" s="512"/>
      <c r="D97" s="515"/>
      <c r="E97" s="505"/>
      <c r="F97" s="514" t="s">
        <v>625</v>
      </c>
      <c r="G97" s="514"/>
      <c r="H97" s="514"/>
      <c r="I97" s="514"/>
      <c r="J97" s="514"/>
      <c r="K97" s="514"/>
      <c r="L97" s="514"/>
    </row>
    <row r="98" spans="1:12" x14ac:dyDescent="0.25">
      <c r="A98" s="516"/>
      <c r="B98" s="509"/>
      <c r="C98" s="512"/>
      <c r="D98" s="515"/>
      <c r="E98" s="505"/>
      <c r="F98" s="505"/>
      <c r="G98" s="514" t="s">
        <v>150</v>
      </c>
      <c r="H98" s="514"/>
      <c r="I98" s="514"/>
      <c r="J98" s="514"/>
      <c r="K98" s="514"/>
      <c r="L98" s="514"/>
    </row>
    <row r="99" spans="1:12" x14ac:dyDescent="0.25">
      <c r="A99" s="516"/>
      <c r="B99" s="509"/>
      <c r="C99" s="512"/>
      <c r="D99" s="515"/>
      <c r="E99" s="505"/>
      <c r="F99" s="505"/>
      <c r="G99" s="176"/>
      <c r="H99" s="514" t="s">
        <v>626</v>
      </c>
      <c r="I99" s="514"/>
      <c r="J99" s="514"/>
      <c r="K99" s="514"/>
      <c r="L99" s="514"/>
    </row>
    <row r="100" spans="1:12" s="39" customFormat="1" x14ac:dyDescent="0.25">
      <c r="A100" s="516"/>
      <c r="B100" s="509"/>
      <c r="C100" s="512"/>
      <c r="D100" s="135" t="s">
        <v>624</v>
      </c>
      <c r="E100" s="514" t="s">
        <v>567</v>
      </c>
      <c r="F100" s="514"/>
      <c r="G100" s="514"/>
      <c r="H100" s="514"/>
      <c r="I100" s="514"/>
      <c r="J100" s="312">
        <f>+'Հավելված N 4'!G40</f>
        <v>110666.3</v>
      </c>
      <c r="K100" s="312">
        <f>+'Հավելված N 4'!H40</f>
        <v>110666.3</v>
      </c>
      <c r="L100" s="312">
        <f>+'Հավելված N 4'!I40</f>
        <v>110666.3</v>
      </c>
    </row>
    <row r="101" spans="1:12" x14ac:dyDescent="0.25">
      <c r="A101" s="516"/>
      <c r="B101" s="509"/>
      <c r="C101" s="512"/>
      <c r="D101" s="515"/>
      <c r="E101" s="505"/>
      <c r="F101" s="514" t="s">
        <v>625</v>
      </c>
      <c r="G101" s="514"/>
      <c r="H101" s="514"/>
      <c r="I101" s="514"/>
      <c r="J101" s="514"/>
      <c r="K101" s="514"/>
      <c r="L101" s="514"/>
    </row>
    <row r="102" spans="1:12" x14ac:dyDescent="0.25">
      <c r="A102" s="516"/>
      <c r="B102" s="509"/>
      <c r="C102" s="512"/>
      <c r="D102" s="515"/>
      <c r="E102" s="505"/>
      <c r="F102" s="505"/>
      <c r="G102" s="514" t="s">
        <v>150</v>
      </c>
      <c r="H102" s="514"/>
      <c r="I102" s="514"/>
      <c r="J102" s="514"/>
      <c r="K102" s="514"/>
      <c r="L102" s="514"/>
    </row>
    <row r="103" spans="1:12" x14ac:dyDescent="0.25">
      <c r="A103" s="516"/>
      <c r="B103" s="510"/>
      <c r="C103" s="513"/>
      <c r="D103" s="515"/>
      <c r="E103" s="505"/>
      <c r="F103" s="505"/>
      <c r="G103" s="176"/>
      <c r="H103" s="514" t="s">
        <v>626</v>
      </c>
      <c r="I103" s="514"/>
      <c r="J103" s="514"/>
      <c r="K103" s="514"/>
      <c r="L103" s="514"/>
    </row>
  </sheetData>
  <mergeCells count="157">
    <mergeCell ref="H60:L60"/>
    <mergeCell ref="F59:F60"/>
    <mergeCell ref="E58:E60"/>
    <mergeCell ref="D58:D60"/>
    <mergeCell ref="C57:C60"/>
    <mergeCell ref="B50:B54"/>
    <mergeCell ref="C56:I56"/>
    <mergeCell ref="E57:I57"/>
    <mergeCell ref="F58:L58"/>
    <mergeCell ref="G59:L59"/>
    <mergeCell ref="B57:B60"/>
    <mergeCell ref="C49:I49"/>
    <mergeCell ref="E50:I50"/>
    <mergeCell ref="D51:D54"/>
    <mergeCell ref="E51:E54"/>
    <mergeCell ref="F51:L51"/>
    <mergeCell ref="F52:F54"/>
    <mergeCell ref="G52:L52"/>
    <mergeCell ref="G53:G54"/>
    <mergeCell ref="H53:L53"/>
    <mergeCell ref="C50:C54"/>
    <mergeCell ref="H87:L87"/>
    <mergeCell ref="H88:H92"/>
    <mergeCell ref="D85:D92"/>
    <mergeCell ref="E85:E92"/>
    <mergeCell ref="F17:F18"/>
    <mergeCell ref="E21:I21"/>
    <mergeCell ref="J9:L9"/>
    <mergeCell ref="F82:F83"/>
    <mergeCell ref="E81:E83"/>
    <mergeCell ref="D81:D83"/>
    <mergeCell ref="E22:E26"/>
    <mergeCell ref="D22:D26"/>
    <mergeCell ref="G18:G20"/>
    <mergeCell ref="D16:D20"/>
    <mergeCell ref="C28:I28"/>
    <mergeCell ref="E29:I29"/>
    <mergeCell ref="F30:L30"/>
    <mergeCell ref="G31:L31"/>
    <mergeCell ref="F16:L16"/>
    <mergeCell ref="G17:L17"/>
    <mergeCell ref="H18:L18"/>
    <mergeCell ref="F22:L22"/>
    <mergeCell ref="G23:L23"/>
    <mergeCell ref="H24:L24"/>
    <mergeCell ref="K8:L8"/>
    <mergeCell ref="E84:I84"/>
    <mergeCell ref="F85:L85"/>
    <mergeCell ref="G86:L86"/>
    <mergeCell ref="C79:I79"/>
    <mergeCell ref="E80:I80"/>
    <mergeCell ref="F81:L81"/>
    <mergeCell ref="G82:L82"/>
    <mergeCell ref="H83:L83"/>
    <mergeCell ref="C15:C26"/>
    <mergeCell ref="G24:G26"/>
    <mergeCell ref="F23:F26"/>
    <mergeCell ref="C14:I14"/>
    <mergeCell ref="E15:I15"/>
    <mergeCell ref="E16:E18"/>
    <mergeCell ref="E34:E37"/>
    <mergeCell ref="F34:L34"/>
    <mergeCell ref="F35:F37"/>
    <mergeCell ref="G35:L35"/>
    <mergeCell ref="G36:G37"/>
    <mergeCell ref="H36:L36"/>
    <mergeCell ref="H32:L32"/>
    <mergeCell ref="E38:I38"/>
    <mergeCell ref="D39:D42"/>
    <mergeCell ref="G45:L45"/>
    <mergeCell ref="G46:G47"/>
    <mergeCell ref="H46:L46"/>
    <mergeCell ref="I9:I10"/>
    <mergeCell ref="A11:I11"/>
    <mergeCell ref="A12:I12"/>
    <mergeCell ref="A13:I13"/>
    <mergeCell ref="A9:A10"/>
    <mergeCell ref="B9:C9"/>
    <mergeCell ref="D9:G9"/>
    <mergeCell ref="H9:H10"/>
    <mergeCell ref="B15:B26"/>
    <mergeCell ref="J3:L3"/>
    <mergeCell ref="J2:L2"/>
    <mergeCell ref="J1:L1"/>
    <mergeCell ref="A6:L6"/>
    <mergeCell ref="G1:H1"/>
    <mergeCell ref="G3:H3"/>
    <mergeCell ref="E43:I43"/>
    <mergeCell ref="D44:D47"/>
    <mergeCell ref="E44:E47"/>
    <mergeCell ref="F44:L44"/>
    <mergeCell ref="B29:B42"/>
    <mergeCell ref="E39:E42"/>
    <mergeCell ref="F39:L39"/>
    <mergeCell ref="F40:F42"/>
    <mergeCell ref="G40:L40"/>
    <mergeCell ref="G41:G42"/>
    <mergeCell ref="H41:L41"/>
    <mergeCell ref="D30:D32"/>
    <mergeCell ref="E30:E32"/>
    <mergeCell ref="F31:F32"/>
    <mergeCell ref="C29:C47"/>
    <mergeCell ref="E33:I33"/>
    <mergeCell ref="D34:D37"/>
    <mergeCell ref="F45:F47"/>
    <mergeCell ref="C62:I62"/>
    <mergeCell ref="B63:B71"/>
    <mergeCell ref="C63:C71"/>
    <mergeCell ref="E63:I63"/>
    <mergeCell ref="D64:D66"/>
    <mergeCell ref="E64:E66"/>
    <mergeCell ref="F64:L64"/>
    <mergeCell ref="F65:F66"/>
    <mergeCell ref="G65:L65"/>
    <mergeCell ref="H66:L66"/>
    <mergeCell ref="E67:I67"/>
    <mergeCell ref="D68:D71"/>
    <mergeCell ref="E68:E71"/>
    <mergeCell ref="F68:L68"/>
    <mergeCell ref="F69:F71"/>
    <mergeCell ref="G69:L69"/>
    <mergeCell ref="G70:G71"/>
    <mergeCell ref="H70:L70"/>
    <mergeCell ref="C73:I73"/>
    <mergeCell ref="B74:B77"/>
    <mergeCell ref="C74:C77"/>
    <mergeCell ref="E74:I74"/>
    <mergeCell ref="D75:D77"/>
    <mergeCell ref="E75:E77"/>
    <mergeCell ref="F75:L75"/>
    <mergeCell ref="F76:F77"/>
    <mergeCell ref="G76:L76"/>
    <mergeCell ref="H77:L77"/>
    <mergeCell ref="F86:F92"/>
    <mergeCell ref="G87:G92"/>
    <mergeCell ref="C80:C92"/>
    <mergeCell ref="B80:B92"/>
    <mergeCell ref="A14:A92"/>
    <mergeCell ref="A94:I94"/>
    <mergeCell ref="C95:I95"/>
    <mergeCell ref="B96:B103"/>
    <mergeCell ref="C96:C103"/>
    <mergeCell ref="E96:I96"/>
    <mergeCell ref="D97:D99"/>
    <mergeCell ref="E97:E99"/>
    <mergeCell ref="F97:L97"/>
    <mergeCell ref="F98:F99"/>
    <mergeCell ref="G98:L98"/>
    <mergeCell ref="H99:L99"/>
    <mergeCell ref="E100:I100"/>
    <mergeCell ref="D101:D103"/>
    <mergeCell ref="E101:E103"/>
    <mergeCell ref="F101:L101"/>
    <mergeCell ref="F102:F103"/>
    <mergeCell ref="G102:L102"/>
    <mergeCell ref="H103:L103"/>
    <mergeCell ref="A95:A103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J158"/>
  <sheetViews>
    <sheetView zoomScale="76" zoomScaleNormal="76" workbookViewId="0">
      <selection activeCell="J134" sqref="J134:L134"/>
    </sheetView>
  </sheetViews>
  <sheetFormatPr defaultColWidth="8.7109375" defaultRowHeight="17.25" x14ac:dyDescent="0.25"/>
  <cols>
    <col min="1" max="1" width="6.42578125" style="38" bestFit="1" customWidth="1"/>
    <col min="2" max="2" width="10" style="40" customWidth="1"/>
    <col min="3" max="3" width="16.85546875" style="38" customWidth="1"/>
    <col min="4" max="4" width="16.28515625" style="40" customWidth="1"/>
    <col min="5" max="5" width="15.7109375" style="38" customWidth="1"/>
    <col min="6" max="6" width="15.42578125" style="38" customWidth="1"/>
    <col min="7" max="7" width="12" style="38" customWidth="1"/>
    <col min="8" max="8" width="22.5703125" style="38" customWidth="1"/>
    <col min="9" max="9" width="46.28515625" style="38" customWidth="1"/>
    <col min="10" max="12" width="19.42578125" style="38" customWidth="1"/>
    <col min="13" max="16384" width="8.7109375" style="38"/>
  </cols>
  <sheetData>
    <row r="1" spans="1:36" ht="28.5" customHeight="1" x14ac:dyDescent="0.25">
      <c r="D1" s="322"/>
      <c r="E1" s="17"/>
      <c r="F1" s="17"/>
      <c r="G1" s="470"/>
      <c r="H1" s="470"/>
      <c r="J1" s="470" t="s">
        <v>621</v>
      </c>
      <c r="K1" s="470"/>
      <c r="L1" s="470"/>
    </row>
    <row r="2" spans="1:36" ht="17.649999999999999" customHeight="1" x14ac:dyDescent="0.3">
      <c r="D2" s="323"/>
      <c r="E2" s="18"/>
      <c r="F2" s="19"/>
      <c r="H2" s="28"/>
      <c r="I2" s="28"/>
      <c r="J2" s="471" t="s">
        <v>54</v>
      </c>
      <c r="K2" s="471"/>
      <c r="L2" s="471"/>
    </row>
    <row r="3" spans="1:36" x14ac:dyDescent="0.3">
      <c r="D3" s="323"/>
      <c r="E3" s="18"/>
      <c r="F3" s="19"/>
      <c r="G3" s="471"/>
      <c r="H3" s="471"/>
      <c r="J3" s="471" t="s">
        <v>19</v>
      </c>
      <c r="K3" s="471"/>
      <c r="L3" s="471"/>
    </row>
    <row r="4" spans="1:36" x14ac:dyDescent="0.3">
      <c r="D4" s="323"/>
      <c r="E4" s="18"/>
      <c r="F4" s="19"/>
      <c r="G4" s="28"/>
      <c r="H4" s="28"/>
      <c r="I4" s="28"/>
    </row>
    <row r="5" spans="1:36" x14ac:dyDescent="0.3">
      <c r="D5" s="323"/>
      <c r="E5" s="18"/>
      <c r="F5" s="19"/>
      <c r="G5" s="28"/>
      <c r="H5" s="28"/>
      <c r="I5" s="28"/>
    </row>
    <row r="6" spans="1:36" x14ac:dyDescent="0.25">
      <c r="A6" s="472" t="s">
        <v>622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  <c r="L6" s="472"/>
    </row>
    <row r="8" spans="1:36" x14ac:dyDescent="0.25">
      <c r="K8" s="527" t="s">
        <v>55</v>
      </c>
      <c r="L8" s="527"/>
    </row>
    <row r="9" spans="1:36" ht="43.9" customHeight="1" x14ac:dyDescent="0.25">
      <c r="A9" s="406" t="s">
        <v>153</v>
      </c>
      <c r="B9" s="406" t="s">
        <v>39</v>
      </c>
      <c r="C9" s="406"/>
      <c r="D9" s="406" t="s">
        <v>40</v>
      </c>
      <c r="E9" s="406"/>
      <c r="F9" s="406"/>
      <c r="G9" s="406"/>
      <c r="H9" s="406" t="s">
        <v>41</v>
      </c>
      <c r="I9" s="406" t="s">
        <v>42</v>
      </c>
      <c r="J9" s="535" t="s">
        <v>25</v>
      </c>
      <c r="K9" s="536"/>
      <c r="L9" s="537"/>
    </row>
    <row r="10" spans="1:36" ht="51" customHeight="1" x14ac:dyDescent="0.25">
      <c r="A10" s="406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406"/>
      <c r="I10" s="406"/>
      <c r="J10" s="32" t="s">
        <v>45</v>
      </c>
      <c r="K10" s="32" t="s">
        <v>46</v>
      </c>
      <c r="L10" s="32" t="s">
        <v>47</v>
      </c>
    </row>
    <row r="11" spans="1:36" s="44" customFormat="1" ht="48.4" customHeight="1" x14ac:dyDescent="0.25">
      <c r="A11" s="525" t="s">
        <v>51</v>
      </c>
      <c r="B11" s="525"/>
      <c r="C11" s="525"/>
      <c r="D11" s="525"/>
      <c r="E11" s="525"/>
      <c r="F11" s="525"/>
      <c r="G11" s="525"/>
      <c r="H11" s="525"/>
      <c r="I11" s="525"/>
      <c r="J11" s="43">
        <f>+J13+J83+J103+J118+J126+J134+J143</f>
        <v>1124540.6000000001</v>
      </c>
      <c r="K11" s="43">
        <f>+K13+K83+K103+K118+K126+K134+K143</f>
        <v>1052266.3999999999</v>
      </c>
      <c r="L11" s="43">
        <f>+L13+L83+L103+L118+L126+L134+L143</f>
        <v>32487.400000000016</v>
      </c>
      <c r="M11" s="166"/>
      <c r="N11" s="166"/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</row>
    <row r="12" spans="1:36" s="41" customFormat="1" x14ac:dyDescent="0.25">
      <c r="A12" s="526" t="s">
        <v>31</v>
      </c>
      <c r="B12" s="526"/>
      <c r="C12" s="526"/>
      <c r="D12" s="526"/>
      <c r="E12" s="526"/>
      <c r="F12" s="526"/>
      <c r="G12" s="526"/>
      <c r="H12" s="526"/>
      <c r="I12" s="526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41" customFormat="1" ht="30" customHeight="1" x14ac:dyDescent="0.25">
      <c r="A13" s="506" t="s">
        <v>52</v>
      </c>
      <c r="B13" s="506"/>
      <c r="C13" s="506"/>
      <c r="D13" s="506"/>
      <c r="E13" s="506"/>
      <c r="F13" s="506"/>
      <c r="G13" s="506"/>
      <c r="H13" s="506"/>
      <c r="I13" s="506"/>
      <c r="J13" s="42">
        <f>+J14+J27+J48+J55+J61+J72+J77</f>
        <v>1083931</v>
      </c>
      <c r="K13" s="42">
        <f t="shared" ref="K13:L13" si="0">+K14+K27+K48+K55+K61+K72+K77</f>
        <v>948378.4</v>
      </c>
      <c r="L13" s="42">
        <f t="shared" si="0"/>
        <v>-17933.499999999985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x14ac:dyDescent="0.25">
      <c r="A14" s="504"/>
      <c r="B14" s="135">
        <v>1045</v>
      </c>
      <c r="C14" s="514" t="s">
        <v>508</v>
      </c>
      <c r="D14" s="514"/>
      <c r="E14" s="514"/>
      <c r="F14" s="514"/>
      <c r="G14" s="514"/>
      <c r="H14" s="514"/>
      <c r="I14" s="514"/>
      <c r="J14" s="30">
        <f>+J15+J21</f>
        <v>-266599.5</v>
      </c>
      <c r="K14" s="30">
        <f>+K15+K21</f>
        <v>-408139.3</v>
      </c>
      <c r="L14" s="30">
        <f>+L15+L21</f>
        <v>-378453</v>
      </c>
    </row>
    <row r="15" spans="1:36" s="39" customFormat="1" x14ac:dyDescent="0.25">
      <c r="A15" s="504"/>
      <c r="B15" s="515"/>
      <c r="C15" s="505"/>
      <c r="D15" s="135" t="s">
        <v>520</v>
      </c>
      <c r="E15" s="514" t="s">
        <v>521</v>
      </c>
      <c r="F15" s="514"/>
      <c r="G15" s="514"/>
      <c r="H15" s="514"/>
      <c r="I15" s="514"/>
      <c r="J15" s="312">
        <f>+'Հավելված N 5'!G214</f>
        <v>-208152.9</v>
      </c>
      <c r="K15" s="312">
        <f>+'Հավելված N 5'!H214</f>
        <v>-375041.1</v>
      </c>
      <c r="L15" s="312">
        <f>+'Հավելված N 5'!I214</f>
        <v>-521729.3</v>
      </c>
    </row>
    <row r="16" spans="1:36" ht="33.4" customHeight="1" x14ac:dyDescent="0.25">
      <c r="A16" s="504"/>
      <c r="B16" s="515"/>
      <c r="C16" s="505"/>
      <c r="D16" s="530"/>
      <c r="E16" s="530"/>
      <c r="F16" s="540" t="s">
        <v>585</v>
      </c>
      <c r="G16" s="541"/>
      <c r="H16" s="541"/>
      <c r="I16" s="541"/>
      <c r="J16" s="541"/>
      <c r="K16" s="541"/>
      <c r="L16" s="542"/>
    </row>
    <row r="17" spans="1:12" ht="33.4" customHeight="1" x14ac:dyDescent="0.25">
      <c r="A17" s="504"/>
      <c r="B17" s="515"/>
      <c r="C17" s="505"/>
      <c r="D17" s="531"/>
      <c r="E17" s="531"/>
      <c r="F17" s="530"/>
      <c r="G17" s="540" t="s">
        <v>66</v>
      </c>
      <c r="H17" s="541"/>
      <c r="I17" s="541"/>
      <c r="J17" s="541"/>
      <c r="K17" s="541"/>
      <c r="L17" s="542"/>
    </row>
    <row r="18" spans="1:12" ht="33.4" customHeight="1" x14ac:dyDescent="0.25">
      <c r="A18" s="504"/>
      <c r="B18" s="515"/>
      <c r="C18" s="505"/>
      <c r="D18" s="531"/>
      <c r="E18" s="531"/>
      <c r="F18" s="531"/>
      <c r="G18" s="530"/>
      <c r="H18" s="540" t="s">
        <v>586</v>
      </c>
      <c r="I18" s="541"/>
      <c r="J18" s="541"/>
      <c r="K18" s="541"/>
      <c r="L18" s="542"/>
    </row>
    <row r="19" spans="1:12" ht="51.75" x14ac:dyDescent="0.25">
      <c r="A19" s="504"/>
      <c r="B19" s="515"/>
      <c r="C19" s="505"/>
      <c r="D19" s="531"/>
      <c r="E19" s="249"/>
      <c r="F19" s="249"/>
      <c r="G19" s="531"/>
      <c r="H19" s="313"/>
      <c r="I19" s="174" t="s">
        <v>589</v>
      </c>
      <c r="J19" s="315">
        <v>-3</v>
      </c>
      <c r="K19" s="314"/>
      <c r="L19" s="315">
        <v>-3</v>
      </c>
    </row>
    <row r="20" spans="1:12" ht="69" x14ac:dyDescent="0.25">
      <c r="A20" s="504"/>
      <c r="B20" s="515"/>
      <c r="C20" s="505"/>
      <c r="D20" s="531"/>
      <c r="E20" s="249"/>
      <c r="F20" s="249"/>
      <c r="G20" s="531"/>
      <c r="H20" s="313"/>
      <c r="I20" s="174" t="s">
        <v>590</v>
      </c>
      <c r="J20" s="314">
        <v>1</v>
      </c>
      <c r="K20" s="314"/>
      <c r="L20" s="315">
        <v>-1</v>
      </c>
    </row>
    <row r="21" spans="1:12" s="39" customFormat="1" x14ac:dyDescent="0.25">
      <c r="A21" s="504"/>
      <c r="B21" s="515"/>
      <c r="C21" s="505"/>
      <c r="D21" s="135" t="s">
        <v>523</v>
      </c>
      <c r="E21" s="514" t="s">
        <v>524</v>
      </c>
      <c r="F21" s="514"/>
      <c r="G21" s="514"/>
      <c r="H21" s="514"/>
      <c r="I21" s="514"/>
      <c r="J21" s="312">
        <f>+'Հավելված N 5'!G223</f>
        <v>-58446.6</v>
      </c>
      <c r="K21" s="312">
        <f>+'Հավելված N 5'!H223</f>
        <v>-33098.199999999997</v>
      </c>
      <c r="L21" s="312">
        <f>+'Հավելված N 5'!I223</f>
        <v>143276.30000000002</v>
      </c>
    </row>
    <row r="22" spans="1:12" x14ac:dyDescent="0.25">
      <c r="A22" s="504"/>
      <c r="B22" s="515"/>
      <c r="C22" s="505"/>
      <c r="D22" s="505"/>
      <c r="E22" s="505"/>
      <c r="F22" s="520" t="s">
        <v>587</v>
      </c>
      <c r="G22" s="519"/>
      <c r="H22" s="519"/>
      <c r="I22" s="519"/>
      <c r="J22" s="519"/>
      <c r="K22" s="519"/>
      <c r="L22" s="519"/>
    </row>
    <row r="23" spans="1:12" x14ac:dyDescent="0.25">
      <c r="A23" s="504"/>
      <c r="B23" s="515"/>
      <c r="C23" s="505"/>
      <c r="D23" s="505"/>
      <c r="E23" s="505"/>
      <c r="F23" s="521"/>
      <c r="G23" s="520" t="s">
        <v>66</v>
      </c>
      <c r="H23" s="519"/>
      <c r="I23" s="519"/>
      <c r="J23" s="519"/>
      <c r="K23" s="519"/>
      <c r="L23" s="519"/>
    </row>
    <row r="24" spans="1:12" ht="33.4" customHeight="1" x14ac:dyDescent="0.25">
      <c r="A24" s="504"/>
      <c r="B24" s="515"/>
      <c r="C24" s="505"/>
      <c r="D24" s="505"/>
      <c r="E24" s="505"/>
      <c r="F24" s="521"/>
      <c r="G24" s="521"/>
      <c r="H24" s="520" t="s">
        <v>586</v>
      </c>
      <c r="I24" s="519"/>
      <c r="J24" s="519"/>
      <c r="K24" s="519"/>
      <c r="L24" s="519"/>
    </row>
    <row r="25" spans="1:12" ht="36.6" customHeight="1" x14ac:dyDescent="0.25">
      <c r="A25" s="504"/>
      <c r="B25" s="515"/>
      <c r="C25" s="505"/>
      <c r="D25" s="505"/>
      <c r="E25" s="505"/>
      <c r="F25" s="521"/>
      <c r="G25" s="521"/>
      <c r="H25" s="313"/>
      <c r="I25" s="174" t="s">
        <v>588</v>
      </c>
      <c r="J25" s="315">
        <v>-1</v>
      </c>
      <c r="K25" s="314"/>
      <c r="L25" s="315">
        <f>2-1</f>
        <v>1</v>
      </c>
    </row>
    <row r="26" spans="1:12" ht="8.65" customHeight="1" x14ac:dyDescent="0.25">
      <c r="A26" s="504"/>
      <c r="B26" s="316"/>
      <c r="C26" s="316"/>
      <c r="D26" s="324"/>
      <c r="E26" s="316"/>
      <c r="F26" s="316"/>
      <c r="G26" s="316"/>
      <c r="H26" s="316"/>
      <c r="I26" s="316"/>
      <c r="J26" s="316"/>
      <c r="K26" s="316"/>
      <c r="L26" s="184"/>
    </row>
    <row r="27" spans="1:12" s="317" customFormat="1" x14ac:dyDescent="0.25">
      <c r="A27" s="504"/>
      <c r="B27" s="58">
        <v>1075</v>
      </c>
      <c r="C27" s="428" t="s">
        <v>497</v>
      </c>
      <c r="D27" s="428"/>
      <c r="E27" s="428"/>
      <c r="F27" s="428"/>
      <c r="G27" s="428"/>
      <c r="H27" s="428"/>
      <c r="I27" s="428"/>
      <c r="J27" s="30">
        <f>+J28+J32+J37+J42</f>
        <v>103447.00000000001</v>
      </c>
      <c r="K27" s="30">
        <f>+K28+K32+K37+K42</f>
        <v>90114.200000000026</v>
      </c>
      <c r="L27" s="30">
        <f>+L28+L32+L37+L42</f>
        <v>69255.400000000009</v>
      </c>
    </row>
    <row r="28" spans="1:12" s="319" customFormat="1" ht="33" customHeight="1" x14ac:dyDescent="0.25">
      <c r="A28" s="504"/>
      <c r="B28" s="523"/>
      <c r="C28" s="427"/>
      <c r="D28" s="47" t="s">
        <v>529</v>
      </c>
      <c r="E28" s="428" t="s">
        <v>530</v>
      </c>
      <c r="F28" s="428"/>
      <c r="G28" s="428"/>
      <c r="H28" s="428"/>
      <c r="I28" s="428"/>
      <c r="J28" s="318">
        <f>+'Հավելված N 5'!G120</f>
        <v>10122.400000000009</v>
      </c>
      <c r="K28" s="318">
        <f>+'Հավելված N 5'!H120</f>
        <v>-3210.3999999999796</v>
      </c>
      <c r="L28" s="318">
        <f>+'Հավելված N 5'!I120</f>
        <v>-24069.199999999997</v>
      </c>
    </row>
    <row r="29" spans="1:12" s="317" customFormat="1" x14ac:dyDescent="0.25">
      <c r="A29" s="504"/>
      <c r="B29" s="405"/>
      <c r="C29" s="427"/>
      <c r="D29" s="433"/>
      <c r="E29" s="433"/>
      <c r="F29" s="482" t="s">
        <v>591</v>
      </c>
      <c r="G29" s="482"/>
      <c r="H29" s="482"/>
      <c r="I29" s="482"/>
      <c r="J29" s="482"/>
      <c r="K29" s="482"/>
      <c r="L29" s="483"/>
    </row>
    <row r="30" spans="1:12" s="317" customFormat="1" ht="17.649999999999999" customHeight="1" x14ac:dyDescent="0.25">
      <c r="A30" s="504"/>
      <c r="B30" s="405"/>
      <c r="C30" s="427"/>
      <c r="D30" s="434"/>
      <c r="E30" s="434"/>
      <c r="F30" s="433"/>
      <c r="G30" s="482" t="s">
        <v>171</v>
      </c>
      <c r="H30" s="482"/>
      <c r="I30" s="482"/>
      <c r="J30" s="482"/>
      <c r="K30" s="482"/>
      <c r="L30" s="483"/>
    </row>
    <row r="31" spans="1:12" s="317" customFormat="1" x14ac:dyDescent="0.25">
      <c r="A31" s="504"/>
      <c r="B31" s="405"/>
      <c r="C31" s="427"/>
      <c r="D31" s="434"/>
      <c r="E31" s="434"/>
      <c r="F31" s="434"/>
      <c r="G31" s="309"/>
      <c r="H31" s="482" t="s">
        <v>592</v>
      </c>
      <c r="I31" s="482"/>
      <c r="J31" s="482"/>
      <c r="K31" s="482"/>
      <c r="L31" s="483"/>
    </row>
    <row r="32" spans="1:12" s="319" customFormat="1" x14ac:dyDescent="0.25">
      <c r="A32" s="504"/>
      <c r="B32" s="405"/>
      <c r="C32" s="427"/>
      <c r="D32" s="47" t="s">
        <v>534</v>
      </c>
      <c r="E32" s="524" t="s">
        <v>182</v>
      </c>
      <c r="F32" s="524"/>
      <c r="G32" s="524"/>
      <c r="H32" s="524"/>
      <c r="I32" s="524"/>
      <c r="J32" s="318">
        <f>+'Հավելված N 5'!G28</f>
        <v>53674.600000000006</v>
      </c>
      <c r="K32" s="318">
        <f>+'Հավելված N 5'!H28</f>
        <v>53674.600000000006</v>
      </c>
      <c r="L32" s="318">
        <f>+'Հավելված N 5'!I28</f>
        <v>53674.600000000006</v>
      </c>
    </row>
    <row r="33" spans="1:12" s="317" customFormat="1" ht="38.450000000000003" customHeight="1" x14ac:dyDescent="0.25">
      <c r="A33" s="504"/>
      <c r="B33" s="405"/>
      <c r="C33" s="427"/>
      <c r="D33" s="427"/>
      <c r="E33" s="427"/>
      <c r="F33" s="482" t="s">
        <v>596</v>
      </c>
      <c r="G33" s="482"/>
      <c r="H33" s="482"/>
      <c r="I33" s="482"/>
      <c r="J33" s="482"/>
      <c r="K33" s="482"/>
      <c r="L33" s="483"/>
    </row>
    <row r="34" spans="1:12" s="317" customFormat="1" ht="17.649999999999999" customHeight="1" x14ac:dyDescent="0.25">
      <c r="A34" s="504"/>
      <c r="B34" s="405"/>
      <c r="C34" s="427"/>
      <c r="D34" s="427"/>
      <c r="E34" s="427"/>
      <c r="F34" s="427"/>
      <c r="G34" s="482" t="s">
        <v>66</v>
      </c>
      <c r="H34" s="482"/>
      <c r="I34" s="482"/>
      <c r="J34" s="482"/>
      <c r="K34" s="482"/>
      <c r="L34" s="483"/>
    </row>
    <row r="35" spans="1:12" s="317" customFormat="1" ht="17.649999999999999" customHeight="1" x14ac:dyDescent="0.25">
      <c r="A35" s="504"/>
      <c r="B35" s="405"/>
      <c r="C35" s="427"/>
      <c r="D35" s="427"/>
      <c r="E35" s="427"/>
      <c r="F35" s="427"/>
      <c r="G35" s="427"/>
      <c r="H35" s="481" t="s">
        <v>594</v>
      </c>
      <c r="I35" s="482"/>
      <c r="J35" s="482"/>
      <c r="K35" s="482"/>
      <c r="L35" s="483"/>
    </row>
    <row r="36" spans="1:12" ht="34.5" x14ac:dyDescent="0.25">
      <c r="A36" s="504"/>
      <c r="B36" s="405"/>
      <c r="C36" s="427"/>
      <c r="D36" s="427"/>
      <c r="E36" s="427"/>
      <c r="F36" s="427"/>
      <c r="G36" s="427"/>
      <c r="H36" s="313"/>
      <c r="I36" s="320" t="s">
        <v>597</v>
      </c>
      <c r="J36" s="320">
        <v>2</v>
      </c>
      <c r="K36" s="320"/>
      <c r="L36" s="321">
        <v>2</v>
      </c>
    </row>
    <row r="37" spans="1:12" s="319" customFormat="1" ht="33" customHeight="1" x14ac:dyDescent="0.25">
      <c r="A37" s="504"/>
      <c r="B37" s="405"/>
      <c r="C37" s="427"/>
      <c r="D37" s="47" t="s">
        <v>532</v>
      </c>
      <c r="E37" s="428" t="s">
        <v>476</v>
      </c>
      <c r="F37" s="428"/>
      <c r="G37" s="428"/>
      <c r="H37" s="428"/>
      <c r="I37" s="428"/>
      <c r="J37" s="318">
        <f>+'Հավելված N 5'!G44</f>
        <v>29650</v>
      </c>
      <c r="K37" s="318">
        <f>+'Հավելված N 5'!H44</f>
        <v>29650</v>
      </c>
      <c r="L37" s="318">
        <f>+'Հավելված N 5'!I44</f>
        <v>29650</v>
      </c>
    </row>
    <row r="38" spans="1:12" s="317" customFormat="1" x14ac:dyDescent="0.25">
      <c r="A38" s="504"/>
      <c r="B38" s="405"/>
      <c r="C38" s="427"/>
      <c r="D38" s="427"/>
      <c r="E38" s="427"/>
      <c r="F38" s="482" t="s">
        <v>593</v>
      </c>
      <c r="G38" s="482"/>
      <c r="H38" s="482"/>
      <c r="I38" s="482"/>
      <c r="J38" s="482"/>
      <c r="K38" s="482"/>
      <c r="L38" s="483"/>
    </row>
    <row r="39" spans="1:12" s="317" customFormat="1" ht="17.649999999999999" customHeight="1" x14ac:dyDescent="0.25">
      <c r="A39" s="504"/>
      <c r="B39" s="405"/>
      <c r="C39" s="427"/>
      <c r="D39" s="427"/>
      <c r="E39" s="427"/>
      <c r="F39" s="427"/>
      <c r="G39" s="482" t="s">
        <v>66</v>
      </c>
      <c r="H39" s="482"/>
      <c r="I39" s="482"/>
      <c r="J39" s="482"/>
      <c r="K39" s="482"/>
      <c r="L39" s="483"/>
    </row>
    <row r="40" spans="1:12" s="317" customFormat="1" ht="17.649999999999999" customHeight="1" x14ac:dyDescent="0.25">
      <c r="A40" s="504"/>
      <c r="B40" s="405"/>
      <c r="C40" s="427"/>
      <c r="D40" s="427"/>
      <c r="E40" s="427"/>
      <c r="F40" s="427"/>
      <c r="G40" s="427"/>
      <c r="H40" s="481" t="s">
        <v>594</v>
      </c>
      <c r="I40" s="482"/>
      <c r="J40" s="482"/>
      <c r="K40" s="482"/>
      <c r="L40" s="483"/>
    </row>
    <row r="41" spans="1:12" ht="34.5" x14ac:dyDescent="0.25">
      <c r="A41" s="504"/>
      <c r="B41" s="405"/>
      <c r="C41" s="427"/>
      <c r="D41" s="427"/>
      <c r="E41" s="427"/>
      <c r="F41" s="427"/>
      <c r="G41" s="427"/>
      <c r="H41" s="313"/>
      <c r="I41" s="320" t="s">
        <v>595</v>
      </c>
      <c r="J41" s="320">
        <v>1</v>
      </c>
      <c r="K41" s="320"/>
      <c r="L41" s="321">
        <v>1</v>
      </c>
    </row>
    <row r="42" spans="1:12" s="319" customFormat="1" ht="33" customHeight="1" x14ac:dyDescent="0.25">
      <c r="A42" s="504"/>
      <c r="B42" s="36"/>
      <c r="C42" s="427"/>
      <c r="D42" s="47" t="s">
        <v>630</v>
      </c>
      <c r="E42" s="428" t="s">
        <v>631</v>
      </c>
      <c r="F42" s="428"/>
      <c r="G42" s="428"/>
      <c r="H42" s="428"/>
      <c r="I42" s="428"/>
      <c r="J42" s="318">
        <f>+'Հավելված N 5'!G81</f>
        <v>10000</v>
      </c>
      <c r="K42" s="318">
        <f>+'Հավելված N 5'!H81</f>
        <v>10000</v>
      </c>
      <c r="L42" s="318">
        <f>+'Հավելված N 5'!I81</f>
        <v>10000</v>
      </c>
    </row>
    <row r="43" spans="1:12" s="317" customFormat="1" x14ac:dyDescent="0.25">
      <c r="A43" s="504"/>
      <c r="B43" s="36"/>
      <c r="C43" s="427"/>
      <c r="D43" s="427"/>
      <c r="E43" s="427"/>
      <c r="F43" s="482" t="s">
        <v>633</v>
      </c>
      <c r="G43" s="482"/>
      <c r="H43" s="482"/>
      <c r="I43" s="482"/>
      <c r="J43" s="482"/>
      <c r="K43" s="482"/>
      <c r="L43" s="483"/>
    </row>
    <row r="44" spans="1:12" s="317" customFormat="1" ht="17.649999999999999" customHeight="1" x14ac:dyDescent="0.25">
      <c r="A44" s="504"/>
      <c r="B44" s="36"/>
      <c r="C44" s="427"/>
      <c r="D44" s="427"/>
      <c r="E44" s="427"/>
      <c r="F44" s="427"/>
      <c r="G44" s="482" t="s">
        <v>66</v>
      </c>
      <c r="H44" s="482"/>
      <c r="I44" s="482"/>
      <c r="J44" s="482"/>
      <c r="K44" s="482"/>
      <c r="L44" s="483"/>
    </row>
    <row r="45" spans="1:12" s="317" customFormat="1" ht="17.649999999999999" customHeight="1" x14ac:dyDescent="0.25">
      <c r="A45" s="504"/>
      <c r="B45" s="36"/>
      <c r="C45" s="427"/>
      <c r="D45" s="427"/>
      <c r="E45" s="427"/>
      <c r="F45" s="427"/>
      <c r="G45" s="427"/>
      <c r="H45" s="481" t="s">
        <v>634</v>
      </c>
      <c r="I45" s="482"/>
      <c r="J45" s="482"/>
      <c r="K45" s="482"/>
      <c r="L45" s="483"/>
    </row>
    <row r="46" spans="1:12" ht="34.5" x14ac:dyDescent="0.25">
      <c r="A46" s="504"/>
      <c r="B46" s="36"/>
      <c r="C46" s="427"/>
      <c r="D46" s="427"/>
      <c r="E46" s="427"/>
      <c r="F46" s="427"/>
      <c r="G46" s="427"/>
      <c r="H46" s="313"/>
      <c r="I46" s="320" t="s">
        <v>595</v>
      </c>
      <c r="J46" s="320">
        <v>1</v>
      </c>
      <c r="K46" s="320"/>
      <c r="L46" s="321">
        <v>1</v>
      </c>
    </row>
    <row r="47" spans="1:12" ht="8.65" customHeight="1" x14ac:dyDescent="0.25">
      <c r="A47" s="504"/>
      <c r="B47" s="316"/>
      <c r="C47" s="316"/>
      <c r="D47" s="324"/>
      <c r="E47" s="316"/>
      <c r="F47" s="316"/>
      <c r="G47" s="316"/>
      <c r="H47" s="316"/>
      <c r="I47" s="316"/>
      <c r="J47" s="316"/>
      <c r="K47" s="316"/>
      <c r="L47" s="184"/>
    </row>
    <row r="48" spans="1:12" s="317" customFormat="1" ht="18" customHeight="1" x14ac:dyDescent="0.25">
      <c r="A48" s="504"/>
      <c r="B48" s="58">
        <v>1111</v>
      </c>
      <c r="C48" s="519" t="s">
        <v>602</v>
      </c>
      <c r="D48" s="519"/>
      <c r="E48" s="519"/>
      <c r="F48" s="519"/>
      <c r="G48" s="519"/>
      <c r="H48" s="519"/>
      <c r="I48" s="519"/>
      <c r="J48" s="30">
        <f>+J49</f>
        <v>190409.3</v>
      </c>
      <c r="K48" s="30">
        <f t="shared" ref="K48:L48" si="1">+K49</f>
        <v>190409.3</v>
      </c>
      <c r="L48" s="30">
        <f t="shared" si="1"/>
        <v>190409.3</v>
      </c>
    </row>
    <row r="49" spans="1:12" s="319" customFormat="1" ht="37.15" customHeight="1" x14ac:dyDescent="0.25">
      <c r="A49" s="504"/>
      <c r="B49" s="486"/>
      <c r="C49" s="427"/>
      <c r="D49" s="175" t="s">
        <v>598</v>
      </c>
      <c r="E49" s="519" t="s">
        <v>510</v>
      </c>
      <c r="F49" s="519"/>
      <c r="G49" s="519"/>
      <c r="H49" s="519"/>
      <c r="I49" s="519"/>
      <c r="J49" s="318">
        <f>+'Հավելված N 5'!G241</f>
        <v>190409.3</v>
      </c>
      <c r="K49" s="318">
        <f>+'Հավելված N 5'!H241</f>
        <v>190409.3</v>
      </c>
      <c r="L49" s="318">
        <f>+'Հավելված N 5'!I241</f>
        <v>190409.3</v>
      </c>
    </row>
    <row r="50" spans="1:12" s="317" customFormat="1" x14ac:dyDescent="0.25">
      <c r="A50" s="504"/>
      <c r="B50" s="486"/>
      <c r="C50" s="427"/>
      <c r="D50" s="522"/>
      <c r="E50" s="433"/>
      <c r="F50" s="482" t="s">
        <v>599</v>
      </c>
      <c r="G50" s="482"/>
      <c r="H50" s="482"/>
      <c r="I50" s="482"/>
      <c r="J50" s="482"/>
      <c r="K50" s="482"/>
      <c r="L50" s="483"/>
    </row>
    <row r="51" spans="1:12" s="317" customFormat="1" ht="17.649999999999999" customHeight="1" x14ac:dyDescent="0.25">
      <c r="A51" s="504"/>
      <c r="B51" s="486"/>
      <c r="C51" s="427"/>
      <c r="D51" s="441"/>
      <c r="E51" s="434"/>
      <c r="F51" s="433"/>
      <c r="G51" s="482" t="s">
        <v>66</v>
      </c>
      <c r="H51" s="482"/>
      <c r="I51" s="482"/>
      <c r="J51" s="482"/>
      <c r="K51" s="482"/>
      <c r="L51" s="483"/>
    </row>
    <row r="52" spans="1:12" s="317" customFormat="1" x14ac:dyDescent="0.25">
      <c r="A52" s="504"/>
      <c r="B52" s="486"/>
      <c r="C52" s="427"/>
      <c r="D52" s="441"/>
      <c r="E52" s="434"/>
      <c r="F52" s="434"/>
      <c r="G52" s="433"/>
      <c r="H52" s="482" t="s">
        <v>600</v>
      </c>
      <c r="I52" s="482"/>
      <c r="J52" s="482"/>
      <c r="K52" s="482"/>
      <c r="L52" s="483"/>
    </row>
    <row r="53" spans="1:12" ht="37.9" customHeight="1" x14ac:dyDescent="0.25">
      <c r="A53" s="504"/>
      <c r="B53" s="486"/>
      <c r="C53" s="427"/>
      <c r="D53" s="441"/>
      <c r="E53" s="434"/>
      <c r="F53" s="434"/>
      <c r="G53" s="434"/>
      <c r="H53" s="313"/>
      <c r="I53" s="41" t="s">
        <v>601</v>
      </c>
      <c r="J53" s="165">
        <v>1</v>
      </c>
      <c r="K53" s="314"/>
      <c r="L53" s="315">
        <v>1</v>
      </c>
    </row>
    <row r="54" spans="1:12" ht="8.65" customHeight="1" x14ac:dyDescent="0.25">
      <c r="A54" s="504"/>
      <c r="B54" s="316"/>
      <c r="C54" s="316"/>
      <c r="D54" s="324"/>
      <c r="E54" s="316"/>
      <c r="F54" s="316"/>
      <c r="G54" s="316"/>
      <c r="H54" s="316"/>
      <c r="I54" s="316"/>
      <c r="J54" s="316"/>
      <c r="K54" s="316"/>
      <c r="L54" s="184"/>
    </row>
    <row r="55" spans="1:12" s="317" customFormat="1" ht="35.450000000000003" customHeight="1" x14ac:dyDescent="0.25">
      <c r="A55" s="504"/>
      <c r="B55" s="58">
        <v>1130</v>
      </c>
      <c r="C55" s="428" t="s">
        <v>512</v>
      </c>
      <c r="D55" s="428"/>
      <c r="E55" s="428"/>
      <c r="F55" s="428"/>
      <c r="G55" s="428"/>
      <c r="H55" s="428"/>
      <c r="I55" s="428"/>
      <c r="J55" s="30">
        <f>+J56</f>
        <v>100666.3</v>
      </c>
      <c r="K55" s="30">
        <f t="shared" ref="K55:L55" si="2">+K56</f>
        <v>100666.3</v>
      </c>
      <c r="L55" s="30">
        <f t="shared" si="2"/>
        <v>100666.3</v>
      </c>
    </row>
    <row r="56" spans="1:12" s="319" customFormat="1" ht="37.15" customHeight="1" x14ac:dyDescent="0.25">
      <c r="A56" s="504"/>
      <c r="B56" s="486"/>
      <c r="C56" s="427"/>
      <c r="D56" s="186" t="s">
        <v>582</v>
      </c>
      <c r="E56" s="519" t="s">
        <v>583</v>
      </c>
      <c r="F56" s="519"/>
      <c r="G56" s="519"/>
      <c r="H56" s="519"/>
      <c r="I56" s="519"/>
      <c r="J56" s="318">
        <f>+'Հավելված N 5'!G258</f>
        <v>100666.3</v>
      </c>
      <c r="K56" s="318">
        <f>+'Հավելված N 5'!H258</f>
        <v>100666.3</v>
      </c>
      <c r="L56" s="318">
        <f>+'Հավելված N 5'!I258</f>
        <v>100666.3</v>
      </c>
    </row>
    <row r="57" spans="1:12" s="317" customFormat="1" ht="37.9" customHeight="1" x14ac:dyDescent="0.25">
      <c r="A57" s="504"/>
      <c r="B57" s="486"/>
      <c r="C57" s="427"/>
      <c r="D57" s="427"/>
      <c r="E57" s="427"/>
      <c r="F57" s="482" t="s">
        <v>584</v>
      </c>
      <c r="G57" s="482"/>
      <c r="H57" s="482"/>
      <c r="I57" s="482"/>
      <c r="J57" s="482"/>
      <c r="K57" s="482"/>
      <c r="L57" s="483"/>
    </row>
    <row r="58" spans="1:12" s="317" customFormat="1" ht="17.649999999999999" customHeight="1" x14ac:dyDescent="0.25">
      <c r="A58" s="504"/>
      <c r="B58" s="486"/>
      <c r="C58" s="427"/>
      <c r="D58" s="427"/>
      <c r="E58" s="427"/>
      <c r="F58" s="427"/>
      <c r="G58" s="482" t="s">
        <v>603</v>
      </c>
      <c r="H58" s="482"/>
      <c r="I58" s="482"/>
      <c r="J58" s="482"/>
      <c r="K58" s="482"/>
      <c r="L58" s="483"/>
    </row>
    <row r="59" spans="1:12" s="317" customFormat="1" x14ac:dyDescent="0.25">
      <c r="A59" s="504"/>
      <c r="B59" s="486"/>
      <c r="C59" s="427"/>
      <c r="D59" s="427"/>
      <c r="E59" s="427"/>
      <c r="F59" s="427"/>
      <c r="G59" s="47"/>
      <c r="H59" s="482" t="s">
        <v>604</v>
      </c>
      <c r="I59" s="482"/>
      <c r="J59" s="482"/>
      <c r="K59" s="482"/>
      <c r="L59" s="483"/>
    </row>
    <row r="60" spans="1:12" ht="8.65" customHeight="1" x14ac:dyDescent="0.25">
      <c r="A60" s="504"/>
      <c r="B60" s="316"/>
      <c r="C60" s="316"/>
      <c r="D60" s="316"/>
      <c r="E60" s="316"/>
      <c r="F60" s="316"/>
      <c r="G60" s="316"/>
      <c r="H60" s="316"/>
      <c r="I60" s="316"/>
      <c r="J60" s="316"/>
      <c r="K60" s="316"/>
      <c r="L60" s="184"/>
    </row>
    <row r="61" spans="1:12" s="317" customFormat="1" x14ac:dyDescent="0.25">
      <c r="A61" s="504"/>
      <c r="B61" s="58">
        <v>1168</v>
      </c>
      <c r="C61" s="428" t="s">
        <v>504</v>
      </c>
      <c r="D61" s="428"/>
      <c r="E61" s="428"/>
      <c r="F61" s="428"/>
      <c r="G61" s="428"/>
      <c r="H61" s="428"/>
      <c r="I61" s="428"/>
      <c r="J61" s="30">
        <f>+J62+J66</f>
        <v>8507.9</v>
      </c>
      <c r="K61" s="30">
        <f t="shared" ref="K61:L61" si="3">+K62+K66</f>
        <v>8507.9</v>
      </c>
      <c r="L61" s="30">
        <f t="shared" si="3"/>
        <v>8507.9</v>
      </c>
    </row>
    <row r="62" spans="1:12" s="319" customFormat="1" ht="34.9" customHeight="1" x14ac:dyDescent="0.25">
      <c r="A62" s="504"/>
      <c r="B62" s="518"/>
      <c r="C62" s="516"/>
      <c r="D62" s="58" t="s">
        <v>548</v>
      </c>
      <c r="E62" s="428" t="s">
        <v>185</v>
      </c>
      <c r="F62" s="428"/>
      <c r="G62" s="428"/>
      <c r="H62" s="428"/>
      <c r="I62" s="428"/>
      <c r="J62" s="318">
        <f>+'Հավելված N 5'!G96</f>
        <v>2412.2999999999997</v>
      </c>
      <c r="K62" s="318">
        <f>+'Հավելված N 5'!H96</f>
        <v>2412.2999999999997</v>
      </c>
      <c r="L62" s="318">
        <f>+'Հավելված N 5'!I96</f>
        <v>2412.2999999999997</v>
      </c>
    </row>
    <row r="63" spans="1:12" s="317" customFormat="1" ht="33.950000000000003" customHeight="1" x14ac:dyDescent="0.25">
      <c r="A63" s="504"/>
      <c r="B63" s="518"/>
      <c r="C63" s="516"/>
      <c r="D63" s="522"/>
      <c r="E63" s="433"/>
      <c r="F63" s="428" t="s">
        <v>606</v>
      </c>
      <c r="G63" s="428"/>
      <c r="H63" s="428"/>
      <c r="I63" s="428"/>
      <c r="J63" s="428"/>
      <c r="K63" s="428"/>
      <c r="L63" s="428"/>
    </row>
    <row r="64" spans="1:12" s="317" customFormat="1" ht="17.649999999999999" customHeight="1" x14ac:dyDescent="0.25">
      <c r="A64" s="504"/>
      <c r="B64" s="518"/>
      <c r="C64" s="516"/>
      <c r="D64" s="441"/>
      <c r="E64" s="434"/>
      <c r="F64" s="433"/>
      <c r="G64" s="428" t="s">
        <v>66</v>
      </c>
      <c r="H64" s="428"/>
      <c r="I64" s="428"/>
      <c r="J64" s="428"/>
      <c r="K64" s="428"/>
      <c r="L64" s="428"/>
    </row>
    <row r="65" spans="1:36" s="317" customFormat="1" x14ac:dyDescent="0.25">
      <c r="A65" s="504"/>
      <c r="B65" s="518"/>
      <c r="C65" s="516"/>
      <c r="D65" s="441"/>
      <c r="E65" s="434"/>
      <c r="F65" s="434"/>
      <c r="G65" s="309"/>
      <c r="H65" s="481" t="s">
        <v>607</v>
      </c>
      <c r="I65" s="482"/>
      <c r="J65" s="482"/>
      <c r="K65" s="482"/>
      <c r="L65" s="483"/>
    </row>
    <row r="66" spans="1:36" s="319" customFormat="1" ht="17.649999999999999" customHeight="1" x14ac:dyDescent="0.25">
      <c r="A66" s="504"/>
      <c r="B66" s="518"/>
      <c r="C66" s="516"/>
      <c r="D66" s="58" t="s">
        <v>550</v>
      </c>
      <c r="E66" s="519" t="s">
        <v>505</v>
      </c>
      <c r="F66" s="519"/>
      <c r="G66" s="519"/>
      <c r="H66" s="519"/>
      <c r="I66" s="519"/>
      <c r="J66" s="318">
        <f>+'Հավելված N 5'!G105</f>
        <v>6095.6</v>
      </c>
      <c r="K66" s="318">
        <f>+'Հավելված N 5'!H105</f>
        <v>6095.6</v>
      </c>
      <c r="L66" s="318">
        <f>+'Հավելված N 5'!I105</f>
        <v>6095.6</v>
      </c>
    </row>
    <row r="67" spans="1:36" s="317" customFormat="1" ht="17.649999999999999" customHeight="1" x14ac:dyDescent="0.25">
      <c r="A67" s="504"/>
      <c r="B67" s="518"/>
      <c r="C67" s="516"/>
      <c r="D67" s="486"/>
      <c r="E67" s="427"/>
      <c r="F67" s="520" t="s">
        <v>608</v>
      </c>
      <c r="G67" s="519"/>
      <c r="H67" s="519"/>
      <c r="I67" s="519"/>
      <c r="J67" s="519"/>
      <c r="K67" s="519"/>
      <c r="L67" s="519"/>
    </row>
    <row r="68" spans="1:36" s="317" customFormat="1" ht="17.649999999999999" customHeight="1" x14ac:dyDescent="0.25">
      <c r="A68" s="504"/>
      <c r="B68" s="518"/>
      <c r="C68" s="516"/>
      <c r="D68" s="486"/>
      <c r="E68" s="427"/>
      <c r="F68" s="521"/>
      <c r="G68" s="520" t="s">
        <v>66</v>
      </c>
      <c r="H68" s="519"/>
      <c r="I68" s="519"/>
      <c r="J68" s="519"/>
      <c r="K68" s="519"/>
      <c r="L68" s="519"/>
    </row>
    <row r="69" spans="1:36" s="317" customFormat="1" ht="18" customHeight="1" x14ac:dyDescent="0.25">
      <c r="A69" s="504"/>
      <c r="B69" s="518"/>
      <c r="C69" s="516"/>
      <c r="D69" s="486"/>
      <c r="E69" s="427"/>
      <c r="F69" s="521"/>
      <c r="G69" s="521"/>
      <c r="H69" s="520" t="s">
        <v>609</v>
      </c>
      <c r="I69" s="519"/>
      <c r="J69" s="519"/>
      <c r="K69" s="519"/>
      <c r="L69" s="519"/>
    </row>
    <row r="70" spans="1:36" ht="34.5" x14ac:dyDescent="0.25">
      <c r="A70" s="504"/>
      <c r="B70" s="518"/>
      <c r="C70" s="516"/>
      <c r="D70" s="486"/>
      <c r="E70" s="427"/>
      <c r="F70" s="521"/>
      <c r="G70" s="521"/>
      <c r="H70" s="175"/>
      <c r="I70" s="174" t="s">
        <v>610</v>
      </c>
      <c r="J70" s="330">
        <v>1</v>
      </c>
      <c r="K70" s="329"/>
      <c r="L70" s="330">
        <v>1</v>
      </c>
    </row>
    <row r="71" spans="1:36" ht="8.65" customHeight="1" x14ac:dyDescent="0.25">
      <c r="A71" s="504"/>
      <c r="B71" s="316"/>
      <c r="C71" s="316"/>
      <c r="D71" s="316"/>
      <c r="E71" s="316"/>
      <c r="F71" s="316"/>
      <c r="G71" s="316"/>
      <c r="H71" s="316"/>
      <c r="I71" s="316"/>
      <c r="J71" s="316"/>
      <c r="K71" s="316"/>
      <c r="L71" s="184"/>
    </row>
    <row r="72" spans="1:36" s="317" customFormat="1" ht="18" customHeight="1" x14ac:dyDescent="0.25">
      <c r="A72" s="504"/>
      <c r="B72" s="58">
        <v>1196</v>
      </c>
      <c r="C72" s="517" t="s">
        <v>611</v>
      </c>
      <c r="D72" s="517"/>
      <c r="E72" s="517"/>
      <c r="F72" s="517"/>
      <c r="G72" s="517"/>
      <c r="H72" s="517"/>
      <c r="I72" s="517"/>
      <c r="J72" s="30">
        <f>+J73</f>
        <v>-52500</v>
      </c>
      <c r="K72" s="30">
        <f t="shared" ref="K72:L72" si="4">+K73</f>
        <v>-33180</v>
      </c>
      <c r="L72" s="30">
        <f t="shared" si="4"/>
        <v>-8319.4000000000015</v>
      </c>
    </row>
    <row r="73" spans="1:36" s="319" customFormat="1" ht="17.649999999999999" customHeight="1" x14ac:dyDescent="0.25">
      <c r="A73" s="504"/>
      <c r="B73" s="518"/>
      <c r="C73" s="516"/>
      <c r="D73" s="58" t="s">
        <v>558</v>
      </c>
      <c r="E73" s="519" t="s">
        <v>470</v>
      </c>
      <c r="F73" s="519"/>
      <c r="G73" s="519"/>
      <c r="H73" s="519"/>
      <c r="I73" s="519"/>
      <c r="J73" s="318">
        <f>+'Հավելված N 5'!G66</f>
        <v>-52500</v>
      </c>
      <c r="K73" s="318">
        <f>+'Հավելված N 5'!H66</f>
        <v>-33180</v>
      </c>
      <c r="L73" s="318">
        <f>+'Հավելված N 5'!I66</f>
        <v>-8319.4000000000015</v>
      </c>
    </row>
    <row r="74" spans="1:36" s="317" customFormat="1" ht="37.15" customHeight="1" x14ac:dyDescent="0.25">
      <c r="A74" s="504"/>
      <c r="B74" s="518"/>
      <c r="C74" s="516"/>
      <c r="D74" s="486"/>
      <c r="E74" s="427"/>
      <c r="F74" s="520" t="s">
        <v>613</v>
      </c>
      <c r="G74" s="519"/>
      <c r="H74" s="519"/>
      <c r="I74" s="519"/>
      <c r="J74" s="519"/>
      <c r="K74" s="519"/>
      <c r="L74" s="519"/>
    </row>
    <row r="75" spans="1:36" s="317" customFormat="1" ht="17.649999999999999" customHeight="1" x14ac:dyDescent="0.25">
      <c r="A75" s="504"/>
      <c r="B75" s="518"/>
      <c r="C75" s="516"/>
      <c r="D75" s="486"/>
      <c r="E75" s="427"/>
      <c r="F75" s="521"/>
      <c r="G75" s="483" t="s">
        <v>605</v>
      </c>
      <c r="H75" s="428"/>
      <c r="I75" s="428"/>
      <c r="J75" s="428"/>
      <c r="K75" s="428"/>
      <c r="L75" s="428"/>
    </row>
    <row r="76" spans="1:36" s="317" customFormat="1" x14ac:dyDescent="0.25">
      <c r="A76" s="504"/>
      <c r="B76" s="518"/>
      <c r="C76" s="516"/>
      <c r="D76" s="486"/>
      <c r="E76" s="427"/>
      <c r="F76" s="521"/>
      <c r="G76" s="47"/>
      <c r="H76" s="482" t="s">
        <v>612</v>
      </c>
      <c r="I76" s="482"/>
      <c r="J76" s="482"/>
      <c r="K76" s="482"/>
      <c r="L76" s="483"/>
    </row>
    <row r="77" spans="1:36" ht="18" customHeight="1" x14ac:dyDescent="0.25">
      <c r="A77" s="504"/>
      <c r="B77" s="135">
        <v>1236</v>
      </c>
      <c r="C77" s="528" t="s">
        <v>125</v>
      </c>
      <c r="D77" s="529"/>
      <c r="E77" s="529"/>
      <c r="F77" s="529"/>
      <c r="G77" s="529"/>
      <c r="H77" s="529"/>
      <c r="I77" s="520"/>
      <c r="J77" s="30">
        <f>+J78</f>
        <v>1000000</v>
      </c>
      <c r="K77" s="30">
        <f t="shared" ref="K77:L77" si="5">+K78</f>
        <v>1000000</v>
      </c>
      <c r="L77" s="30">
        <f t="shared" si="5"/>
        <v>0</v>
      </c>
    </row>
    <row r="78" spans="1:36" s="41" customFormat="1" ht="16.5" customHeight="1" x14ac:dyDescent="0.25">
      <c r="A78" s="504"/>
      <c r="B78" s="516"/>
      <c r="C78" s="516"/>
      <c r="D78" s="58" t="s">
        <v>552</v>
      </c>
      <c r="E78" s="428" t="s">
        <v>284</v>
      </c>
      <c r="F78" s="428"/>
      <c r="G78" s="428"/>
      <c r="H78" s="428"/>
      <c r="I78" s="428"/>
      <c r="J78" s="318">
        <f>+'Հավելված N 5'!G169</f>
        <v>1000000</v>
      </c>
      <c r="K78" s="318">
        <f>+'Հավելված N 5'!H169</f>
        <v>1000000</v>
      </c>
      <c r="L78" s="318">
        <f>+'Հավելված N 5'!I169</f>
        <v>0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36" s="41" customFormat="1" ht="16.5" customHeight="1" x14ac:dyDescent="0.25">
      <c r="A79" s="504"/>
      <c r="B79" s="516"/>
      <c r="C79" s="516"/>
      <c r="D79" s="427"/>
      <c r="E79" s="427"/>
      <c r="F79" s="483" t="s">
        <v>614</v>
      </c>
      <c r="G79" s="428"/>
      <c r="H79" s="428"/>
      <c r="I79" s="428"/>
      <c r="J79" s="428"/>
      <c r="K79" s="428"/>
      <c r="L79" s="428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36" s="41" customFormat="1" ht="16.5" customHeight="1" x14ac:dyDescent="0.25">
      <c r="A80" s="504"/>
      <c r="B80" s="516"/>
      <c r="C80" s="516"/>
      <c r="D80" s="427"/>
      <c r="E80" s="427"/>
      <c r="F80" s="521"/>
      <c r="G80" s="483" t="s">
        <v>66</v>
      </c>
      <c r="H80" s="428"/>
      <c r="I80" s="428"/>
      <c r="J80" s="428"/>
      <c r="K80" s="428"/>
      <c r="L80" s="428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:36" s="41" customFormat="1" ht="16.5" customHeight="1" x14ac:dyDescent="0.25">
      <c r="A81" s="504"/>
      <c r="B81" s="516"/>
      <c r="C81" s="516"/>
      <c r="D81" s="427"/>
      <c r="E81" s="427"/>
      <c r="F81" s="521"/>
      <c r="G81" s="47"/>
      <c r="H81" s="483" t="s">
        <v>615</v>
      </c>
      <c r="I81" s="428"/>
      <c r="J81" s="428"/>
      <c r="K81" s="428"/>
      <c r="L81" s="428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</row>
    <row r="82" spans="1:36" x14ac:dyDescent="0.25">
      <c r="B82" s="38"/>
    </row>
    <row r="83" spans="1:36" s="41" customFormat="1" ht="30" customHeight="1" x14ac:dyDescent="0.25">
      <c r="A83" s="506" t="s">
        <v>133</v>
      </c>
      <c r="B83" s="506"/>
      <c r="C83" s="506"/>
      <c r="D83" s="506"/>
      <c r="E83" s="506"/>
      <c r="F83" s="506"/>
      <c r="G83" s="506"/>
      <c r="H83" s="506"/>
      <c r="I83" s="506"/>
      <c r="J83" s="42">
        <f>+J84+J91</f>
        <v>5127.2</v>
      </c>
      <c r="K83" s="42">
        <f t="shared" ref="K83:L83" si="6">+K84+K91</f>
        <v>35918.199999999997</v>
      </c>
      <c r="L83" s="42">
        <f t="shared" si="6"/>
        <v>17933.3</v>
      </c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1:36" x14ac:dyDescent="0.25">
      <c r="A84" s="504"/>
      <c r="B84" s="135">
        <v>1045</v>
      </c>
      <c r="C84" s="514" t="s">
        <v>508</v>
      </c>
      <c r="D84" s="514"/>
      <c r="E84" s="514"/>
      <c r="F84" s="514"/>
      <c r="G84" s="514"/>
      <c r="H84" s="514"/>
      <c r="I84" s="514"/>
      <c r="J84" s="30">
        <f>+J85</f>
        <v>0</v>
      </c>
      <c r="K84" s="30">
        <f t="shared" ref="K84:L84" si="7">+K85</f>
        <v>11000</v>
      </c>
      <c r="L84" s="30">
        <f t="shared" si="7"/>
        <v>-6984.9000000000015</v>
      </c>
    </row>
    <row r="85" spans="1:36" s="39" customFormat="1" x14ac:dyDescent="0.25">
      <c r="A85" s="504"/>
      <c r="B85" s="515"/>
      <c r="C85" s="505"/>
      <c r="D85" s="135" t="s">
        <v>523</v>
      </c>
      <c r="E85" s="514" t="s">
        <v>524</v>
      </c>
      <c r="F85" s="514"/>
      <c r="G85" s="514"/>
      <c r="H85" s="514"/>
      <c r="I85" s="514"/>
      <c r="J85" s="312">
        <f>+'Հավելված N 5'!G230</f>
        <v>0</v>
      </c>
      <c r="K85" s="312">
        <f>+'Հավելված N 5'!H230</f>
        <v>11000</v>
      </c>
      <c r="L85" s="312">
        <f>+'Հավելված N 5'!I230</f>
        <v>-6984.9000000000015</v>
      </c>
    </row>
    <row r="86" spans="1:36" x14ac:dyDescent="0.25">
      <c r="A86" s="504"/>
      <c r="B86" s="515"/>
      <c r="C86" s="505"/>
      <c r="D86" s="505"/>
      <c r="E86" s="505"/>
      <c r="F86" s="520" t="s">
        <v>587</v>
      </c>
      <c r="G86" s="519"/>
      <c r="H86" s="519"/>
      <c r="I86" s="519"/>
      <c r="J86" s="519"/>
      <c r="K86" s="519"/>
      <c r="L86" s="519"/>
    </row>
    <row r="87" spans="1:36" x14ac:dyDescent="0.25">
      <c r="A87" s="504"/>
      <c r="B87" s="515"/>
      <c r="C87" s="505"/>
      <c r="D87" s="505"/>
      <c r="E87" s="505"/>
      <c r="F87" s="521"/>
      <c r="G87" s="520" t="s">
        <v>66</v>
      </c>
      <c r="H87" s="519"/>
      <c r="I87" s="519"/>
      <c r="J87" s="519"/>
      <c r="K87" s="519"/>
      <c r="L87" s="519"/>
    </row>
    <row r="88" spans="1:36" ht="33.4" customHeight="1" x14ac:dyDescent="0.25">
      <c r="A88" s="504"/>
      <c r="B88" s="515"/>
      <c r="C88" s="505"/>
      <c r="D88" s="505"/>
      <c r="E88" s="505"/>
      <c r="F88" s="521"/>
      <c r="G88" s="521"/>
      <c r="H88" s="520" t="s">
        <v>586</v>
      </c>
      <c r="I88" s="519"/>
      <c r="J88" s="519"/>
      <c r="K88" s="519"/>
      <c r="L88" s="519"/>
    </row>
    <row r="89" spans="1:36" ht="34.5" x14ac:dyDescent="0.25">
      <c r="A89" s="504"/>
      <c r="B89" s="515"/>
      <c r="C89" s="505"/>
      <c r="D89" s="505"/>
      <c r="E89" s="505"/>
      <c r="F89" s="521"/>
      <c r="G89" s="521"/>
      <c r="H89" s="311"/>
      <c r="I89" s="174" t="s">
        <v>163</v>
      </c>
      <c r="J89" s="314"/>
      <c r="K89" s="314"/>
      <c r="L89" s="315">
        <v>1</v>
      </c>
    </row>
    <row r="90" spans="1:36" ht="8.65" customHeight="1" x14ac:dyDescent="0.25">
      <c r="A90" s="504"/>
      <c r="B90" s="335"/>
      <c r="C90" s="316"/>
      <c r="D90" s="324"/>
      <c r="E90" s="316"/>
      <c r="F90" s="316"/>
      <c r="G90" s="316"/>
      <c r="H90" s="316"/>
      <c r="I90" s="316"/>
      <c r="J90" s="316"/>
      <c r="K90" s="316"/>
      <c r="L90" s="184"/>
    </row>
    <row r="91" spans="1:36" s="317" customFormat="1" x14ac:dyDescent="0.25">
      <c r="A91" s="504"/>
      <c r="B91" s="58">
        <v>1075</v>
      </c>
      <c r="C91" s="428" t="s">
        <v>497</v>
      </c>
      <c r="D91" s="428"/>
      <c r="E91" s="428"/>
      <c r="F91" s="428"/>
      <c r="G91" s="428"/>
      <c r="H91" s="428"/>
      <c r="I91" s="428"/>
      <c r="J91" s="30">
        <f>+J92+J97</f>
        <v>5127.2</v>
      </c>
      <c r="K91" s="30">
        <f t="shared" ref="K91:L91" si="8">+K92+K97</f>
        <v>24918.2</v>
      </c>
      <c r="L91" s="30">
        <f t="shared" si="8"/>
        <v>24918.2</v>
      </c>
    </row>
    <row r="92" spans="1:36" s="319" customFormat="1" x14ac:dyDescent="0.25">
      <c r="A92" s="504"/>
      <c r="B92" s="486"/>
      <c r="C92" s="427"/>
      <c r="D92" s="47" t="s">
        <v>534</v>
      </c>
      <c r="E92" s="524" t="s">
        <v>182</v>
      </c>
      <c r="F92" s="524"/>
      <c r="G92" s="524"/>
      <c r="H92" s="524"/>
      <c r="I92" s="524"/>
      <c r="J92" s="318">
        <f>+'Հավելված N 5'!G35</f>
        <v>0</v>
      </c>
      <c r="K92" s="318">
        <f>+'Հավելված N 5'!H35</f>
        <v>19791</v>
      </c>
      <c r="L92" s="318">
        <f>+'Հավելված N 5'!I35</f>
        <v>19791</v>
      </c>
    </row>
    <row r="93" spans="1:36" s="317" customFormat="1" ht="38.450000000000003" customHeight="1" x14ac:dyDescent="0.25">
      <c r="A93" s="504"/>
      <c r="B93" s="486"/>
      <c r="C93" s="427"/>
      <c r="D93" s="427"/>
      <c r="E93" s="427"/>
      <c r="F93" s="482" t="s">
        <v>596</v>
      </c>
      <c r="G93" s="482"/>
      <c r="H93" s="482"/>
      <c r="I93" s="482"/>
      <c r="J93" s="482"/>
      <c r="K93" s="482"/>
      <c r="L93" s="483"/>
    </row>
    <row r="94" spans="1:36" s="317" customFormat="1" ht="17.649999999999999" customHeight="1" x14ac:dyDescent="0.25">
      <c r="A94" s="504"/>
      <c r="B94" s="486"/>
      <c r="C94" s="427"/>
      <c r="D94" s="427"/>
      <c r="E94" s="427"/>
      <c r="F94" s="427"/>
      <c r="G94" s="482" t="s">
        <v>66</v>
      </c>
      <c r="H94" s="482"/>
      <c r="I94" s="482"/>
      <c r="J94" s="482"/>
      <c r="K94" s="482"/>
      <c r="L94" s="483"/>
    </row>
    <row r="95" spans="1:36" s="317" customFormat="1" ht="17.649999999999999" customHeight="1" x14ac:dyDescent="0.25">
      <c r="A95" s="504"/>
      <c r="B95" s="486"/>
      <c r="C95" s="427"/>
      <c r="D95" s="427"/>
      <c r="E95" s="427"/>
      <c r="F95" s="427"/>
      <c r="G95" s="427"/>
      <c r="H95" s="481" t="s">
        <v>594</v>
      </c>
      <c r="I95" s="482"/>
      <c r="J95" s="482"/>
      <c r="K95" s="482"/>
      <c r="L95" s="483"/>
    </row>
    <row r="96" spans="1:36" ht="34.5" x14ac:dyDescent="0.25">
      <c r="A96" s="504"/>
      <c r="B96" s="486"/>
      <c r="C96" s="427"/>
      <c r="D96" s="427"/>
      <c r="E96" s="427"/>
      <c r="F96" s="427"/>
      <c r="G96" s="427"/>
      <c r="H96" s="313"/>
      <c r="I96" s="320" t="s">
        <v>597</v>
      </c>
      <c r="J96" s="320">
        <v>1</v>
      </c>
      <c r="K96" s="320"/>
      <c r="L96" s="321">
        <v>1</v>
      </c>
    </row>
    <row r="97" spans="1:36" s="319" customFormat="1" x14ac:dyDescent="0.25">
      <c r="A97" s="504"/>
      <c r="B97" s="486"/>
      <c r="C97" s="427"/>
      <c r="D97" s="47" t="s">
        <v>532</v>
      </c>
      <c r="E97" s="428" t="s">
        <v>476</v>
      </c>
      <c r="F97" s="428"/>
      <c r="G97" s="428"/>
      <c r="H97" s="428"/>
      <c r="I97" s="428"/>
      <c r="J97" s="318">
        <f>+'Հավելված N 5'!G51</f>
        <v>5127.2</v>
      </c>
      <c r="K97" s="318">
        <f>+'Հավելված N 5'!H51</f>
        <v>5127.2</v>
      </c>
      <c r="L97" s="318">
        <f>+'Հավելված N 5'!I51</f>
        <v>5127.2</v>
      </c>
    </row>
    <row r="98" spans="1:36" s="317" customFormat="1" x14ac:dyDescent="0.25">
      <c r="A98" s="504"/>
      <c r="B98" s="486"/>
      <c r="C98" s="427"/>
      <c r="D98" s="427"/>
      <c r="E98" s="427"/>
      <c r="F98" s="482" t="s">
        <v>593</v>
      </c>
      <c r="G98" s="482"/>
      <c r="H98" s="482"/>
      <c r="I98" s="482"/>
      <c r="J98" s="482"/>
      <c r="K98" s="482"/>
      <c r="L98" s="483"/>
    </row>
    <row r="99" spans="1:36" s="317" customFormat="1" ht="17.649999999999999" customHeight="1" x14ac:dyDescent="0.25">
      <c r="A99" s="504"/>
      <c r="B99" s="486"/>
      <c r="C99" s="427"/>
      <c r="D99" s="427"/>
      <c r="E99" s="427"/>
      <c r="F99" s="427"/>
      <c r="G99" s="482" t="s">
        <v>66</v>
      </c>
      <c r="H99" s="482"/>
      <c r="I99" s="482"/>
      <c r="J99" s="482"/>
      <c r="K99" s="482"/>
      <c r="L99" s="483"/>
    </row>
    <row r="100" spans="1:36" s="317" customFormat="1" ht="17.649999999999999" customHeight="1" x14ac:dyDescent="0.25">
      <c r="A100" s="504"/>
      <c r="B100" s="486"/>
      <c r="C100" s="427"/>
      <c r="D100" s="427"/>
      <c r="E100" s="427"/>
      <c r="F100" s="427"/>
      <c r="G100" s="427"/>
      <c r="H100" s="481" t="s">
        <v>594</v>
      </c>
      <c r="I100" s="482"/>
      <c r="J100" s="482"/>
      <c r="K100" s="482"/>
      <c r="L100" s="483"/>
    </row>
    <row r="101" spans="1:36" ht="34.5" x14ac:dyDescent="0.25">
      <c r="A101" s="504"/>
      <c r="B101" s="486"/>
      <c r="C101" s="427"/>
      <c r="D101" s="427"/>
      <c r="E101" s="427"/>
      <c r="F101" s="427"/>
      <c r="G101" s="427"/>
      <c r="H101" s="311"/>
      <c r="I101" s="320" t="s">
        <v>595</v>
      </c>
      <c r="J101" s="320">
        <v>1</v>
      </c>
      <c r="K101" s="320"/>
      <c r="L101" s="321">
        <v>1</v>
      </c>
    </row>
    <row r="102" spans="1:36" x14ac:dyDescent="0.25">
      <c r="B102" s="38"/>
    </row>
    <row r="103" spans="1:36" s="41" customFormat="1" ht="30" customHeight="1" x14ac:dyDescent="0.25">
      <c r="A103" s="506" t="s">
        <v>129</v>
      </c>
      <c r="B103" s="506"/>
      <c r="C103" s="506"/>
      <c r="D103" s="506"/>
      <c r="E103" s="506"/>
      <c r="F103" s="506"/>
      <c r="G103" s="506"/>
      <c r="H103" s="506"/>
      <c r="I103" s="506"/>
      <c r="J103" s="333">
        <f>+J104</f>
        <v>35071.599999999999</v>
      </c>
      <c r="K103" s="333">
        <f t="shared" ref="K103" si="9">+K104</f>
        <v>35071.599999999999</v>
      </c>
      <c r="L103" s="333">
        <f t="shared" ref="L103" si="10">+L104</f>
        <v>35071.599999999999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36" ht="18" customHeight="1" x14ac:dyDescent="0.25">
      <c r="A104" s="516"/>
      <c r="B104" s="135">
        <v>1236</v>
      </c>
      <c r="C104" s="528" t="s">
        <v>125</v>
      </c>
      <c r="D104" s="529"/>
      <c r="E104" s="529"/>
      <c r="F104" s="529"/>
      <c r="G104" s="529"/>
      <c r="H104" s="529"/>
      <c r="I104" s="520"/>
      <c r="J104" s="30">
        <f>+J105+J109</f>
        <v>35071.599999999999</v>
      </c>
      <c r="K104" s="30">
        <f t="shared" ref="K104" si="11">+K105+K109</f>
        <v>35071.599999999999</v>
      </c>
      <c r="L104" s="30">
        <f t="shared" ref="L104" si="12">+L105+L109</f>
        <v>35071.599999999999</v>
      </c>
    </row>
    <row r="105" spans="1:36" s="39" customFormat="1" ht="34.5" x14ac:dyDescent="0.25">
      <c r="A105" s="516"/>
      <c r="B105" s="515"/>
      <c r="C105" s="504"/>
      <c r="D105" s="175" t="s">
        <v>152</v>
      </c>
      <c r="E105" s="528" t="s">
        <v>115</v>
      </c>
      <c r="F105" s="529"/>
      <c r="G105" s="529"/>
      <c r="H105" s="529"/>
      <c r="I105" s="520"/>
      <c r="J105" s="173">
        <f>+'Հավելված N 5'!G152</f>
        <v>4591.3999999999996</v>
      </c>
      <c r="K105" s="173">
        <f>+'Հավելված N 5'!H152</f>
        <v>4591.3999999999996</v>
      </c>
      <c r="L105" s="173">
        <f>+'Հավելված N 5'!I152</f>
        <v>4591.3999999999996</v>
      </c>
    </row>
    <row r="106" spans="1:36" ht="18" customHeight="1" x14ac:dyDescent="0.25">
      <c r="A106" s="516"/>
      <c r="B106" s="515"/>
      <c r="C106" s="504"/>
      <c r="D106" s="530"/>
      <c r="E106" s="538"/>
      <c r="F106" s="528" t="s">
        <v>126</v>
      </c>
      <c r="G106" s="529"/>
      <c r="H106" s="529"/>
      <c r="I106" s="529"/>
      <c r="J106" s="529"/>
      <c r="K106" s="529"/>
      <c r="L106" s="520"/>
    </row>
    <row r="107" spans="1:36" ht="17.649999999999999" customHeight="1" x14ac:dyDescent="0.25">
      <c r="A107" s="516"/>
      <c r="B107" s="515"/>
      <c r="C107" s="504"/>
      <c r="D107" s="531"/>
      <c r="E107" s="539"/>
      <c r="F107" s="538"/>
      <c r="G107" s="528" t="s">
        <v>66</v>
      </c>
      <c r="H107" s="529"/>
      <c r="I107" s="529"/>
      <c r="J107" s="529"/>
      <c r="K107" s="529"/>
      <c r="L107" s="520"/>
    </row>
    <row r="108" spans="1:36" ht="18" customHeight="1" x14ac:dyDescent="0.25">
      <c r="A108" s="516"/>
      <c r="B108" s="515"/>
      <c r="C108" s="504"/>
      <c r="D108" s="531"/>
      <c r="E108" s="539"/>
      <c r="F108" s="539"/>
      <c r="G108" s="310"/>
      <c r="H108" s="528" t="s">
        <v>127</v>
      </c>
      <c r="I108" s="529"/>
      <c r="J108" s="529"/>
      <c r="K108" s="529"/>
      <c r="L108" s="520"/>
    </row>
    <row r="109" spans="1:36" s="41" customFormat="1" ht="16.5" customHeight="1" x14ac:dyDescent="0.25">
      <c r="A109" s="516"/>
      <c r="B109" s="515"/>
      <c r="C109" s="504"/>
      <c r="D109" s="47" t="s">
        <v>552</v>
      </c>
      <c r="E109" s="428" t="s">
        <v>284</v>
      </c>
      <c r="F109" s="428"/>
      <c r="G109" s="428"/>
      <c r="H109" s="428"/>
      <c r="I109" s="428"/>
      <c r="J109" s="318">
        <f>+'Հավելված N 5'!G176</f>
        <v>30480.199999999997</v>
      </c>
      <c r="K109" s="318">
        <f>+'Հավելված N 5'!H176</f>
        <v>30480.199999999997</v>
      </c>
      <c r="L109" s="318">
        <f>+'Հավելված N 5'!I176</f>
        <v>30480.199999999997</v>
      </c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</row>
    <row r="110" spans="1:36" s="41" customFormat="1" ht="16.5" customHeight="1" x14ac:dyDescent="0.25">
      <c r="A110" s="516"/>
      <c r="B110" s="515"/>
      <c r="C110" s="504"/>
      <c r="D110" s="427"/>
      <c r="E110" s="427"/>
      <c r="F110" s="483" t="s">
        <v>614</v>
      </c>
      <c r="G110" s="428"/>
      <c r="H110" s="428"/>
      <c r="I110" s="428"/>
      <c r="J110" s="428"/>
      <c r="K110" s="428"/>
      <c r="L110" s="428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</row>
    <row r="111" spans="1:36" s="41" customFormat="1" ht="16.5" customHeight="1" x14ac:dyDescent="0.25">
      <c r="A111" s="516"/>
      <c r="B111" s="515"/>
      <c r="C111" s="504"/>
      <c r="D111" s="427"/>
      <c r="E111" s="427"/>
      <c r="F111" s="427"/>
      <c r="G111" s="483" t="s">
        <v>66</v>
      </c>
      <c r="H111" s="428"/>
      <c r="I111" s="428"/>
      <c r="J111" s="428"/>
      <c r="K111" s="428"/>
      <c r="L111" s="428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</row>
    <row r="112" spans="1:36" s="41" customFormat="1" ht="16.5" customHeight="1" x14ac:dyDescent="0.25">
      <c r="A112" s="516"/>
      <c r="B112" s="515"/>
      <c r="C112" s="504"/>
      <c r="D112" s="427"/>
      <c r="E112" s="427"/>
      <c r="F112" s="427"/>
      <c r="G112" s="427"/>
      <c r="H112" s="483" t="s">
        <v>615</v>
      </c>
      <c r="I112" s="428"/>
      <c r="J112" s="428"/>
      <c r="K112" s="428"/>
      <c r="L112" s="428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</row>
    <row r="113" spans="1:36" s="317" customFormat="1" ht="75.599999999999994" customHeight="1" x14ac:dyDescent="0.25">
      <c r="A113" s="516"/>
      <c r="B113" s="515"/>
      <c r="C113" s="504"/>
      <c r="D113" s="427"/>
      <c r="E113" s="427"/>
      <c r="F113" s="427"/>
      <c r="G113" s="427"/>
      <c r="H113" s="511"/>
      <c r="I113" s="33" t="s">
        <v>616</v>
      </c>
      <c r="J113" s="331">
        <v>23</v>
      </c>
      <c r="K113" s="332"/>
      <c r="L113" s="332">
        <v>23</v>
      </c>
    </row>
    <row r="114" spans="1:36" s="317" customFormat="1" ht="75.599999999999994" customHeight="1" x14ac:dyDescent="0.25">
      <c r="A114" s="516"/>
      <c r="B114" s="515"/>
      <c r="C114" s="504"/>
      <c r="D114" s="427"/>
      <c r="E114" s="427"/>
      <c r="F114" s="427"/>
      <c r="G114" s="427"/>
      <c r="H114" s="512"/>
      <c r="I114" s="33" t="s">
        <v>617</v>
      </c>
      <c r="J114" s="331">
        <v>1</v>
      </c>
      <c r="K114" s="332"/>
      <c r="L114" s="332">
        <v>1</v>
      </c>
    </row>
    <row r="115" spans="1:36" s="317" customFormat="1" ht="58.15" customHeight="1" x14ac:dyDescent="0.25">
      <c r="A115" s="516"/>
      <c r="B115" s="515"/>
      <c r="C115" s="504"/>
      <c r="D115" s="427"/>
      <c r="E115" s="427"/>
      <c r="F115" s="427"/>
      <c r="G115" s="427"/>
      <c r="H115" s="512"/>
      <c r="I115" s="33" t="s">
        <v>618</v>
      </c>
      <c r="J115" s="331">
        <v>1</v>
      </c>
      <c r="K115" s="332"/>
      <c r="L115" s="332">
        <v>1</v>
      </c>
    </row>
    <row r="116" spans="1:36" s="317" customFormat="1" ht="75.599999999999994" customHeight="1" x14ac:dyDescent="0.25">
      <c r="A116" s="516"/>
      <c r="B116" s="515"/>
      <c r="C116" s="504"/>
      <c r="D116" s="427"/>
      <c r="E116" s="427"/>
      <c r="F116" s="427"/>
      <c r="G116" s="427"/>
      <c r="H116" s="513"/>
      <c r="I116" s="33" t="s">
        <v>619</v>
      </c>
      <c r="J116" s="331">
        <v>2</v>
      </c>
      <c r="K116" s="332"/>
      <c r="L116" s="332">
        <v>2</v>
      </c>
    </row>
    <row r="117" spans="1:36" x14ac:dyDescent="0.25">
      <c r="B117" s="38"/>
    </row>
    <row r="118" spans="1:36" s="41" customFormat="1" ht="30" customHeight="1" x14ac:dyDescent="0.25">
      <c r="A118" s="506" t="s">
        <v>130</v>
      </c>
      <c r="B118" s="506"/>
      <c r="C118" s="506"/>
      <c r="D118" s="506"/>
      <c r="E118" s="506"/>
      <c r="F118" s="506"/>
      <c r="G118" s="506"/>
      <c r="H118" s="506"/>
      <c r="I118" s="506"/>
      <c r="J118" s="333">
        <f>+J119</f>
        <v>0</v>
      </c>
      <c r="K118" s="333">
        <f t="shared" ref="K118:L119" si="13">+K119</f>
        <v>32487.4</v>
      </c>
      <c r="L118" s="333">
        <f t="shared" si="13"/>
        <v>32487.4</v>
      </c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36" ht="18" customHeight="1" x14ac:dyDescent="0.25">
      <c r="A119" s="516"/>
      <c r="B119" s="135">
        <v>1236</v>
      </c>
      <c r="C119" s="528" t="s">
        <v>125</v>
      </c>
      <c r="D119" s="529"/>
      <c r="E119" s="529"/>
      <c r="F119" s="529"/>
      <c r="G119" s="529"/>
      <c r="H119" s="529"/>
      <c r="I119" s="520"/>
      <c r="J119" s="30">
        <f>+J120</f>
        <v>0</v>
      </c>
      <c r="K119" s="30">
        <f t="shared" si="13"/>
        <v>32487.4</v>
      </c>
      <c r="L119" s="30">
        <f t="shared" si="13"/>
        <v>32487.4</v>
      </c>
    </row>
    <row r="120" spans="1:36" s="41" customFormat="1" ht="16.149999999999999" customHeight="1" x14ac:dyDescent="0.25">
      <c r="A120" s="516"/>
      <c r="B120" s="531"/>
      <c r="C120" s="543"/>
      <c r="D120" s="47" t="s">
        <v>552</v>
      </c>
      <c r="E120" s="428" t="s">
        <v>284</v>
      </c>
      <c r="F120" s="428"/>
      <c r="G120" s="428"/>
      <c r="H120" s="428"/>
      <c r="I120" s="428"/>
      <c r="J120" s="318">
        <f>+'Հավելված N 5'!G183</f>
        <v>0</v>
      </c>
      <c r="K120" s="318">
        <f>+'Հավելված N 5'!H183</f>
        <v>32487.4</v>
      </c>
      <c r="L120" s="318">
        <f>+'Հավելված N 5'!I183</f>
        <v>32487.4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</row>
    <row r="121" spans="1:36" s="41" customFormat="1" ht="16.5" customHeight="1" x14ac:dyDescent="0.25">
      <c r="A121" s="516"/>
      <c r="B121" s="531"/>
      <c r="C121" s="543"/>
      <c r="D121" s="427"/>
      <c r="E121" s="427"/>
      <c r="F121" s="483" t="s">
        <v>614</v>
      </c>
      <c r="G121" s="428"/>
      <c r="H121" s="428"/>
      <c r="I121" s="428"/>
      <c r="J121" s="428"/>
      <c r="K121" s="428"/>
      <c r="L121" s="428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</row>
    <row r="122" spans="1:36" s="41" customFormat="1" ht="16.5" customHeight="1" x14ac:dyDescent="0.25">
      <c r="A122" s="516"/>
      <c r="B122" s="531"/>
      <c r="C122" s="543"/>
      <c r="D122" s="427"/>
      <c r="E122" s="427"/>
      <c r="F122" s="427"/>
      <c r="G122" s="483" t="s">
        <v>66</v>
      </c>
      <c r="H122" s="428"/>
      <c r="I122" s="428"/>
      <c r="J122" s="428"/>
      <c r="K122" s="428"/>
      <c r="L122" s="428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</row>
    <row r="123" spans="1:36" s="41" customFormat="1" ht="16.5" customHeight="1" x14ac:dyDescent="0.25">
      <c r="A123" s="516"/>
      <c r="B123" s="531"/>
      <c r="C123" s="543"/>
      <c r="D123" s="427"/>
      <c r="E123" s="427"/>
      <c r="F123" s="427"/>
      <c r="G123" s="427"/>
      <c r="H123" s="483" t="s">
        <v>615</v>
      </c>
      <c r="I123" s="428"/>
      <c r="J123" s="428"/>
      <c r="K123" s="428"/>
      <c r="L123" s="428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</row>
    <row r="124" spans="1:36" s="317" customFormat="1" ht="34.5" x14ac:dyDescent="0.25">
      <c r="A124" s="516"/>
      <c r="B124" s="545"/>
      <c r="C124" s="544"/>
      <c r="D124" s="427"/>
      <c r="E124" s="427"/>
      <c r="F124" s="427"/>
      <c r="G124" s="427"/>
      <c r="H124" s="31"/>
      <c r="I124" s="336" t="s">
        <v>620</v>
      </c>
      <c r="J124" s="33">
        <v>0</v>
      </c>
      <c r="K124" s="33"/>
      <c r="L124" s="33">
        <v>8</v>
      </c>
    </row>
    <row r="125" spans="1:36" x14ac:dyDescent="0.25">
      <c r="B125" s="38"/>
    </row>
    <row r="126" spans="1:36" s="41" customFormat="1" ht="30" customHeight="1" x14ac:dyDescent="0.25">
      <c r="A126" s="506" t="s">
        <v>131</v>
      </c>
      <c r="B126" s="506"/>
      <c r="C126" s="506"/>
      <c r="D126" s="506"/>
      <c r="E126" s="506"/>
      <c r="F126" s="506"/>
      <c r="G126" s="506"/>
      <c r="H126" s="506"/>
      <c r="I126" s="506"/>
      <c r="J126" s="333">
        <f>+J127</f>
        <v>306</v>
      </c>
      <c r="K126" s="333">
        <f t="shared" ref="K126:K127" si="14">+K127</f>
        <v>306</v>
      </c>
      <c r="L126" s="333">
        <f t="shared" ref="L126:L127" si="15">+L127</f>
        <v>306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36" ht="18" customHeight="1" x14ac:dyDescent="0.25">
      <c r="A127" s="516"/>
      <c r="B127" s="135">
        <v>1236</v>
      </c>
      <c r="C127" s="528" t="s">
        <v>125</v>
      </c>
      <c r="D127" s="529"/>
      <c r="E127" s="529"/>
      <c r="F127" s="529"/>
      <c r="G127" s="529"/>
      <c r="H127" s="529"/>
      <c r="I127" s="520"/>
      <c r="J127" s="30">
        <f>+J128</f>
        <v>306</v>
      </c>
      <c r="K127" s="30">
        <f t="shared" si="14"/>
        <v>306</v>
      </c>
      <c r="L127" s="30">
        <f t="shared" si="15"/>
        <v>306</v>
      </c>
    </row>
    <row r="128" spans="1:36" s="41" customFormat="1" ht="16.5" customHeight="1" x14ac:dyDescent="0.25">
      <c r="A128" s="516"/>
      <c r="B128" s="515"/>
      <c r="C128" s="504"/>
      <c r="D128" s="47" t="s">
        <v>552</v>
      </c>
      <c r="E128" s="428" t="s">
        <v>284</v>
      </c>
      <c r="F128" s="428"/>
      <c r="G128" s="428"/>
      <c r="H128" s="428"/>
      <c r="I128" s="428"/>
      <c r="J128" s="318">
        <f>+'Հավելված N 5'!G190</f>
        <v>306</v>
      </c>
      <c r="K128" s="318">
        <f>+'Հավելված N 5'!H190</f>
        <v>306</v>
      </c>
      <c r="L128" s="318">
        <f>+'Հավելված N 5'!I190</f>
        <v>306</v>
      </c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</row>
    <row r="129" spans="1:36" s="41" customFormat="1" ht="16.5" customHeight="1" x14ac:dyDescent="0.25">
      <c r="A129" s="516"/>
      <c r="B129" s="515"/>
      <c r="C129" s="504"/>
      <c r="D129" s="427"/>
      <c r="E129" s="427"/>
      <c r="F129" s="483" t="s">
        <v>614</v>
      </c>
      <c r="G129" s="428"/>
      <c r="H129" s="428"/>
      <c r="I129" s="428"/>
      <c r="J129" s="428"/>
      <c r="K129" s="428"/>
      <c r="L129" s="428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</row>
    <row r="130" spans="1:36" s="41" customFormat="1" ht="16.5" customHeight="1" x14ac:dyDescent="0.25">
      <c r="A130" s="516"/>
      <c r="B130" s="515"/>
      <c r="C130" s="504"/>
      <c r="D130" s="427"/>
      <c r="E130" s="427"/>
      <c r="F130" s="427"/>
      <c r="G130" s="483" t="s">
        <v>66</v>
      </c>
      <c r="H130" s="428"/>
      <c r="I130" s="428"/>
      <c r="J130" s="428"/>
      <c r="K130" s="428"/>
      <c r="L130" s="428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s="41" customFormat="1" ht="16.5" customHeight="1" x14ac:dyDescent="0.25">
      <c r="A131" s="516"/>
      <c r="B131" s="515"/>
      <c r="C131" s="504"/>
      <c r="D131" s="427"/>
      <c r="E131" s="427"/>
      <c r="F131" s="427"/>
      <c r="G131" s="427"/>
      <c r="H131" s="483" t="s">
        <v>615</v>
      </c>
      <c r="I131" s="428"/>
      <c r="J131" s="428"/>
      <c r="K131" s="428"/>
      <c r="L131" s="428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s="317" customFormat="1" ht="57.6" customHeight="1" x14ac:dyDescent="0.25">
      <c r="A132" s="516"/>
      <c r="B132" s="515"/>
      <c r="C132" s="504"/>
      <c r="D132" s="427"/>
      <c r="E132" s="427"/>
      <c r="F132" s="427"/>
      <c r="G132" s="427"/>
      <c r="H132" s="31"/>
      <c r="I132" s="33" t="s">
        <v>618</v>
      </c>
      <c r="J132" s="33">
        <v>1</v>
      </c>
      <c r="K132" s="33"/>
      <c r="L132" s="33">
        <v>1</v>
      </c>
    </row>
    <row r="133" spans="1:36" x14ac:dyDescent="0.25">
      <c r="B133" s="38"/>
    </row>
    <row r="134" spans="1:36" s="41" customFormat="1" ht="30" customHeight="1" x14ac:dyDescent="0.25">
      <c r="A134" s="506" t="s">
        <v>132</v>
      </c>
      <c r="B134" s="506"/>
      <c r="C134" s="506"/>
      <c r="D134" s="506"/>
      <c r="E134" s="506"/>
      <c r="F134" s="506"/>
      <c r="G134" s="506"/>
      <c r="H134" s="506"/>
      <c r="I134" s="506"/>
      <c r="J134" s="333">
        <f>+J136</f>
        <v>104.8</v>
      </c>
      <c r="K134" s="333">
        <f t="shared" ref="K134:L134" si="16">+K136</f>
        <v>104.8</v>
      </c>
      <c r="L134" s="333">
        <f t="shared" si="16"/>
        <v>104.8</v>
      </c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36" ht="8.65" customHeight="1" x14ac:dyDescent="0.25">
      <c r="A135" s="430"/>
      <c r="B135" s="316"/>
      <c r="C135" s="316"/>
      <c r="D135" s="324"/>
      <c r="E135" s="316"/>
      <c r="F135" s="316"/>
      <c r="G135" s="316"/>
      <c r="H135" s="316"/>
      <c r="I135" s="316"/>
      <c r="J135" s="316"/>
      <c r="K135" s="316"/>
      <c r="L135" s="184"/>
    </row>
    <row r="136" spans="1:36" ht="18" customHeight="1" x14ac:dyDescent="0.25">
      <c r="A136" s="430"/>
      <c r="B136" s="135">
        <v>1236</v>
      </c>
      <c r="C136" s="528" t="s">
        <v>125</v>
      </c>
      <c r="D136" s="529"/>
      <c r="E136" s="529"/>
      <c r="F136" s="529"/>
      <c r="G136" s="529"/>
      <c r="H136" s="529"/>
      <c r="I136" s="520"/>
      <c r="J136" s="30">
        <f>+J137</f>
        <v>104.8</v>
      </c>
      <c r="K136" s="30">
        <f t="shared" ref="K136" si="17">+K137</f>
        <v>104.8</v>
      </c>
      <c r="L136" s="30">
        <f t="shared" ref="L136" si="18">+L137</f>
        <v>104.8</v>
      </c>
    </row>
    <row r="137" spans="1:36" s="41" customFormat="1" ht="16.5" customHeight="1" x14ac:dyDescent="0.25">
      <c r="A137" s="430"/>
      <c r="B137" s="515"/>
      <c r="C137" s="504"/>
      <c r="D137" s="47" t="s">
        <v>552</v>
      </c>
      <c r="E137" s="428" t="s">
        <v>284</v>
      </c>
      <c r="F137" s="428"/>
      <c r="G137" s="428"/>
      <c r="H137" s="428"/>
      <c r="I137" s="428"/>
      <c r="J137" s="318">
        <f>+'Հավելված N 5'!G197</f>
        <v>104.8</v>
      </c>
      <c r="K137" s="318">
        <f>+'Հավելված N 5'!H197</f>
        <v>104.8</v>
      </c>
      <c r="L137" s="318">
        <f>+'Հավելված N 5'!I197</f>
        <v>104.8</v>
      </c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</row>
    <row r="138" spans="1:36" s="41" customFormat="1" ht="16.5" customHeight="1" x14ac:dyDescent="0.25">
      <c r="A138" s="430"/>
      <c r="B138" s="515"/>
      <c r="C138" s="504"/>
      <c r="D138" s="427"/>
      <c r="E138" s="427"/>
      <c r="F138" s="483" t="s">
        <v>614</v>
      </c>
      <c r="G138" s="428"/>
      <c r="H138" s="428"/>
      <c r="I138" s="428"/>
      <c r="J138" s="428"/>
      <c r="K138" s="428"/>
      <c r="L138" s="428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</row>
    <row r="139" spans="1:36" s="41" customFormat="1" ht="16.5" customHeight="1" x14ac:dyDescent="0.25">
      <c r="A139" s="430"/>
      <c r="B139" s="515"/>
      <c r="C139" s="504"/>
      <c r="D139" s="427"/>
      <c r="E139" s="427"/>
      <c r="F139" s="427"/>
      <c r="G139" s="483" t="s">
        <v>66</v>
      </c>
      <c r="H139" s="428"/>
      <c r="I139" s="428"/>
      <c r="J139" s="428"/>
      <c r="K139" s="428"/>
      <c r="L139" s="428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</row>
    <row r="140" spans="1:36" s="41" customFormat="1" ht="16.5" customHeight="1" x14ac:dyDescent="0.25">
      <c r="A140" s="430"/>
      <c r="B140" s="515"/>
      <c r="C140" s="504"/>
      <c r="D140" s="427"/>
      <c r="E140" s="427"/>
      <c r="F140" s="427"/>
      <c r="G140" s="427"/>
      <c r="H140" s="483" t="s">
        <v>615</v>
      </c>
      <c r="I140" s="428"/>
      <c r="J140" s="428"/>
      <c r="K140" s="428"/>
      <c r="L140" s="428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</row>
    <row r="141" spans="1:36" s="317" customFormat="1" ht="72.599999999999994" customHeight="1" x14ac:dyDescent="0.25">
      <c r="A141" s="546"/>
      <c r="B141" s="515"/>
      <c r="C141" s="504"/>
      <c r="D141" s="427"/>
      <c r="E141" s="427"/>
      <c r="F141" s="427"/>
      <c r="G141" s="427"/>
      <c r="H141" s="31"/>
      <c r="I141" s="33" t="s">
        <v>619</v>
      </c>
      <c r="J141" s="33">
        <v>1</v>
      </c>
      <c r="K141" s="33"/>
      <c r="L141" s="33">
        <v>1</v>
      </c>
    </row>
    <row r="142" spans="1:36" x14ac:dyDescent="0.25">
      <c r="B142" s="38"/>
    </row>
    <row r="143" spans="1:36" s="41" customFormat="1" ht="30" customHeight="1" x14ac:dyDescent="0.25">
      <c r="A143" s="506" t="s">
        <v>154</v>
      </c>
      <c r="B143" s="506"/>
      <c r="C143" s="506"/>
      <c r="D143" s="506"/>
      <c r="E143" s="506"/>
      <c r="F143" s="506"/>
      <c r="G143" s="506"/>
      <c r="H143" s="506"/>
      <c r="I143" s="506"/>
      <c r="J143" s="333">
        <f>+J144+J154</f>
        <v>0</v>
      </c>
      <c r="K143" s="333">
        <f t="shared" ref="K143:L143" si="19">+K144+K154</f>
        <v>0</v>
      </c>
      <c r="L143" s="333">
        <f t="shared" si="19"/>
        <v>-35482.200000000004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36" x14ac:dyDescent="0.25">
      <c r="A144" s="516"/>
      <c r="B144" s="135">
        <v>1139</v>
      </c>
      <c r="C144" s="507" t="s">
        <v>623</v>
      </c>
      <c r="D144" s="507"/>
      <c r="E144" s="507"/>
      <c r="F144" s="507"/>
      <c r="G144" s="507"/>
      <c r="H144" s="507"/>
      <c r="I144" s="507"/>
      <c r="J144" s="334">
        <f>+J145+J149</f>
        <v>0</v>
      </c>
      <c r="K144" s="334">
        <f t="shared" ref="K144:L144" si="20">+K145+K149</f>
        <v>0</v>
      </c>
      <c r="L144" s="334">
        <f t="shared" si="20"/>
        <v>0</v>
      </c>
    </row>
    <row r="145" spans="1:12" s="39" customFormat="1" x14ac:dyDescent="0.25">
      <c r="A145" s="516"/>
      <c r="B145" s="508"/>
      <c r="C145" s="511"/>
      <c r="D145" s="135" t="s">
        <v>624</v>
      </c>
      <c r="E145" s="514" t="s">
        <v>567</v>
      </c>
      <c r="F145" s="514"/>
      <c r="G145" s="514"/>
      <c r="H145" s="514"/>
      <c r="I145" s="514"/>
      <c r="J145" s="312">
        <f>+'Հավելված N 4'!G39</f>
        <v>-110666.3</v>
      </c>
      <c r="K145" s="312">
        <f>+'Հավելված N 4'!H39</f>
        <v>-110666.3</v>
      </c>
      <c r="L145" s="312">
        <f>+'Հավելված N 4'!I39</f>
        <v>-110666.3</v>
      </c>
    </row>
    <row r="146" spans="1:12" x14ac:dyDescent="0.25">
      <c r="A146" s="516"/>
      <c r="B146" s="509"/>
      <c r="C146" s="512"/>
      <c r="D146" s="515"/>
      <c r="E146" s="505"/>
      <c r="F146" s="514" t="s">
        <v>625</v>
      </c>
      <c r="G146" s="514"/>
      <c r="H146" s="514"/>
      <c r="I146" s="514"/>
      <c r="J146" s="514"/>
      <c r="K146" s="514"/>
      <c r="L146" s="514"/>
    </row>
    <row r="147" spans="1:12" x14ac:dyDescent="0.25">
      <c r="A147" s="516"/>
      <c r="B147" s="509"/>
      <c r="C147" s="512"/>
      <c r="D147" s="515"/>
      <c r="E147" s="505"/>
      <c r="F147" s="505"/>
      <c r="G147" s="514" t="s">
        <v>150</v>
      </c>
      <c r="H147" s="514"/>
      <c r="I147" s="514"/>
      <c r="J147" s="514"/>
      <c r="K147" s="514"/>
      <c r="L147" s="514"/>
    </row>
    <row r="148" spans="1:12" x14ac:dyDescent="0.25">
      <c r="A148" s="516"/>
      <c r="B148" s="509"/>
      <c r="C148" s="512"/>
      <c r="D148" s="515"/>
      <c r="E148" s="505"/>
      <c r="F148" s="505"/>
      <c r="G148" s="176"/>
      <c r="H148" s="514" t="s">
        <v>626</v>
      </c>
      <c r="I148" s="514"/>
      <c r="J148" s="514"/>
      <c r="K148" s="514"/>
      <c r="L148" s="514"/>
    </row>
    <row r="149" spans="1:12" s="39" customFormat="1" x14ac:dyDescent="0.25">
      <c r="A149" s="516"/>
      <c r="B149" s="509"/>
      <c r="C149" s="512"/>
      <c r="D149" s="135" t="s">
        <v>624</v>
      </c>
      <c r="E149" s="514" t="s">
        <v>567</v>
      </c>
      <c r="F149" s="514"/>
      <c r="G149" s="514"/>
      <c r="H149" s="514"/>
      <c r="I149" s="514"/>
      <c r="J149" s="312">
        <f>+'Հավելված N 4'!G40</f>
        <v>110666.3</v>
      </c>
      <c r="K149" s="312">
        <f>+'Հավելված N 4'!H40</f>
        <v>110666.3</v>
      </c>
      <c r="L149" s="312">
        <f>+'Հավելված N 4'!I40</f>
        <v>110666.3</v>
      </c>
    </row>
    <row r="150" spans="1:12" x14ac:dyDescent="0.25">
      <c r="A150" s="516"/>
      <c r="B150" s="509"/>
      <c r="C150" s="512"/>
      <c r="D150" s="515"/>
      <c r="E150" s="505"/>
      <c r="F150" s="514" t="s">
        <v>625</v>
      </c>
      <c r="G150" s="514"/>
      <c r="H150" s="514"/>
      <c r="I150" s="514"/>
      <c r="J150" s="514"/>
      <c r="K150" s="514"/>
      <c r="L150" s="514"/>
    </row>
    <row r="151" spans="1:12" x14ac:dyDescent="0.25">
      <c r="A151" s="516"/>
      <c r="B151" s="509"/>
      <c r="C151" s="512"/>
      <c r="D151" s="515"/>
      <c r="E151" s="505"/>
      <c r="F151" s="505"/>
      <c r="G151" s="514" t="s">
        <v>150</v>
      </c>
      <c r="H151" s="514"/>
      <c r="I151" s="514"/>
      <c r="J151" s="514"/>
      <c r="K151" s="514"/>
      <c r="L151" s="514"/>
    </row>
    <row r="152" spans="1:12" x14ac:dyDescent="0.25">
      <c r="A152" s="516"/>
      <c r="B152" s="510"/>
      <c r="C152" s="513"/>
      <c r="D152" s="515"/>
      <c r="E152" s="505"/>
      <c r="F152" s="505"/>
      <c r="G152" s="176"/>
      <c r="H152" s="514" t="s">
        <v>626</v>
      </c>
      <c r="I152" s="514"/>
      <c r="J152" s="514"/>
      <c r="K152" s="514"/>
      <c r="L152" s="514"/>
    </row>
    <row r="153" spans="1:12" ht="8.65" customHeight="1" x14ac:dyDescent="0.25">
      <c r="A153" s="516"/>
      <c r="B153" s="316"/>
      <c r="C153" s="316"/>
      <c r="D153" s="324"/>
      <c r="E153" s="316"/>
      <c r="F153" s="316"/>
      <c r="G153" s="316"/>
      <c r="H153" s="316"/>
      <c r="I153" s="316"/>
      <c r="J153" s="316"/>
      <c r="K153" s="316"/>
      <c r="L153" s="184"/>
    </row>
    <row r="154" spans="1:12" ht="18" customHeight="1" x14ac:dyDescent="0.25">
      <c r="A154" s="516"/>
      <c r="B154" s="135">
        <v>1236</v>
      </c>
      <c r="C154" s="528" t="s">
        <v>125</v>
      </c>
      <c r="D154" s="529"/>
      <c r="E154" s="529"/>
      <c r="F154" s="529"/>
      <c r="G154" s="529"/>
      <c r="H154" s="529"/>
      <c r="I154" s="520"/>
      <c r="J154" s="30">
        <f t="shared" ref="J154:K154" si="21">+J155</f>
        <v>0</v>
      </c>
      <c r="K154" s="30">
        <f t="shared" si="21"/>
        <v>0</v>
      </c>
      <c r="L154" s="30">
        <f>+L155</f>
        <v>-35482.200000000004</v>
      </c>
    </row>
    <row r="155" spans="1:12" s="39" customFormat="1" ht="34.5" x14ac:dyDescent="0.25">
      <c r="A155" s="516"/>
      <c r="B155" s="516"/>
      <c r="C155" s="516"/>
      <c r="D155" s="186" t="s">
        <v>152</v>
      </c>
      <c r="E155" s="528" t="s">
        <v>115</v>
      </c>
      <c r="F155" s="529"/>
      <c r="G155" s="529"/>
      <c r="H155" s="529"/>
      <c r="I155" s="520"/>
      <c r="J155" s="173">
        <f>+'Հավելված N 5'!G145</f>
        <v>0</v>
      </c>
      <c r="K155" s="173">
        <f>+'Հավելված N 5'!H145</f>
        <v>0</v>
      </c>
      <c r="L155" s="173">
        <f>+'Հավելված N 5'!I145</f>
        <v>-35482.200000000004</v>
      </c>
    </row>
    <row r="156" spans="1:12" ht="18" customHeight="1" x14ac:dyDescent="0.25">
      <c r="A156" s="516"/>
      <c r="B156" s="516"/>
      <c r="C156" s="516"/>
      <c r="D156" s="505"/>
      <c r="E156" s="521"/>
      <c r="F156" s="529" t="s">
        <v>126</v>
      </c>
      <c r="G156" s="529"/>
      <c r="H156" s="529"/>
      <c r="I156" s="529"/>
      <c r="J156" s="529"/>
      <c r="K156" s="529"/>
      <c r="L156" s="520"/>
    </row>
    <row r="157" spans="1:12" ht="17.649999999999999" customHeight="1" x14ac:dyDescent="0.25">
      <c r="A157" s="516"/>
      <c r="B157" s="516"/>
      <c r="C157" s="516"/>
      <c r="D157" s="505"/>
      <c r="E157" s="521"/>
      <c r="F157" s="521"/>
      <c r="G157" s="529" t="s">
        <v>66</v>
      </c>
      <c r="H157" s="529"/>
      <c r="I157" s="529"/>
      <c r="J157" s="529"/>
      <c r="K157" s="529"/>
      <c r="L157" s="520"/>
    </row>
    <row r="158" spans="1:12" ht="18" customHeight="1" x14ac:dyDescent="0.25">
      <c r="A158" s="516"/>
      <c r="B158" s="516"/>
      <c r="C158" s="516"/>
      <c r="D158" s="505"/>
      <c r="E158" s="521"/>
      <c r="F158" s="521"/>
      <c r="G158" s="177"/>
      <c r="H158" s="529" t="s">
        <v>127</v>
      </c>
      <c r="I158" s="529"/>
      <c r="J158" s="529"/>
      <c r="K158" s="529"/>
      <c r="L158" s="520"/>
    </row>
  </sheetData>
  <mergeCells count="250">
    <mergeCell ref="C27:I27"/>
    <mergeCell ref="K8:L8"/>
    <mergeCell ref="A9:A10"/>
    <mergeCell ref="B9:C9"/>
    <mergeCell ref="D9:G9"/>
    <mergeCell ref="H9:H10"/>
    <mergeCell ref="I9:I10"/>
    <mergeCell ref="J9:L9"/>
    <mergeCell ref="G1:H1"/>
    <mergeCell ref="J1:L1"/>
    <mergeCell ref="J2:L2"/>
    <mergeCell ref="G3:H3"/>
    <mergeCell ref="J3:L3"/>
    <mergeCell ref="A6:L6"/>
    <mergeCell ref="A11:I11"/>
    <mergeCell ref="A12:I12"/>
    <mergeCell ref="A13:I13"/>
    <mergeCell ref="C14:I14"/>
    <mergeCell ref="B15:B25"/>
    <mergeCell ref="C15:C25"/>
    <mergeCell ref="E15:I15"/>
    <mergeCell ref="D16:D20"/>
    <mergeCell ref="E16:E18"/>
    <mergeCell ref="D22:D25"/>
    <mergeCell ref="E22:E25"/>
    <mergeCell ref="F22:L22"/>
    <mergeCell ref="F23:F25"/>
    <mergeCell ref="G23:L23"/>
    <mergeCell ref="G24:G25"/>
    <mergeCell ref="H24:L24"/>
    <mergeCell ref="F16:L16"/>
    <mergeCell ref="F17:F18"/>
    <mergeCell ref="G17:L17"/>
    <mergeCell ref="G18:G20"/>
    <mergeCell ref="H18:L18"/>
    <mergeCell ref="E21:I21"/>
    <mergeCell ref="F29:L29"/>
    <mergeCell ref="F30:F31"/>
    <mergeCell ref="G30:L30"/>
    <mergeCell ref="E37:I37"/>
    <mergeCell ref="D38:D41"/>
    <mergeCell ref="E38:E41"/>
    <mergeCell ref="F38:L38"/>
    <mergeCell ref="F39:F41"/>
    <mergeCell ref="G39:L39"/>
    <mergeCell ref="G40:G41"/>
    <mergeCell ref="H40:L40"/>
    <mergeCell ref="H31:L31"/>
    <mergeCell ref="E32:I32"/>
    <mergeCell ref="D33:D36"/>
    <mergeCell ref="E33:E36"/>
    <mergeCell ref="F33:L33"/>
    <mergeCell ref="F34:F36"/>
    <mergeCell ref="G34:L34"/>
    <mergeCell ref="G35:G36"/>
    <mergeCell ref="H35:L35"/>
    <mergeCell ref="C48:I48"/>
    <mergeCell ref="B49:B53"/>
    <mergeCell ref="C49:C53"/>
    <mergeCell ref="E49:I49"/>
    <mergeCell ref="D50:D53"/>
    <mergeCell ref="E50:E53"/>
    <mergeCell ref="F50:L50"/>
    <mergeCell ref="F51:F53"/>
    <mergeCell ref="G51:L51"/>
    <mergeCell ref="G52:G53"/>
    <mergeCell ref="B28:B41"/>
    <mergeCell ref="E28:I28"/>
    <mergeCell ref="D29:D31"/>
    <mergeCell ref="E29:E31"/>
    <mergeCell ref="H59:L59"/>
    <mergeCell ref="H52:L52"/>
    <mergeCell ref="C55:I55"/>
    <mergeCell ref="B56:B59"/>
    <mergeCell ref="C56:C59"/>
    <mergeCell ref="E56:I56"/>
    <mergeCell ref="D57:D59"/>
    <mergeCell ref="E57:E59"/>
    <mergeCell ref="F57:L57"/>
    <mergeCell ref="F58:F59"/>
    <mergeCell ref="G58:L58"/>
    <mergeCell ref="C28:C46"/>
    <mergeCell ref="E42:I42"/>
    <mergeCell ref="D43:D46"/>
    <mergeCell ref="E43:E46"/>
    <mergeCell ref="F43:L43"/>
    <mergeCell ref="F44:F46"/>
    <mergeCell ref="G44:L44"/>
    <mergeCell ref="G45:G46"/>
    <mergeCell ref="H45:L45"/>
    <mergeCell ref="C61:I61"/>
    <mergeCell ref="B62:B70"/>
    <mergeCell ref="C62:C70"/>
    <mergeCell ref="E62:I62"/>
    <mergeCell ref="D63:D65"/>
    <mergeCell ref="E63:E65"/>
    <mergeCell ref="F63:L63"/>
    <mergeCell ref="F64:F65"/>
    <mergeCell ref="G64:L64"/>
    <mergeCell ref="H65:L65"/>
    <mergeCell ref="E66:I66"/>
    <mergeCell ref="D67:D70"/>
    <mergeCell ref="E67:E70"/>
    <mergeCell ref="F67:L67"/>
    <mergeCell ref="F68:F70"/>
    <mergeCell ref="G68:L68"/>
    <mergeCell ref="G69:G70"/>
    <mergeCell ref="H69:L69"/>
    <mergeCell ref="E73:I73"/>
    <mergeCell ref="D74:D76"/>
    <mergeCell ref="E74:E76"/>
    <mergeCell ref="F74:L74"/>
    <mergeCell ref="F75:F76"/>
    <mergeCell ref="G75:L75"/>
    <mergeCell ref="H76:L76"/>
    <mergeCell ref="C72:I72"/>
    <mergeCell ref="B73:B76"/>
    <mergeCell ref="C73:C76"/>
    <mergeCell ref="A83:I83"/>
    <mergeCell ref="C84:I84"/>
    <mergeCell ref="B85:B89"/>
    <mergeCell ref="C85:C89"/>
    <mergeCell ref="G147:L147"/>
    <mergeCell ref="H148:L148"/>
    <mergeCell ref="E149:I149"/>
    <mergeCell ref="D150:D152"/>
    <mergeCell ref="E150:E152"/>
    <mergeCell ref="F150:L150"/>
    <mergeCell ref="F151:F152"/>
    <mergeCell ref="G151:L151"/>
    <mergeCell ref="H152:L152"/>
    <mergeCell ref="A143:I143"/>
    <mergeCell ref="C144:I144"/>
    <mergeCell ref="B145:B152"/>
    <mergeCell ref="C145:C152"/>
    <mergeCell ref="E145:I145"/>
    <mergeCell ref="D146:D148"/>
    <mergeCell ref="E146:E148"/>
    <mergeCell ref="F146:L146"/>
    <mergeCell ref="F147:F148"/>
    <mergeCell ref="F94:F96"/>
    <mergeCell ref="G94:L94"/>
    <mergeCell ref="C91:I91"/>
    <mergeCell ref="B92:B101"/>
    <mergeCell ref="C92:C101"/>
    <mergeCell ref="E85:I85"/>
    <mergeCell ref="D86:D89"/>
    <mergeCell ref="E86:E89"/>
    <mergeCell ref="F86:L86"/>
    <mergeCell ref="F87:F89"/>
    <mergeCell ref="G87:L87"/>
    <mergeCell ref="G88:G89"/>
    <mergeCell ref="H88:L88"/>
    <mergeCell ref="E97:I97"/>
    <mergeCell ref="D98:D101"/>
    <mergeCell ref="E98:E101"/>
    <mergeCell ref="F98:L98"/>
    <mergeCell ref="F99:F101"/>
    <mergeCell ref="G99:L99"/>
    <mergeCell ref="G100:G101"/>
    <mergeCell ref="H100:L100"/>
    <mergeCell ref="E92:I92"/>
    <mergeCell ref="D93:D96"/>
    <mergeCell ref="E93:E96"/>
    <mergeCell ref="F93:L93"/>
    <mergeCell ref="G95:G96"/>
    <mergeCell ref="A144:A158"/>
    <mergeCell ref="C104:I104"/>
    <mergeCell ref="B105:B116"/>
    <mergeCell ref="C105:C116"/>
    <mergeCell ref="E105:I105"/>
    <mergeCell ref="D106:D108"/>
    <mergeCell ref="E106:E108"/>
    <mergeCell ref="F106:L106"/>
    <mergeCell ref="F107:F108"/>
    <mergeCell ref="C154:I154"/>
    <mergeCell ref="E155:I155"/>
    <mergeCell ref="D156:D158"/>
    <mergeCell ref="E156:E158"/>
    <mergeCell ref="F156:L156"/>
    <mergeCell ref="F157:F158"/>
    <mergeCell ref="G157:L157"/>
    <mergeCell ref="H158:L158"/>
    <mergeCell ref="C155:C158"/>
    <mergeCell ref="A134:I134"/>
    <mergeCell ref="E120:I120"/>
    <mergeCell ref="D121:D124"/>
    <mergeCell ref="E121:E124"/>
    <mergeCell ref="F139:F141"/>
    <mergeCell ref="G139:L139"/>
    <mergeCell ref="H95:L95"/>
    <mergeCell ref="B155:B158"/>
    <mergeCell ref="C119:I119"/>
    <mergeCell ref="G107:L107"/>
    <mergeCell ref="H108:L108"/>
    <mergeCell ref="E109:I109"/>
    <mergeCell ref="D110:D116"/>
    <mergeCell ref="E110:E116"/>
    <mergeCell ref="F110:L110"/>
    <mergeCell ref="F111:F116"/>
    <mergeCell ref="G111:L111"/>
    <mergeCell ref="G112:G116"/>
    <mergeCell ref="H112:L112"/>
    <mergeCell ref="A126:I126"/>
    <mergeCell ref="A127:A132"/>
    <mergeCell ref="C127:I127"/>
    <mergeCell ref="B128:B132"/>
    <mergeCell ref="C128:C132"/>
    <mergeCell ref="E128:I128"/>
    <mergeCell ref="D129:D132"/>
    <mergeCell ref="E129:E132"/>
    <mergeCell ref="F129:L129"/>
    <mergeCell ref="F130:F132"/>
    <mergeCell ref="F138:L138"/>
    <mergeCell ref="G140:G141"/>
    <mergeCell ref="H140:L140"/>
    <mergeCell ref="A135:A141"/>
    <mergeCell ref="G130:L130"/>
    <mergeCell ref="G131:G132"/>
    <mergeCell ref="H131:L131"/>
    <mergeCell ref="C136:I136"/>
    <mergeCell ref="B137:B141"/>
    <mergeCell ref="C137:C141"/>
    <mergeCell ref="E137:I137"/>
    <mergeCell ref="D138:D141"/>
    <mergeCell ref="E138:E141"/>
    <mergeCell ref="B78:B81"/>
    <mergeCell ref="A14:A81"/>
    <mergeCell ref="C120:C124"/>
    <mergeCell ref="B120:B124"/>
    <mergeCell ref="C77:I77"/>
    <mergeCell ref="E78:I78"/>
    <mergeCell ref="F79:L79"/>
    <mergeCell ref="G80:L80"/>
    <mergeCell ref="H81:L81"/>
    <mergeCell ref="F80:F81"/>
    <mergeCell ref="E79:E81"/>
    <mergeCell ref="D79:D81"/>
    <mergeCell ref="C78:C81"/>
    <mergeCell ref="F121:L121"/>
    <mergeCell ref="F122:F124"/>
    <mergeCell ref="G122:L122"/>
    <mergeCell ref="G123:G124"/>
    <mergeCell ref="H123:L123"/>
    <mergeCell ref="H113:H116"/>
    <mergeCell ref="A103:I103"/>
    <mergeCell ref="A84:A101"/>
    <mergeCell ref="A104:A116"/>
    <mergeCell ref="A118:I118"/>
    <mergeCell ref="A119:A12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67"/>
  <sheetViews>
    <sheetView zoomScale="82" zoomScaleNormal="100" workbookViewId="0">
      <selection activeCell="D116" sqref="D116:H116"/>
    </sheetView>
  </sheetViews>
  <sheetFormatPr defaultColWidth="9.140625" defaultRowHeight="15.75" x14ac:dyDescent="0.25"/>
  <cols>
    <col min="1" max="4" width="18.28515625" style="133" customWidth="1"/>
    <col min="5" max="6" width="14.42578125" style="133" customWidth="1"/>
    <col min="7" max="7" width="17.7109375" style="133" customWidth="1"/>
    <col min="8" max="8" width="14.42578125" style="133" customWidth="1"/>
    <col min="9" max="9" width="30.28515625" style="133" customWidth="1"/>
    <col min="10" max="10" width="40" style="256" hidden="1" customWidth="1"/>
    <col min="11" max="11" width="14.7109375" style="133" bestFit="1" customWidth="1"/>
    <col min="12" max="12" width="11.140625" style="133" bestFit="1" customWidth="1"/>
    <col min="13" max="16384" width="9.140625" style="133"/>
  </cols>
  <sheetData>
    <row r="1" spans="1:10" s="84" customFormat="1" ht="33.4" customHeight="1" x14ac:dyDescent="0.3">
      <c r="A1" s="109"/>
      <c r="B1" s="109"/>
      <c r="C1" s="109"/>
      <c r="D1" s="109"/>
      <c r="E1" s="110"/>
      <c r="F1" s="110"/>
      <c r="G1" s="111"/>
      <c r="H1" s="571" t="s">
        <v>651</v>
      </c>
      <c r="I1" s="571"/>
      <c r="J1" s="250"/>
    </row>
    <row r="2" spans="1:10" s="84" customFormat="1" ht="17.25" x14ac:dyDescent="0.3">
      <c r="A2" s="109"/>
      <c r="B2" s="109"/>
      <c r="C2" s="109"/>
      <c r="D2" s="109"/>
      <c r="E2" s="110"/>
      <c r="F2" s="110"/>
      <c r="G2" s="111"/>
      <c r="H2" s="572" t="s">
        <v>53</v>
      </c>
      <c r="I2" s="572"/>
      <c r="J2" s="250"/>
    </row>
    <row r="3" spans="1:10" s="84" customFormat="1" ht="17.25" x14ac:dyDescent="0.3">
      <c r="A3" s="109"/>
      <c r="B3" s="109"/>
      <c r="C3" s="109"/>
      <c r="D3" s="109"/>
      <c r="E3" s="110"/>
      <c r="F3" s="110"/>
      <c r="G3" s="111"/>
      <c r="H3" s="572" t="s">
        <v>0</v>
      </c>
      <c r="I3" s="572"/>
      <c r="J3" s="250"/>
    </row>
    <row r="4" spans="1:10" s="84" customFormat="1" ht="17.25" x14ac:dyDescent="0.3">
      <c r="A4" s="109"/>
      <c r="B4" s="109"/>
      <c r="C4" s="109"/>
      <c r="D4" s="109"/>
      <c r="E4" s="110"/>
      <c r="F4" s="110"/>
      <c r="G4" s="111"/>
      <c r="H4" s="111"/>
      <c r="I4" s="112"/>
      <c r="J4" s="250"/>
    </row>
    <row r="5" spans="1:10" s="84" customFormat="1" ht="17.25" x14ac:dyDescent="0.3">
      <c r="A5" s="109"/>
      <c r="B5" s="109"/>
      <c r="C5" s="109"/>
      <c r="D5" s="109"/>
      <c r="E5" s="110"/>
      <c r="F5" s="110"/>
      <c r="G5" s="111"/>
      <c r="H5" s="111"/>
      <c r="I5" s="112"/>
      <c r="J5" s="250"/>
    </row>
    <row r="6" spans="1:10" s="84" customFormat="1" ht="32.25" customHeight="1" x14ac:dyDescent="0.3">
      <c r="A6" s="573" t="s">
        <v>173</v>
      </c>
      <c r="B6" s="573"/>
      <c r="C6" s="573"/>
      <c r="D6" s="573"/>
      <c r="E6" s="573"/>
      <c r="F6" s="573"/>
      <c r="G6" s="573"/>
      <c r="H6" s="573"/>
      <c r="I6" s="573"/>
      <c r="J6" s="250"/>
    </row>
    <row r="7" spans="1:10" s="84" customFormat="1" ht="21" customHeight="1" x14ac:dyDescent="0.3">
      <c r="A7" s="573"/>
      <c r="B7" s="573"/>
      <c r="C7" s="573"/>
      <c r="D7" s="573"/>
      <c r="E7" s="573"/>
      <c r="F7" s="573"/>
      <c r="G7" s="573"/>
      <c r="H7" s="573"/>
      <c r="I7" s="573"/>
      <c r="J7" s="250"/>
    </row>
    <row r="8" spans="1:10" s="84" customFormat="1" ht="21" customHeight="1" x14ac:dyDescent="0.3">
      <c r="A8" s="113"/>
      <c r="B8" s="113"/>
      <c r="C8" s="113"/>
      <c r="D8" s="113"/>
      <c r="E8" s="113"/>
      <c r="F8" s="113"/>
      <c r="G8" s="113"/>
      <c r="H8" s="113"/>
      <c r="I8" s="113"/>
      <c r="J8" s="250"/>
    </row>
    <row r="9" spans="1:10" s="84" customFormat="1" ht="21" customHeight="1" x14ac:dyDescent="0.3">
      <c r="A9" s="113"/>
      <c r="B9" s="113"/>
      <c r="C9" s="113"/>
      <c r="D9" s="113"/>
      <c r="E9" s="113"/>
      <c r="F9" s="113"/>
      <c r="G9" s="113"/>
      <c r="H9" s="113"/>
      <c r="I9" s="113"/>
      <c r="J9" s="250"/>
    </row>
    <row r="10" spans="1:10" s="84" customFormat="1" ht="73.900000000000006" customHeight="1" x14ac:dyDescent="0.3">
      <c r="A10" s="574" t="s">
        <v>67</v>
      </c>
      <c r="B10" s="574" t="s">
        <v>68</v>
      </c>
      <c r="C10" s="574"/>
      <c r="D10" s="574"/>
      <c r="E10" s="574" t="s">
        <v>69</v>
      </c>
      <c r="F10" s="574" t="s">
        <v>70</v>
      </c>
      <c r="G10" s="574" t="s">
        <v>71</v>
      </c>
      <c r="H10" s="488" t="s">
        <v>174</v>
      </c>
      <c r="I10" s="488"/>
      <c r="J10" s="250"/>
    </row>
    <row r="11" spans="1:10" s="84" customFormat="1" ht="21" customHeight="1" x14ac:dyDescent="0.3">
      <c r="A11" s="574"/>
      <c r="B11" s="574"/>
      <c r="C11" s="574"/>
      <c r="D11" s="574"/>
      <c r="E11" s="574"/>
      <c r="F11" s="574"/>
      <c r="G11" s="574"/>
      <c r="H11" s="114" t="s">
        <v>72</v>
      </c>
      <c r="I11" s="115" t="s">
        <v>73</v>
      </c>
      <c r="J11" s="257"/>
    </row>
    <row r="12" spans="1:10" s="84" customFormat="1" ht="17.25" x14ac:dyDescent="0.3">
      <c r="A12" s="116">
        <v>1</v>
      </c>
      <c r="B12" s="564">
        <v>2</v>
      </c>
      <c r="C12" s="565"/>
      <c r="D12" s="566"/>
      <c r="E12" s="114">
        <v>3</v>
      </c>
      <c r="F12" s="114">
        <v>4</v>
      </c>
      <c r="G12" s="114">
        <v>5</v>
      </c>
      <c r="H12" s="114">
        <v>6</v>
      </c>
      <c r="I12" s="114">
        <v>7</v>
      </c>
      <c r="J12" s="257"/>
    </row>
    <row r="13" spans="1:10" s="84" customFormat="1" ht="44.85" customHeight="1" x14ac:dyDescent="0.3">
      <c r="A13" s="567" t="s">
        <v>12</v>
      </c>
      <c r="B13" s="567"/>
      <c r="C13" s="567"/>
      <c r="D13" s="567"/>
      <c r="E13" s="567"/>
      <c r="F13" s="567"/>
      <c r="G13" s="567"/>
      <c r="H13" s="567"/>
      <c r="I13" s="117">
        <f>+I14+I21+I25+I63</f>
        <v>-536532.6</v>
      </c>
      <c r="J13" s="257"/>
    </row>
    <row r="14" spans="1:10" s="120" customFormat="1" ht="17.45" customHeight="1" x14ac:dyDescent="0.3">
      <c r="A14" s="118" t="s">
        <v>165</v>
      </c>
      <c r="B14" s="118" t="s">
        <v>164</v>
      </c>
      <c r="C14" s="118" t="s">
        <v>281</v>
      </c>
      <c r="D14" s="558" t="s">
        <v>280</v>
      </c>
      <c r="E14" s="559"/>
      <c r="F14" s="559"/>
      <c r="G14" s="559"/>
      <c r="H14" s="560"/>
      <c r="I14" s="119">
        <f>+I15</f>
        <v>-8319.4</v>
      </c>
      <c r="J14" s="251"/>
    </row>
    <row r="15" spans="1:10" s="84" customFormat="1" ht="54.75" customHeight="1" x14ac:dyDescent="0.3">
      <c r="A15" s="121" t="s">
        <v>471</v>
      </c>
      <c r="B15" s="561" t="s">
        <v>472</v>
      </c>
      <c r="C15" s="562"/>
      <c r="D15" s="562"/>
      <c r="E15" s="562"/>
      <c r="F15" s="562"/>
      <c r="G15" s="562"/>
      <c r="H15" s="563"/>
      <c r="I15" s="122">
        <f>+I16+I18</f>
        <v>-8319.4</v>
      </c>
      <c r="J15" s="250"/>
    </row>
    <row r="16" spans="1:10" s="84" customFormat="1" ht="16.5" customHeight="1" x14ac:dyDescent="0.3">
      <c r="A16" s="123"/>
      <c r="B16" s="555" t="s">
        <v>206</v>
      </c>
      <c r="C16" s="556"/>
      <c r="D16" s="557"/>
      <c r="E16" s="124"/>
      <c r="F16" s="124"/>
      <c r="G16" s="125"/>
      <c r="H16" s="125"/>
      <c r="I16" s="126">
        <f>+I17</f>
        <v>-8108.6</v>
      </c>
      <c r="J16" s="250"/>
    </row>
    <row r="17" spans="1:12" s="132" customFormat="1" ht="17.25" x14ac:dyDescent="0.25">
      <c r="A17" s="228" t="s">
        <v>259</v>
      </c>
      <c r="B17" s="547" t="s">
        <v>260</v>
      </c>
      <c r="C17" s="547"/>
      <c r="D17" s="547"/>
      <c r="E17" s="128" t="s">
        <v>261</v>
      </c>
      <c r="F17" s="128" t="s">
        <v>77</v>
      </c>
      <c r="G17" s="129"/>
      <c r="H17" s="130"/>
      <c r="I17" s="131">
        <v>-8108.6</v>
      </c>
      <c r="J17" s="252"/>
      <c r="L17" s="366"/>
    </row>
    <row r="18" spans="1:12" s="242" customFormat="1" ht="16.5" customHeight="1" x14ac:dyDescent="0.3">
      <c r="A18" s="238"/>
      <c r="B18" s="568" t="s">
        <v>76</v>
      </c>
      <c r="C18" s="569"/>
      <c r="D18" s="570"/>
      <c r="E18" s="239"/>
      <c r="F18" s="239"/>
      <c r="G18" s="240"/>
      <c r="H18" s="240"/>
      <c r="I18" s="241">
        <f>SUM(I19:I20)</f>
        <v>-210.79999999999998</v>
      </c>
      <c r="J18" s="253"/>
      <c r="L18" s="367"/>
    </row>
    <row r="19" spans="1:12" s="237" customFormat="1" ht="17.25" x14ac:dyDescent="0.25">
      <c r="A19" s="228" t="s">
        <v>222</v>
      </c>
      <c r="B19" s="548" t="s">
        <v>211</v>
      </c>
      <c r="C19" s="548"/>
      <c r="D19" s="548"/>
      <c r="E19" s="235" t="s">
        <v>104</v>
      </c>
      <c r="F19" s="235" t="s">
        <v>77</v>
      </c>
      <c r="G19" s="129"/>
      <c r="H19" s="130"/>
      <c r="I19" s="131">
        <v>-162.19999999999999</v>
      </c>
      <c r="J19" s="254"/>
      <c r="L19" s="366"/>
    </row>
    <row r="20" spans="1:12" s="237" customFormat="1" ht="17.25" x14ac:dyDescent="0.25">
      <c r="A20" s="228" t="s">
        <v>223</v>
      </c>
      <c r="B20" s="548" t="s">
        <v>212</v>
      </c>
      <c r="C20" s="548"/>
      <c r="D20" s="548"/>
      <c r="E20" s="235" t="s">
        <v>213</v>
      </c>
      <c r="F20" s="235" t="s">
        <v>77</v>
      </c>
      <c r="G20" s="129"/>
      <c r="H20" s="130"/>
      <c r="I20" s="131">
        <v>-48.6</v>
      </c>
      <c r="J20" s="254"/>
      <c r="L20" s="366"/>
    </row>
    <row r="21" spans="1:12" s="120" customFormat="1" ht="17.45" customHeight="1" x14ac:dyDescent="0.3">
      <c r="A21" s="118" t="s">
        <v>165</v>
      </c>
      <c r="B21" s="118" t="s">
        <v>164</v>
      </c>
      <c r="C21" s="118" t="s">
        <v>473</v>
      </c>
      <c r="D21" s="558" t="s">
        <v>474</v>
      </c>
      <c r="E21" s="559"/>
      <c r="F21" s="559"/>
      <c r="G21" s="559"/>
      <c r="H21" s="560"/>
      <c r="I21" s="119">
        <f>+I22</f>
        <v>2412.2999999999997</v>
      </c>
      <c r="J21" s="251"/>
    </row>
    <row r="22" spans="1:12" s="84" customFormat="1" ht="54.75" customHeight="1" x14ac:dyDescent="0.3">
      <c r="A22" s="121" t="s">
        <v>475</v>
      </c>
      <c r="B22" s="561" t="s">
        <v>477</v>
      </c>
      <c r="C22" s="562"/>
      <c r="D22" s="562"/>
      <c r="E22" s="562"/>
      <c r="F22" s="562"/>
      <c r="G22" s="562"/>
      <c r="H22" s="563"/>
      <c r="I22" s="122">
        <f>+I23</f>
        <v>2412.2999999999997</v>
      </c>
      <c r="J22" s="250"/>
    </row>
    <row r="23" spans="1:12" s="84" customFormat="1" ht="16.5" customHeight="1" x14ac:dyDescent="0.3">
      <c r="A23" s="123"/>
      <c r="B23" s="555" t="s">
        <v>206</v>
      </c>
      <c r="C23" s="556"/>
      <c r="D23" s="557"/>
      <c r="E23" s="124"/>
      <c r="F23" s="124"/>
      <c r="G23" s="125"/>
      <c r="H23" s="125"/>
      <c r="I23" s="126">
        <f>SUM(I24:I24)</f>
        <v>2412.2999999999997</v>
      </c>
      <c r="J23" s="250"/>
    </row>
    <row r="24" spans="1:12" s="132" customFormat="1" ht="17.25" x14ac:dyDescent="0.25">
      <c r="A24" s="228">
        <v>45611200</v>
      </c>
      <c r="B24" s="547" t="s">
        <v>260</v>
      </c>
      <c r="C24" s="547"/>
      <c r="D24" s="547"/>
      <c r="E24" s="128" t="s">
        <v>261</v>
      </c>
      <c r="F24" s="128" t="s">
        <v>77</v>
      </c>
      <c r="G24" s="129">
        <v>2412213</v>
      </c>
      <c r="H24" s="130">
        <v>1</v>
      </c>
      <c r="I24" s="131">
        <f t="shared" ref="I24" si="0">+ROUNDUP(G24*H24/1000,1)</f>
        <v>2412.2999999999997</v>
      </c>
      <c r="J24" s="252" t="s">
        <v>635</v>
      </c>
    </row>
    <row r="25" spans="1:12" s="120" customFormat="1" ht="17.45" customHeight="1" x14ac:dyDescent="0.3">
      <c r="A25" s="118" t="s">
        <v>165</v>
      </c>
      <c r="B25" s="118" t="s">
        <v>164</v>
      </c>
      <c r="C25" s="118" t="s">
        <v>235</v>
      </c>
      <c r="D25" s="558" t="s">
        <v>236</v>
      </c>
      <c r="E25" s="559"/>
      <c r="F25" s="559"/>
      <c r="G25" s="559"/>
      <c r="H25" s="560"/>
      <c r="I25" s="119">
        <f>+I26</f>
        <v>-152172.5</v>
      </c>
      <c r="J25" s="251"/>
    </row>
    <row r="26" spans="1:12" s="84" customFormat="1" ht="54.75" customHeight="1" x14ac:dyDescent="0.3">
      <c r="A26" s="121" t="s">
        <v>237</v>
      </c>
      <c r="B26" s="561" t="s">
        <v>177</v>
      </c>
      <c r="C26" s="562"/>
      <c r="D26" s="562"/>
      <c r="E26" s="562"/>
      <c r="F26" s="562"/>
      <c r="G26" s="562"/>
      <c r="H26" s="563"/>
      <c r="I26" s="122">
        <f>+I27+I38</f>
        <v>-152172.5</v>
      </c>
      <c r="J26" s="250"/>
    </row>
    <row r="27" spans="1:12" s="84" customFormat="1" ht="16.5" customHeight="1" x14ac:dyDescent="0.3">
      <c r="A27" s="123"/>
      <c r="B27" s="555" t="s">
        <v>206</v>
      </c>
      <c r="C27" s="556"/>
      <c r="D27" s="557"/>
      <c r="E27" s="124"/>
      <c r="F27" s="124"/>
      <c r="G27" s="125"/>
      <c r="H27" s="125"/>
      <c r="I27" s="126">
        <f>SUM(I28:I37)</f>
        <v>-79283.600000000006</v>
      </c>
      <c r="J27" s="250"/>
    </row>
    <row r="28" spans="1:12" s="132" customFormat="1" ht="17.25" x14ac:dyDescent="0.25">
      <c r="A28" s="127" t="s">
        <v>263</v>
      </c>
      <c r="B28" s="547" t="s">
        <v>264</v>
      </c>
      <c r="C28" s="547"/>
      <c r="D28" s="547"/>
      <c r="E28" s="128" t="s">
        <v>261</v>
      </c>
      <c r="F28" s="128" t="s">
        <v>77</v>
      </c>
      <c r="G28" s="129"/>
      <c r="H28" s="130"/>
      <c r="I28" s="131">
        <v>-4717</v>
      </c>
      <c r="J28" s="252" t="s">
        <v>265</v>
      </c>
    </row>
    <row r="29" spans="1:12" s="132" customFormat="1" ht="17.25" x14ac:dyDescent="0.25">
      <c r="A29" s="127" t="s">
        <v>271</v>
      </c>
      <c r="B29" s="547" t="s">
        <v>264</v>
      </c>
      <c r="C29" s="547"/>
      <c r="D29" s="547"/>
      <c r="E29" s="128" t="s">
        <v>80</v>
      </c>
      <c r="F29" s="128" t="s">
        <v>77</v>
      </c>
      <c r="G29" s="129"/>
      <c r="H29" s="130"/>
      <c r="I29" s="131">
        <v>4140.8</v>
      </c>
      <c r="J29" s="252" t="s">
        <v>272</v>
      </c>
    </row>
    <row r="30" spans="1:12" s="132" customFormat="1" ht="17.25" x14ac:dyDescent="0.25">
      <c r="A30" s="127" t="s">
        <v>267</v>
      </c>
      <c r="B30" s="547" t="s">
        <v>264</v>
      </c>
      <c r="C30" s="547"/>
      <c r="D30" s="547"/>
      <c r="E30" s="128" t="s">
        <v>261</v>
      </c>
      <c r="F30" s="128" t="s">
        <v>77</v>
      </c>
      <c r="G30" s="129"/>
      <c r="H30" s="130"/>
      <c r="I30" s="131">
        <v>-7030.9</v>
      </c>
      <c r="J30" s="252" t="s">
        <v>268</v>
      </c>
    </row>
    <row r="31" spans="1:12" s="132" customFormat="1" ht="37.9" customHeight="1" x14ac:dyDescent="0.25">
      <c r="A31" s="127" t="s">
        <v>238</v>
      </c>
      <c r="B31" s="547" t="s">
        <v>239</v>
      </c>
      <c r="C31" s="547"/>
      <c r="D31" s="547"/>
      <c r="E31" s="128" t="s">
        <v>104</v>
      </c>
      <c r="F31" s="128" t="s">
        <v>77</v>
      </c>
      <c r="G31" s="129">
        <v>5000000</v>
      </c>
      <c r="H31" s="130">
        <v>-1</v>
      </c>
      <c r="I31" s="131">
        <f t="shared" ref="I31" si="1">+ROUNDDOWN(G31*H31/1000,1)</f>
        <v>-5000</v>
      </c>
      <c r="J31" s="252" t="s">
        <v>240</v>
      </c>
    </row>
    <row r="32" spans="1:12" s="132" customFormat="1" ht="37.9" customHeight="1" x14ac:dyDescent="0.25">
      <c r="A32" s="127" t="s">
        <v>245</v>
      </c>
      <c r="B32" s="547" t="s">
        <v>239</v>
      </c>
      <c r="C32" s="547"/>
      <c r="D32" s="547"/>
      <c r="E32" s="128" t="s">
        <v>104</v>
      </c>
      <c r="F32" s="128" t="s">
        <v>77</v>
      </c>
      <c r="G32" s="129">
        <v>8000000</v>
      </c>
      <c r="H32" s="130">
        <v>-1</v>
      </c>
      <c r="I32" s="131">
        <f t="shared" ref="I32" si="2">+ROUNDDOWN(G32*H32/1000,1)</f>
        <v>-8000</v>
      </c>
      <c r="J32" s="252" t="s">
        <v>246</v>
      </c>
    </row>
    <row r="33" spans="1:11" s="132" customFormat="1" ht="37.9" customHeight="1" x14ac:dyDescent="0.25">
      <c r="A33" s="127" t="s">
        <v>247</v>
      </c>
      <c r="B33" s="547" t="s">
        <v>239</v>
      </c>
      <c r="C33" s="547"/>
      <c r="D33" s="547"/>
      <c r="E33" s="128" t="s">
        <v>104</v>
      </c>
      <c r="F33" s="128" t="s">
        <v>77</v>
      </c>
      <c r="G33" s="129">
        <v>15000000</v>
      </c>
      <c r="H33" s="130">
        <v>-1</v>
      </c>
      <c r="I33" s="131">
        <f t="shared" ref="I33:I35" si="3">+ROUNDDOWN(G33*H33/1000,1)</f>
        <v>-15000</v>
      </c>
      <c r="J33" s="252" t="s">
        <v>251</v>
      </c>
    </row>
    <row r="34" spans="1:11" s="132" customFormat="1" ht="37.9" customHeight="1" x14ac:dyDescent="0.25">
      <c r="A34" s="127" t="s">
        <v>249</v>
      </c>
      <c r="B34" s="547" t="s">
        <v>239</v>
      </c>
      <c r="C34" s="547"/>
      <c r="D34" s="547"/>
      <c r="E34" s="128" t="s">
        <v>104</v>
      </c>
      <c r="F34" s="128" t="s">
        <v>77</v>
      </c>
      <c r="G34" s="129">
        <v>15000000</v>
      </c>
      <c r="H34" s="130">
        <v>-1</v>
      </c>
      <c r="I34" s="131">
        <f t="shared" si="3"/>
        <v>-15000</v>
      </c>
      <c r="J34" s="252" t="s">
        <v>248</v>
      </c>
    </row>
    <row r="35" spans="1:11" s="132" customFormat="1" ht="37.9" customHeight="1" x14ac:dyDescent="0.25">
      <c r="A35" s="127" t="s">
        <v>250</v>
      </c>
      <c r="B35" s="547" t="s">
        <v>239</v>
      </c>
      <c r="C35" s="547"/>
      <c r="D35" s="547"/>
      <c r="E35" s="128" t="s">
        <v>104</v>
      </c>
      <c r="F35" s="128" t="s">
        <v>77</v>
      </c>
      <c r="G35" s="129">
        <v>15000000</v>
      </c>
      <c r="H35" s="130">
        <v>-1</v>
      </c>
      <c r="I35" s="131">
        <f t="shared" si="3"/>
        <v>-15000</v>
      </c>
      <c r="J35" s="252" t="s">
        <v>252</v>
      </c>
    </row>
    <row r="36" spans="1:11" s="237" customFormat="1" ht="17.25" x14ac:dyDescent="0.25">
      <c r="A36" s="228" t="s">
        <v>442</v>
      </c>
      <c r="B36" s="548" t="s">
        <v>444</v>
      </c>
      <c r="C36" s="548"/>
      <c r="D36" s="548"/>
      <c r="E36" s="235" t="s">
        <v>104</v>
      </c>
      <c r="F36" s="235" t="s">
        <v>77</v>
      </c>
      <c r="G36" s="236"/>
      <c r="H36" s="130"/>
      <c r="I36" s="131">
        <v>-10628.3</v>
      </c>
      <c r="J36" s="254" t="s">
        <v>441</v>
      </c>
    </row>
    <row r="37" spans="1:11" s="237" customFormat="1" ht="17.25" x14ac:dyDescent="0.25">
      <c r="A37" s="228" t="s">
        <v>443</v>
      </c>
      <c r="B37" s="548" t="s">
        <v>444</v>
      </c>
      <c r="C37" s="548"/>
      <c r="D37" s="548"/>
      <c r="E37" s="235" t="s">
        <v>104</v>
      </c>
      <c r="F37" s="235" t="s">
        <v>77</v>
      </c>
      <c r="G37" s="236"/>
      <c r="H37" s="130"/>
      <c r="I37" s="131">
        <v>-3048.2</v>
      </c>
      <c r="J37" s="254" t="s">
        <v>437</v>
      </c>
    </row>
    <row r="38" spans="1:11" s="242" customFormat="1" ht="16.5" customHeight="1" x14ac:dyDescent="0.3">
      <c r="A38" s="238"/>
      <c r="B38" s="568" t="s">
        <v>76</v>
      </c>
      <c r="C38" s="569"/>
      <c r="D38" s="570"/>
      <c r="E38" s="239"/>
      <c r="F38" s="239"/>
      <c r="G38" s="240"/>
      <c r="H38" s="240"/>
      <c r="I38" s="241">
        <f>SUM(I39:I62)</f>
        <v>-72888.899999999994</v>
      </c>
      <c r="J38" s="253"/>
    </row>
    <row r="39" spans="1:11" s="237" customFormat="1" ht="17.25" x14ac:dyDescent="0.25">
      <c r="A39" s="228" t="s">
        <v>222</v>
      </c>
      <c r="B39" s="548" t="s">
        <v>211</v>
      </c>
      <c r="C39" s="548"/>
      <c r="D39" s="548"/>
      <c r="E39" s="235" t="s">
        <v>104</v>
      </c>
      <c r="F39" s="235" t="s">
        <v>77</v>
      </c>
      <c r="G39" s="236"/>
      <c r="H39" s="130"/>
      <c r="I39" s="131">
        <v>-13</v>
      </c>
      <c r="J39" s="254" t="s">
        <v>435</v>
      </c>
    </row>
    <row r="40" spans="1:11" s="237" customFormat="1" ht="17.25" x14ac:dyDescent="0.25">
      <c r="A40" s="228" t="s">
        <v>210</v>
      </c>
      <c r="B40" s="548" t="s">
        <v>211</v>
      </c>
      <c r="C40" s="548"/>
      <c r="D40" s="548"/>
      <c r="E40" s="235" t="s">
        <v>104</v>
      </c>
      <c r="F40" s="235" t="s">
        <v>77</v>
      </c>
      <c r="G40" s="236"/>
      <c r="H40" s="130"/>
      <c r="I40" s="131">
        <v>-94.3</v>
      </c>
      <c r="J40" s="254" t="s">
        <v>265</v>
      </c>
      <c r="K40" s="132"/>
    </row>
    <row r="41" spans="1:11" s="237" customFormat="1" ht="17.25" x14ac:dyDescent="0.25">
      <c r="A41" s="228" t="s">
        <v>273</v>
      </c>
      <c r="B41" s="548" t="s">
        <v>211</v>
      </c>
      <c r="C41" s="548"/>
      <c r="D41" s="548"/>
      <c r="E41" s="235" t="s">
        <v>104</v>
      </c>
      <c r="F41" s="235" t="s">
        <v>77</v>
      </c>
      <c r="G41" s="236"/>
      <c r="H41" s="130"/>
      <c r="I41" s="131">
        <v>-47.1</v>
      </c>
      <c r="J41" s="254" t="s">
        <v>272</v>
      </c>
    </row>
    <row r="42" spans="1:11" s="237" customFormat="1" ht="17.25" x14ac:dyDescent="0.25">
      <c r="A42" s="228" t="s">
        <v>436</v>
      </c>
      <c r="B42" s="548" t="s">
        <v>211</v>
      </c>
      <c r="C42" s="548"/>
      <c r="D42" s="548"/>
      <c r="E42" s="235" t="s">
        <v>104</v>
      </c>
      <c r="F42" s="235" t="s">
        <v>77</v>
      </c>
      <c r="G42" s="236"/>
      <c r="H42" s="130"/>
      <c r="I42" s="131">
        <v>-6.6</v>
      </c>
      <c r="J42" s="254" t="s">
        <v>437</v>
      </c>
    </row>
    <row r="43" spans="1:11" s="237" customFormat="1" ht="17.25" x14ac:dyDescent="0.25">
      <c r="A43" s="228" t="s">
        <v>438</v>
      </c>
      <c r="B43" s="548" t="s">
        <v>211</v>
      </c>
      <c r="C43" s="548"/>
      <c r="D43" s="548"/>
      <c r="E43" s="235" t="s">
        <v>104</v>
      </c>
      <c r="F43" s="235" t="s">
        <v>77</v>
      </c>
      <c r="G43" s="236"/>
      <c r="H43" s="130"/>
      <c r="I43" s="131">
        <v>-457.4</v>
      </c>
      <c r="J43" s="254" t="s">
        <v>439</v>
      </c>
    </row>
    <row r="44" spans="1:11" s="237" customFormat="1" ht="17.25" x14ac:dyDescent="0.25">
      <c r="A44" s="228" t="s">
        <v>440</v>
      </c>
      <c r="B44" s="548" t="s">
        <v>211</v>
      </c>
      <c r="C44" s="548"/>
      <c r="D44" s="548"/>
      <c r="E44" s="235" t="s">
        <v>104</v>
      </c>
      <c r="F44" s="235" t="s">
        <v>77</v>
      </c>
      <c r="G44" s="236"/>
      <c r="H44" s="130"/>
      <c r="I44" s="131">
        <v>-28.9</v>
      </c>
      <c r="J44" s="254" t="s">
        <v>441</v>
      </c>
    </row>
    <row r="45" spans="1:11" s="237" customFormat="1" ht="17.25" x14ac:dyDescent="0.25">
      <c r="A45" s="228" t="s">
        <v>269</v>
      </c>
      <c r="B45" s="548" t="s">
        <v>211</v>
      </c>
      <c r="C45" s="548"/>
      <c r="D45" s="548"/>
      <c r="E45" s="235" t="s">
        <v>104</v>
      </c>
      <c r="F45" s="235" t="s">
        <v>77</v>
      </c>
      <c r="G45" s="236"/>
      <c r="H45" s="130"/>
      <c r="I45" s="131">
        <v>-105.5</v>
      </c>
      <c r="J45" s="254" t="s">
        <v>268</v>
      </c>
      <c r="K45" s="132"/>
    </row>
    <row r="46" spans="1:11" s="237" customFormat="1" ht="17.25" x14ac:dyDescent="0.25">
      <c r="A46" s="228" t="s">
        <v>266</v>
      </c>
      <c r="B46" s="548" t="s">
        <v>212</v>
      </c>
      <c r="C46" s="548"/>
      <c r="D46" s="548"/>
      <c r="E46" s="235" t="s">
        <v>213</v>
      </c>
      <c r="F46" s="235" t="s">
        <v>77</v>
      </c>
      <c r="G46" s="236"/>
      <c r="H46" s="130"/>
      <c r="I46" s="131">
        <v>-188.7</v>
      </c>
      <c r="J46" s="254" t="s">
        <v>265</v>
      </c>
      <c r="K46" s="132"/>
    </row>
    <row r="47" spans="1:11" s="237" customFormat="1" ht="17.25" x14ac:dyDescent="0.25">
      <c r="A47" s="228" t="s">
        <v>274</v>
      </c>
      <c r="B47" s="548" t="s">
        <v>212</v>
      </c>
      <c r="C47" s="548"/>
      <c r="D47" s="548"/>
      <c r="E47" s="235" t="s">
        <v>213</v>
      </c>
      <c r="F47" s="235" t="s">
        <v>77</v>
      </c>
      <c r="G47" s="236"/>
      <c r="H47" s="130"/>
      <c r="I47" s="131">
        <v>-126.4</v>
      </c>
      <c r="J47" s="254" t="s">
        <v>272</v>
      </c>
    </row>
    <row r="48" spans="1:11" s="237" customFormat="1" ht="17.25" x14ac:dyDescent="0.25">
      <c r="A48" s="228" t="s">
        <v>270</v>
      </c>
      <c r="B48" s="548" t="s">
        <v>212</v>
      </c>
      <c r="C48" s="548"/>
      <c r="D48" s="548"/>
      <c r="E48" s="235" t="s">
        <v>213</v>
      </c>
      <c r="F48" s="235" t="s">
        <v>77</v>
      </c>
      <c r="G48" s="236"/>
      <c r="H48" s="130"/>
      <c r="I48" s="131">
        <v>-293.60000000000002</v>
      </c>
      <c r="J48" s="254" t="s">
        <v>268</v>
      </c>
      <c r="K48" s="132"/>
    </row>
    <row r="49" spans="1:10" s="237" customFormat="1" ht="17.25" x14ac:dyDescent="0.25">
      <c r="A49" s="228" t="s">
        <v>429</v>
      </c>
      <c r="B49" s="548" t="s">
        <v>156</v>
      </c>
      <c r="C49" s="548"/>
      <c r="D49" s="548"/>
      <c r="E49" s="235" t="s">
        <v>104</v>
      </c>
      <c r="F49" s="235" t="s">
        <v>77</v>
      </c>
      <c r="G49" s="236"/>
      <c r="H49" s="130"/>
      <c r="I49" s="131">
        <v>-700</v>
      </c>
      <c r="J49" s="254" t="s">
        <v>430</v>
      </c>
    </row>
    <row r="50" spans="1:10" s="237" customFormat="1" ht="17.25" x14ac:dyDescent="0.25">
      <c r="A50" s="228" t="s">
        <v>224</v>
      </c>
      <c r="B50" s="548" t="s">
        <v>156</v>
      </c>
      <c r="C50" s="548"/>
      <c r="D50" s="548"/>
      <c r="E50" s="235" t="s">
        <v>104</v>
      </c>
      <c r="F50" s="235" t="s">
        <v>77</v>
      </c>
      <c r="G50" s="236"/>
      <c r="H50" s="130"/>
      <c r="I50" s="131">
        <v>-4000</v>
      </c>
      <c r="J50" s="254" t="s">
        <v>240</v>
      </c>
    </row>
    <row r="51" spans="1:10" s="237" customFormat="1" ht="17.25" x14ac:dyDescent="0.25">
      <c r="A51" s="228" t="s">
        <v>428</v>
      </c>
      <c r="B51" s="548" t="s">
        <v>156</v>
      </c>
      <c r="C51" s="548"/>
      <c r="D51" s="548"/>
      <c r="E51" s="235" t="s">
        <v>104</v>
      </c>
      <c r="F51" s="235" t="s">
        <v>77</v>
      </c>
      <c r="G51" s="236"/>
      <c r="H51" s="130"/>
      <c r="I51" s="131">
        <v>-5111</v>
      </c>
      <c r="J51" s="254" t="s">
        <v>246</v>
      </c>
    </row>
    <row r="52" spans="1:10" s="237" customFormat="1" ht="17.25" x14ac:dyDescent="0.25">
      <c r="A52" s="228" t="s">
        <v>454</v>
      </c>
      <c r="B52" s="548" t="s">
        <v>156</v>
      </c>
      <c r="C52" s="548"/>
      <c r="D52" s="548"/>
      <c r="E52" s="235" t="s">
        <v>104</v>
      </c>
      <c r="F52" s="235" t="s">
        <v>77</v>
      </c>
      <c r="G52" s="236">
        <v>10000000</v>
      </c>
      <c r="H52" s="130">
        <v>-1</v>
      </c>
      <c r="I52" s="131">
        <f t="shared" ref="I52" si="4">+ROUND(G52*H52/1000,1)</f>
        <v>-10000</v>
      </c>
      <c r="J52" s="254" t="s">
        <v>455</v>
      </c>
    </row>
    <row r="53" spans="1:10" s="237" customFormat="1" ht="17.25" x14ac:dyDescent="0.25">
      <c r="A53" s="228" t="s">
        <v>433</v>
      </c>
      <c r="B53" s="548" t="s">
        <v>156</v>
      </c>
      <c r="C53" s="548"/>
      <c r="D53" s="548"/>
      <c r="E53" s="235" t="s">
        <v>104</v>
      </c>
      <c r="F53" s="235" t="s">
        <v>77</v>
      </c>
      <c r="G53" s="236"/>
      <c r="H53" s="130"/>
      <c r="I53" s="131">
        <v>-900</v>
      </c>
      <c r="J53" s="254" t="s">
        <v>434</v>
      </c>
    </row>
    <row r="54" spans="1:10" s="237" customFormat="1" ht="17.25" x14ac:dyDescent="0.25">
      <c r="A54" s="228" t="s">
        <v>431</v>
      </c>
      <c r="B54" s="548" t="s">
        <v>156</v>
      </c>
      <c r="C54" s="548"/>
      <c r="D54" s="548"/>
      <c r="E54" s="235" t="s">
        <v>104</v>
      </c>
      <c r="F54" s="235" t="s">
        <v>77</v>
      </c>
      <c r="G54" s="236"/>
      <c r="H54" s="130"/>
      <c r="I54" s="131">
        <v>-5440</v>
      </c>
      <c r="J54" s="254" t="s">
        <v>432</v>
      </c>
    </row>
    <row r="55" spans="1:10" s="237" customFormat="1" ht="17.25" x14ac:dyDescent="0.25">
      <c r="A55" s="228" t="s">
        <v>456</v>
      </c>
      <c r="B55" s="548" t="s">
        <v>156</v>
      </c>
      <c r="C55" s="548"/>
      <c r="D55" s="548"/>
      <c r="E55" s="235" t="s">
        <v>104</v>
      </c>
      <c r="F55" s="235" t="s">
        <v>77</v>
      </c>
      <c r="G55" s="236">
        <v>10000000</v>
      </c>
      <c r="H55" s="130">
        <v>-1</v>
      </c>
      <c r="I55" s="131">
        <f t="shared" ref="I55:I60" si="5">+ROUND(G55*H55/1000,1)</f>
        <v>-10000</v>
      </c>
      <c r="J55" s="254" t="s">
        <v>457</v>
      </c>
    </row>
    <row r="56" spans="1:10" s="237" customFormat="1" ht="17.25" x14ac:dyDescent="0.25">
      <c r="A56" s="228" t="s">
        <v>458</v>
      </c>
      <c r="B56" s="548" t="s">
        <v>156</v>
      </c>
      <c r="C56" s="548"/>
      <c r="D56" s="548"/>
      <c r="E56" s="235" t="s">
        <v>104</v>
      </c>
      <c r="F56" s="235" t="s">
        <v>77</v>
      </c>
      <c r="G56" s="236">
        <v>15000000</v>
      </c>
      <c r="H56" s="130">
        <v>-1</v>
      </c>
      <c r="I56" s="131">
        <f t="shared" si="5"/>
        <v>-15000</v>
      </c>
      <c r="J56" s="254" t="s">
        <v>460</v>
      </c>
    </row>
    <row r="57" spans="1:10" s="237" customFormat="1" ht="17.25" x14ac:dyDescent="0.25">
      <c r="A57" s="228" t="s">
        <v>459</v>
      </c>
      <c r="B57" s="548" t="s">
        <v>156</v>
      </c>
      <c r="C57" s="548"/>
      <c r="D57" s="548"/>
      <c r="E57" s="235" t="s">
        <v>104</v>
      </c>
      <c r="F57" s="235" t="s">
        <v>77</v>
      </c>
      <c r="G57" s="236">
        <v>18763000</v>
      </c>
      <c r="H57" s="130">
        <v>-1</v>
      </c>
      <c r="I57" s="131">
        <f t="shared" si="5"/>
        <v>-18763</v>
      </c>
      <c r="J57" s="254" t="s">
        <v>461</v>
      </c>
    </row>
    <row r="58" spans="1:10" s="237" customFormat="1" ht="17.45" customHeight="1" x14ac:dyDescent="0.25">
      <c r="A58" s="228" t="s">
        <v>462</v>
      </c>
      <c r="B58" s="549" t="s">
        <v>157</v>
      </c>
      <c r="C58" s="550"/>
      <c r="D58" s="551"/>
      <c r="E58" s="235" t="s">
        <v>104</v>
      </c>
      <c r="F58" s="235" t="s">
        <v>77</v>
      </c>
      <c r="G58" s="236">
        <v>800000</v>
      </c>
      <c r="H58" s="130">
        <v>-1</v>
      </c>
      <c r="I58" s="131">
        <f t="shared" si="5"/>
        <v>-800</v>
      </c>
      <c r="J58" s="254" t="s">
        <v>455</v>
      </c>
    </row>
    <row r="59" spans="1:10" s="237" customFormat="1" ht="17.45" customHeight="1" x14ac:dyDescent="0.25">
      <c r="A59" s="228" t="s">
        <v>463</v>
      </c>
      <c r="B59" s="549" t="s">
        <v>157</v>
      </c>
      <c r="C59" s="550"/>
      <c r="D59" s="551"/>
      <c r="E59" s="235" t="s">
        <v>104</v>
      </c>
      <c r="F59" s="235" t="s">
        <v>77</v>
      </c>
      <c r="G59" s="236">
        <v>800000</v>
      </c>
      <c r="H59" s="130">
        <v>-1</v>
      </c>
      <c r="I59" s="131">
        <f t="shared" si="5"/>
        <v>-800</v>
      </c>
      <c r="J59" s="254" t="s">
        <v>457</v>
      </c>
    </row>
    <row r="60" spans="1:10" s="237" customFormat="1" ht="17.45" customHeight="1" x14ac:dyDescent="0.25">
      <c r="A60" s="228" t="s">
        <v>464</v>
      </c>
      <c r="B60" s="549" t="s">
        <v>157</v>
      </c>
      <c r="C60" s="550"/>
      <c r="D60" s="551"/>
      <c r="E60" s="235" t="s">
        <v>104</v>
      </c>
      <c r="F60" s="235" t="s">
        <v>77</v>
      </c>
      <c r="G60" s="236">
        <v>1200000</v>
      </c>
      <c r="H60" s="130">
        <v>-1</v>
      </c>
      <c r="I60" s="131">
        <f t="shared" si="5"/>
        <v>-1200</v>
      </c>
      <c r="J60" s="254" t="s">
        <v>460</v>
      </c>
    </row>
    <row r="61" spans="1:10" s="237" customFormat="1" ht="17.45" customHeight="1" x14ac:dyDescent="0.25">
      <c r="A61" s="228" t="s">
        <v>465</v>
      </c>
      <c r="B61" s="549" t="s">
        <v>157</v>
      </c>
      <c r="C61" s="550"/>
      <c r="D61" s="551"/>
      <c r="E61" s="235" t="s">
        <v>104</v>
      </c>
      <c r="F61" s="235" t="s">
        <v>77</v>
      </c>
      <c r="G61" s="236">
        <v>1313410</v>
      </c>
      <c r="H61" s="130">
        <v>-1</v>
      </c>
      <c r="I61" s="131">
        <f>+ROUND(G61*H61/1000,1)</f>
        <v>-1313.4</v>
      </c>
      <c r="J61" s="254" t="s">
        <v>461</v>
      </c>
    </row>
    <row r="62" spans="1:10" s="237" customFormat="1" ht="17.45" customHeight="1" x14ac:dyDescent="0.25">
      <c r="A62" s="228">
        <v>50531140</v>
      </c>
      <c r="B62" s="549" t="s">
        <v>157</v>
      </c>
      <c r="C62" s="550"/>
      <c r="D62" s="551"/>
      <c r="E62" s="235" t="s">
        <v>104</v>
      </c>
      <c r="F62" s="235" t="s">
        <v>77</v>
      </c>
      <c r="G62" s="236">
        <v>2500000</v>
      </c>
      <c r="H62" s="130">
        <v>1</v>
      </c>
      <c r="I62" s="131">
        <f t="shared" ref="I62" si="6">+ROUNDUP(G62*H62/1000,1)</f>
        <v>2500</v>
      </c>
      <c r="J62" s="254" t="s">
        <v>262</v>
      </c>
    </row>
    <row r="63" spans="1:10" s="120" customFormat="1" ht="17.25" x14ac:dyDescent="0.3">
      <c r="A63" s="118" t="s">
        <v>78</v>
      </c>
      <c r="B63" s="118" t="s">
        <v>203</v>
      </c>
      <c r="C63" s="118" t="s">
        <v>75</v>
      </c>
      <c r="D63" s="558" t="s">
        <v>143</v>
      </c>
      <c r="E63" s="559"/>
      <c r="F63" s="559"/>
      <c r="G63" s="559"/>
      <c r="H63" s="560"/>
      <c r="I63" s="119">
        <f>+I64+I76</f>
        <v>-378453</v>
      </c>
      <c r="J63" s="251"/>
    </row>
    <row r="64" spans="1:10" s="84" customFormat="1" ht="54.75" customHeight="1" x14ac:dyDescent="0.3">
      <c r="A64" s="121" t="s">
        <v>204</v>
      </c>
      <c r="B64" s="561" t="s">
        <v>205</v>
      </c>
      <c r="C64" s="562"/>
      <c r="D64" s="562"/>
      <c r="E64" s="562"/>
      <c r="F64" s="562"/>
      <c r="G64" s="562"/>
      <c r="H64" s="563"/>
      <c r="I64" s="122">
        <f>+I65+I69</f>
        <v>-521729.3</v>
      </c>
      <c r="J64" s="250"/>
    </row>
    <row r="65" spans="1:10" s="84" customFormat="1" ht="16.5" customHeight="1" x14ac:dyDescent="0.3">
      <c r="A65" s="123"/>
      <c r="B65" s="555" t="s">
        <v>206</v>
      </c>
      <c r="C65" s="556"/>
      <c r="D65" s="557"/>
      <c r="E65" s="124"/>
      <c r="F65" s="124"/>
      <c r="G65" s="125"/>
      <c r="H65" s="125"/>
      <c r="I65" s="126">
        <f>SUM(I66:I68)</f>
        <v>-503073</v>
      </c>
      <c r="J65" s="250"/>
    </row>
    <row r="66" spans="1:10" s="132" customFormat="1" ht="17.25" x14ac:dyDescent="0.25">
      <c r="A66" s="127" t="s">
        <v>278</v>
      </c>
      <c r="B66" s="547" t="s">
        <v>207</v>
      </c>
      <c r="C66" s="547"/>
      <c r="D66" s="547"/>
      <c r="E66" s="128" t="s">
        <v>208</v>
      </c>
      <c r="F66" s="128" t="s">
        <v>77</v>
      </c>
      <c r="G66" s="129"/>
      <c r="H66" s="130"/>
      <c r="I66" s="131">
        <f>-51676.6+14160+8576.8</f>
        <v>-28939.8</v>
      </c>
      <c r="J66" s="252" t="s">
        <v>277</v>
      </c>
    </row>
    <row r="67" spans="1:10" s="132" customFormat="1" ht="17.25" x14ac:dyDescent="0.25">
      <c r="A67" s="127" t="s">
        <v>424</v>
      </c>
      <c r="B67" s="547" t="s">
        <v>207</v>
      </c>
      <c r="C67" s="547"/>
      <c r="D67" s="547"/>
      <c r="E67" s="128" t="s">
        <v>208</v>
      </c>
      <c r="F67" s="128" t="s">
        <v>77</v>
      </c>
      <c r="G67" s="129">
        <v>224133200</v>
      </c>
      <c r="H67" s="130">
        <v>-1</v>
      </c>
      <c r="I67" s="131">
        <f>+ROUNDDOWN(G67*H67/1000,1)</f>
        <v>-224133.2</v>
      </c>
      <c r="J67" s="252" t="s">
        <v>425</v>
      </c>
    </row>
    <row r="68" spans="1:10" s="132" customFormat="1" ht="17.25" x14ac:dyDescent="0.25">
      <c r="A68" s="127" t="s">
        <v>209</v>
      </c>
      <c r="B68" s="547" t="s">
        <v>207</v>
      </c>
      <c r="C68" s="547"/>
      <c r="D68" s="547"/>
      <c r="E68" s="128" t="s">
        <v>208</v>
      </c>
      <c r="F68" s="128" t="s">
        <v>77</v>
      </c>
      <c r="G68" s="129">
        <v>250000000</v>
      </c>
      <c r="H68" s="130">
        <v>-1</v>
      </c>
      <c r="I68" s="131">
        <f>+ROUNDDOWN(G68*H68/1000,1)</f>
        <v>-250000</v>
      </c>
      <c r="J68" s="252" t="s">
        <v>241</v>
      </c>
    </row>
    <row r="69" spans="1:10" s="84" customFormat="1" ht="16.5" customHeight="1" x14ac:dyDescent="0.3">
      <c r="A69" s="123"/>
      <c r="B69" s="555" t="s">
        <v>76</v>
      </c>
      <c r="C69" s="556"/>
      <c r="D69" s="557"/>
      <c r="E69" s="124"/>
      <c r="F69" s="124"/>
      <c r="G69" s="125"/>
      <c r="H69" s="125"/>
      <c r="I69" s="126">
        <f>SUM(I70:I75)</f>
        <v>-18656.3</v>
      </c>
      <c r="J69" s="250"/>
    </row>
    <row r="70" spans="1:10" s="132" customFormat="1" ht="17.25" x14ac:dyDescent="0.25">
      <c r="A70" s="127" t="s">
        <v>273</v>
      </c>
      <c r="B70" s="547" t="s">
        <v>211</v>
      </c>
      <c r="C70" s="547"/>
      <c r="D70" s="547"/>
      <c r="E70" s="128" t="s">
        <v>104</v>
      </c>
      <c r="F70" s="128" t="s">
        <v>77</v>
      </c>
      <c r="G70" s="129"/>
      <c r="H70" s="130"/>
      <c r="I70" s="131">
        <v>-3550.2</v>
      </c>
      <c r="J70" s="252" t="s">
        <v>277</v>
      </c>
    </row>
    <row r="71" spans="1:10" s="132" customFormat="1" ht="17.25" x14ac:dyDescent="0.25">
      <c r="A71" s="127" t="s">
        <v>426</v>
      </c>
      <c r="B71" s="547" t="s">
        <v>211</v>
      </c>
      <c r="C71" s="547"/>
      <c r="D71" s="547"/>
      <c r="E71" s="128" t="s">
        <v>104</v>
      </c>
      <c r="F71" s="128" t="s">
        <v>77</v>
      </c>
      <c r="G71" s="129">
        <v>4482700</v>
      </c>
      <c r="H71" s="130">
        <v>-1</v>
      </c>
      <c r="I71" s="131">
        <f t="shared" ref="I71" si="7">+ROUNDDOWN(G71*H71/1000,1)</f>
        <v>-4482.7</v>
      </c>
      <c r="J71" s="252" t="s">
        <v>425</v>
      </c>
    </row>
    <row r="72" spans="1:10" s="132" customFormat="1" ht="17.25" x14ac:dyDescent="0.25">
      <c r="A72" s="127" t="s">
        <v>210</v>
      </c>
      <c r="B72" s="547" t="s">
        <v>211</v>
      </c>
      <c r="C72" s="547"/>
      <c r="D72" s="547"/>
      <c r="E72" s="128" t="s">
        <v>104</v>
      </c>
      <c r="F72" s="128" t="s">
        <v>77</v>
      </c>
      <c r="G72" s="129">
        <v>7500000</v>
      </c>
      <c r="H72" s="130">
        <v>-1</v>
      </c>
      <c r="I72" s="131">
        <f t="shared" ref="I72" si="8">+ROUNDDOWN(G72*H72/1000,1)</f>
        <v>-7500</v>
      </c>
      <c r="J72" s="252" t="s">
        <v>241</v>
      </c>
    </row>
    <row r="73" spans="1:10" s="132" customFormat="1" ht="17.25" x14ac:dyDescent="0.25">
      <c r="A73" s="127" t="s">
        <v>266</v>
      </c>
      <c r="B73" s="547" t="s">
        <v>212</v>
      </c>
      <c r="C73" s="547"/>
      <c r="D73" s="547"/>
      <c r="E73" s="128" t="s">
        <v>213</v>
      </c>
      <c r="F73" s="128" t="s">
        <v>77</v>
      </c>
      <c r="G73" s="129"/>
      <c r="H73" s="130"/>
      <c r="I73" s="131">
        <v>-278.60000000000002</v>
      </c>
      <c r="J73" s="252" t="s">
        <v>277</v>
      </c>
    </row>
    <row r="74" spans="1:10" s="132" customFormat="1" ht="17.25" x14ac:dyDescent="0.25">
      <c r="A74" s="127" t="s">
        <v>274</v>
      </c>
      <c r="B74" s="547" t="s">
        <v>212</v>
      </c>
      <c r="C74" s="547"/>
      <c r="D74" s="547"/>
      <c r="E74" s="128" t="s">
        <v>213</v>
      </c>
      <c r="F74" s="128" t="s">
        <v>77</v>
      </c>
      <c r="G74" s="129">
        <v>1344800</v>
      </c>
      <c r="H74" s="130">
        <v>-1</v>
      </c>
      <c r="I74" s="131">
        <f t="shared" ref="I74" si="9">+ROUNDDOWN(G74*H74/1000,1)</f>
        <v>-1344.8</v>
      </c>
      <c r="J74" s="252" t="s">
        <v>425</v>
      </c>
    </row>
    <row r="75" spans="1:10" s="132" customFormat="1" ht="17.25" x14ac:dyDescent="0.25">
      <c r="A75" s="127" t="s">
        <v>214</v>
      </c>
      <c r="B75" s="547" t="s">
        <v>212</v>
      </c>
      <c r="C75" s="547"/>
      <c r="D75" s="547"/>
      <c r="E75" s="128" t="s">
        <v>213</v>
      </c>
      <c r="F75" s="128" t="s">
        <v>77</v>
      </c>
      <c r="G75" s="129">
        <v>1500000</v>
      </c>
      <c r="H75" s="130">
        <v>-1</v>
      </c>
      <c r="I75" s="131">
        <f t="shared" ref="I75" si="10">+ROUNDDOWN(G75*H75/1000,1)</f>
        <v>-1500</v>
      </c>
      <c r="J75" s="252" t="s">
        <v>241</v>
      </c>
    </row>
    <row r="76" spans="1:10" s="84" customFormat="1" ht="54.75" customHeight="1" x14ac:dyDescent="0.3">
      <c r="A76" s="121" t="s">
        <v>218</v>
      </c>
      <c r="B76" s="561" t="s">
        <v>279</v>
      </c>
      <c r="C76" s="562"/>
      <c r="D76" s="562"/>
      <c r="E76" s="562"/>
      <c r="F76" s="562"/>
      <c r="G76" s="562"/>
      <c r="H76" s="563"/>
      <c r="I76" s="122">
        <f>+I77+I81</f>
        <v>143276.30000000002</v>
      </c>
      <c r="J76" s="250"/>
    </row>
    <row r="77" spans="1:10" s="84" customFormat="1" ht="16.5" customHeight="1" x14ac:dyDescent="0.3">
      <c r="A77" s="123"/>
      <c r="B77" s="555" t="s">
        <v>206</v>
      </c>
      <c r="C77" s="556"/>
      <c r="D77" s="557"/>
      <c r="E77" s="124"/>
      <c r="F77" s="124"/>
      <c r="G77" s="125"/>
      <c r="H77" s="125"/>
      <c r="I77" s="126">
        <f>SUM(I78:I80)</f>
        <v>145425.60000000001</v>
      </c>
      <c r="J77" s="250"/>
    </row>
    <row r="78" spans="1:10" s="132" customFormat="1" ht="17.25" x14ac:dyDescent="0.25">
      <c r="A78" s="127" t="s">
        <v>220</v>
      </c>
      <c r="B78" s="547" t="s">
        <v>221</v>
      </c>
      <c r="C78" s="547"/>
      <c r="D78" s="547"/>
      <c r="E78" s="128" t="s">
        <v>208</v>
      </c>
      <c r="F78" s="128" t="s">
        <v>77</v>
      </c>
      <c r="G78" s="129"/>
      <c r="H78" s="130"/>
      <c r="I78" s="131">
        <f>-189147.8+64573.4</f>
        <v>-124574.39999999999</v>
      </c>
      <c r="J78" s="252" t="s">
        <v>242</v>
      </c>
    </row>
    <row r="79" spans="1:10" s="132" customFormat="1" ht="17.25" x14ac:dyDescent="0.25">
      <c r="A79" s="127">
        <v>45221142</v>
      </c>
      <c r="B79" s="547" t="s">
        <v>221</v>
      </c>
      <c r="C79" s="547"/>
      <c r="D79" s="547"/>
      <c r="E79" s="128" t="s">
        <v>208</v>
      </c>
      <c r="F79" s="128" t="s">
        <v>77</v>
      </c>
      <c r="G79" s="129">
        <v>170000000</v>
      </c>
      <c r="H79" s="130">
        <v>1</v>
      </c>
      <c r="I79" s="131">
        <f>+ROUNDDOWN(G79*H79/1000,1)</f>
        <v>170000</v>
      </c>
      <c r="J79" s="252" t="s">
        <v>425</v>
      </c>
    </row>
    <row r="80" spans="1:10" s="132" customFormat="1" ht="17.25" x14ac:dyDescent="0.25">
      <c r="A80" s="127">
        <v>45221142</v>
      </c>
      <c r="B80" s="547" t="s">
        <v>221</v>
      </c>
      <c r="C80" s="547"/>
      <c r="D80" s="547"/>
      <c r="E80" s="128" t="s">
        <v>208</v>
      </c>
      <c r="F80" s="128" t="s">
        <v>77</v>
      </c>
      <c r="G80" s="129">
        <v>100000000</v>
      </c>
      <c r="H80" s="130">
        <v>1</v>
      </c>
      <c r="I80" s="131">
        <f>+ROUNDDOWN(G80*H80/1000,1)</f>
        <v>100000</v>
      </c>
      <c r="J80" s="252" t="s">
        <v>241</v>
      </c>
    </row>
    <row r="81" spans="1:10" s="84" customFormat="1" ht="16.5" customHeight="1" x14ac:dyDescent="0.3">
      <c r="A81" s="123"/>
      <c r="B81" s="555" t="s">
        <v>76</v>
      </c>
      <c r="C81" s="556"/>
      <c r="D81" s="557"/>
      <c r="E81" s="124"/>
      <c r="F81" s="124"/>
      <c r="G81" s="125"/>
      <c r="H81" s="125"/>
      <c r="I81" s="126">
        <f>SUM(I82:I87)</f>
        <v>-2149.2999999999997</v>
      </c>
      <c r="J81" s="250"/>
    </row>
    <row r="82" spans="1:10" s="132" customFormat="1" ht="17.25" x14ac:dyDescent="0.25">
      <c r="A82" s="127" t="s">
        <v>222</v>
      </c>
      <c r="B82" s="547" t="s">
        <v>211</v>
      </c>
      <c r="C82" s="547"/>
      <c r="D82" s="547"/>
      <c r="E82" s="128" t="s">
        <v>104</v>
      </c>
      <c r="F82" s="128" t="s">
        <v>77</v>
      </c>
      <c r="G82" s="129">
        <v>5674400</v>
      </c>
      <c r="H82" s="130">
        <v>-1</v>
      </c>
      <c r="I82" s="131">
        <f t="shared" ref="I82:I86" si="11">+ROUNDDOWN(G82*H82/1000,1)</f>
        <v>-5674.4</v>
      </c>
      <c r="J82" s="252" t="s">
        <v>242</v>
      </c>
    </row>
    <row r="83" spans="1:10" s="132" customFormat="1" ht="17.25" x14ac:dyDescent="0.25">
      <c r="A83" s="127">
        <v>71351540</v>
      </c>
      <c r="B83" s="547" t="s">
        <v>211</v>
      </c>
      <c r="C83" s="547"/>
      <c r="D83" s="547"/>
      <c r="E83" s="128" t="s">
        <v>104</v>
      </c>
      <c r="F83" s="128" t="s">
        <v>77</v>
      </c>
      <c r="G83" s="129">
        <v>2040000</v>
      </c>
      <c r="H83" s="130">
        <v>1</v>
      </c>
      <c r="I83" s="131">
        <f t="shared" si="11"/>
        <v>2040</v>
      </c>
      <c r="J83" s="252" t="s">
        <v>425</v>
      </c>
    </row>
    <row r="84" spans="1:10" s="132" customFormat="1" ht="17.25" x14ac:dyDescent="0.25">
      <c r="A84" s="127">
        <v>71351540</v>
      </c>
      <c r="B84" s="547" t="s">
        <v>211</v>
      </c>
      <c r="C84" s="547"/>
      <c r="D84" s="547"/>
      <c r="E84" s="128" t="s">
        <v>104</v>
      </c>
      <c r="F84" s="128" t="s">
        <v>77</v>
      </c>
      <c r="G84" s="129">
        <v>1000000</v>
      </c>
      <c r="H84" s="130">
        <v>1</v>
      </c>
      <c r="I84" s="131">
        <f t="shared" ref="I84" si="12">+ROUNDDOWN(G84*H84/1000,1)</f>
        <v>1000</v>
      </c>
      <c r="J84" s="252" t="s">
        <v>241</v>
      </c>
    </row>
    <row r="85" spans="1:10" s="132" customFormat="1" ht="17.25" x14ac:dyDescent="0.25">
      <c r="A85" s="127" t="s">
        <v>223</v>
      </c>
      <c r="B85" s="547" t="s">
        <v>212</v>
      </c>
      <c r="C85" s="547"/>
      <c r="D85" s="547"/>
      <c r="E85" s="128" t="s">
        <v>213</v>
      </c>
      <c r="F85" s="128" t="s">
        <v>77</v>
      </c>
      <c r="G85" s="129">
        <v>1134900</v>
      </c>
      <c r="H85" s="130">
        <v>-1</v>
      </c>
      <c r="I85" s="131">
        <f t="shared" si="11"/>
        <v>-1134.9000000000001</v>
      </c>
      <c r="J85" s="252" t="s">
        <v>242</v>
      </c>
    </row>
    <row r="86" spans="1:10" s="132" customFormat="1" ht="17.25" x14ac:dyDescent="0.25">
      <c r="A86" s="127">
        <v>98111140</v>
      </c>
      <c r="B86" s="547" t="s">
        <v>212</v>
      </c>
      <c r="C86" s="547"/>
      <c r="D86" s="547"/>
      <c r="E86" s="128" t="s">
        <v>213</v>
      </c>
      <c r="F86" s="128" t="s">
        <v>77</v>
      </c>
      <c r="G86" s="129">
        <v>1020000</v>
      </c>
      <c r="H86" s="130">
        <v>1</v>
      </c>
      <c r="I86" s="131">
        <f t="shared" si="11"/>
        <v>1020</v>
      </c>
      <c r="J86" s="252" t="s">
        <v>425</v>
      </c>
    </row>
    <row r="87" spans="1:10" s="132" customFormat="1" ht="17.25" x14ac:dyDescent="0.25">
      <c r="A87" s="127">
        <v>98111140</v>
      </c>
      <c r="B87" s="547" t="s">
        <v>212</v>
      </c>
      <c r="C87" s="547"/>
      <c r="D87" s="547"/>
      <c r="E87" s="128" t="s">
        <v>213</v>
      </c>
      <c r="F87" s="128" t="s">
        <v>77</v>
      </c>
      <c r="G87" s="129">
        <v>600000</v>
      </c>
      <c r="H87" s="130">
        <v>1</v>
      </c>
      <c r="I87" s="131">
        <f t="shared" ref="I87" si="13">+ROUNDDOWN(G87*H87/1000,1)</f>
        <v>600</v>
      </c>
      <c r="J87" s="252" t="s">
        <v>241</v>
      </c>
    </row>
    <row r="88" spans="1:10" s="216" customFormat="1" x14ac:dyDescent="0.25">
      <c r="J88" s="255"/>
    </row>
    <row r="89" spans="1:10" s="84" customFormat="1" ht="44.85" customHeight="1" x14ac:dyDescent="0.3">
      <c r="A89" s="567" t="s">
        <v>134</v>
      </c>
      <c r="B89" s="567"/>
      <c r="C89" s="567"/>
      <c r="D89" s="567"/>
      <c r="E89" s="567"/>
      <c r="F89" s="567"/>
      <c r="G89" s="567"/>
      <c r="H89" s="567"/>
      <c r="I89" s="117">
        <f>+I90+I105</f>
        <v>17933.3</v>
      </c>
      <c r="J89" s="250"/>
    </row>
    <row r="90" spans="1:10" s="120" customFormat="1" ht="17.45" customHeight="1" x14ac:dyDescent="0.3">
      <c r="A90" s="118" t="s">
        <v>165</v>
      </c>
      <c r="B90" s="118" t="s">
        <v>164</v>
      </c>
      <c r="C90" s="118" t="s">
        <v>361</v>
      </c>
      <c r="D90" s="558" t="s">
        <v>365</v>
      </c>
      <c r="E90" s="559"/>
      <c r="F90" s="559"/>
      <c r="G90" s="559"/>
      <c r="H90" s="560"/>
      <c r="I90" s="119">
        <f>+I91+I98</f>
        <v>24918.2</v>
      </c>
      <c r="J90" s="251"/>
    </row>
    <row r="91" spans="1:10" s="84" customFormat="1" ht="54.75" customHeight="1" x14ac:dyDescent="0.3">
      <c r="A91" s="121" t="s">
        <v>363</v>
      </c>
      <c r="B91" s="561" t="s">
        <v>364</v>
      </c>
      <c r="C91" s="562"/>
      <c r="D91" s="562"/>
      <c r="E91" s="562"/>
      <c r="F91" s="562"/>
      <c r="G91" s="562"/>
      <c r="H91" s="563"/>
      <c r="I91" s="122">
        <f>+I92</f>
        <v>19791</v>
      </c>
      <c r="J91" s="250"/>
    </row>
    <row r="92" spans="1:10" s="84" customFormat="1" ht="16.5" customHeight="1" x14ac:dyDescent="0.3">
      <c r="A92" s="123"/>
      <c r="B92" s="555" t="s">
        <v>206</v>
      </c>
      <c r="C92" s="556"/>
      <c r="D92" s="557"/>
      <c r="E92" s="124"/>
      <c r="F92" s="124"/>
      <c r="G92" s="125"/>
      <c r="H92" s="125"/>
      <c r="I92" s="126">
        <f>SUM(I93:I97)</f>
        <v>19791</v>
      </c>
      <c r="J92" s="250"/>
    </row>
    <row r="93" spans="1:10" s="132" customFormat="1" ht="17.25" x14ac:dyDescent="0.25">
      <c r="A93" s="127" t="s">
        <v>366</v>
      </c>
      <c r="B93" s="547" t="s">
        <v>367</v>
      </c>
      <c r="C93" s="547"/>
      <c r="D93" s="547"/>
      <c r="E93" s="128" t="s">
        <v>104</v>
      </c>
      <c r="F93" s="128" t="s">
        <v>77</v>
      </c>
      <c r="G93" s="129">
        <v>11400000</v>
      </c>
      <c r="H93" s="130">
        <v>1</v>
      </c>
      <c r="I93" s="131">
        <f t="shared" ref="I93" si="14">+ROUNDUP(G93*H93/1000,1)</f>
        <v>11400</v>
      </c>
      <c r="J93" s="252" t="s">
        <v>362</v>
      </c>
    </row>
    <row r="94" spans="1:10" s="132" customFormat="1" ht="17.25" x14ac:dyDescent="0.25">
      <c r="A94" s="127" t="s">
        <v>368</v>
      </c>
      <c r="B94" s="547" t="s">
        <v>369</v>
      </c>
      <c r="C94" s="547"/>
      <c r="D94" s="547"/>
      <c r="E94" s="128" t="s">
        <v>104</v>
      </c>
      <c r="F94" s="128" t="s">
        <v>77</v>
      </c>
      <c r="G94" s="129">
        <v>1591000</v>
      </c>
      <c r="H94" s="130">
        <v>1</v>
      </c>
      <c r="I94" s="131">
        <f t="shared" ref="I94" si="15">+ROUNDUP(G94*H94/1000,1)</f>
        <v>1591</v>
      </c>
      <c r="J94" s="252" t="s">
        <v>362</v>
      </c>
    </row>
    <row r="95" spans="1:10" s="132" customFormat="1" ht="17.25" x14ac:dyDescent="0.25">
      <c r="A95" s="127" t="s">
        <v>370</v>
      </c>
      <c r="B95" s="547" t="s">
        <v>371</v>
      </c>
      <c r="C95" s="547"/>
      <c r="D95" s="547"/>
      <c r="E95" s="128" t="s">
        <v>104</v>
      </c>
      <c r="F95" s="128" t="s">
        <v>77</v>
      </c>
      <c r="G95" s="129">
        <v>950000</v>
      </c>
      <c r="H95" s="130">
        <v>1</v>
      </c>
      <c r="I95" s="131">
        <f t="shared" ref="I95" si="16">+ROUNDUP(G95*H95/1000,1)</f>
        <v>950</v>
      </c>
      <c r="J95" s="252" t="s">
        <v>362</v>
      </c>
    </row>
    <row r="96" spans="1:10" s="132" customFormat="1" ht="17.25" x14ac:dyDescent="0.25">
      <c r="A96" s="127" t="s">
        <v>372</v>
      </c>
      <c r="B96" s="547" t="s">
        <v>373</v>
      </c>
      <c r="C96" s="547"/>
      <c r="D96" s="547"/>
      <c r="E96" s="128" t="s">
        <v>104</v>
      </c>
      <c r="F96" s="128" t="s">
        <v>77</v>
      </c>
      <c r="G96" s="129">
        <v>546000</v>
      </c>
      <c r="H96" s="130">
        <v>1</v>
      </c>
      <c r="I96" s="131">
        <f t="shared" ref="I96" si="17">+ROUNDUP(G96*H96/1000,1)</f>
        <v>546</v>
      </c>
      <c r="J96" s="252" t="s">
        <v>362</v>
      </c>
    </row>
    <row r="97" spans="1:10" s="132" customFormat="1" ht="35.450000000000003" customHeight="1" x14ac:dyDescent="0.25">
      <c r="A97" s="127" t="s">
        <v>374</v>
      </c>
      <c r="B97" s="547" t="s">
        <v>375</v>
      </c>
      <c r="C97" s="547"/>
      <c r="D97" s="547"/>
      <c r="E97" s="128" t="s">
        <v>104</v>
      </c>
      <c r="F97" s="128" t="s">
        <v>77</v>
      </c>
      <c r="G97" s="129">
        <v>5304000</v>
      </c>
      <c r="H97" s="130">
        <v>1</v>
      </c>
      <c r="I97" s="131">
        <f t="shared" ref="I97" si="18">+ROUNDUP(G97*H97/1000,1)</f>
        <v>5304</v>
      </c>
      <c r="J97" s="252" t="s">
        <v>362</v>
      </c>
    </row>
    <row r="98" spans="1:10" s="84" customFormat="1" ht="54.75" customHeight="1" x14ac:dyDescent="0.3">
      <c r="A98" s="121" t="s">
        <v>376</v>
      </c>
      <c r="B98" s="561" t="s">
        <v>359</v>
      </c>
      <c r="C98" s="562"/>
      <c r="D98" s="562"/>
      <c r="E98" s="562"/>
      <c r="F98" s="562"/>
      <c r="G98" s="562"/>
      <c r="H98" s="563"/>
      <c r="I98" s="122">
        <f>+I99</f>
        <v>5127.2</v>
      </c>
      <c r="J98" s="257"/>
    </row>
    <row r="99" spans="1:10" s="84" customFormat="1" ht="16.5" customHeight="1" x14ac:dyDescent="0.3">
      <c r="A99" s="123"/>
      <c r="B99" s="555" t="s">
        <v>377</v>
      </c>
      <c r="C99" s="556"/>
      <c r="D99" s="557"/>
      <c r="E99" s="124"/>
      <c r="F99" s="124"/>
      <c r="G99" s="125"/>
      <c r="H99" s="125"/>
      <c r="I99" s="126">
        <f>SUM(I100:I104)</f>
        <v>5127.2</v>
      </c>
      <c r="J99" s="250"/>
    </row>
    <row r="100" spans="1:10" s="132" customFormat="1" ht="17.25" x14ac:dyDescent="0.25">
      <c r="A100" s="127" t="s">
        <v>378</v>
      </c>
      <c r="B100" s="547" t="s">
        <v>379</v>
      </c>
      <c r="C100" s="547"/>
      <c r="D100" s="547"/>
      <c r="E100" s="128" t="s">
        <v>290</v>
      </c>
      <c r="F100" s="128" t="s">
        <v>295</v>
      </c>
      <c r="G100" s="129">
        <v>69996</v>
      </c>
      <c r="H100" s="130">
        <v>10</v>
      </c>
      <c r="I100" s="131">
        <f t="shared" ref="I100" si="19">+ROUNDUP(G100*H100/1000,1)</f>
        <v>700</v>
      </c>
      <c r="J100" s="252" t="s">
        <v>362</v>
      </c>
    </row>
    <row r="101" spans="1:10" s="132" customFormat="1" ht="17.25" x14ac:dyDescent="0.25">
      <c r="A101" s="127" t="s">
        <v>380</v>
      </c>
      <c r="B101" s="547" t="s">
        <v>381</v>
      </c>
      <c r="C101" s="547"/>
      <c r="D101" s="547"/>
      <c r="E101" s="128" t="s">
        <v>290</v>
      </c>
      <c r="F101" s="128" t="s">
        <v>295</v>
      </c>
      <c r="G101" s="129">
        <v>798000</v>
      </c>
      <c r="H101" s="130">
        <v>1</v>
      </c>
      <c r="I101" s="131">
        <f t="shared" ref="I101" si="20">+ROUNDUP(G101*H101/1000,1)</f>
        <v>798</v>
      </c>
      <c r="J101" s="252" t="s">
        <v>362</v>
      </c>
    </row>
    <row r="102" spans="1:10" s="132" customFormat="1" ht="17.25" x14ac:dyDescent="0.25">
      <c r="A102" s="127" t="s">
        <v>382</v>
      </c>
      <c r="B102" s="547" t="s">
        <v>383</v>
      </c>
      <c r="C102" s="547"/>
      <c r="D102" s="547"/>
      <c r="E102" s="128" t="s">
        <v>290</v>
      </c>
      <c r="F102" s="128" t="s">
        <v>295</v>
      </c>
      <c r="G102" s="129">
        <v>478800</v>
      </c>
      <c r="H102" s="130">
        <v>1</v>
      </c>
      <c r="I102" s="131">
        <f t="shared" ref="I102" si="21">+ROUNDUP(G102*H102/1000,1)</f>
        <v>478.8</v>
      </c>
      <c r="J102" s="252" t="s">
        <v>362</v>
      </c>
    </row>
    <row r="103" spans="1:10" s="132" customFormat="1" ht="17.25" x14ac:dyDescent="0.25">
      <c r="A103" s="127" t="s">
        <v>384</v>
      </c>
      <c r="B103" s="547" t="s">
        <v>385</v>
      </c>
      <c r="C103" s="547"/>
      <c r="D103" s="547"/>
      <c r="E103" s="128" t="s">
        <v>290</v>
      </c>
      <c r="F103" s="128" t="s">
        <v>295</v>
      </c>
      <c r="G103" s="129">
        <v>950400</v>
      </c>
      <c r="H103" s="130">
        <v>1</v>
      </c>
      <c r="I103" s="131">
        <f t="shared" ref="I103" si="22">+ROUNDUP(G103*H103/1000,1)</f>
        <v>950.4</v>
      </c>
      <c r="J103" s="252" t="s">
        <v>362</v>
      </c>
    </row>
    <row r="104" spans="1:10" s="237" customFormat="1" ht="17.25" x14ac:dyDescent="0.25">
      <c r="A104" s="228" t="s">
        <v>642</v>
      </c>
      <c r="B104" s="548" t="s">
        <v>643</v>
      </c>
      <c r="C104" s="548"/>
      <c r="D104" s="548"/>
      <c r="E104" s="235" t="s">
        <v>290</v>
      </c>
      <c r="F104" s="235" t="s">
        <v>295</v>
      </c>
      <c r="G104" s="236">
        <v>2200000</v>
      </c>
      <c r="H104" s="130">
        <v>1</v>
      </c>
      <c r="I104" s="131">
        <f t="shared" ref="I104" si="23">+ROUNDUP(G104*H104/1000,1)</f>
        <v>2200</v>
      </c>
      <c r="J104" s="364" t="s">
        <v>362</v>
      </c>
    </row>
    <row r="105" spans="1:10" s="120" customFormat="1" ht="17.25" x14ac:dyDescent="0.3">
      <c r="A105" s="118" t="s">
        <v>78</v>
      </c>
      <c r="B105" s="118" t="s">
        <v>203</v>
      </c>
      <c r="C105" s="118" t="s">
        <v>75</v>
      </c>
      <c r="D105" s="558" t="s">
        <v>143</v>
      </c>
      <c r="E105" s="559"/>
      <c r="F105" s="559"/>
      <c r="G105" s="559"/>
      <c r="H105" s="560"/>
      <c r="I105" s="119">
        <f>+I106</f>
        <v>-6984.9000000000015</v>
      </c>
      <c r="J105" s="251"/>
    </row>
    <row r="106" spans="1:10" s="84" customFormat="1" ht="54.75" customHeight="1" x14ac:dyDescent="0.3">
      <c r="A106" s="121" t="s">
        <v>218</v>
      </c>
      <c r="B106" s="561" t="s">
        <v>219</v>
      </c>
      <c r="C106" s="562"/>
      <c r="D106" s="562"/>
      <c r="E106" s="562"/>
      <c r="F106" s="562"/>
      <c r="G106" s="562"/>
      <c r="H106" s="563"/>
      <c r="I106" s="122">
        <f>+I107</f>
        <v>-6984.9000000000015</v>
      </c>
      <c r="J106" s="250"/>
    </row>
    <row r="107" spans="1:10" s="84" customFormat="1" ht="16.5" customHeight="1" x14ac:dyDescent="0.3">
      <c r="A107" s="123"/>
      <c r="B107" s="555" t="s">
        <v>76</v>
      </c>
      <c r="C107" s="556"/>
      <c r="D107" s="557"/>
      <c r="E107" s="124"/>
      <c r="F107" s="124"/>
      <c r="G107" s="125"/>
      <c r="H107" s="125"/>
      <c r="I107" s="126">
        <f>SUM(I108:I109)</f>
        <v>-6984.9000000000015</v>
      </c>
      <c r="J107" s="250"/>
    </row>
    <row r="108" spans="1:10" s="132" customFormat="1" ht="17.25" x14ac:dyDescent="0.25">
      <c r="A108" s="127" t="s">
        <v>224</v>
      </c>
      <c r="B108" s="547" t="s">
        <v>156</v>
      </c>
      <c r="C108" s="547"/>
      <c r="D108" s="547"/>
      <c r="E108" s="128" t="s">
        <v>104</v>
      </c>
      <c r="F108" s="128" t="s">
        <v>77</v>
      </c>
      <c r="G108" s="129"/>
      <c r="H108" s="130"/>
      <c r="I108" s="185">
        <v>-17984.900000000001</v>
      </c>
      <c r="J108" s="252" t="s">
        <v>243</v>
      </c>
    </row>
    <row r="109" spans="1:10" s="132" customFormat="1" ht="17.25" x14ac:dyDescent="0.25">
      <c r="A109" s="228">
        <v>71241200</v>
      </c>
      <c r="B109" s="547" t="s">
        <v>156</v>
      </c>
      <c r="C109" s="547"/>
      <c r="D109" s="547"/>
      <c r="E109" s="128" t="s">
        <v>81</v>
      </c>
      <c r="F109" s="128" t="s">
        <v>77</v>
      </c>
      <c r="G109" s="129"/>
      <c r="H109" s="130"/>
      <c r="I109" s="185">
        <v>11000</v>
      </c>
      <c r="J109" s="252" t="s">
        <v>244</v>
      </c>
    </row>
    <row r="110" spans="1:10" s="216" customFormat="1" x14ac:dyDescent="0.25">
      <c r="J110" s="255"/>
    </row>
    <row r="111" spans="1:10" s="84" customFormat="1" ht="44.85" customHeight="1" x14ac:dyDescent="0.3">
      <c r="A111" s="567" t="s">
        <v>98</v>
      </c>
      <c r="B111" s="567"/>
      <c r="C111" s="567"/>
      <c r="D111" s="567"/>
      <c r="E111" s="567"/>
      <c r="F111" s="567"/>
      <c r="G111" s="567"/>
      <c r="H111" s="567"/>
      <c r="I111" s="117">
        <f>+I112+I116</f>
        <v>35071.4</v>
      </c>
      <c r="J111" s="250"/>
    </row>
    <row r="112" spans="1:10" s="120" customFormat="1" ht="17.25" x14ac:dyDescent="0.3">
      <c r="A112" s="118" t="s">
        <v>78</v>
      </c>
      <c r="B112" s="118" t="s">
        <v>74</v>
      </c>
      <c r="C112" s="118" t="s">
        <v>75</v>
      </c>
      <c r="D112" s="558" t="s">
        <v>79</v>
      </c>
      <c r="E112" s="559"/>
      <c r="F112" s="559"/>
      <c r="G112" s="559"/>
      <c r="H112" s="560"/>
      <c r="I112" s="119">
        <f>+I113</f>
        <v>4591.3999999999996</v>
      </c>
      <c r="J112" s="251"/>
    </row>
    <row r="113" spans="1:10" s="84" customFormat="1" ht="54.75" customHeight="1" x14ac:dyDescent="0.3">
      <c r="A113" s="121" t="s">
        <v>82</v>
      </c>
      <c r="B113" s="561" t="s">
        <v>83</v>
      </c>
      <c r="C113" s="562"/>
      <c r="D113" s="562"/>
      <c r="E113" s="562"/>
      <c r="F113" s="562"/>
      <c r="G113" s="562"/>
      <c r="H113" s="563"/>
      <c r="I113" s="122">
        <f>+I114</f>
        <v>4591.3999999999996</v>
      </c>
      <c r="J113" s="250"/>
    </row>
    <row r="114" spans="1:10" s="84" customFormat="1" ht="16.5" customHeight="1" x14ac:dyDescent="0.3">
      <c r="A114" s="123"/>
      <c r="B114" s="555" t="s">
        <v>76</v>
      </c>
      <c r="C114" s="556"/>
      <c r="D114" s="557"/>
      <c r="E114" s="124"/>
      <c r="F114" s="124"/>
      <c r="G114" s="125"/>
      <c r="H114" s="125"/>
      <c r="I114" s="126">
        <f>+I115</f>
        <v>4591.3999999999996</v>
      </c>
      <c r="J114" s="250"/>
    </row>
    <row r="115" spans="1:10" s="132" customFormat="1" ht="31.15" customHeight="1" x14ac:dyDescent="0.25">
      <c r="A115" s="179" t="s">
        <v>283</v>
      </c>
      <c r="B115" s="552" t="s">
        <v>282</v>
      </c>
      <c r="C115" s="553"/>
      <c r="D115" s="554"/>
      <c r="E115" s="128" t="s">
        <v>80</v>
      </c>
      <c r="F115" s="128" t="s">
        <v>77</v>
      </c>
      <c r="G115" s="129"/>
      <c r="H115" s="130"/>
      <c r="I115" s="131">
        <f>+ROUND((4088+4944)*0.72,1)-1911.6</f>
        <v>4591.3999999999996</v>
      </c>
      <c r="J115" s="252"/>
    </row>
    <row r="116" spans="1:10" s="120" customFormat="1" ht="17.25" x14ac:dyDescent="0.3">
      <c r="A116" s="118" t="s">
        <v>78</v>
      </c>
      <c r="B116" s="118" t="s">
        <v>164</v>
      </c>
      <c r="C116" s="118" t="s">
        <v>75</v>
      </c>
      <c r="D116" s="558" t="s">
        <v>147</v>
      </c>
      <c r="E116" s="559"/>
      <c r="F116" s="559"/>
      <c r="G116" s="559"/>
      <c r="H116" s="560"/>
      <c r="I116" s="119">
        <f>+I117</f>
        <v>30480</v>
      </c>
      <c r="J116" s="251"/>
    </row>
    <row r="117" spans="1:10" s="84" customFormat="1" ht="54.75" customHeight="1" x14ac:dyDescent="0.3">
      <c r="A117" s="121" t="s">
        <v>286</v>
      </c>
      <c r="B117" s="561" t="s">
        <v>285</v>
      </c>
      <c r="C117" s="562"/>
      <c r="D117" s="562"/>
      <c r="E117" s="562"/>
      <c r="F117" s="562"/>
      <c r="G117" s="562"/>
      <c r="H117" s="563"/>
      <c r="I117" s="122">
        <f>+I118</f>
        <v>30480</v>
      </c>
      <c r="J117" s="250"/>
    </row>
    <row r="118" spans="1:10" s="84" customFormat="1" ht="16.5" customHeight="1" x14ac:dyDescent="0.3">
      <c r="A118" s="123"/>
      <c r="B118" s="555" t="s">
        <v>287</v>
      </c>
      <c r="C118" s="556"/>
      <c r="D118" s="557"/>
      <c r="E118" s="124"/>
      <c r="F118" s="124"/>
      <c r="G118" s="125"/>
      <c r="H118" s="125"/>
      <c r="I118" s="126">
        <f>SUM(I119:I123)</f>
        <v>30480</v>
      </c>
      <c r="J118" s="250"/>
    </row>
    <row r="119" spans="1:10" s="132" customFormat="1" ht="17.25" x14ac:dyDescent="0.25">
      <c r="A119" s="179" t="s">
        <v>390</v>
      </c>
      <c r="B119" s="552" t="s">
        <v>391</v>
      </c>
      <c r="C119" s="553"/>
      <c r="D119" s="554"/>
      <c r="E119" s="128" t="s">
        <v>290</v>
      </c>
      <c r="F119" s="128" t="s">
        <v>295</v>
      </c>
      <c r="G119" s="129">
        <v>758750</v>
      </c>
      <c r="H119" s="226">
        <v>24</v>
      </c>
      <c r="I119" s="131">
        <f t="shared" ref="I119:I121" si="24">+ROUNDUP(G119*H119/1000,1)</f>
        <v>18210</v>
      </c>
      <c r="J119" s="252"/>
    </row>
    <row r="120" spans="1:10" s="132" customFormat="1" ht="17.25" x14ac:dyDescent="0.25">
      <c r="A120" s="179" t="s">
        <v>392</v>
      </c>
      <c r="B120" s="552" t="s">
        <v>389</v>
      </c>
      <c r="C120" s="553"/>
      <c r="D120" s="554"/>
      <c r="E120" s="128" t="s">
        <v>290</v>
      </c>
      <c r="F120" s="128" t="s">
        <v>295</v>
      </c>
      <c r="G120" s="129">
        <v>125217.39</v>
      </c>
      <c r="H120" s="226">
        <v>23</v>
      </c>
      <c r="I120" s="131">
        <f t="shared" ref="I120" si="25">+ROUNDUP(G120*H120/1000,1)</f>
        <v>2880</v>
      </c>
      <c r="J120" s="252"/>
    </row>
    <row r="121" spans="1:10" s="132" customFormat="1" ht="17.25" x14ac:dyDescent="0.25">
      <c r="A121" s="179" t="s">
        <v>393</v>
      </c>
      <c r="B121" s="552" t="s">
        <v>394</v>
      </c>
      <c r="C121" s="553"/>
      <c r="D121" s="554"/>
      <c r="E121" s="128" t="s">
        <v>290</v>
      </c>
      <c r="F121" s="128" t="s">
        <v>295</v>
      </c>
      <c r="G121" s="129">
        <v>77700</v>
      </c>
      <c r="H121" s="226">
        <v>20</v>
      </c>
      <c r="I121" s="131">
        <f t="shared" si="24"/>
        <v>1554</v>
      </c>
      <c r="J121" s="252"/>
    </row>
    <row r="122" spans="1:10" s="132" customFormat="1" ht="17.25" x14ac:dyDescent="0.25">
      <c r="A122" s="179" t="s">
        <v>395</v>
      </c>
      <c r="B122" s="552" t="s">
        <v>396</v>
      </c>
      <c r="C122" s="553"/>
      <c r="D122" s="554"/>
      <c r="E122" s="128" t="s">
        <v>290</v>
      </c>
      <c r="F122" s="128" t="s">
        <v>295</v>
      </c>
      <c r="G122" s="129">
        <v>110727.27</v>
      </c>
      <c r="H122" s="226">
        <v>22</v>
      </c>
      <c r="I122" s="131">
        <f t="shared" ref="I122" si="26">+ROUNDUP(G122*H122/1000,1)</f>
        <v>2436</v>
      </c>
      <c r="J122" s="252"/>
    </row>
    <row r="123" spans="1:10" s="132" customFormat="1" ht="17.25" x14ac:dyDescent="0.25">
      <c r="A123" s="179" t="s">
        <v>317</v>
      </c>
      <c r="B123" s="552" t="s">
        <v>318</v>
      </c>
      <c r="C123" s="553"/>
      <c r="D123" s="554"/>
      <c r="E123" s="128" t="s">
        <v>290</v>
      </c>
      <c r="F123" s="128" t="s">
        <v>295</v>
      </c>
      <c r="G123" s="129">
        <v>58064.51</v>
      </c>
      <c r="H123" s="226">
        <v>93</v>
      </c>
      <c r="I123" s="131">
        <f t="shared" ref="I123" si="27">+ROUNDUP(G123*H123/1000,1)</f>
        <v>5400</v>
      </c>
      <c r="J123" s="252"/>
    </row>
    <row r="124" spans="1:10" s="216" customFormat="1" x14ac:dyDescent="0.25">
      <c r="J124" s="255"/>
    </row>
    <row r="125" spans="1:10" s="84" customFormat="1" ht="44.85" customHeight="1" x14ac:dyDescent="0.3">
      <c r="A125" s="567" t="s">
        <v>99</v>
      </c>
      <c r="B125" s="567"/>
      <c r="C125" s="567"/>
      <c r="D125" s="567"/>
      <c r="E125" s="567"/>
      <c r="F125" s="567"/>
      <c r="G125" s="567"/>
      <c r="H125" s="567"/>
      <c r="I125" s="117">
        <f>+I126</f>
        <v>32487.200000000004</v>
      </c>
      <c r="J125" s="250"/>
    </row>
    <row r="126" spans="1:10" s="120" customFormat="1" ht="17.25" x14ac:dyDescent="0.3">
      <c r="A126" s="118" t="s">
        <v>78</v>
      </c>
      <c r="B126" s="118" t="s">
        <v>164</v>
      </c>
      <c r="C126" s="118" t="s">
        <v>75</v>
      </c>
      <c r="D126" s="558" t="s">
        <v>147</v>
      </c>
      <c r="E126" s="559"/>
      <c r="F126" s="559"/>
      <c r="G126" s="559"/>
      <c r="H126" s="560"/>
      <c r="I126" s="119">
        <f>+I127</f>
        <v>32487.200000000004</v>
      </c>
      <c r="J126" s="251"/>
    </row>
    <row r="127" spans="1:10" s="84" customFormat="1" ht="54.75" customHeight="1" x14ac:dyDescent="0.3">
      <c r="A127" s="121" t="s">
        <v>286</v>
      </c>
      <c r="B127" s="561" t="s">
        <v>285</v>
      </c>
      <c r="C127" s="562"/>
      <c r="D127" s="562"/>
      <c r="E127" s="562"/>
      <c r="F127" s="562"/>
      <c r="G127" s="562"/>
      <c r="H127" s="563"/>
      <c r="I127" s="122">
        <f>+I128</f>
        <v>32487.200000000004</v>
      </c>
      <c r="J127" s="250"/>
    </row>
    <row r="128" spans="1:10" s="84" customFormat="1" ht="16.5" customHeight="1" x14ac:dyDescent="0.3">
      <c r="A128" s="123"/>
      <c r="B128" s="555" t="s">
        <v>287</v>
      </c>
      <c r="C128" s="556"/>
      <c r="D128" s="557"/>
      <c r="E128" s="124"/>
      <c r="F128" s="124"/>
      <c r="G128" s="125"/>
      <c r="H128" s="125"/>
      <c r="I128" s="126">
        <f>SUM(I129:I161)</f>
        <v>32487.200000000004</v>
      </c>
      <c r="J128" s="250"/>
    </row>
    <row r="129" spans="1:10" s="132" customFormat="1" ht="17.25" x14ac:dyDescent="0.25">
      <c r="A129" s="179" t="s">
        <v>289</v>
      </c>
      <c r="B129" s="552" t="s">
        <v>288</v>
      </c>
      <c r="C129" s="553"/>
      <c r="D129" s="554"/>
      <c r="E129" s="128" t="s">
        <v>290</v>
      </c>
      <c r="F129" s="128" t="s">
        <v>295</v>
      </c>
      <c r="G129" s="129">
        <v>58000</v>
      </c>
      <c r="H129" s="226">
        <v>8</v>
      </c>
      <c r="I129" s="131">
        <f t="shared" ref="I129:I161" si="28">+ROUNDUP(G129*H129/1000,1)</f>
        <v>464</v>
      </c>
      <c r="J129" s="252"/>
    </row>
    <row r="130" spans="1:10" s="132" customFormat="1" ht="17.25" x14ac:dyDescent="0.25">
      <c r="A130" s="179" t="s">
        <v>291</v>
      </c>
      <c r="B130" s="552" t="s">
        <v>292</v>
      </c>
      <c r="C130" s="553"/>
      <c r="D130" s="554"/>
      <c r="E130" s="128" t="s">
        <v>290</v>
      </c>
      <c r="F130" s="128" t="s">
        <v>295</v>
      </c>
      <c r="G130" s="129">
        <v>7000</v>
      </c>
      <c r="H130" s="226">
        <v>16</v>
      </c>
      <c r="I130" s="131">
        <f t="shared" si="28"/>
        <v>112</v>
      </c>
      <c r="J130" s="252"/>
    </row>
    <row r="131" spans="1:10" s="132" customFormat="1" ht="17.25" x14ac:dyDescent="0.25">
      <c r="A131" s="179" t="s">
        <v>293</v>
      </c>
      <c r="B131" s="552" t="s">
        <v>294</v>
      </c>
      <c r="C131" s="553"/>
      <c r="D131" s="554"/>
      <c r="E131" s="128" t="s">
        <v>290</v>
      </c>
      <c r="F131" s="128" t="s">
        <v>295</v>
      </c>
      <c r="G131" s="129">
        <v>850</v>
      </c>
      <c r="H131" s="226">
        <v>200</v>
      </c>
      <c r="I131" s="131">
        <f t="shared" si="28"/>
        <v>170</v>
      </c>
      <c r="J131" s="252"/>
    </row>
    <row r="132" spans="1:10" s="132" customFormat="1" ht="17.25" x14ac:dyDescent="0.25">
      <c r="A132" s="179" t="s">
        <v>304</v>
      </c>
      <c r="B132" s="552" t="s">
        <v>305</v>
      </c>
      <c r="C132" s="553"/>
      <c r="D132" s="554"/>
      <c r="E132" s="128" t="s">
        <v>290</v>
      </c>
      <c r="F132" s="128" t="s">
        <v>295</v>
      </c>
      <c r="G132" s="129">
        <v>4750</v>
      </c>
      <c r="H132" s="226">
        <v>80</v>
      </c>
      <c r="I132" s="131">
        <f t="shared" si="28"/>
        <v>380</v>
      </c>
      <c r="J132" s="252"/>
    </row>
    <row r="133" spans="1:10" s="132" customFormat="1" ht="17.25" x14ac:dyDescent="0.25">
      <c r="A133" s="179" t="s">
        <v>306</v>
      </c>
      <c r="B133" s="549" t="s">
        <v>641</v>
      </c>
      <c r="C133" s="550"/>
      <c r="D133" s="551"/>
      <c r="E133" s="128" t="s">
        <v>290</v>
      </c>
      <c r="F133" s="128" t="s">
        <v>314</v>
      </c>
      <c r="G133" s="129">
        <v>135714.28</v>
      </c>
      <c r="H133" s="226">
        <v>7</v>
      </c>
      <c r="I133" s="131">
        <f t="shared" si="28"/>
        <v>950</v>
      </c>
      <c r="J133" s="252"/>
    </row>
    <row r="134" spans="1:10" s="132" customFormat="1" ht="17.25" x14ac:dyDescent="0.25">
      <c r="A134" s="179" t="s">
        <v>307</v>
      </c>
      <c r="B134" s="552" t="s">
        <v>308</v>
      </c>
      <c r="C134" s="553"/>
      <c r="D134" s="554"/>
      <c r="E134" s="128" t="s">
        <v>290</v>
      </c>
      <c r="F134" s="128" t="s">
        <v>314</v>
      </c>
      <c r="G134" s="129">
        <v>195000</v>
      </c>
      <c r="H134" s="226">
        <v>16</v>
      </c>
      <c r="I134" s="131">
        <f t="shared" si="28"/>
        <v>3120</v>
      </c>
      <c r="J134" s="252"/>
    </row>
    <row r="135" spans="1:10" s="132" customFormat="1" ht="17.25" x14ac:dyDescent="0.25">
      <c r="A135" s="179" t="s">
        <v>309</v>
      </c>
      <c r="B135" s="552" t="s">
        <v>310</v>
      </c>
      <c r="C135" s="553"/>
      <c r="D135" s="554"/>
      <c r="E135" s="128" t="s">
        <v>290</v>
      </c>
      <c r="F135" s="128" t="s">
        <v>295</v>
      </c>
      <c r="G135" s="129">
        <v>20000</v>
      </c>
      <c r="H135" s="226">
        <v>64</v>
      </c>
      <c r="I135" s="131">
        <f t="shared" si="28"/>
        <v>1280</v>
      </c>
      <c r="J135" s="252"/>
    </row>
    <row r="136" spans="1:10" s="132" customFormat="1" ht="17.25" x14ac:dyDescent="0.25">
      <c r="A136" s="179" t="s">
        <v>311</v>
      </c>
      <c r="B136" s="552" t="s">
        <v>312</v>
      </c>
      <c r="C136" s="553"/>
      <c r="D136" s="554"/>
      <c r="E136" s="128" t="s">
        <v>290</v>
      </c>
      <c r="F136" s="128" t="s">
        <v>295</v>
      </c>
      <c r="G136" s="129">
        <v>80000</v>
      </c>
      <c r="H136" s="226">
        <v>8</v>
      </c>
      <c r="I136" s="131">
        <f t="shared" si="28"/>
        <v>640</v>
      </c>
      <c r="J136" s="252"/>
    </row>
    <row r="137" spans="1:10" s="132" customFormat="1" ht="17.25" x14ac:dyDescent="0.25">
      <c r="A137" s="179" t="s">
        <v>313</v>
      </c>
      <c r="B137" s="549" t="s">
        <v>640</v>
      </c>
      <c r="C137" s="550"/>
      <c r="D137" s="551"/>
      <c r="E137" s="128" t="s">
        <v>290</v>
      </c>
      <c r="F137" s="128" t="s">
        <v>314</v>
      </c>
      <c r="G137" s="129">
        <v>4250</v>
      </c>
      <c r="H137" s="226">
        <v>16</v>
      </c>
      <c r="I137" s="131">
        <f t="shared" si="28"/>
        <v>68</v>
      </c>
      <c r="J137" s="252"/>
    </row>
    <row r="138" spans="1:10" s="132" customFormat="1" ht="17.25" x14ac:dyDescent="0.25">
      <c r="A138" s="179" t="s">
        <v>315</v>
      </c>
      <c r="B138" s="552" t="s">
        <v>319</v>
      </c>
      <c r="C138" s="553"/>
      <c r="D138" s="554"/>
      <c r="E138" s="128" t="s">
        <v>290</v>
      </c>
      <c r="F138" s="128" t="s">
        <v>295</v>
      </c>
      <c r="G138" s="129">
        <v>61200</v>
      </c>
      <c r="H138" s="226">
        <v>8</v>
      </c>
      <c r="I138" s="131">
        <f t="shared" si="28"/>
        <v>489.6</v>
      </c>
      <c r="J138" s="252"/>
    </row>
    <row r="139" spans="1:10" s="132" customFormat="1" ht="17.25" x14ac:dyDescent="0.25">
      <c r="A139" s="179" t="s">
        <v>316</v>
      </c>
      <c r="B139" s="549" t="s">
        <v>639</v>
      </c>
      <c r="C139" s="550"/>
      <c r="D139" s="551"/>
      <c r="E139" s="128" t="s">
        <v>290</v>
      </c>
      <c r="F139" s="128" t="s">
        <v>295</v>
      </c>
      <c r="G139" s="129">
        <v>26400</v>
      </c>
      <c r="H139" s="226">
        <v>24</v>
      </c>
      <c r="I139" s="131">
        <f t="shared" si="28"/>
        <v>633.6</v>
      </c>
      <c r="J139" s="252"/>
    </row>
    <row r="140" spans="1:10" s="132" customFormat="1" ht="17.25" x14ac:dyDescent="0.25">
      <c r="A140" s="179" t="s">
        <v>317</v>
      </c>
      <c r="B140" s="549" t="s">
        <v>318</v>
      </c>
      <c r="C140" s="550"/>
      <c r="D140" s="551"/>
      <c r="E140" s="128" t="s">
        <v>290</v>
      </c>
      <c r="F140" s="128" t="s">
        <v>295</v>
      </c>
      <c r="G140" s="129">
        <v>37500</v>
      </c>
      <c r="H140" s="226">
        <v>8</v>
      </c>
      <c r="I140" s="131">
        <f t="shared" si="28"/>
        <v>300</v>
      </c>
      <c r="J140" s="252"/>
    </row>
    <row r="141" spans="1:10" s="132" customFormat="1" ht="17.25" x14ac:dyDescent="0.25">
      <c r="A141" s="179" t="s">
        <v>320</v>
      </c>
      <c r="B141" s="552" t="s">
        <v>321</v>
      </c>
      <c r="C141" s="553"/>
      <c r="D141" s="554"/>
      <c r="E141" s="128" t="s">
        <v>290</v>
      </c>
      <c r="F141" s="128" t="s">
        <v>295</v>
      </c>
      <c r="G141" s="129">
        <v>333750</v>
      </c>
      <c r="H141" s="226">
        <v>8</v>
      </c>
      <c r="I141" s="131">
        <f t="shared" si="28"/>
        <v>2670</v>
      </c>
      <c r="J141" s="252"/>
    </row>
    <row r="142" spans="1:10" s="132" customFormat="1" ht="33" customHeight="1" x14ac:dyDescent="0.25">
      <c r="A142" s="179" t="s">
        <v>322</v>
      </c>
      <c r="B142" s="552" t="s">
        <v>323</v>
      </c>
      <c r="C142" s="553"/>
      <c r="D142" s="554"/>
      <c r="E142" s="128" t="s">
        <v>290</v>
      </c>
      <c r="F142" s="128" t="s">
        <v>295</v>
      </c>
      <c r="G142" s="129">
        <v>93150</v>
      </c>
      <c r="H142" s="226">
        <v>8</v>
      </c>
      <c r="I142" s="131">
        <f t="shared" si="28"/>
        <v>745.2</v>
      </c>
      <c r="J142" s="252"/>
    </row>
    <row r="143" spans="1:10" s="132" customFormat="1" ht="17.25" x14ac:dyDescent="0.25">
      <c r="A143" s="179" t="s">
        <v>324</v>
      </c>
      <c r="B143" s="552" t="s">
        <v>329</v>
      </c>
      <c r="C143" s="553"/>
      <c r="D143" s="554"/>
      <c r="E143" s="128" t="s">
        <v>290</v>
      </c>
      <c r="F143" s="128" t="s">
        <v>295</v>
      </c>
      <c r="G143" s="129">
        <v>3937.5</v>
      </c>
      <c r="H143" s="226">
        <v>320</v>
      </c>
      <c r="I143" s="131">
        <f t="shared" si="28"/>
        <v>1260</v>
      </c>
      <c r="J143" s="252"/>
    </row>
    <row r="144" spans="1:10" s="132" customFormat="1" ht="17.25" x14ac:dyDescent="0.25">
      <c r="A144" s="179" t="s">
        <v>325</v>
      </c>
      <c r="B144" s="552" t="s">
        <v>326</v>
      </c>
      <c r="C144" s="553"/>
      <c r="D144" s="554"/>
      <c r="E144" s="128" t="s">
        <v>290</v>
      </c>
      <c r="F144" s="128" t="s">
        <v>295</v>
      </c>
      <c r="G144" s="129">
        <v>4650</v>
      </c>
      <c r="H144" s="226">
        <v>80</v>
      </c>
      <c r="I144" s="131">
        <f t="shared" si="28"/>
        <v>372</v>
      </c>
      <c r="J144" s="252"/>
    </row>
    <row r="145" spans="1:10" s="132" customFormat="1" ht="17.25" x14ac:dyDescent="0.25">
      <c r="A145" s="179" t="s">
        <v>327</v>
      </c>
      <c r="B145" s="552" t="s">
        <v>328</v>
      </c>
      <c r="C145" s="553"/>
      <c r="D145" s="554"/>
      <c r="E145" s="128" t="s">
        <v>290</v>
      </c>
      <c r="F145" s="128" t="s">
        <v>295</v>
      </c>
      <c r="G145" s="129">
        <v>4980</v>
      </c>
      <c r="H145" s="226">
        <v>80</v>
      </c>
      <c r="I145" s="131">
        <f t="shared" si="28"/>
        <v>398.4</v>
      </c>
      <c r="J145" s="252"/>
    </row>
    <row r="146" spans="1:10" s="132" customFormat="1" ht="17.25" x14ac:dyDescent="0.25">
      <c r="A146" s="179" t="s">
        <v>330</v>
      </c>
      <c r="B146" s="552" t="s">
        <v>331</v>
      </c>
      <c r="C146" s="553"/>
      <c r="D146" s="554"/>
      <c r="E146" s="128" t="s">
        <v>290</v>
      </c>
      <c r="F146" s="128" t="s">
        <v>295</v>
      </c>
      <c r="G146" s="129">
        <v>34687.5</v>
      </c>
      <c r="H146" s="226">
        <v>64</v>
      </c>
      <c r="I146" s="131">
        <f t="shared" si="28"/>
        <v>2220</v>
      </c>
      <c r="J146" s="252"/>
    </row>
    <row r="147" spans="1:10" s="132" customFormat="1" ht="17.25" x14ac:dyDescent="0.25">
      <c r="A147" s="179" t="s">
        <v>332</v>
      </c>
      <c r="B147" s="552" t="s">
        <v>333</v>
      </c>
      <c r="C147" s="553"/>
      <c r="D147" s="554"/>
      <c r="E147" s="128" t="s">
        <v>290</v>
      </c>
      <c r="F147" s="128" t="s">
        <v>295</v>
      </c>
      <c r="G147" s="129">
        <v>23850</v>
      </c>
      <c r="H147" s="226">
        <v>240</v>
      </c>
      <c r="I147" s="131">
        <f t="shared" si="28"/>
        <v>5724</v>
      </c>
      <c r="J147" s="252"/>
    </row>
    <row r="148" spans="1:10" s="132" customFormat="1" ht="17.25" x14ac:dyDescent="0.25">
      <c r="A148" s="179" t="s">
        <v>334</v>
      </c>
      <c r="B148" s="552" t="s">
        <v>335</v>
      </c>
      <c r="C148" s="553"/>
      <c r="D148" s="554"/>
      <c r="E148" s="128" t="s">
        <v>290</v>
      </c>
      <c r="F148" s="128" t="s">
        <v>314</v>
      </c>
      <c r="G148" s="129">
        <v>510000</v>
      </c>
      <c r="H148" s="226">
        <v>8</v>
      </c>
      <c r="I148" s="131">
        <f t="shared" si="28"/>
        <v>4080</v>
      </c>
      <c r="J148" s="252"/>
    </row>
    <row r="149" spans="1:10" s="132" customFormat="1" ht="17.25" x14ac:dyDescent="0.25">
      <c r="A149" s="179" t="s">
        <v>336</v>
      </c>
      <c r="B149" s="552" t="s">
        <v>337</v>
      </c>
      <c r="C149" s="553"/>
      <c r="D149" s="554"/>
      <c r="E149" s="128" t="s">
        <v>290</v>
      </c>
      <c r="F149" s="128" t="s">
        <v>295</v>
      </c>
      <c r="G149" s="129">
        <v>46500</v>
      </c>
      <c r="H149" s="226">
        <v>32</v>
      </c>
      <c r="I149" s="131">
        <f t="shared" si="28"/>
        <v>1488</v>
      </c>
      <c r="J149" s="252"/>
    </row>
    <row r="150" spans="1:10" s="132" customFormat="1" ht="17.25" x14ac:dyDescent="0.25">
      <c r="A150" s="179" t="s">
        <v>338</v>
      </c>
      <c r="B150" s="552" t="s">
        <v>339</v>
      </c>
      <c r="C150" s="553"/>
      <c r="D150" s="554"/>
      <c r="E150" s="128" t="s">
        <v>290</v>
      </c>
      <c r="F150" s="128" t="s">
        <v>342</v>
      </c>
      <c r="G150" s="129">
        <v>44642.85</v>
      </c>
      <c r="H150" s="227">
        <v>5.6</v>
      </c>
      <c r="I150" s="131">
        <f t="shared" si="28"/>
        <v>250</v>
      </c>
      <c r="J150" s="252"/>
    </row>
    <row r="151" spans="1:10" s="132" customFormat="1" ht="17.25" x14ac:dyDescent="0.25">
      <c r="A151" s="179" t="s">
        <v>340</v>
      </c>
      <c r="B151" s="552" t="s">
        <v>341</v>
      </c>
      <c r="C151" s="553"/>
      <c r="D151" s="554"/>
      <c r="E151" s="128" t="s">
        <v>290</v>
      </c>
      <c r="F151" s="128" t="s">
        <v>314</v>
      </c>
      <c r="G151" s="129">
        <v>175000</v>
      </c>
      <c r="H151" s="226">
        <v>8</v>
      </c>
      <c r="I151" s="131">
        <f t="shared" si="28"/>
        <v>1400</v>
      </c>
      <c r="J151" s="252"/>
    </row>
    <row r="152" spans="1:10" s="132" customFormat="1" ht="17.25" x14ac:dyDescent="0.25">
      <c r="A152" s="179" t="s">
        <v>343</v>
      </c>
      <c r="B152" s="552" t="s">
        <v>344</v>
      </c>
      <c r="C152" s="553"/>
      <c r="D152" s="554"/>
      <c r="E152" s="128" t="s">
        <v>290</v>
      </c>
      <c r="F152" s="128" t="s">
        <v>295</v>
      </c>
      <c r="G152" s="129">
        <v>11812.5</v>
      </c>
      <c r="H152" s="226">
        <v>32</v>
      </c>
      <c r="I152" s="131">
        <f t="shared" si="28"/>
        <v>378</v>
      </c>
      <c r="J152" s="252"/>
    </row>
    <row r="153" spans="1:10" s="132" customFormat="1" ht="17.25" x14ac:dyDescent="0.25">
      <c r="A153" s="179" t="s">
        <v>345</v>
      </c>
      <c r="B153" s="552" t="s">
        <v>346</v>
      </c>
      <c r="C153" s="553"/>
      <c r="D153" s="554"/>
      <c r="E153" s="128" t="s">
        <v>290</v>
      </c>
      <c r="F153" s="128" t="s">
        <v>295</v>
      </c>
      <c r="G153" s="129">
        <v>693.75</v>
      </c>
      <c r="H153" s="226">
        <v>320</v>
      </c>
      <c r="I153" s="131">
        <f t="shared" si="28"/>
        <v>222</v>
      </c>
      <c r="J153" s="252"/>
    </row>
    <row r="154" spans="1:10" s="132" customFormat="1" ht="17.25" x14ac:dyDescent="0.25">
      <c r="A154" s="179" t="s">
        <v>347</v>
      </c>
      <c r="B154" s="552" t="s">
        <v>348</v>
      </c>
      <c r="C154" s="553"/>
      <c r="D154" s="554"/>
      <c r="E154" s="128" t="s">
        <v>290</v>
      </c>
      <c r="F154" s="128" t="s">
        <v>295</v>
      </c>
      <c r="G154" s="129">
        <v>712.5</v>
      </c>
      <c r="H154" s="226">
        <v>160</v>
      </c>
      <c r="I154" s="131">
        <f t="shared" si="28"/>
        <v>114</v>
      </c>
      <c r="J154" s="252"/>
    </row>
    <row r="155" spans="1:10" s="132" customFormat="1" ht="17.25" x14ac:dyDescent="0.25">
      <c r="A155" s="179" t="s">
        <v>349</v>
      </c>
      <c r="B155" s="552" t="s">
        <v>350</v>
      </c>
      <c r="C155" s="553"/>
      <c r="D155" s="554"/>
      <c r="E155" s="128" t="s">
        <v>290</v>
      </c>
      <c r="F155" s="128" t="s">
        <v>295</v>
      </c>
      <c r="G155" s="129">
        <v>54000</v>
      </c>
      <c r="H155" s="226">
        <v>8</v>
      </c>
      <c r="I155" s="131">
        <f t="shared" si="28"/>
        <v>432</v>
      </c>
      <c r="J155" s="252"/>
    </row>
    <row r="156" spans="1:10" s="132" customFormat="1" ht="17.25" x14ac:dyDescent="0.25">
      <c r="A156" s="179" t="s">
        <v>351</v>
      </c>
      <c r="B156" s="549" t="s">
        <v>637</v>
      </c>
      <c r="C156" s="550"/>
      <c r="D156" s="551"/>
      <c r="E156" s="128" t="s">
        <v>290</v>
      </c>
      <c r="F156" s="128" t="s">
        <v>295</v>
      </c>
      <c r="G156" s="129">
        <v>25875</v>
      </c>
      <c r="H156" s="226">
        <v>16</v>
      </c>
      <c r="I156" s="131">
        <f t="shared" si="28"/>
        <v>414</v>
      </c>
      <c r="J156" s="252"/>
    </row>
    <row r="157" spans="1:10" s="132" customFormat="1" ht="17.25" x14ac:dyDescent="0.25">
      <c r="A157" s="179" t="s">
        <v>352</v>
      </c>
      <c r="B157" s="552" t="s">
        <v>353</v>
      </c>
      <c r="C157" s="553"/>
      <c r="D157" s="554"/>
      <c r="E157" s="128" t="s">
        <v>290</v>
      </c>
      <c r="F157" s="128" t="s">
        <v>295</v>
      </c>
      <c r="G157" s="129">
        <v>81</v>
      </c>
      <c r="H157" s="226">
        <v>400</v>
      </c>
      <c r="I157" s="131">
        <f t="shared" si="28"/>
        <v>32.4</v>
      </c>
      <c r="J157" s="252"/>
    </row>
    <row r="158" spans="1:10" s="132" customFormat="1" ht="17.25" x14ac:dyDescent="0.25">
      <c r="A158" s="179" t="s">
        <v>354</v>
      </c>
      <c r="B158" s="552" t="s">
        <v>355</v>
      </c>
      <c r="C158" s="553"/>
      <c r="D158" s="554"/>
      <c r="E158" s="128" t="s">
        <v>290</v>
      </c>
      <c r="F158" s="128" t="s">
        <v>314</v>
      </c>
      <c r="G158" s="129">
        <v>165000</v>
      </c>
      <c r="H158" s="226">
        <v>8</v>
      </c>
      <c r="I158" s="131">
        <f t="shared" si="28"/>
        <v>1320</v>
      </c>
      <c r="J158" s="252"/>
    </row>
    <row r="159" spans="1:10" s="132" customFormat="1" ht="17.25" x14ac:dyDescent="0.25">
      <c r="A159" s="179" t="s">
        <v>356</v>
      </c>
      <c r="B159" s="549" t="s">
        <v>638</v>
      </c>
      <c r="C159" s="550"/>
      <c r="D159" s="551"/>
      <c r="E159" s="128" t="s">
        <v>290</v>
      </c>
      <c r="F159" s="128" t="s">
        <v>295</v>
      </c>
      <c r="G159" s="129">
        <v>3000</v>
      </c>
      <c r="H159" s="226">
        <v>40</v>
      </c>
      <c r="I159" s="131">
        <f t="shared" si="28"/>
        <v>120</v>
      </c>
      <c r="J159" s="252"/>
    </row>
    <row r="160" spans="1:10" s="132" customFormat="1" ht="17.45" customHeight="1" x14ac:dyDescent="0.25">
      <c r="A160" s="179" t="s">
        <v>357</v>
      </c>
      <c r="B160" s="549" t="s">
        <v>638</v>
      </c>
      <c r="C160" s="550"/>
      <c r="D160" s="551"/>
      <c r="E160" s="128" t="s">
        <v>290</v>
      </c>
      <c r="F160" s="128" t="s">
        <v>295</v>
      </c>
      <c r="G160" s="129">
        <v>3000</v>
      </c>
      <c r="H160" s="226">
        <v>40</v>
      </c>
      <c r="I160" s="131">
        <f t="shared" si="28"/>
        <v>120</v>
      </c>
      <c r="J160" s="252"/>
    </row>
    <row r="161" spans="1:10" s="132" customFormat="1" ht="17.45" customHeight="1" x14ac:dyDescent="0.25">
      <c r="A161" s="179" t="s">
        <v>358</v>
      </c>
      <c r="B161" s="549" t="s">
        <v>638</v>
      </c>
      <c r="C161" s="550"/>
      <c r="D161" s="551"/>
      <c r="E161" s="128" t="s">
        <v>290</v>
      </c>
      <c r="F161" s="128" t="s">
        <v>295</v>
      </c>
      <c r="G161" s="129">
        <v>3000</v>
      </c>
      <c r="H161" s="226">
        <v>40</v>
      </c>
      <c r="I161" s="131">
        <f t="shared" si="28"/>
        <v>120</v>
      </c>
      <c r="J161" s="252"/>
    </row>
    <row r="162" spans="1:10" s="216" customFormat="1" x14ac:dyDescent="0.25">
      <c r="J162" s="255"/>
    </row>
    <row r="163" spans="1:10" s="84" customFormat="1" ht="44.85" customHeight="1" x14ac:dyDescent="0.3">
      <c r="A163" s="567" t="s">
        <v>102</v>
      </c>
      <c r="B163" s="567"/>
      <c r="C163" s="567"/>
      <c r="D163" s="567"/>
      <c r="E163" s="567"/>
      <c r="F163" s="567"/>
      <c r="G163" s="567"/>
      <c r="H163" s="567"/>
      <c r="I163" s="117">
        <f>+I164</f>
        <v>306</v>
      </c>
      <c r="J163" s="250"/>
    </row>
    <row r="164" spans="1:10" s="120" customFormat="1" ht="17.25" x14ac:dyDescent="0.3">
      <c r="A164" s="118" t="s">
        <v>78</v>
      </c>
      <c r="B164" s="118" t="s">
        <v>164</v>
      </c>
      <c r="C164" s="118" t="s">
        <v>75</v>
      </c>
      <c r="D164" s="558" t="s">
        <v>147</v>
      </c>
      <c r="E164" s="559"/>
      <c r="F164" s="559"/>
      <c r="G164" s="559"/>
      <c r="H164" s="560"/>
      <c r="I164" s="119">
        <f>+I165</f>
        <v>306</v>
      </c>
      <c r="J164" s="251"/>
    </row>
    <row r="165" spans="1:10" s="84" customFormat="1" ht="54.75" customHeight="1" x14ac:dyDescent="0.3">
      <c r="A165" s="121" t="s">
        <v>286</v>
      </c>
      <c r="B165" s="561" t="s">
        <v>285</v>
      </c>
      <c r="C165" s="562"/>
      <c r="D165" s="562"/>
      <c r="E165" s="562"/>
      <c r="F165" s="562"/>
      <c r="G165" s="562"/>
      <c r="H165" s="563"/>
      <c r="I165" s="122">
        <f>+I166</f>
        <v>306</v>
      </c>
      <c r="J165" s="250"/>
    </row>
    <row r="166" spans="1:10" s="84" customFormat="1" ht="16.5" customHeight="1" x14ac:dyDescent="0.3">
      <c r="A166" s="123"/>
      <c r="B166" s="555" t="s">
        <v>287</v>
      </c>
      <c r="C166" s="556"/>
      <c r="D166" s="557"/>
      <c r="E166" s="124"/>
      <c r="F166" s="124"/>
      <c r="G166" s="125"/>
      <c r="H166" s="125"/>
      <c r="I166" s="126">
        <f>SUM(I167:I167)</f>
        <v>306</v>
      </c>
      <c r="J166" s="250"/>
    </row>
    <row r="167" spans="1:10" s="132" customFormat="1" ht="17.25" x14ac:dyDescent="0.25">
      <c r="A167" s="179" t="s">
        <v>388</v>
      </c>
      <c r="B167" s="552" t="s">
        <v>389</v>
      </c>
      <c r="C167" s="553"/>
      <c r="D167" s="554"/>
      <c r="E167" s="128" t="s">
        <v>290</v>
      </c>
      <c r="F167" s="128" t="s">
        <v>295</v>
      </c>
      <c r="G167" s="129">
        <v>306000</v>
      </c>
      <c r="H167" s="226">
        <v>1</v>
      </c>
      <c r="I167" s="131">
        <f t="shared" ref="I167" si="29">+ROUNDUP(G167*H167/1000,1)</f>
        <v>306</v>
      </c>
      <c r="J167" s="252"/>
    </row>
  </sheetData>
  <mergeCells count="162">
    <mergeCell ref="B74:D74"/>
    <mergeCell ref="B52:D52"/>
    <mergeCell ref="B55:D55"/>
    <mergeCell ref="B56:D56"/>
    <mergeCell ref="D112:H112"/>
    <mergeCell ref="B15:H15"/>
    <mergeCell ref="B16:D16"/>
    <mergeCell ref="B17:D17"/>
    <mergeCell ref="B18:D18"/>
    <mergeCell ref="B19:D19"/>
    <mergeCell ref="B20:D20"/>
    <mergeCell ref="D21:H21"/>
    <mergeCell ref="B22:H22"/>
    <mergeCell ref="B23:D23"/>
    <mergeCell ref="B59:D59"/>
    <mergeCell ref="B60:D60"/>
    <mergeCell ref="B50:D50"/>
    <mergeCell ref="B51:D51"/>
    <mergeCell ref="B54:D54"/>
    <mergeCell ref="B53:D53"/>
    <mergeCell ref="B61:D61"/>
    <mergeCell ref="B57:D57"/>
    <mergeCell ref="B58:D58"/>
    <mergeCell ref="B36:D36"/>
    <mergeCell ref="B149:D149"/>
    <mergeCell ref="B135:D135"/>
    <mergeCell ref="B160:D160"/>
    <mergeCell ref="B161:D161"/>
    <mergeCell ref="B155:D155"/>
    <mergeCell ref="B141:D141"/>
    <mergeCell ref="B142:D142"/>
    <mergeCell ref="B143:D143"/>
    <mergeCell ref="B144:D144"/>
    <mergeCell ref="B145:D145"/>
    <mergeCell ref="B37:D37"/>
    <mergeCell ref="B42:D42"/>
    <mergeCell ref="B43:D43"/>
    <mergeCell ref="B44:D44"/>
    <mergeCell ref="B48:D48"/>
    <mergeCell ref="B166:D166"/>
    <mergeCell ref="B167:D167"/>
    <mergeCell ref="B117:H117"/>
    <mergeCell ref="B118:D118"/>
    <mergeCell ref="B119:D119"/>
    <mergeCell ref="B121:D121"/>
    <mergeCell ref="B120:D120"/>
    <mergeCell ref="B122:D122"/>
    <mergeCell ref="B123:D123"/>
    <mergeCell ref="A163:H163"/>
    <mergeCell ref="D164:H164"/>
    <mergeCell ref="B137:D137"/>
    <mergeCell ref="B138:D138"/>
    <mergeCell ref="B139:D139"/>
    <mergeCell ref="B140:D140"/>
    <mergeCell ref="B146:D146"/>
    <mergeCell ref="B147:D147"/>
    <mergeCell ref="B148:D148"/>
    <mergeCell ref="B114:D114"/>
    <mergeCell ref="B115:D115"/>
    <mergeCell ref="A125:H125"/>
    <mergeCell ref="B136:D136"/>
    <mergeCell ref="B79:D79"/>
    <mergeCell ref="B83:D83"/>
    <mergeCell ref="B86:D86"/>
    <mergeCell ref="B98:H98"/>
    <mergeCell ref="B99:D99"/>
    <mergeCell ref="B100:D100"/>
    <mergeCell ref="B101:D101"/>
    <mergeCell ref="B102:D102"/>
    <mergeCell ref="B103:D103"/>
    <mergeCell ref="B84:D84"/>
    <mergeCell ref="B87:D87"/>
    <mergeCell ref="B106:H106"/>
    <mergeCell ref="B107:D107"/>
    <mergeCell ref="B131:D131"/>
    <mergeCell ref="B132:D132"/>
    <mergeCell ref="B133:D133"/>
    <mergeCell ref="B134:D134"/>
    <mergeCell ref="B113:H113"/>
    <mergeCell ref="D116:H116"/>
    <mergeCell ref="B62:D62"/>
    <mergeCell ref="B29:D29"/>
    <mergeCell ref="B165:H165"/>
    <mergeCell ref="B81:D81"/>
    <mergeCell ref="B82:D82"/>
    <mergeCell ref="B85:D85"/>
    <mergeCell ref="D90:H90"/>
    <mergeCell ref="B91:H91"/>
    <mergeCell ref="B92:D92"/>
    <mergeCell ref="B94:D94"/>
    <mergeCell ref="B93:D93"/>
    <mergeCell ref="B95:D95"/>
    <mergeCell ref="B96:D96"/>
    <mergeCell ref="B97:D97"/>
    <mergeCell ref="A111:H111"/>
    <mergeCell ref="D126:H126"/>
    <mergeCell ref="B127:H127"/>
    <mergeCell ref="B128:D128"/>
    <mergeCell ref="B129:D129"/>
    <mergeCell ref="B130:D130"/>
    <mergeCell ref="B33:D33"/>
    <mergeCell ref="B34:D34"/>
    <mergeCell ref="B35:D35"/>
    <mergeCell ref="B66:D6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2:D12"/>
    <mergeCell ref="A89:H89"/>
    <mergeCell ref="D105:H105"/>
    <mergeCell ref="B109:D109"/>
    <mergeCell ref="B28:D28"/>
    <mergeCell ref="A13:H13"/>
    <mergeCell ref="B38:D38"/>
    <mergeCell ref="B40:D40"/>
    <mergeCell ref="B46:D46"/>
    <mergeCell ref="B30:D30"/>
    <mergeCell ref="B45:D45"/>
    <mergeCell ref="B41:D41"/>
    <mergeCell ref="B47:D47"/>
    <mergeCell ref="B69:D69"/>
    <mergeCell ref="B75:D75"/>
    <mergeCell ref="B76:H76"/>
    <mergeCell ref="B67:D67"/>
    <mergeCell ref="B71:D71"/>
    <mergeCell ref="D63:H63"/>
    <mergeCell ref="B64:H64"/>
    <mergeCell ref="B65:D65"/>
    <mergeCell ref="B68:D68"/>
    <mergeCell ref="B72:D72"/>
    <mergeCell ref="B24:D24"/>
    <mergeCell ref="B104:D104"/>
    <mergeCell ref="B156:D156"/>
    <mergeCell ref="B157:D157"/>
    <mergeCell ref="B158:D158"/>
    <mergeCell ref="B159:D159"/>
    <mergeCell ref="B150:D150"/>
    <mergeCell ref="B151:D151"/>
    <mergeCell ref="B152:D152"/>
    <mergeCell ref="B153:D153"/>
    <mergeCell ref="B154:D154"/>
    <mergeCell ref="B70:D70"/>
    <mergeCell ref="B73:D73"/>
    <mergeCell ref="B77:D77"/>
    <mergeCell ref="B78:D78"/>
    <mergeCell ref="B108:D108"/>
    <mergeCell ref="D25:H25"/>
    <mergeCell ref="B26:H26"/>
    <mergeCell ref="B27:D27"/>
    <mergeCell ref="B31:D31"/>
    <mergeCell ref="B32:D32"/>
    <mergeCell ref="B80:D80"/>
    <mergeCell ref="B49:D49"/>
    <mergeCell ref="B39:D39"/>
  </mergeCells>
  <phoneticPr fontId="96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71"/>
  <sheetViews>
    <sheetView tabSelected="1" zoomScale="74" zoomScaleNormal="70" zoomScaleSheetLayoutView="100" workbookViewId="0">
      <selection activeCell="F1" sqref="F1:I1"/>
    </sheetView>
  </sheetViews>
  <sheetFormatPr defaultColWidth="9.140625" defaultRowHeight="17.25" x14ac:dyDescent="0.3"/>
  <cols>
    <col min="1" max="3" width="8.85546875" style="2" customWidth="1"/>
    <col min="4" max="4" width="10.28515625" style="2" customWidth="1"/>
    <col min="5" max="5" width="14.5703125" style="2" customWidth="1"/>
    <col min="6" max="6" width="62.140625" style="2" customWidth="1"/>
    <col min="7" max="9" width="23.7109375" style="2" customWidth="1"/>
    <col min="10" max="10" width="49.85546875" style="2" customWidth="1"/>
    <col min="11" max="11" width="14.28515625" style="2" customWidth="1"/>
    <col min="12" max="16384" width="9.140625" style="2"/>
  </cols>
  <sheetData>
    <row r="1" spans="1:9" ht="38.1" customHeight="1" x14ac:dyDescent="0.3">
      <c r="F1" s="452" t="s">
        <v>654</v>
      </c>
      <c r="G1" s="452"/>
      <c r="H1" s="452"/>
      <c r="I1" s="452"/>
    </row>
    <row r="2" spans="1:9" ht="17.649999999999999" customHeight="1" x14ac:dyDescent="0.3">
      <c r="G2" s="53"/>
      <c r="H2" s="53"/>
      <c r="I2" s="53" t="s">
        <v>53</v>
      </c>
    </row>
    <row r="3" spans="1:9" ht="17.649999999999999" customHeight="1" x14ac:dyDescent="0.3">
      <c r="G3" s="53"/>
      <c r="H3" s="53"/>
      <c r="I3" s="53" t="s">
        <v>0</v>
      </c>
    </row>
    <row r="6" spans="1:9" ht="52.5" customHeight="1" x14ac:dyDescent="0.3">
      <c r="A6" s="454" t="s">
        <v>581</v>
      </c>
      <c r="B6" s="454"/>
      <c r="C6" s="454"/>
      <c r="D6" s="454"/>
      <c r="E6" s="454"/>
      <c r="F6" s="454"/>
      <c r="G6" s="454"/>
      <c r="H6" s="454"/>
      <c r="I6" s="454"/>
    </row>
    <row r="8" spans="1:9" x14ac:dyDescent="0.3">
      <c r="G8" s="294"/>
      <c r="H8" s="294"/>
      <c r="I8" s="294" t="s">
        <v>9</v>
      </c>
    </row>
    <row r="9" spans="1:9" s="9" customFormat="1" ht="56.1" customHeight="1" x14ac:dyDescent="0.25">
      <c r="A9" s="582" t="s">
        <v>10</v>
      </c>
      <c r="B9" s="582"/>
      <c r="C9" s="582"/>
      <c r="D9" s="582" t="s">
        <v>1</v>
      </c>
      <c r="E9" s="582"/>
      <c r="F9" s="582" t="s">
        <v>5</v>
      </c>
      <c r="G9" s="407" t="s">
        <v>572</v>
      </c>
      <c r="H9" s="408"/>
      <c r="I9" s="409"/>
    </row>
    <row r="10" spans="1:9" s="9" customFormat="1" ht="45" customHeight="1" x14ac:dyDescent="0.25">
      <c r="A10" s="31" t="s">
        <v>573</v>
      </c>
      <c r="B10" s="31" t="s">
        <v>574</v>
      </c>
      <c r="C10" s="31" t="s">
        <v>11</v>
      </c>
      <c r="D10" s="31" t="s">
        <v>4</v>
      </c>
      <c r="E10" s="31" t="s">
        <v>575</v>
      </c>
      <c r="F10" s="582"/>
      <c r="G10" s="31" t="s">
        <v>24</v>
      </c>
      <c r="H10" s="31" t="s">
        <v>2</v>
      </c>
      <c r="I10" s="31" t="s">
        <v>3</v>
      </c>
    </row>
    <row r="11" spans="1:9" s="9" customFormat="1" ht="22.7" customHeight="1" x14ac:dyDescent="0.25">
      <c r="A11" s="49"/>
      <c r="B11" s="49"/>
      <c r="C11" s="49"/>
      <c r="D11" s="31"/>
      <c r="E11" s="31"/>
      <c r="F11" s="56" t="s">
        <v>8</v>
      </c>
      <c r="G11" s="285">
        <f>+G13+G33</f>
        <v>0</v>
      </c>
      <c r="H11" s="285">
        <f>+H13+H33</f>
        <v>0</v>
      </c>
      <c r="I11" s="285">
        <f>+I13+I33</f>
        <v>0</v>
      </c>
    </row>
    <row r="12" spans="1:9" s="9" customFormat="1" ht="22.7" customHeight="1" x14ac:dyDescent="0.25">
      <c r="A12" s="49"/>
      <c r="B12" s="49"/>
      <c r="C12" s="49"/>
      <c r="D12" s="31"/>
      <c r="E12" s="31"/>
      <c r="F12" s="49" t="s">
        <v>576</v>
      </c>
      <c r="G12" s="285"/>
      <c r="H12" s="285"/>
      <c r="I12" s="285"/>
    </row>
    <row r="13" spans="1:9" s="291" customFormat="1" ht="27" customHeight="1" x14ac:dyDescent="0.25">
      <c r="A13" s="50"/>
      <c r="B13" s="50"/>
      <c r="C13" s="50"/>
      <c r="D13" s="31"/>
      <c r="E13" s="31"/>
      <c r="F13" s="56" t="s">
        <v>154</v>
      </c>
      <c r="G13" s="285">
        <f t="shared" ref="G13:I13" si="0">+G14</f>
        <v>-110666.3</v>
      </c>
      <c r="H13" s="285">
        <f t="shared" si="0"/>
        <v>-110666.3</v>
      </c>
      <c r="I13" s="285">
        <f t="shared" si="0"/>
        <v>-110666.3</v>
      </c>
    </row>
    <row r="14" spans="1:9" ht="34.5" x14ac:dyDescent="0.3">
      <c r="A14" s="575" t="s">
        <v>577</v>
      </c>
      <c r="B14" s="575"/>
      <c r="C14" s="575"/>
      <c r="D14" s="575"/>
      <c r="E14" s="575"/>
      <c r="F14" s="48" t="s">
        <v>563</v>
      </c>
      <c r="G14" s="285">
        <f t="shared" ref="G14" si="1">+G16</f>
        <v>-110666.3</v>
      </c>
      <c r="H14" s="285">
        <f t="shared" ref="H14:I14" si="2">+H16</f>
        <v>-110666.3</v>
      </c>
      <c r="I14" s="285">
        <f t="shared" si="2"/>
        <v>-110666.3</v>
      </c>
    </row>
    <row r="15" spans="1:9" x14ac:dyDescent="0.3">
      <c r="A15" s="575"/>
      <c r="B15" s="575"/>
      <c r="C15" s="575"/>
      <c r="D15" s="575"/>
      <c r="E15" s="575"/>
      <c r="F15" s="49" t="s">
        <v>6</v>
      </c>
      <c r="G15" s="295"/>
      <c r="H15" s="295"/>
      <c r="I15" s="295"/>
    </row>
    <row r="16" spans="1:9" ht="34.5" x14ac:dyDescent="0.3">
      <c r="A16" s="575"/>
      <c r="B16" s="575" t="s">
        <v>578</v>
      </c>
      <c r="C16" s="575"/>
      <c r="D16" s="575"/>
      <c r="E16" s="575"/>
      <c r="F16" s="48" t="s">
        <v>564</v>
      </c>
      <c r="G16" s="285">
        <f t="shared" ref="G16" si="3">+G18</f>
        <v>-110666.3</v>
      </c>
      <c r="H16" s="285">
        <f t="shared" ref="H16:I16" si="4">+H18</f>
        <v>-110666.3</v>
      </c>
      <c r="I16" s="285">
        <f t="shared" si="4"/>
        <v>-110666.3</v>
      </c>
    </row>
    <row r="17" spans="1:9" x14ac:dyDescent="0.3">
      <c r="A17" s="575"/>
      <c r="B17" s="575"/>
      <c r="C17" s="575"/>
      <c r="D17" s="575"/>
      <c r="E17" s="575"/>
      <c r="F17" s="49" t="s">
        <v>6</v>
      </c>
      <c r="G17" s="295"/>
      <c r="H17" s="295"/>
      <c r="I17" s="295"/>
    </row>
    <row r="18" spans="1:9" x14ac:dyDescent="0.3">
      <c r="A18" s="575"/>
      <c r="B18" s="575"/>
      <c r="C18" s="575" t="s">
        <v>578</v>
      </c>
      <c r="D18" s="575"/>
      <c r="E18" s="575"/>
      <c r="F18" s="56" t="s">
        <v>565</v>
      </c>
      <c r="G18" s="296">
        <f t="shared" ref="G18" si="5">+G20</f>
        <v>-110666.3</v>
      </c>
      <c r="H18" s="296">
        <f t="shared" ref="H18:I18" si="6">+H20</f>
        <v>-110666.3</v>
      </c>
      <c r="I18" s="296">
        <f t="shared" si="6"/>
        <v>-110666.3</v>
      </c>
    </row>
    <row r="19" spans="1:9" ht="18" customHeight="1" x14ac:dyDescent="0.3">
      <c r="A19" s="575"/>
      <c r="B19" s="575"/>
      <c r="C19" s="575"/>
      <c r="D19" s="575"/>
      <c r="E19" s="575"/>
      <c r="F19" s="49" t="s">
        <v>6</v>
      </c>
      <c r="G19" s="297"/>
      <c r="H19" s="297"/>
      <c r="I19" s="297"/>
    </row>
    <row r="20" spans="1:9" x14ac:dyDescent="0.3">
      <c r="A20" s="575"/>
      <c r="B20" s="575"/>
      <c r="C20" s="575"/>
      <c r="D20" s="575"/>
      <c r="E20" s="575"/>
      <c r="F20" s="49" t="s">
        <v>579</v>
      </c>
      <c r="G20" s="296">
        <f t="shared" ref="G20" si="7">+G22</f>
        <v>-110666.3</v>
      </c>
      <c r="H20" s="296">
        <f t="shared" ref="H20:I20" si="8">+H22</f>
        <v>-110666.3</v>
      </c>
      <c r="I20" s="296">
        <f t="shared" si="8"/>
        <v>-110666.3</v>
      </c>
    </row>
    <row r="21" spans="1:9" x14ac:dyDescent="0.3">
      <c r="A21" s="575"/>
      <c r="B21" s="575"/>
      <c r="C21" s="575"/>
      <c r="D21" s="575"/>
      <c r="E21" s="575"/>
      <c r="F21" s="49" t="s">
        <v>6</v>
      </c>
      <c r="G21" s="298"/>
      <c r="H21" s="298"/>
      <c r="I21" s="298"/>
    </row>
    <row r="22" spans="1:9" s="15" customFormat="1" ht="22.7" customHeight="1" x14ac:dyDescent="0.25">
      <c r="A22" s="575"/>
      <c r="B22" s="575"/>
      <c r="C22" s="575"/>
      <c r="D22" s="299" t="s">
        <v>580</v>
      </c>
      <c r="E22" s="428" t="s">
        <v>567</v>
      </c>
      <c r="F22" s="428" t="s">
        <v>565</v>
      </c>
      <c r="G22" s="296">
        <f t="shared" ref="G22" si="9">+G24</f>
        <v>-110666.3</v>
      </c>
      <c r="H22" s="296">
        <f t="shared" ref="H22:I22" si="10">+H24</f>
        <v>-110666.3</v>
      </c>
      <c r="I22" s="296">
        <f t="shared" si="10"/>
        <v>-110666.3</v>
      </c>
    </row>
    <row r="23" spans="1:9" ht="17.649999999999999" customHeight="1" x14ac:dyDescent="0.3">
      <c r="A23" s="575"/>
      <c r="B23" s="575"/>
      <c r="C23" s="575"/>
      <c r="D23" s="578"/>
      <c r="E23" s="300"/>
      <c r="F23" s="49" t="s">
        <v>6</v>
      </c>
      <c r="G23" s="129"/>
      <c r="H23" s="129"/>
      <c r="I23" s="129"/>
    </row>
    <row r="24" spans="1:9" ht="20.100000000000001" customHeight="1" x14ac:dyDescent="0.3">
      <c r="A24" s="575"/>
      <c r="B24" s="575"/>
      <c r="C24" s="575"/>
      <c r="D24" s="579"/>
      <c r="E24" s="301" t="s">
        <v>516</v>
      </c>
      <c r="F24" s="56" t="s">
        <v>565</v>
      </c>
      <c r="G24" s="302">
        <f t="shared" ref="G24" si="11">+G26</f>
        <v>-110666.3</v>
      </c>
      <c r="H24" s="302">
        <f t="shared" ref="H24:I24" si="12">+H26</f>
        <v>-110666.3</v>
      </c>
      <c r="I24" s="302">
        <f t="shared" si="12"/>
        <v>-110666.3</v>
      </c>
    </row>
    <row r="25" spans="1:9" ht="17.649999999999999" customHeight="1" x14ac:dyDescent="0.3">
      <c r="A25" s="575"/>
      <c r="B25" s="575"/>
      <c r="C25" s="575"/>
      <c r="D25" s="579"/>
      <c r="E25" s="581"/>
      <c r="F25" s="49" t="s">
        <v>15</v>
      </c>
      <c r="G25" s="303"/>
      <c r="H25" s="303"/>
      <c r="I25" s="303"/>
    </row>
    <row r="26" spans="1:9" x14ac:dyDescent="0.3">
      <c r="A26" s="575"/>
      <c r="B26" s="575"/>
      <c r="C26" s="575"/>
      <c r="D26" s="579"/>
      <c r="E26" s="581"/>
      <c r="F26" s="304" t="s">
        <v>579</v>
      </c>
      <c r="G26" s="305">
        <f t="shared" ref="G26" si="13">+G28</f>
        <v>-110666.3</v>
      </c>
      <c r="H26" s="305">
        <f t="shared" ref="H26:I26" si="14">+H28</f>
        <v>-110666.3</v>
      </c>
      <c r="I26" s="305">
        <f t="shared" si="14"/>
        <v>-110666.3</v>
      </c>
    </row>
    <row r="27" spans="1:9" ht="51.75" x14ac:dyDescent="0.3">
      <c r="A27" s="575"/>
      <c r="B27" s="575"/>
      <c r="C27" s="575"/>
      <c r="D27" s="579"/>
      <c r="E27" s="581"/>
      <c r="F27" s="49" t="s">
        <v>172</v>
      </c>
      <c r="G27" s="303"/>
      <c r="H27" s="303"/>
      <c r="I27" s="303"/>
    </row>
    <row r="28" spans="1:9" ht="17.649999999999999" customHeight="1" x14ac:dyDescent="0.3">
      <c r="A28" s="575"/>
      <c r="B28" s="575"/>
      <c r="C28" s="575"/>
      <c r="D28" s="579"/>
      <c r="E28" s="581"/>
      <c r="F28" s="31" t="s">
        <v>7</v>
      </c>
      <c r="G28" s="129">
        <f t="shared" ref="G28:I30" si="15">+G29</f>
        <v>-110666.3</v>
      </c>
      <c r="H28" s="129">
        <f t="shared" si="15"/>
        <v>-110666.3</v>
      </c>
      <c r="I28" s="129">
        <f t="shared" si="15"/>
        <v>-110666.3</v>
      </c>
    </row>
    <row r="29" spans="1:9" ht="17.649999999999999" customHeight="1" x14ac:dyDescent="0.3">
      <c r="A29" s="575"/>
      <c r="B29" s="575"/>
      <c r="C29" s="575"/>
      <c r="D29" s="579"/>
      <c r="E29" s="581"/>
      <c r="F29" s="283" t="s">
        <v>140</v>
      </c>
      <c r="G29" s="303">
        <f t="shared" si="15"/>
        <v>-110666.3</v>
      </c>
      <c r="H29" s="303">
        <f t="shared" si="15"/>
        <v>-110666.3</v>
      </c>
      <c r="I29" s="303">
        <f t="shared" si="15"/>
        <v>-110666.3</v>
      </c>
    </row>
    <row r="30" spans="1:9" ht="17.649999999999999" customHeight="1" x14ac:dyDescent="0.3">
      <c r="A30" s="575"/>
      <c r="B30" s="575"/>
      <c r="C30" s="575"/>
      <c r="D30" s="579"/>
      <c r="E30" s="581"/>
      <c r="F30" s="283" t="s">
        <v>513</v>
      </c>
      <c r="G30" s="303">
        <f t="shared" si="15"/>
        <v>-110666.3</v>
      </c>
      <c r="H30" s="303">
        <f t="shared" si="15"/>
        <v>-110666.3</v>
      </c>
      <c r="I30" s="303">
        <f t="shared" si="15"/>
        <v>-110666.3</v>
      </c>
    </row>
    <row r="31" spans="1:9" ht="17.649999999999999" customHeight="1" x14ac:dyDescent="0.3">
      <c r="A31" s="575"/>
      <c r="B31" s="575"/>
      <c r="C31" s="575"/>
      <c r="D31" s="580"/>
      <c r="E31" s="581"/>
      <c r="F31" s="283" t="s">
        <v>566</v>
      </c>
      <c r="G31" s="303">
        <f>+'Հավելված N 5'!G284</f>
        <v>-110666.3</v>
      </c>
      <c r="H31" s="303">
        <f>+'Հավելված N 5'!H284</f>
        <v>-110666.3</v>
      </c>
      <c r="I31" s="303">
        <f>+'Հավելված N 5'!I284</f>
        <v>-110666.3</v>
      </c>
    </row>
    <row r="32" spans="1:9" ht="9.4" customHeight="1" x14ac:dyDescent="0.3">
      <c r="A32" s="306"/>
      <c r="B32" s="307"/>
      <c r="C32" s="194"/>
      <c r="D32" s="49"/>
      <c r="E32" s="49"/>
    </row>
    <row r="33" spans="1:9" s="291" customFormat="1" ht="34.5" x14ac:dyDescent="0.25">
      <c r="A33" s="308"/>
      <c r="B33" s="50"/>
      <c r="C33" s="50"/>
      <c r="D33" s="50"/>
      <c r="E33" s="50"/>
      <c r="F33" s="56" t="s">
        <v>16</v>
      </c>
      <c r="G33" s="285">
        <f>+G34+G53</f>
        <v>110666.3</v>
      </c>
      <c r="H33" s="285">
        <f>+H34+H53</f>
        <v>110666.3</v>
      </c>
      <c r="I33" s="285">
        <f>+I34+I53</f>
        <v>110666.3</v>
      </c>
    </row>
    <row r="34" spans="1:9" s="9" customFormat="1" ht="17.649999999999999" customHeight="1" x14ac:dyDescent="0.25">
      <c r="A34" s="426" t="s">
        <v>166</v>
      </c>
      <c r="B34" s="576"/>
      <c r="C34" s="413"/>
      <c r="D34" s="433"/>
      <c r="E34" s="20"/>
      <c r="F34" s="56" t="s">
        <v>167</v>
      </c>
      <c r="G34" s="285">
        <f>+G36</f>
        <v>10000</v>
      </c>
      <c r="H34" s="285">
        <f t="shared" ref="H34:I34" si="16">+H36</f>
        <v>10000</v>
      </c>
      <c r="I34" s="285">
        <f t="shared" si="16"/>
        <v>10000</v>
      </c>
    </row>
    <row r="35" spans="1:9" s="9" customFormat="1" ht="16.350000000000001" customHeight="1" x14ac:dyDescent="0.25">
      <c r="A35" s="426"/>
      <c r="B35" s="577"/>
      <c r="C35" s="414"/>
      <c r="D35" s="434"/>
      <c r="E35" s="21"/>
      <c r="F35" s="49" t="s">
        <v>6</v>
      </c>
      <c r="G35" s="279"/>
      <c r="H35" s="279"/>
      <c r="I35" s="279"/>
    </row>
    <row r="36" spans="1:9" s="9" customFormat="1" ht="19.149999999999999" customHeight="1" x14ac:dyDescent="0.25">
      <c r="A36" s="426"/>
      <c r="B36" s="365" t="s">
        <v>144</v>
      </c>
      <c r="C36" s="232"/>
      <c r="D36" s="434"/>
      <c r="E36" s="21"/>
      <c r="F36" s="56" t="s">
        <v>496</v>
      </c>
      <c r="G36" s="263">
        <f t="shared" ref="G36:I36" si="17">+G38</f>
        <v>10000</v>
      </c>
      <c r="H36" s="263">
        <f t="shared" si="17"/>
        <v>10000</v>
      </c>
      <c r="I36" s="263">
        <f t="shared" si="17"/>
        <v>10000</v>
      </c>
    </row>
    <row r="37" spans="1:9" s="9" customFormat="1" ht="16.899999999999999" customHeight="1" x14ac:dyDescent="0.25">
      <c r="A37" s="426"/>
      <c r="B37" s="232"/>
      <c r="C37" s="232"/>
      <c r="D37" s="434"/>
      <c r="E37" s="21"/>
      <c r="F37" s="49" t="s">
        <v>6</v>
      </c>
      <c r="G37" s="279"/>
      <c r="H37" s="279"/>
      <c r="I37" s="279"/>
    </row>
    <row r="38" spans="1:9" s="9" customFormat="1" x14ac:dyDescent="0.25">
      <c r="A38" s="426"/>
      <c r="B38" s="232"/>
      <c r="C38" s="421" t="s">
        <v>628</v>
      </c>
      <c r="D38" s="434"/>
      <c r="E38" s="21"/>
      <c r="F38" s="56" t="s">
        <v>629</v>
      </c>
      <c r="G38" s="5">
        <f>+G40</f>
        <v>10000</v>
      </c>
      <c r="H38" s="5">
        <f t="shared" ref="H38:I38" si="18">+H40</f>
        <v>10000</v>
      </c>
      <c r="I38" s="5">
        <f t="shared" si="18"/>
        <v>10000</v>
      </c>
    </row>
    <row r="39" spans="1:9" s="9" customFormat="1" ht="16.899999999999999" customHeight="1" x14ac:dyDescent="0.25">
      <c r="A39" s="426"/>
      <c r="B39" s="232"/>
      <c r="C39" s="422"/>
      <c r="D39" s="434"/>
      <c r="E39" s="21"/>
      <c r="F39" s="49" t="s">
        <v>6</v>
      </c>
      <c r="G39" s="10"/>
      <c r="H39" s="5"/>
      <c r="I39" s="10"/>
    </row>
    <row r="40" spans="1:9" s="9" customFormat="1" ht="34.5" x14ac:dyDescent="0.25">
      <c r="A40" s="426"/>
      <c r="B40" s="232"/>
      <c r="C40" s="422"/>
      <c r="D40" s="434"/>
      <c r="E40" s="21"/>
      <c r="F40" s="50" t="s">
        <v>12</v>
      </c>
      <c r="G40" s="5">
        <f>+G42</f>
        <v>10000</v>
      </c>
      <c r="H40" s="5">
        <f t="shared" ref="H40:I40" si="19">+H42</f>
        <v>10000</v>
      </c>
      <c r="I40" s="5">
        <f t="shared" si="19"/>
        <v>10000</v>
      </c>
    </row>
    <row r="41" spans="1:9" s="9" customFormat="1" ht="16.899999999999999" customHeight="1" x14ac:dyDescent="0.25">
      <c r="A41" s="426"/>
      <c r="B41" s="232"/>
      <c r="C41" s="422"/>
      <c r="D41" s="435"/>
      <c r="E41" s="25"/>
      <c r="F41" s="49" t="s">
        <v>6</v>
      </c>
      <c r="G41" s="5"/>
      <c r="H41" s="5"/>
      <c r="I41" s="5"/>
    </row>
    <row r="42" spans="1:9" s="9" customFormat="1" ht="18" customHeight="1" x14ac:dyDescent="0.25">
      <c r="A42" s="426"/>
      <c r="B42" s="232"/>
      <c r="C42" s="422"/>
      <c r="D42" s="47">
        <v>1075</v>
      </c>
      <c r="E42" s="428" t="s">
        <v>497</v>
      </c>
      <c r="F42" s="428"/>
      <c r="G42" s="1">
        <f>+G44</f>
        <v>10000</v>
      </c>
      <c r="H42" s="1">
        <f t="shared" ref="H42:I42" si="20">+H44</f>
        <v>10000</v>
      </c>
      <c r="I42" s="1">
        <f t="shared" si="20"/>
        <v>10000</v>
      </c>
    </row>
    <row r="43" spans="1:9" s="9" customFormat="1" ht="16.899999999999999" customHeight="1" x14ac:dyDescent="0.3">
      <c r="A43" s="426"/>
      <c r="B43" s="232"/>
      <c r="C43" s="422"/>
      <c r="D43" s="182"/>
      <c r="E43" s="46"/>
      <c r="F43" s="49" t="s">
        <v>6</v>
      </c>
      <c r="G43" s="1"/>
      <c r="H43" s="1"/>
      <c r="I43" s="1"/>
    </row>
    <row r="44" spans="1:9" s="9" customFormat="1" ht="51.75" x14ac:dyDescent="0.25">
      <c r="A44" s="426"/>
      <c r="B44" s="232"/>
      <c r="C44" s="422"/>
      <c r="D44" s="429"/>
      <c r="E44" s="47">
        <v>32009</v>
      </c>
      <c r="F44" s="282" t="s">
        <v>627</v>
      </c>
      <c r="G44" s="11">
        <f>+G46</f>
        <v>10000</v>
      </c>
      <c r="H44" s="11">
        <f t="shared" ref="H44:I44" si="21">+H46</f>
        <v>10000</v>
      </c>
      <c r="I44" s="11">
        <f t="shared" si="21"/>
        <v>10000</v>
      </c>
    </row>
    <row r="45" spans="1:9" s="9" customFormat="1" ht="16.149999999999999" customHeight="1" x14ac:dyDescent="0.3">
      <c r="A45" s="426"/>
      <c r="B45" s="232"/>
      <c r="C45" s="422"/>
      <c r="D45" s="430"/>
      <c r="E45" s="139"/>
      <c r="F45" s="49" t="s">
        <v>15</v>
      </c>
      <c r="G45" s="4"/>
      <c r="H45" s="5"/>
      <c r="I45" s="4"/>
    </row>
    <row r="46" spans="1:9" s="12" customFormat="1" ht="36.6" customHeight="1" x14ac:dyDescent="0.3">
      <c r="A46" s="426"/>
      <c r="B46" s="232"/>
      <c r="C46" s="422"/>
      <c r="D46" s="430"/>
      <c r="E46" s="137"/>
      <c r="F46" s="29" t="s">
        <v>12</v>
      </c>
      <c r="G46" s="26">
        <f t="shared" ref="G46:I46" si="22">+G48</f>
        <v>10000</v>
      </c>
      <c r="H46" s="26">
        <f t="shared" si="22"/>
        <v>10000</v>
      </c>
      <c r="I46" s="26">
        <f t="shared" si="22"/>
        <v>10000</v>
      </c>
    </row>
    <row r="47" spans="1:9" s="9" customFormat="1" ht="34.5" x14ac:dyDescent="0.3">
      <c r="A47" s="426"/>
      <c r="B47" s="232"/>
      <c r="C47" s="422"/>
      <c r="D47" s="430"/>
      <c r="E47" s="137"/>
      <c r="F47" s="49" t="s">
        <v>63</v>
      </c>
      <c r="G47" s="4"/>
      <c r="H47" s="27"/>
      <c r="I47" s="4"/>
    </row>
    <row r="48" spans="1:9" s="9" customFormat="1" ht="16.899999999999999" customHeight="1" x14ac:dyDescent="0.3">
      <c r="A48" s="426"/>
      <c r="B48" s="232"/>
      <c r="C48" s="422"/>
      <c r="D48" s="430"/>
      <c r="E48" s="137"/>
      <c r="F48" s="57" t="s">
        <v>7</v>
      </c>
      <c r="G48" s="5">
        <f t="shared" ref="G48:I48" si="23">G49</f>
        <v>10000</v>
      </c>
      <c r="H48" s="5">
        <f t="shared" si="23"/>
        <v>10000</v>
      </c>
      <c r="I48" s="5">
        <f t="shared" si="23"/>
        <v>10000</v>
      </c>
    </row>
    <row r="49" spans="1:10" s="9" customFormat="1" ht="16.899999999999999" customHeight="1" x14ac:dyDescent="0.3">
      <c r="A49" s="426"/>
      <c r="B49" s="232"/>
      <c r="C49" s="422"/>
      <c r="D49" s="430"/>
      <c r="E49" s="137"/>
      <c r="F49" s="49" t="s">
        <v>140</v>
      </c>
      <c r="G49" s="6">
        <f t="shared" ref="G49:I51" si="24">+G50</f>
        <v>10000</v>
      </c>
      <c r="H49" s="6">
        <f t="shared" si="24"/>
        <v>10000</v>
      </c>
      <c r="I49" s="6">
        <f t="shared" si="24"/>
        <v>10000</v>
      </c>
    </row>
    <row r="50" spans="1:10" s="9" customFormat="1" ht="16.149999999999999" customHeight="1" x14ac:dyDescent="0.3">
      <c r="A50" s="426"/>
      <c r="B50" s="232"/>
      <c r="C50" s="422"/>
      <c r="D50" s="430"/>
      <c r="E50" s="137"/>
      <c r="F50" s="49" t="s">
        <v>141</v>
      </c>
      <c r="G50" s="6">
        <f t="shared" si="24"/>
        <v>10000</v>
      </c>
      <c r="H50" s="6">
        <f t="shared" si="24"/>
        <v>10000</v>
      </c>
      <c r="I50" s="6">
        <f t="shared" si="24"/>
        <v>10000</v>
      </c>
    </row>
    <row r="51" spans="1:10" s="9" customFormat="1" ht="16.149999999999999" customHeight="1" x14ac:dyDescent="0.3">
      <c r="A51" s="426"/>
      <c r="B51" s="232"/>
      <c r="C51" s="422"/>
      <c r="D51" s="430"/>
      <c r="E51" s="137"/>
      <c r="F51" s="49" t="s">
        <v>498</v>
      </c>
      <c r="G51" s="22">
        <f t="shared" si="24"/>
        <v>10000</v>
      </c>
      <c r="H51" s="22">
        <f t="shared" si="24"/>
        <v>10000</v>
      </c>
      <c r="I51" s="22">
        <f t="shared" si="24"/>
        <v>10000</v>
      </c>
      <c r="J51" s="13"/>
    </row>
    <row r="52" spans="1:10" s="9" customFormat="1" ht="34.5" x14ac:dyDescent="0.3">
      <c r="A52" s="426"/>
      <c r="B52" s="232"/>
      <c r="C52" s="422"/>
      <c r="D52" s="430"/>
      <c r="E52" s="138"/>
      <c r="F52" s="51" t="s">
        <v>499</v>
      </c>
      <c r="G52" s="22">
        <f>+'Հավելված N 5'!G87</f>
        <v>10000</v>
      </c>
      <c r="H52" s="22">
        <f>+'Հավելված N 5'!H87</f>
        <v>10000</v>
      </c>
      <c r="I52" s="22">
        <f>+'Հավելված N 5'!I87</f>
        <v>10000</v>
      </c>
      <c r="J52" s="13"/>
    </row>
    <row r="53" spans="1:10" s="9" customFormat="1" ht="17.649999999999999" customHeight="1" x14ac:dyDescent="0.25">
      <c r="A53" s="426" t="s">
        <v>27</v>
      </c>
      <c r="B53" s="436"/>
      <c r="C53" s="413"/>
      <c r="D53" s="583"/>
      <c r="E53" s="413"/>
      <c r="F53" s="56" t="s">
        <v>29</v>
      </c>
      <c r="G53" s="285">
        <f>+G55</f>
        <v>100666.3</v>
      </c>
      <c r="H53" s="285">
        <f t="shared" ref="H53:I53" si="25">+H55</f>
        <v>100666.3</v>
      </c>
      <c r="I53" s="285">
        <f t="shared" si="25"/>
        <v>100666.3</v>
      </c>
    </row>
    <row r="54" spans="1:10" s="9" customFormat="1" ht="16.350000000000001" customHeight="1" x14ac:dyDescent="0.25">
      <c r="A54" s="426"/>
      <c r="B54" s="436"/>
      <c r="C54" s="414"/>
      <c r="D54" s="584"/>
      <c r="E54" s="414"/>
      <c r="F54" s="49" t="s">
        <v>6</v>
      </c>
      <c r="G54" s="279"/>
      <c r="H54" s="279"/>
      <c r="I54" s="279"/>
    </row>
    <row r="55" spans="1:10" s="9" customFormat="1" x14ac:dyDescent="0.25">
      <c r="A55" s="426"/>
      <c r="B55" s="410" t="s">
        <v>166</v>
      </c>
      <c r="C55" s="414"/>
      <c r="D55" s="584"/>
      <c r="E55" s="414"/>
      <c r="F55" s="56" t="s">
        <v>511</v>
      </c>
      <c r="G55" s="5">
        <f t="shared" ref="G55:I55" si="26">+G57</f>
        <v>100666.3</v>
      </c>
      <c r="H55" s="5">
        <f t="shared" si="26"/>
        <v>100666.3</v>
      </c>
      <c r="I55" s="5">
        <f t="shared" si="26"/>
        <v>100666.3</v>
      </c>
    </row>
    <row r="56" spans="1:10" s="9" customFormat="1" ht="18" customHeight="1" x14ac:dyDescent="0.25">
      <c r="A56" s="426"/>
      <c r="B56" s="411"/>
      <c r="C56" s="415"/>
      <c r="D56" s="584"/>
      <c r="E56" s="414"/>
      <c r="F56" s="49" t="s">
        <v>6</v>
      </c>
      <c r="G56" s="4"/>
      <c r="H56" s="5"/>
      <c r="I56" s="4"/>
    </row>
    <row r="57" spans="1:10" s="9" customFormat="1" x14ac:dyDescent="0.25">
      <c r="A57" s="426"/>
      <c r="B57" s="411"/>
      <c r="C57" s="410" t="s">
        <v>28</v>
      </c>
      <c r="D57" s="584"/>
      <c r="E57" s="414"/>
      <c r="F57" s="56" t="s">
        <v>511</v>
      </c>
      <c r="G57" s="5">
        <f t="shared" ref="G57:I57" si="27">+G59</f>
        <v>100666.3</v>
      </c>
      <c r="H57" s="5">
        <f t="shared" si="27"/>
        <v>100666.3</v>
      </c>
      <c r="I57" s="5">
        <f t="shared" si="27"/>
        <v>100666.3</v>
      </c>
    </row>
    <row r="58" spans="1:10" s="9" customFormat="1" ht="16.899999999999999" customHeight="1" x14ac:dyDescent="0.25">
      <c r="A58" s="426"/>
      <c r="B58" s="411"/>
      <c r="C58" s="411"/>
      <c r="D58" s="584"/>
      <c r="E58" s="414"/>
      <c r="F58" s="49" t="s">
        <v>6</v>
      </c>
      <c r="G58" s="10"/>
      <c r="H58" s="5"/>
      <c r="I58" s="10"/>
    </row>
    <row r="59" spans="1:10" s="9" customFormat="1" ht="34.5" x14ac:dyDescent="0.25">
      <c r="A59" s="426"/>
      <c r="B59" s="411"/>
      <c r="C59" s="411"/>
      <c r="D59" s="584"/>
      <c r="E59" s="414"/>
      <c r="F59" s="50" t="s">
        <v>12</v>
      </c>
      <c r="G59" s="5">
        <f>+G61</f>
        <v>100666.3</v>
      </c>
      <c r="H59" s="5">
        <f t="shared" ref="H59:I59" si="28">+H61</f>
        <v>100666.3</v>
      </c>
      <c r="I59" s="5">
        <f t="shared" si="28"/>
        <v>100666.3</v>
      </c>
    </row>
    <row r="60" spans="1:10" s="9" customFormat="1" ht="16.899999999999999" customHeight="1" x14ac:dyDescent="0.25">
      <c r="A60" s="426"/>
      <c r="B60" s="411"/>
      <c r="C60" s="411"/>
      <c r="D60" s="585"/>
      <c r="E60" s="415"/>
      <c r="F60" s="49" t="s">
        <v>6</v>
      </c>
      <c r="G60" s="5"/>
      <c r="H60" s="5"/>
      <c r="I60" s="5"/>
    </row>
    <row r="61" spans="1:10" s="9" customFormat="1" ht="56.45" customHeight="1" x14ac:dyDescent="0.25">
      <c r="A61" s="426"/>
      <c r="B61" s="411"/>
      <c r="C61" s="411"/>
      <c r="D61" s="234">
        <v>1130</v>
      </c>
      <c r="E61" s="419" t="s">
        <v>512</v>
      </c>
      <c r="F61" s="419"/>
      <c r="G61" s="1">
        <f>+G63</f>
        <v>100666.3</v>
      </c>
      <c r="H61" s="1">
        <f t="shared" ref="H61:I61" si="29">+H63</f>
        <v>100666.3</v>
      </c>
      <c r="I61" s="1">
        <f t="shared" si="29"/>
        <v>100666.3</v>
      </c>
    </row>
    <row r="62" spans="1:10" s="9" customFormat="1" ht="16.899999999999999" customHeight="1" x14ac:dyDescent="0.3">
      <c r="A62" s="426"/>
      <c r="B62" s="411"/>
      <c r="C62" s="411"/>
      <c r="D62" s="449"/>
      <c r="E62" s="46"/>
      <c r="F62" s="49" t="s">
        <v>6</v>
      </c>
      <c r="G62" s="1"/>
      <c r="H62" s="1"/>
      <c r="I62" s="1"/>
    </row>
    <row r="63" spans="1:10" s="9" customFormat="1" ht="69" x14ac:dyDescent="0.25">
      <c r="A63" s="426"/>
      <c r="B63" s="411"/>
      <c r="C63" s="411"/>
      <c r="D63" s="449"/>
      <c r="E63" s="47">
        <v>11011</v>
      </c>
      <c r="F63" s="169" t="s">
        <v>583</v>
      </c>
      <c r="G63" s="11">
        <f t="shared" ref="G63:I63" si="30">+G65</f>
        <v>100666.3</v>
      </c>
      <c r="H63" s="11">
        <f t="shared" si="30"/>
        <v>100666.3</v>
      </c>
      <c r="I63" s="11">
        <f t="shared" si="30"/>
        <v>100666.3</v>
      </c>
    </row>
    <row r="64" spans="1:10" s="9" customFormat="1" ht="16.149999999999999" customHeight="1" x14ac:dyDescent="0.3">
      <c r="A64" s="426"/>
      <c r="B64" s="411"/>
      <c r="C64" s="411"/>
      <c r="D64" s="449"/>
      <c r="E64" s="139"/>
      <c r="F64" s="49" t="s">
        <v>15</v>
      </c>
      <c r="G64" s="4"/>
      <c r="H64" s="5"/>
      <c r="I64" s="4"/>
    </row>
    <row r="65" spans="1:10" s="12" customFormat="1" ht="36.6" customHeight="1" x14ac:dyDescent="0.25">
      <c r="A65" s="426"/>
      <c r="B65" s="411"/>
      <c r="C65" s="411"/>
      <c r="D65" s="449"/>
      <c r="E65" s="449"/>
      <c r="F65" s="29" t="s">
        <v>139</v>
      </c>
      <c r="G65" s="26">
        <f t="shared" ref="G65:I65" si="31">+G67</f>
        <v>100666.3</v>
      </c>
      <c r="H65" s="26">
        <f t="shared" si="31"/>
        <v>100666.3</v>
      </c>
      <c r="I65" s="26">
        <f t="shared" si="31"/>
        <v>100666.3</v>
      </c>
    </row>
    <row r="66" spans="1:10" s="9" customFormat="1" ht="34.5" x14ac:dyDescent="0.25">
      <c r="A66" s="426"/>
      <c r="B66" s="411"/>
      <c r="C66" s="411"/>
      <c r="D66" s="449"/>
      <c r="E66" s="449"/>
      <c r="F66" s="49" t="s">
        <v>63</v>
      </c>
      <c r="G66" s="4"/>
      <c r="H66" s="27"/>
      <c r="I66" s="4"/>
    </row>
    <row r="67" spans="1:10" s="9" customFormat="1" ht="16.899999999999999" customHeight="1" x14ac:dyDescent="0.25">
      <c r="A67" s="426"/>
      <c r="B67" s="411"/>
      <c r="C67" s="411"/>
      <c r="D67" s="449"/>
      <c r="E67" s="449"/>
      <c r="F67" s="57" t="s">
        <v>7</v>
      </c>
      <c r="G67" s="5">
        <f t="shared" ref="G67:I67" si="32">G68</f>
        <v>100666.3</v>
      </c>
      <c r="H67" s="5">
        <f t="shared" si="32"/>
        <v>100666.3</v>
      </c>
      <c r="I67" s="5">
        <f t="shared" si="32"/>
        <v>100666.3</v>
      </c>
    </row>
    <row r="68" spans="1:10" s="9" customFormat="1" ht="16.899999999999999" customHeight="1" x14ac:dyDescent="0.25">
      <c r="A68" s="426"/>
      <c r="B68" s="411"/>
      <c r="C68" s="411"/>
      <c r="D68" s="449"/>
      <c r="E68" s="449"/>
      <c r="F68" s="49" t="s">
        <v>140</v>
      </c>
      <c r="G68" s="6">
        <f t="shared" ref="G68:I70" si="33">+G69</f>
        <v>100666.3</v>
      </c>
      <c r="H68" s="6">
        <f t="shared" si="33"/>
        <v>100666.3</v>
      </c>
      <c r="I68" s="6">
        <f t="shared" si="33"/>
        <v>100666.3</v>
      </c>
    </row>
    <row r="69" spans="1:10" s="9" customFormat="1" ht="16.149999999999999" customHeight="1" x14ac:dyDescent="0.25">
      <c r="A69" s="426"/>
      <c r="B69" s="411"/>
      <c r="C69" s="411"/>
      <c r="D69" s="449"/>
      <c r="E69" s="449"/>
      <c r="F69" s="49" t="s">
        <v>513</v>
      </c>
      <c r="G69" s="6">
        <f>+G70+G72</f>
        <v>100666.3</v>
      </c>
      <c r="H69" s="6">
        <f t="shared" ref="H69:I69" si="34">+H70+H72</f>
        <v>100666.3</v>
      </c>
      <c r="I69" s="6">
        <f t="shared" si="34"/>
        <v>100666.3</v>
      </c>
    </row>
    <row r="70" spans="1:10" s="9" customFormat="1" ht="51.75" x14ac:dyDescent="0.25">
      <c r="A70" s="426"/>
      <c r="B70" s="411"/>
      <c r="C70" s="411"/>
      <c r="D70" s="449"/>
      <c r="E70" s="449"/>
      <c r="F70" s="49" t="s">
        <v>515</v>
      </c>
      <c r="G70" s="22">
        <f t="shared" si="33"/>
        <v>100666.3</v>
      </c>
      <c r="H70" s="22">
        <f t="shared" si="33"/>
        <v>100666.3</v>
      </c>
      <c r="I70" s="22">
        <f t="shared" si="33"/>
        <v>100666.3</v>
      </c>
      <c r="J70" s="13"/>
    </row>
    <row r="71" spans="1:10" s="9" customFormat="1" x14ac:dyDescent="0.25">
      <c r="A71" s="426"/>
      <c r="B71" s="412"/>
      <c r="C71" s="412"/>
      <c r="D71" s="449"/>
      <c r="E71" s="449"/>
      <c r="F71" s="51" t="s">
        <v>514</v>
      </c>
      <c r="G71" s="22">
        <f>+'Հավելված N 5'!G264</f>
        <v>100666.3</v>
      </c>
      <c r="H71" s="22">
        <f>+'Հավելված N 5'!H264</f>
        <v>100666.3</v>
      </c>
      <c r="I71" s="22">
        <f>+'Հավելված N 5'!I264</f>
        <v>100666.3</v>
      </c>
      <c r="J71" s="13"/>
    </row>
  </sheetData>
  <mergeCells count="33">
    <mergeCell ref="A53:A71"/>
    <mergeCell ref="B53:B54"/>
    <mergeCell ref="E53:E60"/>
    <mergeCell ref="D53:D60"/>
    <mergeCell ref="C53:C56"/>
    <mergeCell ref="B55:B71"/>
    <mergeCell ref="C57:C71"/>
    <mergeCell ref="E61:F61"/>
    <mergeCell ref="D62:D71"/>
    <mergeCell ref="E65:E71"/>
    <mergeCell ref="E25:E31"/>
    <mergeCell ref="F1:I1"/>
    <mergeCell ref="A6:I6"/>
    <mergeCell ref="A9:C9"/>
    <mergeCell ref="D9:E9"/>
    <mergeCell ref="F9:F10"/>
    <mergeCell ref="G9:I9"/>
    <mergeCell ref="E42:F42"/>
    <mergeCell ref="D44:D52"/>
    <mergeCell ref="A34:A52"/>
    <mergeCell ref="A14:A31"/>
    <mergeCell ref="B14:B15"/>
    <mergeCell ref="C14:C17"/>
    <mergeCell ref="D14:D21"/>
    <mergeCell ref="B34:B35"/>
    <mergeCell ref="C34:C35"/>
    <mergeCell ref="C38:C52"/>
    <mergeCell ref="D34:D41"/>
    <mergeCell ref="E14:E21"/>
    <mergeCell ref="B16:B31"/>
    <mergeCell ref="C18:C31"/>
    <mergeCell ref="E22:F22"/>
    <mergeCell ref="D23:D3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  <vt:lpstr>Հավելված N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https://mul2-edu.gov.am/tasks/2049147/oneclick?token=c9e9d2974ff6fce87ebd269a6c951c1a</cp:keywords>
  <cp:lastModifiedBy>Susanna Arzumanyan</cp:lastModifiedBy>
  <cp:lastPrinted>2024-02-19T11:31:34Z</cp:lastPrinted>
  <dcterms:created xsi:type="dcterms:W3CDTF">2022-01-04T07:12:58Z</dcterms:created>
  <dcterms:modified xsi:type="dcterms:W3CDTF">2026-05-20T13:07:49Z</dcterms:modified>
</cp:coreProperties>
</file>