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tabRatio="880"/>
  </bookViews>
  <sheets>
    <sheet name="Summary" sheetId="38" r:id="rId1"/>
    <sheet name="a1" sheetId="35" r:id="rId2"/>
    <sheet name="a2" sheetId="39" r:id="rId3"/>
    <sheet name="a3" sheetId="40" r:id="rId4"/>
    <sheet name="a7" sheetId="41" r:id="rId5"/>
    <sheet name="a8" sheetId="42" r:id="rId6"/>
    <sheet name="a9" sheetId="43" r:id="rId7"/>
    <sheet name="a10" sheetId="44" r:id="rId8"/>
    <sheet name="a11" sheetId="59" r:id="rId9"/>
    <sheet name="a12" sheetId="88" r:id="rId10"/>
    <sheet name="a14" sheetId="56" r:id="rId11"/>
    <sheet name="a15" sheetId="75" r:id="rId12"/>
    <sheet name="a17" sheetId="89" r:id="rId13"/>
    <sheet name="a18" sheetId="57" r:id="rId14"/>
    <sheet name="a19" sheetId="48" r:id="rId15"/>
    <sheet name="a20" sheetId="54" r:id="rId16"/>
    <sheet name="a21" sheetId="50" r:id="rId17"/>
    <sheet name="a22" sheetId="84" r:id="rId18"/>
    <sheet name="a23" sheetId="90" r:id="rId19"/>
    <sheet name="a24" sheetId="46" r:id="rId20"/>
    <sheet name="a25" sheetId="47" r:id="rId21"/>
    <sheet name="a26" sheetId="61" r:id="rId22"/>
    <sheet name="a27" sheetId="62" r:id="rId23"/>
    <sheet name="a28" sheetId="63" r:id="rId24"/>
    <sheet name="a29" sheetId="58" r:id="rId25"/>
    <sheet name="a31" sheetId="68" r:id="rId26"/>
    <sheet name="a32" sheetId="70" r:id="rId27"/>
    <sheet name="a33" sheetId="76" r:id="rId28"/>
    <sheet name="a34" sheetId="77" r:id="rId29"/>
    <sheet name="a38" sheetId="51" r:id="rId30"/>
    <sheet name="a39" sheetId="52" r:id="rId31"/>
    <sheet name="a40" sheetId="71" r:id="rId32"/>
    <sheet name="a41" sheetId="72" r:id="rId33"/>
    <sheet name="a42" sheetId="73" r:id="rId34"/>
    <sheet name="a43" sheetId="53" r:id="rId35"/>
    <sheet name="a44" sheetId="74" r:id="rId36"/>
    <sheet name="a45" sheetId="66" r:id="rId37"/>
    <sheet name="a47" sheetId="67" r:id="rId38"/>
    <sheet name="a48" sheetId="85" r:id="rId39"/>
    <sheet name="a49" sheetId="65" r:id="rId40"/>
    <sheet name="a50" sheetId="87" r:id="rId41"/>
    <sheet name="a51" sheetId="86" r:id="rId42"/>
    <sheet name="a52" sheetId="78" r:id="rId43"/>
    <sheet name="a53" sheetId="79" r:id="rId44"/>
    <sheet name="a54" sheetId="80" r:id="rId45"/>
    <sheet name="a55" sheetId="83" r:id="rId46"/>
    <sheet name="a56" sheetId="81" r:id="rId47"/>
    <sheet name="a57" sheetId="64" r:id="rId48"/>
    <sheet name="a58" sheetId="91" r:id="rId49"/>
    <sheet name="Rates and GI" sheetId="4" r:id="rId50"/>
    <sheet name="Trips" sheetId="3" r:id="rId51"/>
    <sheet name="Training" sheetId="7" r:id="rId52"/>
    <sheet name="Emp" sheetId="69" r:id="rId53"/>
  </sheets>
  <definedNames>
    <definedName name="_Hlk18427898" localSheetId="52">Emp!#REF!</definedName>
    <definedName name="eur">'Rates and GI'!$D$7</definedName>
    <definedName name="index">'Rates and GI'!$E$8</definedName>
    <definedName name="_xlnm.Print_Titles" localSheetId="0">Summary!$4:$5</definedName>
    <definedName name="start">'Rates and GI'!$B$2</definedName>
    <definedName name="usd">'Rates and GI'!$D$6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4" i="79" l="1"/>
  <c r="E112" i="79" s="1"/>
  <c r="F114" i="79"/>
  <c r="F112" i="79" s="1"/>
  <c r="G114" i="79"/>
  <c r="G112" i="79" s="1"/>
  <c r="H114" i="79"/>
  <c r="H112" i="79" s="1"/>
  <c r="E127" i="79"/>
  <c r="E122" i="79" s="1"/>
  <c r="F127" i="79"/>
  <c r="F122" i="79" s="1"/>
  <c r="G127" i="79"/>
  <c r="H127" i="79"/>
  <c r="F137" i="79"/>
  <c r="F133" i="79" s="1"/>
  <c r="F138" i="79"/>
  <c r="E139" i="79"/>
  <c r="E137" i="79" s="1"/>
  <c r="E133" i="79" s="1"/>
  <c r="F139" i="79"/>
  <c r="G139" i="79"/>
  <c r="G137" i="79" s="1"/>
  <c r="G133" i="79" s="1"/>
  <c r="H139" i="79"/>
  <c r="H137" i="79" s="1"/>
  <c r="H133" i="79" s="1"/>
  <c r="E144" i="79"/>
  <c r="E142" i="79" s="1"/>
  <c r="F144" i="79"/>
  <c r="F142" i="79" s="1"/>
  <c r="G144" i="79"/>
  <c r="G142" i="79" s="1"/>
  <c r="H144" i="79"/>
  <c r="H142" i="79" s="1"/>
  <c r="E146" i="79"/>
  <c r="F146" i="79"/>
  <c r="G146" i="79"/>
  <c r="H146" i="79"/>
  <c r="E148" i="79"/>
  <c r="F148" i="79"/>
  <c r="G148" i="79"/>
  <c r="H148" i="79"/>
  <c r="E150" i="79"/>
  <c r="F150" i="79"/>
  <c r="G150" i="79"/>
  <c r="H150" i="79"/>
  <c r="E153" i="79"/>
  <c r="G153" i="79"/>
  <c r="H153" i="79"/>
  <c r="F154" i="79"/>
  <c r="F153" i="79" s="1"/>
  <c r="G154" i="79"/>
  <c r="F155" i="79"/>
  <c r="G155" i="79"/>
  <c r="E156" i="79"/>
  <c r="G156" i="79"/>
  <c r="H156" i="79"/>
  <c r="F157" i="79"/>
  <c r="F156" i="79" s="1"/>
  <c r="G157" i="79"/>
  <c r="H157" i="79"/>
  <c r="E162" i="79"/>
  <c r="E160" i="79" s="1"/>
  <c r="F162" i="79"/>
  <c r="F160" i="79" s="1"/>
  <c r="G162" i="79"/>
  <c r="G160" i="79" s="1"/>
  <c r="H162" i="79"/>
  <c r="H160" i="79" s="1"/>
  <c r="E166" i="79"/>
  <c r="E164" i="79" s="1"/>
  <c r="F166" i="79"/>
  <c r="F164" i="79" s="1"/>
  <c r="G166" i="79"/>
  <c r="G164" i="79" s="1"/>
  <c r="H166" i="79"/>
  <c r="H164" i="79" s="1"/>
  <c r="E168" i="79"/>
  <c r="F168" i="79"/>
  <c r="H168" i="79"/>
  <c r="F169" i="79"/>
  <c r="G169" i="79"/>
  <c r="G168" i="79" s="1"/>
  <c r="H169" i="79"/>
  <c r="E173" i="79"/>
  <c r="F174" i="79"/>
  <c r="F175" i="79"/>
  <c r="F173" i="79" s="1"/>
  <c r="G175" i="79"/>
  <c r="G173" i="79" s="1"/>
  <c r="H175" i="79"/>
  <c r="H173" i="79" s="1"/>
  <c r="E183" i="79"/>
  <c r="F183" i="79"/>
  <c r="G183" i="79"/>
  <c r="H183" i="79"/>
  <c r="F94" i="73"/>
  <c r="G94" i="73"/>
  <c r="H94" i="73"/>
  <c r="H134" i="81"/>
  <c r="G134" i="81"/>
  <c r="F134" i="81"/>
  <c r="E134" i="81"/>
  <c r="G159" i="79" l="1"/>
  <c r="G152" i="79" s="1"/>
  <c r="F159" i="79"/>
  <c r="F152" i="79" s="1"/>
  <c r="H152" i="79"/>
  <c r="E159" i="79"/>
  <c r="E152" i="79" s="1"/>
  <c r="H159" i="79"/>
  <c r="E99" i="84"/>
  <c r="E137" i="58"/>
  <c r="E138" i="63"/>
  <c r="E137" i="62"/>
  <c r="E152" i="61"/>
  <c r="E137" i="47"/>
  <c r="C58" i="7" l="1"/>
  <c r="C54" i="7" s="1"/>
  <c r="C48" i="7"/>
  <c r="E110" i="84" s="1"/>
  <c r="C36" i="7"/>
  <c r="C37" i="7"/>
  <c r="H136" i="84"/>
  <c r="G136" i="84"/>
  <c r="F136" i="84"/>
  <c r="E136" i="84"/>
  <c r="H133" i="84"/>
  <c r="H128" i="84" s="1"/>
  <c r="H32" i="84" s="1"/>
  <c r="G133" i="84"/>
  <c r="G128" i="84" s="1"/>
  <c r="G32" i="84" s="1"/>
  <c r="F133" i="84"/>
  <c r="F128" i="84" s="1"/>
  <c r="F32" i="84" s="1"/>
  <c r="E133" i="84"/>
  <c r="E128" i="84" s="1"/>
  <c r="F122" i="67"/>
  <c r="F33" i="67" s="1"/>
  <c r="G122" i="67"/>
  <c r="G33" i="67" s="1"/>
  <c r="H122" i="67"/>
  <c r="H33" i="67" s="1"/>
  <c r="E122" i="67"/>
  <c r="F105" i="62"/>
  <c r="C47" i="7" l="1"/>
  <c r="E114" i="84"/>
  <c r="E109" i="84" s="1"/>
  <c r="G105" i="62"/>
  <c r="H105" i="62" s="1"/>
  <c r="E127" i="86" l="1"/>
  <c r="B60" i="38"/>
  <c r="A60" i="38"/>
  <c r="A56" i="38"/>
  <c r="F68" i="91"/>
  <c r="G68" i="91"/>
  <c r="H68" i="91"/>
  <c r="E68" i="91"/>
  <c r="E76" i="67"/>
  <c r="E7" i="67" s="1"/>
  <c r="F80" i="67"/>
  <c r="G80" i="67"/>
  <c r="H80" i="67" s="1"/>
  <c r="F78" i="67"/>
  <c r="F76" i="67" s="1"/>
  <c r="F7" i="67" s="1"/>
  <c r="G78" i="67" l="1"/>
  <c r="G76" i="67" s="1"/>
  <c r="G7" i="67" s="1"/>
  <c r="C193" i="41"/>
  <c r="F216" i="76"/>
  <c r="G216" i="76"/>
  <c r="H216" i="76"/>
  <c r="E216" i="76"/>
  <c r="F160" i="91"/>
  <c r="G160" i="91"/>
  <c r="H160" i="91"/>
  <c r="H159" i="91" s="1"/>
  <c r="H158" i="91" s="1"/>
  <c r="E160" i="91"/>
  <c r="E159" i="91"/>
  <c r="E158" i="91" s="1"/>
  <c r="E172" i="91"/>
  <c r="F167" i="91"/>
  <c r="G167" i="91"/>
  <c r="H167" i="91"/>
  <c r="E167" i="91"/>
  <c r="G173" i="91"/>
  <c r="E173" i="91"/>
  <c r="E168" i="91"/>
  <c r="E174" i="91"/>
  <c r="F158" i="91"/>
  <c r="G159" i="91"/>
  <c r="G158" i="91" s="1"/>
  <c r="F159" i="91"/>
  <c r="H153" i="91"/>
  <c r="G153" i="91"/>
  <c r="F153" i="91"/>
  <c r="E153" i="91"/>
  <c r="H78" i="67" l="1"/>
  <c r="H76" i="67" s="1"/>
  <c r="H7" i="67" s="1"/>
  <c r="D7" i="67" s="1"/>
  <c r="H182" i="91"/>
  <c r="H46" i="91" s="1"/>
  <c r="H47" i="91" s="1"/>
  <c r="G182" i="91"/>
  <c r="G46" i="91" s="1"/>
  <c r="G47" i="91" s="1"/>
  <c r="F182" i="91"/>
  <c r="F46" i="91" s="1"/>
  <c r="F47" i="91" s="1"/>
  <c r="E182" i="91"/>
  <c r="E46" i="91" s="1"/>
  <c r="E47" i="91" s="1"/>
  <c r="H174" i="91"/>
  <c r="G174" i="91"/>
  <c r="F174" i="91"/>
  <c r="F173" i="91"/>
  <c r="F172" i="91" s="1"/>
  <c r="H172" i="91"/>
  <c r="G172" i="91"/>
  <c r="H168" i="91"/>
  <c r="G168" i="91"/>
  <c r="F168" i="91"/>
  <c r="H165" i="91"/>
  <c r="G165" i="91"/>
  <c r="F165" i="91"/>
  <c r="E165" i="91"/>
  <c r="H163" i="91"/>
  <c r="G163" i="91"/>
  <c r="F163" i="91"/>
  <c r="E163" i="91"/>
  <c r="H161" i="91"/>
  <c r="G161" i="91"/>
  <c r="F161" i="91"/>
  <c r="E161" i="91"/>
  <c r="G154" i="91"/>
  <c r="H149" i="91"/>
  <c r="G149" i="91"/>
  <c r="F149" i="91"/>
  <c r="E149" i="91"/>
  <c r="H147" i="91"/>
  <c r="G147" i="91"/>
  <c r="F147" i="91"/>
  <c r="E147" i="91"/>
  <c r="H145" i="91"/>
  <c r="G145" i="91"/>
  <c r="F145" i="91"/>
  <c r="E145" i="91"/>
  <c r="H143" i="91"/>
  <c r="G143" i="91"/>
  <c r="F143" i="91"/>
  <c r="E143" i="91"/>
  <c r="H141" i="91"/>
  <c r="G141" i="91"/>
  <c r="G51" i="91" s="1"/>
  <c r="F141" i="91"/>
  <c r="F51" i="91" s="1"/>
  <c r="E141" i="91"/>
  <c r="E51" i="91" s="1"/>
  <c r="H138" i="91"/>
  <c r="G138" i="91"/>
  <c r="G136" i="91" s="1"/>
  <c r="G132" i="91" s="1"/>
  <c r="G26" i="91" s="1"/>
  <c r="F138" i="91"/>
  <c r="E138" i="91"/>
  <c r="F137" i="91"/>
  <c r="F136" i="91" s="1"/>
  <c r="F132" i="91" s="1"/>
  <c r="H136" i="91"/>
  <c r="H132" i="91" s="1"/>
  <c r="H26" i="91" s="1"/>
  <c r="E136" i="91"/>
  <c r="E132" i="91"/>
  <c r="E26" i="91" s="1"/>
  <c r="H126" i="91"/>
  <c r="G126" i="91"/>
  <c r="F126" i="91"/>
  <c r="E126" i="91"/>
  <c r="E121" i="91" s="1"/>
  <c r="E32" i="91" s="1"/>
  <c r="F121" i="91"/>
  <c r="F113" i="91"/>
  <c r="G113" i="91" s="1"/>
  <c r="E113" i="91"/>
  <c r="E111" i="91"/>
  <c r="E25" i="91" s="1"/>
  <c r="H105" i="91"/>
  <c r="G105" i="91"/>
  <c r="F105" i="91"/>
  <c r="H96" i="91"/>
  <c r="G96" i="91"/>
  <c r="F96" i="91"/>
  <c r="E96" i="91"/>
  <c r="H95" i="91"/>
  <c r="E69" i="91"/>
  <c r="F69" i="91" s="1"/>
  <c r="F67" i="91" s="1"/>
  <c r="F5" i="91" s="1"/>
  <c r="E67" i="91"/>
  <c r="E5" i="91" s="1"/>
  <c r="E61" i="91"/>
  <c r="E58" i="91"/>
  <c r="F58" i="91" s="1"/>
  <c r="G58" i="91" s="1"/>
  <c r="H58" i="91" s="1"/>
  <c r="H51" i="91"/>
  <c r="F43" i="91"/>
  <c r="E43" i="91"/>
  <c r="D42" i="91"/>
  <c r="D41" i="91"/>
  <c r="H40" i="91"/>
  <c r="H43" i="91" s="1"/>
  <c r="G40" i="91"/>
  <c r="G43" i="91" s="1"/>
  <c r="F40" i="91"/>
  <c r="E40" i="91"/>
  <c r="D39" i="91"/>
  <c r="D38" i="91"/>
  <c r="H35" i="91"/>
  <c r="G35" i="91"/>
  <c r="F35" i="91"/>
  <c r="D34" i="91"/>
  <c r="D33" i="91"/>
  <c r="D31" i="91"/>
  <c r="F26" i="91"/>
  <c r="D21" i="91"/>
  <c r="D11" i="91"/>
  <c r="E3" i="91"/>
  <c r="F3" i="91" s="1"/>
  <c r="G3" i="91" s="1"/>
  <c r="H3" i="91" s="1"/>
  <c r="E139" i="59"/>
  <c r="C150" i="59"/>
  <c r="H155" i="59"/>
  <c r="G155" i="59"/>
  <c r="F155" i="59"/>
  <c r="E155" i="59"/>
  <c r="H152" i="59"/>
  <c r="H150" i="59" s="1"/>
  <c r="G152" i="59"/>
  <c r="G150" i="59" s="1"/>
  <c r="F152" i="59"/>
  <c r="F150" i="59" s="1"/>
  <c r="E152" i="59"/>
  <c r="E150" i="59" s="1"/>
  <c r="C142" i="59"/>
  <c r="H147" i="59"/>
  <c r="G147" i="59"/>
  <c r="F147" i="59"/>
  <c r="E147" i="59"/>
  <c r="H144" i="59"/>
  <c r="H142" i="59" s="1"/>
  <c r="G144" i="59"/>
  <c r="G142" i="59" s="1"/>
  <c r="F144" i="59"/>
  <c r="E144" i="59"/>
  <c r="E142" i="59" s="1"/>
  <c r="E138" i="59" s="1"/>
  <c r="D40" i="91" l="1"/>
  <c r="D43" i="91" s="1"/>
  <c r="G69" i="91"/>
  <c r="D51" i="91"/>
  <c r="G67" i="91"/>
  <c r="G5" i="91" s="1"/>
  <c r="H113" i="91"/>
  <c r="H111" i="91" s="1"/>
  <c r="H25" i="91" s="1"/>
  <c r="H28" i="91" s="1"/>
  <c r="G111" i="91"/>
  <c r="G25" i="91" s="1"/>
  <c r="G28" i="91" s="1"/>
  <c r="D26" i="91"/>
  <c r="E28" i="91"/>
  <c r="H69" i="91"/>
  <c r="E35" i="91"/>
  <c r="D32" i="91"/>
  <c r="D35" i="91" s="1"/>
  <c r="H67" i="91"/>
  <c r="H5" i="91" s="1"/>
  <c r="D46" i="91"/>
  <c r="D47" i="91" s="1"/>
  <c r="F111" i="91"/>
  <c r="F25" i="91" s="1"/>
  <c r="F142" i="59"/>
  <c r="B45" i="38"/>
  <c r="B46" i="38"/>
  <c r="B47" i="38"/>
  <c r="B48" i="38"/>
  <c r="B49" i="38"/>
  <c r="B50" i="38"/>
  <c r="B51" i="38"/>
  <c r="B52" i="38"/>
  <c r="B53" i="38"/>
  <c r="B54" i="38"/>
  <c r="B55" i="38"/>
  <c r="B56" i="38"/>
  <c r="A55" i="38"/>
  <c r="A54" i="38"/>
  <c r="A53" i="38"/>
  <c r="A52" i="38"/>
  <c r="A51" i="38"/>
  <c r="A50" i="38"/>
  <c r="A49" i="38"/>
  <c r="A48" i="38"/>
  <c r="A47" i="38"/>
  <c r="A46" i="38"/>
  <c r="A45" i="38"/>
  <c r="B34" i="38"/>
  <c r="A34" i="38"/>
  <c r="A33" i="38"/>
  <c r="B23" i="38"/>
  <c r="B24" i="38"/>
  <c r="B18" i="38"/>
  <c r="B15" i="38"/>
  <c r="B8" i="38"/>
  <c r="A8" i="38"/>
  <c r="A24" i="38"/>
  <c r="A23" i="38"/>
  <c r="A18" i="38"/>
  <c r="A15" i="38"/>
  <c r="A14" i="38"/>
  <c r="D5" i="91" l="1"/>
  <c r="F28" i="91"/>
  <c r="D25" i="91"/>
  <c r="D28" i="91" s="1"/>
  <c r="D7" i="4"/>
  <c r="D6" i="4"/>
  <c r="F191" i="41"/>
  <c r="G191" i="41"/>
  <c r="G187" i="41" s="1"/>
  <c r="H191" i="41"/>
  <c r="E191" i="41"/>
  <c r="E187" i="41"/>
  <c r="E47" i="41" s="1"/>
  <c r="F187" i="41"/>
  <c r="H187" i="41"/>
  <c r="F181" i="41"/>
  <c r="F46" i="41" s="1"/>
  <c r="F48" i="41" s="1"/>
  <c r="G181" i="41"/>
  <c r="G46" i="41" s="1"/>
  <c r="H181" i="41"/>
  <c r="E181" i="41"/>
  <c r="E185" i="41"/>
  <c r="H48" i="41"/>
  <c r="H46" i="41"/>
  <c r="H47" i="41"/>
  <c r="G47" i="41"/>
  <c r="F47" i="41"/>
  <c r="C184" i="41"/>
  <c r="C181" i="54"/>
  <c r="C181" i="48"/>
  <c r="C198" i="41"/>
  <c r="C200" i="41"/>
  <c r="C201" i="41"/>
  <c r="E64" i="90"/>
  <c r="H173" i="90"/>
  <c r="G173" i="90"/>
  <c r="F173" i="90"/>
  <c r="F172" i="90"/>
  <c r="H171" i="90"/>
  <c r="G171" i="90"/>
  <c r="E171" i="90"/>
  <c r="H167" i="90"/>
  <c r="H166" i="90" s="1"/>
  <c r="G167" i="90"/>
  <c r="G166" i="90" s="1"/>
  <c r="F167" i="90"/>
  <c r="F166" i="90" s="1"/>
  <c r="E166" i="90"/>
  <c r="H164" i="90"/>
  <c r="G164" i="90"/>
  <c r="F164" i="90"/>
  <c r="E164" i="90"/>
  <c r="H162" i="90"/>
  <c r="G162" i="90"/>
  <c r="F162" i="90"/>
  <c r="E162" i="90"/>
  <c r="H160" i="90"/>
  <c r="G160" i="90"/>
  <c r="F160" i="90"/>
  <c r="E160" i="90"/>
  <c r="H158" i="90"/>
  <c r="G158" i="90"/>
  <c r="F158" i="90"/>
  <c r="E158" i="90"/>
  <c r="H157" i="90"/>
  <c r="G157" i="90"/>
  <c r="F157" i="90"/>
  <c r="E157" i="90"/>
  <c r="E154" i="90"/>
  <c r="G153" i="90"/>
  <c r="F153" i="90"/>
  <c r="G152" i="90"/>
  <c r="F152" i="90"/>
  <c r="E151" i="90"/>
  <c r="H148" i="90"/>
  <c r="G148" i="90"/>
  <c r="F148" i="90"/>
  <c r="E148" i="90"/>
  <c r="H146" i="90"/>
  <c r="G146" i="90"/>
  <c r="F146" i="90"/>
  <c r="E146" i="90"/>
  <c r="H144" i="90"/>
  <c r="G144" i="90"/>
  <c r="F144" i="90"/>
  <c r="E144" i="90"/>
  <c r="H142" i="90"/>
  <c r="G142" i="90"/>
  <c r="F142" i="90"/>
  <c r="E142" i="90"/>
  <c r="H140" i="90"/>
  <c r="H47" i="90" s="1"/>
  <c r="G140" i="90"/>
  <c r="G47" i="90" s="1"/>
  <c r="F140" i="90"/>
  <c r="F47" i="90" s="1"/>
  <c r="E140" i="90"/>
  <c r="E47" i="90" s="1"/>
  <c r="H137" i="90"/>
  <c r="H135" i="90" s="1"/>
  <c r="H131" i="90" s="1"/>
  <c r="H26" i="90" s="1"/>
  <c r="G137" i="90"/>
  <c r="G135" i="90" s="1"/>
  <c r="G131" i="90" s="1"/>
  <c r="G26" i="90" s="1"/>
  <c r="F137" i="90"/>
  <c r="E137" i="90"/>
  <c r="E135" i="90" s="1"/>
  <c r="E131" i="90" s="1"/>
  <c r="E26" i="90" s="1"/>
  <c r="F136" i="90"/>
  <c r="H125" i="90"/>
  <c r="G125" i="90"/>
  <c r="F125" i="90"/>
  <c r="F120" i="90" s="1"/>
  <c r="E125" i="90"/>
  <c r="E120" i="90" s="1"/>
  <c r="E32" i="90" s="1"/>
  <c r="E35" i="90" s="1"/>
  <c r="E112" i="90"/>
  <c r="F112" i="90" s="1"/>
  <c r="G112" i="90" s="1"/>
  <c r="H102" i="90"/>
  <c r="G102" i="90"/>
  <c r="F102" i="90"/>
  <c r="H93" i="90"/>
  <c r="G93" i="90"/>
  <c r="F93" i="90"/>
  <c r="E93" i="90"/>
  <c r="E57" i="90"/>
  <c r="E54" i="90"/>
  <c r="F54" i="90" s="1"/>
  <c r="G54" i="90" s="1"/>
  <c r="H54" i="90" s="1"/>
  <c r="E43" i="90"/>
  <c r="D42" i="90"/>
  <c r="D41" i="90"/>
  <c r="H40" i="90"/>
  <c r="H43" i="90" s="1"/>
  <c r="G40" i="90"/>
  <c r="G43" i="90" s="1"/>
  <c r="F40" i="90"/>
  <c r="F43" i="90" s="1"/>
  <c r="E40" i="90"/>
  <c r="D39" i="90"/>
  <c r="D38" i="90"/>
  <c r="H35" i="90"/>
  <c r="G35" i="90"/>
  <c r="F35" i="90"/>
  <c r="D34" i="90"/>
  <c r="D33" i="90"/>
  <c r="D31" i="90"/>
  <c r="D21" i="90"/>
  <c r="D11" i="90"/>
  <c r="E3" i="90"/>
  <c r="F3" i="90" s="1"/>
  <c r="G3" i="90" s="1"/>
  <c r="H3" i="90" s="1"/>
  <c r="F135" i="90" l="1"/>
  <c r="F131" i="90" s="1"/>
  <c r="F26" i="90" s="1"/>
  <c r="D26" i="90" s="1"/>
  <c r="E110" i="90"/>
  <c r="E25" i="90" s="1"/>
  <c r="E28" i="90" s="1"/>
  <c r="E150" i="90"/>
  <c r="E46" i="90" s="1"/>
  <c r="E48" i="90" s="1"/>
  <c r="G48" i="41"/>
  <c r="D47" i="41"/>
  <c r="D47" i="90"/>
  <c r="F110" i="90"/>
  <c r="F25" i="90" s="1"/>
  <c r="D32" i="90"/>
  <c r="D35" i="90" s="1"/>
  <c r="F171" i="90"/>
  <c r="H112" i="90"/>
  <c r="H110" i="90" s="1"/>
  <c r="H25" i="90" s="1"/>
  <c r="H28" i="90" s="1"/>
  <c r="G110" i="90"/>
  <c r="G25" i="90" s="1"/>
  <c r="G28" i="90" s="1"/>
  <c r="D40" i="90"/>
  <c r="D43" i="90" s="1"/>
  <c r="F28" i="90" l="1"/>
  <c r="D25" i="90"/>
  <c r="D28" i="90" s="1"/>
  <c r="G97" i="75" l="1"/>
  <c r="H97" i="75" s="1"/>
  <c r="F97" i="75"/>
  <c r="E145" i="85"/>
  <c r="E148" i="85"/>
  <c r="E183" i="68"/>
  <c r="E99" i="77"/>
  <c r="E106" i="89" l="1"/>
  <c r="F106" i="89" s="1"/>
  <c r="G106" i="89" s="1"/>
  <c r="H106" i="89" s="1"/>
  <c r="H105" i="89" s="1"/>
  <c r="C44" i="7"/>
  <c r="E109" i="89" s="1"/>
  <c r="F109" i="89" s="1"/>
  <c r="H174" i="89"/>
  <c r="G174" i="89"/>
  <c r="F174" i="89"/>
  <c r="F173" i="89"/>
  <c r="H172" i="89"/>
  <c r="G172" i="89"/>
  <c r="E172" i="89"/>
  <c r="H168" i="89"/>
  <c r="H167" i="89" s="1"/>
  <c r="G168" i="89"/>
  <c r="G167" i="89" s="1"/>
  <c r="F168" i="89"/>
  <c r="F167" i="89" s="1"/>
  <c r="E167" i="89"/>
  <c r="H165" i="89"/>
  <c r="H163" i="89" s="1"/>
  <c r="G165" i="89"/>
  <c r="G163" i="89" s="1"/>
  <c r="F165" i="89"/>
  <c r="F163" i="89" s="1"/>
  <c r="E165" i="89"/>
  <c r="E163" i="89" s="1"/>
  <c r="H161" i="89"/>
  <c r="G161" i="89"/>
  <c r="F161" i="89"/>
  <c r="E161" i="89"/>
  <c r="H159" i="89"/>
  <c r="G159" i="89"/>
  <c r="F159" i="89"/>
  <c r="E159" i="89"/>
  <c r="E155" i="89"/>
  <c r="G154" i="89"/>
  <c r="F154" i="89"/>
  <c r="G153" i="89"/>
  <c r="F153" i="89"/>
  <c r="E152" i="89"/>
  <c r="H149" i="89"/>
  <c r="G149" i="89"/>
  <c r="F149" i="89"/>
  <c r="E149" i="89"/>
  <c r="H147" i="89"/>
  <c r="G147" i="89"/>
  <c r="F147" i="89"/>
  <c r="E147" i="89"/>
  <c r="H145" i="89"/>
  <c r="G145" i="89"/>
  <c r="F145" i="89"/>
  <c r="E145" i="89"/>
  <c r="H143" i="89"/>
  <c r="G143" i="89"/>
  <c r="G141" i="89" s="1"/>
  <c r="G47" i="89" s="1"/>
  <c r="F143" i="89"/>
  <c r="F141" i="89" s="1"/>
  <c r="F47" i="89" s="1"/>
  <c r="E143" i="89"/>
  <c r="E141" i="89" s="1"/>
  <c r="E47" i="89" s="1"/>
  <c r="H141" i="89"/>
  <c r="H47" i="89" s="1"/>
  <c r="H138" i="89"/>
  <c r="H136" i="89" s="1"/>
  <c r="H132" i="89" s="1"/>
  <c r="H26" i="89" s="1"/>
  <c r="G138" i="89"/>
  <c r="G136" i="89" s="1"/>
  <c r="G132" i="89" s="1"/>
  <c r="G26" i="89" s="1"/>
  <c r="F138" i="89"/>
  <c r="E138" i="89"/>
  <c r="E136" i="89" s="1"/>
  <c r="E132" i="89" s="1"/>
  <c r="E26" i="89" s="1"/>
  <c r="F137" i="89"/>
  <c r="H126" i="89"/>
  <c r="G126" i="89"/>
  <c r="F126" i="89"/>
  <c r="F121" i="89" s="1"/>
  <c r="E126" i="89"/>
  <c r="E121" i="89" s="1"/>
  <c r="E32" i="89" s="1"/>
  <c r="E113" i="89"/>
  <c r="F113" i="89" s="1"/>
  <c r="H101" i="89"/>
  <c r="G101" i="89"/>
  <c r="F101" i="89"/>
  <c r="H92" i="89"/>
  <c r="G92" i="89"/>
  <c r="F92" i="89"/>
  <c r="E92" i="89"/>
  <c r="E57" i="89"/>
  <c r="E54" i="89"/>
  <c r="F54" i="89" s="1"/>
  <c r="G54" i="89" s="1"/>
  <c r="H54" i="89" s="1"/>
  <c r="D42" i="89"/>
  <c r="D41" i="89"/>
  <c r="H40" i="89"/>
  <c r="H43" i="89" s="1"/>
  <c r="G40" i="89"/>
  <c r="G43" i="89" s="1"/>
  <c r="F40" i="89"/>
  <c r="F43" i="89" s="1"/>
  <c r="E40" i="89"/>
  <c r="E43" i="89" s="1"/>
  <c r="D39" i="89"/>
  <c r="D38" i="89"/>
  <c r="H35" i="89"/>
  <c r="G35" i="89"/>
  <c r="F35" i="89"/>
  <c r="D34" i="89"/>
  <c r="D33" i="89"/>
  <c r="D31" i="89"/>
  <c r="D21" i="89"/>
  <c r="D11" i="89"/>
  <c r="E3" i="89"/>
  <c r="F3" i="89" s="1"/>
  <c r="G3" i="89" s="1"/>
  <c r="H3" i="89" s="1"/>
  <c r="F199" i="85"/>
  <c r="G199" i="85" s="1"/>
  <c r="H199" i="85" s="1"/>
  <c r="E153" i="85"/>
  <c r="F155" i="85"/>
  <c r="F153" i="85" s="1"/>
  <c r="E249" i="85"/>
  <c r="F201" i="85"/>
  <c r="F40" i="85" s="1"/>
  <c r="G201" i="85"/>
  <c r="G40" i="85" s="1"/>
  <c r="H201" i="85"/>
  <c r="H40" i="85" s="1"/>
  <c r="E201" i="85"/>
  <c r="E40" i="85" s="1"/>
  <c r="E141" i="85"/>
  <c r="F32" i="85"/>
  <c r="G32" i="85"/>
  <c r="H32" i="85"/>
  <c r="E135" i="85"/>
  <c r="E132" i="85"/>
  <c r="E129" i="85"/>
  <c r="E193" i="85"/>
  <c r="F193" i="85" s="1"/>
  <c r="F189" i="85"/>
  <c r="F187" i="85" s="1"/>
  <c r="G189" i="85"/>
  <c r="G187" i="85" s="1"/>
  <c r="H189" i="85"/>
  <c r="H187" i="85" s="1"/>
  <c r="F182" i="85"/>
  <c r="G182" i="85"/>
  <c r="H182" i="85"/>
  <c r="E182" i="85"/>
  <c r="E189" i="85"/>
  <c r="E187" i="85" s="1"/>
  <c r="E165" i="85"/>
  <c r="F165" i="85" s="1"/>
  <c r="H174" i="85"/>
  <c r="H172" i="85" s="1"/>
  <c r="G174" i="85"/>
  <c r="G172" i="85" s="1"/>
  <c r="F174" i="85"/>
  <c r="E174" i="85"/>
  <c r="E172" i="85" s="1"/>
  <c r="F173" i="85"/>
  <c r="F116" i="88"/>
  <c r="G116" i="88"/>
  <c r="H116" i="88"/>
  <c r="E116" i="88"/>
  <c r="F117" i="88"/>
  <c r="E117" i="88"/>
  <c r="H121" i="88"/>
  <c r="G121" i="88"/>
  <c r="F121" i="88"/>
  <c r="E121" i="88"/>
  <c r="H118" i="88"/>
  <c r="G118" i="88"/>
  <c r="F118" i="88"/>
  <c r="E118" i="88"/>
  <c r="H117" i="88"/>
  <c r="G117" i="88"/>
  <c r="F107" i="88"/>
  <c r="G107" i="88" s="1"/>
  <c r="H107" i="88" s="1"/>
  <c r="E181" i="68"/>
  <c r="D190" i="68"/>
  <c r="D40" i="89" l="1"/>
  <c r="D43" i="89" s="1"/>
  <c r="E105" i="89"/>
  <c r="G105" i="89"/>
  <c r="H158" i="89"/>
  <c r="G109" i="89"/>
  <c r="F108" i="89"/>
  <c r="F104" i="89" s="1"/>
  <c r="E108" i="89"/>
  <c r="E104" i="89" s="1"/>
  <c r="E99" i="89" s="1"/>
  <c r="E20" i="89" s="1"/>
  <c r="E22" i="89" s="1"/>
  <c r="E158" i="89"/>
  <c r="E151" i="89" s="1"/>
  <c r="E46" i="89" s="1"/>
  <c r="E48" i="89" s="1"/>
  <c r="F105" i="89"/>
  <c r="F136" i="89"/>
  <c r="F132" i="89" s="1"/>
  <c r="F26" i="89" s="1"/>
  <c r="D26" i="89" s="1"/>
  <c r="E111" i="89"/>
  <c r="E25" i="89" s="1"/>
  <c r="E28" i="89" s="1"/>
  <c r="F158" i="89"/>
  <c r="F111" i="89"/>
  <c r="F25" i="89" s="1"/>
  <c r="G113" i="89"/>
  <c r="H113" i="89" s="1"/>
  <c r="H111" i="89" s="1"/>
  <c r="H25" i="89" s="1"/>
  <c r="H28" i="89" s="1"/>
  <c r="G158" i="89"/>
  <c r="F172" i="89"/>
  <c r="E35" i="89"/>
  <c r="D32" i="89"/>
  <c r="D35" i="89" s="1"/>
  <c r="D47" i="89"/>
  <c r="F156" i="85"/>
  <c r="F161" i="85" s="1"/>
  <c r="E156" i="85"/>
  <c r="E161" i="85" s="1"/>
  <c r="E127" i="85"/>
  <c r="E32" i="85" s="1"/>
  <c r="G155" i="85"/>
  <c r="F192" i="85"/>
  <c r="F43" i="85" s="1"/>
  <c r="G193" i="85"/>
  <c r="F180" i="85"/>
  <c r="F39" i="85" s="1"/>
  <c r="E192" i="85"/>
  <c r="E43" i="85" s="1"/>
  <c r="H180" i="85"/>
  <c r="H39" i="85" s="1"/>
  <c r="E180" i="85"/>
  <c r="E39" i="85" s="1"/>
  <c r="G180" i="85"/>
  <c r="G39" i="85" s="1"/>
  <c r="F164" i="85"/>
  <c r="F34" i="85" s="1"/>
  <c r="G165" i="85"/>
  <c r="E164" i="85"/>
  <c r="E34" i="85" s="1"/>
  <c r="F172" i="85"/>
  <c r="F28" i="89" l="1"/>
  <c r="G108" i="89"/>
  <c r="G104" i="89" s="1"/>
  <c r="H109" i="89"/>
  <c r="H108" i="89" s="1"/>
  <c r="H104" i="89" s="1"/>
  <c r="E198" i="85"/>
  <c r="E197" i="85" s="1"/>
  <c r="E44" i="85" s="1"/>
  <c r="G111" i="89"/>
  <c r="G25" i="89" s="1"/>
  <c r="E158" i="85"/>
  <c r="F198" i="85"/>
  <c r="F197" i="85" s="1"/>
  <c r="F44" i="85" s="1"/>
  <c r="F158" i="85"/>
  <c r="H155" i="85"/>
  <c r="H153" i="85" s="1"/>
  <c r="G153" i="85"/>
  <c r="G192" i="85"/>
  <c r="G43" i="85" s="1"/>
  <c r="H193" i="85"/>
  <c r="H192" i="85" s="1"/>
  <c r="H43" i="85" s="1"/>
  <c r="D39" i="85"/>
  <c r="G164" i="85"/>
  <c r="G34" i="85" s="1"/>
  <c r="H165" i="85"/>
  <c r="H164" i="85" s="1"/>
  <c r="H34" i="85" s="1"/>
  <c r="H68" i="88"/>
  <c r="F68" i="88"/>
  <c r="G68" i="88"/>
  <c r="E68" i="88"/>
  <c r="H185" i="88"/>
  <c r="H46" i="88" s="1"/>
  <c r="H47" i="88" s="1"/>
  <c r="G185" i="88"/>
  <c r="G46" i="88" s="1"/>
  <c r="G47" i="88" s="1"/>
  <c r="F185" i="88"/>
  <c r="F46" i="88" s="1"/>
  <c r="F47" i="88" s="1"/>
  <c r="E185" i="88"/>
  <c r="E46" i="88" s="1"/>
  <c r="E47" i="88" s="1"/>
  <c r="H177" i="88"/>
  <c r="G177" i="88"/>
  <c r="F177" i="88"/>
  <c r="F176" i="88"/>
  <c r="H175" i="88"/>
  <c r="G175" i="88"/>
  <c r="E175" i="88"/>
  <c r="H171" i="88"/>
  <c r="H170" i="88" s="1"/>
  <c r="G171" i="88"/>
  <c r="G170" i="88" s="1"/>
  <c r="F171" i="88"/>
  <c r="F170" i="88" s="1"/>
  <c r="E170" i="88"/>
  <c r="H168" i="88"/>
  <c r="G168" i="88"/>
  <c r="F168" i="88"/>
  <c r="E168" i="88"/>
  <c r="H166" i="88"/>
  <c r="G166" i="88"/>
  <c r="F166" i="88"/>
  <c r="E166" i="88"/>
  <c r="H164" i="88"/>
  <c r="G164" i="88"/>
  <c r="F164" i="88"/>
  <c r="F162" i="88" s="1"/>
  <c r="F161" i="88" s="1"/>
  <c r="E164" i="88"/>
  <c r="E162" i="88" s="1"/>
  <c r="E161" i="88" s="1"/>
  <c r="H162" i="88"/>
  <c r="H161" i="88" s="1"/>
  <c r="G162" i="88"/>
  <c r="G161" i="88" s="1"/>
  <c r="E158" i="88"/>
  <c r="G157" i="88"/>
  <c r="F157" i="88"/>
  <c r="G156" i="88"/>
  <c r="F156" i="88"/>
  <c r="E155" i="88"/>
  <c r="H152" i="88"/>
  <c r="G152" i="88"/>
  <c r="F152" i="88"/>
  <c r="E152" i="88"/>
  <c r="H150" i="88"/>
  <c r="G150" i="88"/>
  <c r="F150" i="88"/>
  <c r="E150" i="88"/>
  <c r="H148" i="88"/>
  <c r="G148" i="88"/>
  <c r="F148" i="88"/>
  <c r="E148" i="88"/>
  <c r="H146" i="88"/>
  <c r="G146" i="88"/>
  <c r="F146" i="88"/>
  <c r="E146" i="88"/>
  <c r="H144" i="88"/>
  <c r="H51" i="88" s="1"/>
  <c r="G144" i="88"/>
  <c r="G51" i="88" s="1"/>
  <c r="F144" i="88"/>
  <c r="F51" i="88" s="1"/>
  <c r="E144" i="88"/>
  <c r="E51" i="88" s="1"/>
  <c r="H141" i="88"/>
  <c r="H139" i="88" s="1"/>
  <c r="H135" i="88" s="1"/>
  <c r="H26" i="88" s="1"/>
  <c r="G141" i="88"/>
  <c r="G139" i="88" s="1"/>
  <c r="G135" i="88" s="1"/>
  <c r="G26" i="88" s="1"/>
  <c r="F141" i="88"/>
  <c r="E141" i="88"/>
  <c r="F140" i="88"/>
  <c r="E140" i="88"/>
  <c r="H129" i="88"/>
  <c r="G129" i="88"/>
  <c r="F129" i="88"/>
  <c r="F124" i="88" s="1"/>
  <c r="E129" i="88"/>
  <c r="E124" i="88" s="1"/>
  <c r="E32" i="88" s="1"/>
  <c r="D32" i="88" s="1"/>
  <c r="E31" i="88"/>
  <c r="G31" i="88"/>
  <c r="G35" i="88" s="1"/>
  <c r="F31" i="88"/>
  <c r="F35" i="88" s="1"/>
  <c r="E113" i="88"/>
  <c r="F113" i="88" s="1"/>
  <c r="H105" i="88"/>
  <c r="H96" i="88"/>
  <c r="G96" i="88"/>
  <c r="F96" i="88"/>
  <c r="E96" i="88"/>
  <c r="H95" i="88"/>
  <c r="E61" i="88"/>
  <c r="E58" i="88"/>
  <c r="F58" i="88" s="1"/>
  <c r="G58" i="88" s="1"/>
  <c r="H58" i="88" s="1"/>
  <c r="D42" i="88"/>
  <c r="D41" i="88"/>
  <c r="H40" i="88"/>
  <c r="H43" i="88" s="1"/>
  <c r="G40" i="88"/>
  <c r="G43" i="88" s="1"/>
  <c r="F40" i="88"/>
  <c r="F43" i="88" s="1"/>
  <c r="E40" i="88"/>
  <c r="D39" i="88"/>
  <c r="D38" i="88"/>
  <c r="D34" i="88"/>
  <c r="D33" i="88"/>
  <c r="D21" i="88"/>
  <c r="D11" i="88"/>
  <c r="E3" i="88"/>
  <c r="F3" i="88" s="1"/>
  <c r="G3" i="88" s="1"/>
  <c r="H3" i="88" s="1"/>
  <c r="H232" i="87"/>
  <c r="G232" i="87"/>
  <c r="F232" i="87"/>
  <c r="E232" i="87"/>
  <c r="H219" i="87"/>
  <c r="G219" i="87"/>
  <c r="F219" i="87"/>
  <c r="E219" i="87"/>
  <c r="H215" i="87"/>
  <c r="G215" i="87"/>
  <c r="F215" i="87"/>
  <c r="E215" i="87"/>
  <c r="H211" i="87"/>
  <c r="H207" i="87" s="1"/>
  <c r="G211" i="87"/>
  <c r="G207" i="87" s="1"/>
  <c r="F211" i="87"/>
  <c r="F207" i="87" s="1"/>
  <c r="E211" i="87"/>
  <c r="E207" i="87" s="1"/>
  <c r="H202" i="87"/>
  <c r="G202" i="87"/>
  <c r="F202" i="87"/>
  <c r="F201" i="87"/>
  <c r="H200" i="87"/>
  <c r="G200" i="87"/>
  <c r="E200" i="87"/>
  <c r="H196" i="87"/>
  <c r="H195" i="87" s="1"/>
  <c r="G196" i="87"/>
  <c r="G195" i="87" s="1"/>
  <c r="F196" i="87"/>
  <c r="F195" i="87" s="1"/>
  <c r="E195" i="87"/>
  <c r="H193" i="87"/>
  <c r="H191" i="87" s="1"/>
  <c r="G193" i="87"/>
  <c r="G191" i="87" s="1"/>
  <c r="F193" i="87"/>
  <c r="F191" i="87" s="1"/>
  <c r="E193" i="87"/>
  <c r="E191" i="87" s="1"/>
  <c r="H189" i="87"/>
  <c r="H187" i="87" s="1"/>
  <c r="G189" i="87"/>
  <c r="G187" i="87" s="1"/>
  <c r="F189" i="87"/>
  <c r="F187" i="87" s="1"/>
  <c r="E189" i="87"/>
  <c r="E187" i="87" s="1"/>
  <c r="E183" i="87"/>
  <c r="G182" i="87"/>
  <c r="F182" i="87"/>
  <c r="G181" i="87"/>
  <c r="F181" i="87"/>
  <c r="E180" i="87"/>
  <c r="H177" i="87"/>
  <c r="G177" i="87"/>
  <c r="F177" i="87"/>
  <c r="E177" i="87"/>
  <c r="H175" i="87"/>
  <c r="G175" i="87"/>
  <c r="F175" i="87"/>
  <c r="E175" i="87"/>
  <c r="H173" i="87"/>
  <c r="G173" i="87"/>
  <c r="F173" i="87"/>
  <c r="E173" i="87"/>
  <c r="H171" i="87"/>
  <c r="G171" i="87"/>
  <c r="F171" i="87"/>
  <c r="E171" i="87"/>
  <c r="H169" i="87"/>
  <c r="H56" i="87" s="1"/>
  <c r="G169" i="87"/>
  <c r="G56" i="87" s="1"/>
  <c r="F169" i="87"/>
  <c r="F56" i="87" s="1"/>
  <c r="E169" i="87"/>
  <c r="E56" i="87" s="1"/>
  <c r="H166" i="87"/>
  <c r="H164" i="87" s="1"/>
  <c r="H160" i="87" s="1"/>
  <c r="H26" i="87" s="1"/>
  <c r="G166" i="87"/>
  <c r="F166" i="87"/>
  <c r="E166" i="87"/>
  <c r="E164" i="87" s="1"/>
  <c r="E160" i="87" s="1"/>
  <c r="E26" i="87" s="1"/>
  <c r="F165" i="87"/>
  <c r="G164" i="87"/>
  <c r="G160" i="87" s="1"/>
  <c r="G26" i="87" s="1"/>
  <c r="H156" i="87"/>
  <c r="H47" i="87" s="1"/>
  <c r="H48" i="87" s="1"/>
  <c r="G156" i="87"/>
  <c r="G47" i="87" s="1"/>
  <c r="G48" i="87" s="1"/>
  <c r="F156" i="87"/>
  <c r="F47" i="87" s="1"/>
  <c r="F48" i="87" s="1"/>
  <c r="E156" i="87"/>
  <c r="E47" i="87" s="1"/>
  <c r="H149" i="87"/>
  <c r="H34" i="87" s="1"/>
  <c r="G149" i="87"/>
  <c r="G34" i="87" s="1"/>
  <c r="F149" i="87"/>
  <c r="F34" i="87" s="1"/>
  <c r="E149" i="87"/>
  <c r="E34" i="87" s="1"/>
  <c r="H129" i="87"/>
  <c r="H33" i="87" s="1"/>
  <c r="H36" i="87" s="1"/>
  <c r="G129" i="87"/>
  <c r="G33" i="87" s="1"/>
  <c r="F129" i="87"/>
  <c r="F33" i="87" s="1"/>
  <c r="E118" i="87"/>
  <c r="F118" i="87" s="1"/>
  <c r="H110" i="87"/>
  <c r="H101" i="87"/>
  <c r="G101" i="87"/>
  <c r="F101" i="87"/>
  <c r="E101" i="87"/>
  <c r="H100" i="87"/>
  <c r="E66" i="87"/>
  <c r="E63" i="87"/>
  <c r="F63" i="87" s="1"/>
  <c r="G63" i="87" s="1"/>
  <c r="H63" i="87" s="1"/>
  <c r="D43" i="87"/>
  <c r="D42" i="87"/>
  <c r="H41" i="87"/>
  <c r="H44" i="87" s="1"/>
  <c r="G41" i="87"/>
  <c r="G44" i="87" s="1"/>
  <c r="F41" i="87"/>
  <c r="F44" i="87" s="1"/>
  <c r="E41" i="87"/>
  <c r="D40" i="87"/>
  <c r="D39" i="87"/>
  <c r="D35" i="87"/>
  <c r="E32" i="87"/>
  <c r="D31" i="87"/>
  <c r="D21" i="87"/>
  <c r="D11" i="87"/>
  <c r="E3" i="87"/>
  <c r="F3" i="87" s="1"/>
  <c r="G3" i="87" s="1"/>
  <c r="H3" i="87" s="1"/>
  <c r="F139" i="88" l="1"/>
  <c r="F135" i="88" s="1"/>
  <c r="F26" i="88" s="1"/>
  <c r="G28" i="89"/>
  <c r="D25" i="89"/>
  <c r="D28" i="89" s="1"/>
  <c r="G156" i="85"/>
  <c r="G198" i="85" s="1"/>
  <c r="G197" i="85" s="1"/>
  <c r="G44" i="85" s="1"/>
  <c r="H156" i="85"/>
  <c r="H158" i="85" s="1"/>
  <c r="D34" i="85"/>
  <c r="F175" i="88"/>
  <c r="D40" i="88"/>
  <c r="D43" i="88" s="1"/>
  <c r="E43" i="88"/>
  <c r="E154" i="88"/>
  <c r="E50" i="88" s="1"/>
  <c r="E52" i="88" s="1"/>
  <c r="D51" i="88"/>
  <c r="E139" i="88"/>
  <c r="E135" i="88" s="1"/>
  <c r="E26" i="88" s="1"/>
  <c r="D46" i="88"/>
  <c r="D47" i="88" s="1"/>
  <c r="F111" i="88"/>
  <c r="F25" i="88" s="1"/>
  <c r="G113" i="88"/>
  <c r="H31" i="88"/>
  <c r="E35" i="88"/>
  <c r="E111" i="88"/>
  <c r="E25" i="88" s="1"/>
  <c r="E186" i="87"/>
  <c r="E179" i="87" s="1"/>
  <c r="E55" i="87" s="1"/>
  <c r="E57" i="87" s="1"/>
  <c r="F164" i="87"/>
  <c r="F160" i="87" s="1"/>
  <c r="F26" i="87" s="1"/>
  <c r="D26" i="87" s="1"/>
  <c r="F186" i="87"/>
  <c r="F200" i="87"/>
  <c r="D34" i="87"/>
  <c r="D32" i="87"/>
  <c r="G36" i="87"/>
  <c r="G118" i="87"/>
  <c r="F116" i="87"/>
  <c r="F25" i="87" s="1"/>
  <c r="G186" i="87"/>
  <c r="E44" i="87"/>
  <c r="D41" i="87"/>
  <c r="D44" i="87" s="1"/>
  <c r="D47" i="87"/>
  <c r="D48" i="87" s="1"/>
  <c r="E48" i="87"/>
  <c r="F36" i="87"/>
  <c r="D56" i="87"/>
  <c r="H186" i="87"/>
  <c r="E116" i="87"/>
  <c r="E25" i="87" s="1"/>
  <c r="D26" i="88" l="1"/>
  <c r="F28" i="88"/>
  <c r="H161" i="85"/>
  <c r="H198" i="85"/>
  <c r="H197" i="85" s="1"/>
  <c r="H44" i="85" s="1"/>
  <c r="D44" i="85" s="1"/>
  <c r="G161" i="85"/>
  <c r="E146" i="85" s="1"/>
  <c r="E147" i="85" s="1"/>
  <c r="E140" i="85" s="1"/>
  <c r="E33" i="85" s="1"/>
  <c r="G158" i="85"/>
  <c r="G111" i="88"/>
  <c r="G25" i="88" s="1"/>
  <c r="G28" i="88" s="1"/>
  <c r="H113" i="88"/>
  <c r="H111" i="88" s="1"/>
  <c r="H25" i="88" s="1"/>
  <c r="H28" i="88" s="1"/>
  <c r="E28" i="88"/>
  <c r="H35" i="88"/>
  <c r="D31" i="88"/>
  <c r="D35" i="88" s="1"/>
  <c r="F28" i="87"/>
  <c r="H118" i="87"/>
  <c r="H116" i="87" s="1"/>
  <c r="H25" i="87" s="1"/>
  <c r="H28" i="87" s="1"/>
  <c r="G116" i="87"/>
  <c r="G25" i="87" s="1"/>
  <c r="G28" i="87" s="1"/>
  <c r="E28" i="87"/>
  <c r="D25" i="88" l="1"/>
  <c r="D28" i="88" s="1"/>
  <c r="D25" i="87"/>
  <c r="D28" i="87" s="1"/>
  <c r="F101" i="75" l="1"/>
  <c r="E101" i="75"/>
  <c r="E97" i="75" l="1"/>
  <c r="F11" i="73"/>
  <c r="G11" i="73"/>
  <c r="E11" i="73"/>
  <c r="E94" i="73"/>
  <c r="H92" i="73"/>
  <c r="H11" i="73" s="1"/>
  <c r="G92" i="73"/>
  <c r="F92" i="73"/>
  <c r="E92" i="73"/>
  <c r="F107" i="71"/>
  <c r="F107" i="70"/>
  <c r="E107" i="70"/>
  <c r="D11" i="73" l="1"/>
  <c r="F190" i="56"/>
  <c r="G190" i="56"/>
  <c r="H190" i="56"/>
  <c r="E190" i="56"/>
  <c r="F11" i="77"/>
  <c r="G11" i="77"/>
  <c r="H11" i="77"/>
  <c r="E11" i="77"/>
  <c r="F102" i="77"/>
  <c r="G102" i="77"/>
  <c r="H102" i="77"/>
  <c r="E102" i="77"/>
  <c r="F100" i="77"/>
  <c r="G100" i="77"/>
  <c r="H100" i="77"/>
  <c r="E100" i="77"/>
  <c r="F99" i="77" l="1"/>
  <c r="G99" i="77" l="1"/>
  <c r="E108" i="68"/>
  <c r="E115" i="68"/>
  <c r="E185" i="68"/>
  <c r="F186" i="68"/>
  <c r="G186" i="68" s="1"/>
  <c r="H186" i="68" s="1"/>
  <c r="H185" i="68" s="1"/>
  <c r="E184" i="68"/>
  <c r="E187" i="68" s="1"/>
  <c r="E182" i="68"/>
  <c r="F183" i="68"/>
  <c r="G183" i="68" s="1"/>
  <c r="H183" i="68" s="1"/>
  <c r="H182" i="68" s="1"/>
  <c r="E180" i="68"/>
  <c r="E179" i="68"/>
  <c r="F180" i="68"/>
  <c r="G180" i="68" s="1"/>
  <c r="H180" i="68" s="1"/>
  <c r="H179" i="68" s="1"/>
  <c r="F177" i="68"/>
  <c r="G177" i="68" s="1"/>
  <c r="E176" i="68"/>
  <c r="E175" i="68"/>
  <c r="E173" i="68" s="1"/>
  <c r="F174" i="68"/>
  <c r="G174" i="68" s="1"/>
  <c r="H174" i="68" s="1"/>
  <c r="H173" i="68" s="1"/>
  <c r="E172" i="68" l="1"/>
  <c r="H99" i="77"/>
  <c r="G185" i="68"/>
  <c r="F173" i="68"/>
  <c r="G182" i="68"/>
  <c r="F185" i="68"/>
  <c r="G173" i="68"/>
  <c r="F182" i="68"/>
  <c r="G179" i="68"/>
  <c r="F179" i="68"/>
  <c r="H177" i="68"/>
  <c r="H176" i="68" s="1"/>
  <c r="H172" i="68" s="1"/>
  <c r="H32" i="68" s="1"/>
  <c r="G176" i="68"/>
  <c r="F176" i="68"/>
  <c r="G172" i="68" l="1"/>
  <c r="G32" i="68" s="1"/>
  <c r="F172" i="68"/>
  <c r="F32" i="68" s="1"/>
  <c r="E132" i="81" l="1"/>
  <c r="E41" i="81" s="1"/>
  <c r="F133" i="81"/>
  <c r="E113" i="57"/>
  <c r="F130" i="57"/>
  <c r="G130" i="57"/>
  <c r="H130" i="57"/>
  <c r="E130" i="57"/>
  <c r="E131" i="57"/>
  <c r="F47" i="57"/>
  <c r="G47" i="57"/>
  <c r="H47" i="57"/>
  <c r="E47" i="57"/>
  <c r="F169" i="57"/>
  <c r="G169" i="57"/>
  <c r="H169" i="57"/>
  <c r="E169" i="57"/>
  <c r="E48" i="57"/>
  <c r="D32" i="57"/>
  <c r="E32" i="57"/>
  <c r="E103" i="86"/>
  <c r="F103" i="86" s="1"/>
  <c r="E7" i="86"/>
  <c r="E81" i="86"/>
  <c r="F83" i="86"/>
  <c r="F81" i="86" s="1"/>
  <c r="F7" i="86" s="1"/>
  <c r="F84" i="86"/>
  <c r="G84" i="86"/>
  <c r="H84" i="86"/>
  <c r="E84" i="86"/>
  <c r="B46" i="86"/>
  <c r="F145" i="86"/>
  <c r="F144" i="86" s="1"/>
  <c r="F47" i="86" s="1"/>
  <c r="F48" i="86" s="1"/>
  <c r="G145" i="86"/>
  <c r="G144" i="86" s="1"/>
  <c r="G47" i="86" s="1"/>
  <c r="G48" i="86" s="1"/>
  <c r="H145" i="86"/>
  <c r="H144" i="86" s="1"/>
  <c r="H47" i="86" s="1"/>
  <c r="H48" i="86" s="1"/>
  <c r="E145" i="86"/>
  <c r="E144" i="86" s="1"/>
  <c r="E47" i="86" s="1"/>
  <c r="E48" i="86" s="1"/>
  <c r="H136" i="86"/>
  <c r="G136" i="86"/>
  <c r="F136" i="86"/>
  <c r="E136" i="86"/>
  <c r="H133" i="86"/>
  <c r="G133" i="86"/>
  <c r="F133" i="86"/>
  <c r="E133" i="86"/>
  <c r="H130" i="86"/>
  <c r="G130" i="86"/>
  <c r="F130" i="86"/>
  <c r="E130" i="86"/>
  <c r="F127" i="86"/>
  <c r="G127" i="86"/>
  <c r="G126" i="86" s="1"/>
  <c r="G33" i="86" s="1"/>
  <c r="G36" i="86" s="1"/>
  <c r="H127" i="86"/>
  <c r="E126" i="86"/>
  <c r="E33" i="86" s="1"/>
  <c r="E161" i="86"/>
  <c r="H206" i="86"/>
  <c r="H51" i="86" s="1"/>
  <c r="G206" i="86"/>
  <c r="G51" i="86" s="1"/>
  <c r="G52" i="86" s="1"/>
  <c r="F206" i="86"/>
  <c r="F51" i="86" s="1"/>
  <c r="F52" i="86" s="1"/>
  <c r="E206" i="86"/>
  <c r="E51" i="86" s="1"/>
  <c r="E52" i="86" s="1"/>
  <c r="H198" i="86"/>
  <c r="G198" i="86"/>
  <c r="F198" i="86"/>
  <c r="F197" i="86"/>
  <c r="H196" i="86"/>
  <c r="G196" i="86"/>
  <c r="E196" i="86"/>
  <c r="H192" i="86"/>
  <c r="H191" i="86" s="1"/>
  <c r="G192" i="86"/>
  <c r="G191" i="86" s="1"/>
  <c r="F192" i="86"/>
  <c r="F191" i="86" s="1"/>
  <c r="E191" i="86"/>
  <c r="H189" i="86"/>
  <c r="G189" i="86"/>
  <c r="F189" i="86"/>
  <c r="E189" i="86"/>
  <c r="E187" i="86" s="1"/>
  <c r="H187" i="86"/>
  <c r="G187" i="86"/>
  <c r="F187" i="86"/>
  <c r="H185" i="86"/>
  <c r="G185" i="86"/>
  <c r="F185" i="86"/>
  <c r="E185" i="86"/>
  <c r="H183" i="86"/>
  <c r="G183" i="86"/>
  <c r="F183" i="86"/>
  <c r="E183" i="86"/>
  <c r="E179" i="86"/>
  <c r="G178" i="86"/>
  <c r="F178" i="86"/>
  <c r="G177" i="86"/>
  <c r="F177" i="86"/>
  <c r="E176" i="86"/>
  <c r="H173" i="86"/>
  <c r="G173" i="86"/>
  <c r="F173" i="86"/>
  <c r="E173" i="86"/>
  <c r="H171" i="86"/>
  <c r="G171" i="86"/>
  <c r="F171" i="86"/>
  <c r="E171" i="86"/>
  <c r="H169" i="86"/>
  <c r="G169" i="86"/>
  <c r="F169" i="86"/>
  <c r="E169" i="86"/>
  <c r="H167" i="86"/>
  <c r="G167" i="86"/>
  <c r="F167" i="86"/>
  <c r="F165" i="86" s="1"/>
  <c r="F56" i="86" s="1"/>
  <c r="E167" i="86"/>
  <c r="E165" i="86" s="1"/>
  <c r="E56" i="86" s="1"/>
  <c r="H165" i="86"/>
  <c r="H56" i="86" s="1"/>
  <c r="H162" i="86"/>
  <c r="H160" i="86" s="1"/>
  <c r="H156" i="86" s="1"/>
  <c r="H27" i="86" s="1"/>
  <c r="G162" i="86"/>
  <c r="G160" i="86" s="1"/>
  <c r="G156" i="86" s="1"/>
  <c r="G27" i="86" s="1"/>
  <c r="F162" i="86"/>
  <c r="E162" i="86"/>
  <c r="F161" i="86"/>
  <c r="E113" i="86"/>
  <c r="F113" i="86" s="1"/>
  <c r="F111" i="86" s="1"/>
  <c r="F26" i="86" s="1"/>
  <c r="H100" i="86"/>
  <c r="G100" i="86"/>
  <c r="F100" i="86"/>
  <c r="H91" i="86"/>
  <c r="G91" i="86"/>
  <c r="F91" i="86"/>
  <c r="E91" i="86"/>
  <c r="H90" i="86"/>
  <c r="H73" i="86"/>
  <c r="E66" i="86"/>
  <c r="E63" i="86"/>
  <c r="F63" i="86" s="1"/>
  <c r="G63" i="86" s="1"/>
  <c r="H63" i="86" s="1"/>
  <c r="D43" i="86"/>
  <c r="D42" i="86"/>
  <c r="H41" i="86"/>
  <c r="H44" i="86" s="1"/>
  <c r="G41" i="86"/>
  <c r="G44" i="86" s="1"/>
  <c r="F41" i="86"/>
  <c r="F44" i="86" s="1"/>
  <c r="E41" i="86"/>
  <c r="E44" i="86" s="1"/>
  <c r="D40" i="86"/>
  <c r="D39" i="86"/>
  <c r="D35" i="86"/>
  <c r="D34" i="86"/>
  <c r="D32" i="86"/>
  <c r="D22" i="86"/>
  <c r="D12" i="86"/>
  <c r="E3" i="86"/>
  <c r="F3" i="86" s="1"/>
  <c r="G3" i="86" s="1"/>
  <c r="H3" i="86" s="1"/>
  <c r="H247" i="85"/>
  <c r="H48" i="85" s="1"/>
  <c r="H49" i="85" s="1"/>
  <c r="G247" i="85"/>
  <c r="G48" i="85" s="1"/>
  <c r="G49" i="85" s="1"/>
  <c r="F247" i="85"/>
  <c r="F48" i="85" s="1"/>
  <c r="F49" i="85" s="1"/>
  <c r="E247" i="85"/>
  <c r="E48" i="85" s="1"/>
  <c r="H239" i="85"/>
  <c r="H237" i="85" s="1"/>
  <c r="G239" i="85"/>
  <c r="G237" i="85" s="1"/>
  <c r="F239" i="85"/>
  <c r="F238" i="85"/>
  <c r="E237" i="85"/>
  <c r="H233" i="85"/>
  <c r="H232" i="85" s="1"/>
  <c r="G233" i="85"/>
  <c r="G232" i="85" s="1"/>
  <c r="F233" i="85"/>
  <c r="F232" i="85" s="1"/>
  <c r="E232" i="85"/>
  <c r="H230" i="85"/>
  <c r="H228" i="85" s="1"/>
  <c r="G230" i="85"/>
  <c r="G228" i="85" s="1"/>
  <c r="F230" i="85"/>
  <c r="F228" i="85" s="1"/>
  <c r="E230" i="85"/>
  <c r="E228" i="85" s="1"/>
  <c r="H226" i="85"/>
  <c r="H224" i="85" s="1"/>
  <c r="G226" i="85"/>
  <c r="G224" i="85" s="1"/>
  <c r="F226" i="85"/>
  <c r="F224" i="85" s="1"/>
  <c r="E226" i="85"/>
  <c r="E224" i="85" s="1"/>
  <c r="E220" i="85"/>
  <c r="G219" i="85"/>
  <c r="F219" i="85"/>
  <c r="G218" i="85"/>
  <c r="F218" i="85"/>
  <c r="E217" i="85"/>
  <c r="H214" i="85"/>
  <c r="G214" i="85"/>
  <c r="F214" i="85"/>
  <c r="E214" i="85"/>
  <c r="H212" i="85"/>
  <c r="G212" i="85"/>
  <c r="F212" i="85"/>
  <c r="E212" i="85"/>
  <c r="H210" i="85"/>
  <c r="G210" i="85"/>
  <c r="F210" i="85"/>
  <c r="E210" i="85"/>
  <c r="H208" i="85"/>
  <c r="G208" i="85"/>
  <c r="G206" i="85" s="1"/>
  <c r="G53" i="85" s="1"/>
  <c r="F208" i="85"/>
  <c r="F206" i="85" s="1"/>
  <c r="F53" i="85" s="1"/>
  <c r="E208" i="85"/>
  <c r="E206" i="85" s="1"/>
  <c r="E53" i="85" s="1"/>
  <c r="H26" i="85"/>
  <c r="E26" i="85"/>
  <c r="F26" i="85"/>
  <c r="G26" i="85"/>
  <c r="E115" i="85"/>
  <c r="F115" i="85" s="1"/>
  <c r="H107" i="85"/>
  <c r="G107" i="85"/>
  <c r="F107" i="85"/>
  <c r="H98" i="85"/>
  <c r="G98" i="85"/>
  <c r="F98" i="85"/>
  <c r="E98" i="85"/>
  <c r="H70" i="85"/>
  <c r="E63" i="85"/>
  <c r="E60" i="85"/>
  <c r="F60" i="85" s="1"/>
  <c r="G60" i="85" s="1"/>
  <c r="H60" i="85" s="1"/>
  <c r="D43" i="85"/>
  <c r="H42" i="85"/>
  <c r="H45" i="85" s="1"/>
  <c r="G42" i="85"/>
  <c r="G45" i="85" s="1"/>
  <c r="F42" i="85"/>
  <c r="F45" i="85" s="1"/>
  <c r="E42" i="85"/>
  <c r="E45" i="85" s="1"/>
  <c r="D41" i="85"/>
  <c r="D40" i="85"/>
  <c r="H36" i="85"/>
  <c r="G36" i="85"/>
  <c r="F36" i="85"/>
  <c r="D35" i="85"/>
  <c r="D33" i="85"/>
  <c r="D31" i="85"/>
  <c r="D21" i="85"/>
  <c r="D11" i="85"/>
  <c r="E3" i="85"/>
  <c r="F3" i="85" s="1"/>
  <c r="G3" i="85" s="1"/>
  <c r="H3" i="85" s="1"/>
  <c r="G212" i="76"/>
  <c r="H212" i="76"/>
  <c r="F212" i="76"/>
  <c r="E212" i="76"/>
  <c r="E213" i="76"/>
  <c r="F209" i="76"/>
  <c r="G209" i="76"/>
  <c r="H209" i="76"/>
  <c r="E209" i="76"/>
  <c r="C39" i="7"/>
  <c r="E106" i="90" s="1"/>
  <c r="E68" i="84"/>
  <c r="E64" i="84"/>
  <c r="H188" i="84"/>
  <c r="G188" i="84"/>
  <c r="F188" i="84"/>
  <c r="F187" i="84"/>
  <c r="H186" i="84"/>
  <c r="G186" i="84"/>
  <c r="E186" i="84"/>
  <c r="H182" i="84"/>
  <c r="H181" i="84" s="1"/>
  <c r="G182" i="84"/>
  <c r="G181" i="84" s="1"/>
  <c r="F182" i="84"/>
  <c r="F181" i="84" s="1"/>
  <c r="E181" i="84"/>
  <c r="H179" i="84"/>
  <c r="H177" i="84" s="1"/>
  <c r="G179" i="84"/>
  <c r="G177" i="84" s="1"/>
  <c r="F179" i="84"/>
  <c r="F177" i="84" s="1"/>
  <c r="E179" i="84"/>
  <c r="E177" i="84" s="1"/>
  <c r="H175" i="84"/>
  <c r="G175" i="84"/>
  <c r="F175" i="84"/>
  <c r="E175" i="84"/>
  <c r="H173" i="84"/>
  <c r="G173" i="84"/>
  <c r="F173" i="84"/>
  <c r="F172" i="84" s="1"/>
  <c r="E173" i="84"/>
  <c r="E172" i="84" s="1"/>
  <c r="E169" i="84"/>
  <c r="G168" i="84"/>
  <c r="F168" i="84"/>
  <c r="G167" i="84"/>
  <c r="F167" i="84"/>
  <c r="E166" i="84"/>
  <c r="H163" i="84"/>
  <c r="G163" i="84"/>
  <c r="F163" i="84"/>
  <c r="E163" i="84"/>
  <c r="H161" i="84"/>
  <c r="G161" i="84"/>
  <c r="F161" i="84"/>
  <c r="E161" i="84"/>
  <c r="H159" i="84"/>
  <c r="G159" i="84"/>
  <c r="F159" i="84"/>
  <c r="E159" i="84"/>
  <c r="H157" i="84"/>
  <c r="G157" i="84"/>
  <c r="F157" i="84"/>
  <c r="E157" i="84"/>
  <c r="H155" i="84"/>
  <c r="H47" i="84" s="1"/>
  <c r="G155" i="84"/>
  <c r="G47" i="84" s="1"/>
  <c r="F155" i="84"/>
  <c r="F47" i="84" s="1"/>
  <c r="E155" i="84"/>
  <c r="E47" i="84" s="1"/>
  <c r="H152" i="84"/>
  <c r="H150" i="84" s="1"/>
  <c r="H146" i="84" s="1"/>
  <c r="H26" i="84" s="1"/>
  <c r="G152" i="84"/>
  <c r="G150" i="84" s="1"/>
  <c r="G146" i="84" s="1"/>
  <c r="G26" i="84" s="1"/>
  <c r="F152" i="84"/>
  <c r="E152" i="84"/>
  <c r="E150" i="84" s="1"/>
  <c r="E146" i="84" s="1"/>
  <c r="E26" i="84" s="1"/>
  <c r="F151" i="84"/>
  <c r="E32" i="84"/>
  <c r="E120" i="84"/>
  <c r="F120" i="84" s="1"/>
  <c r="G120" i="84" s="1"/>
  <c r="H101" i="84"/>
  <c r="G101" i="84"/>
  <c r="F101" i="84"/>
  <c r="H92" i="84"/>
  <c r="G92" i="84"/>
  <c r="F92" i="84"/>
  <c r="E92" i="84"/>
  <c r="E57" i="84"/>
  <c r="E54" i="84"/>
  <c r="F54" i="84" s="1"/>
  <c r="G54" i="84" s="1"/>
  <c r="H54" i="84" s="1"/>
  <c r="D42" i="84"/>
  <c r="D41" i="84"/>
  <c r="H40" i="84"/>
  <c r="H43" i="84" s="1"/>
  <c r="G40" i="84"/>
  <c r="G43" i="84" s="1"/>
  <c r="F40" i="84"/>
  <c r="E40" i="84"/>
  <c r="E43" i="84" s="1"/>
  <c r="D39" i="84"/>
  <c r="D38" i="84"/>
  <c r="H35" i="84"/>
  <c r="G35" i="84"/>
  <c r="F35" i="84"/>
  <c r="D34" i="84"/>
  <c r="D33" i="84"/>
  <c r="D31" i="84"/>
  <c r="D21" i="84"/>
  <c r="D11" i="84"/>
  <c r="E3" i="84"/>
  <c r="F3" i="84" s="1"/>
  <c r="G3" i="84" s="1"/>
  <c r="H3" i="84" s="1"/>
  <c r="F127" i="77"/>
  <c r="G127" i="77"/>
  <c r="H127" i="77"/>
  <c r="F131" i="77"/>
  <c r="G131" i="77"/>
  <c r="H131" i="77"/>
  <c r="E131" i="77"/>
  <c r="E127" i="77"/>
  <c r="H144" i="77"/>
  <c r="G144" i="77"/>
  <c r="F144" i="77"/>
  <c r="E144" i="77"/>
  <c r="H141" i="77"/>
  <c r="G141" i="77"/>
  <c r="F141" i="77"/>
  <c r="E141" i="77"/>
  <c r="H147" i="77"/>
  <c r="G147" i="77"/>
  <c r="F147" i="77"/>
  <c r="E147" i="77"/>
  <c r="H138" i="77"/>
  <c r="G138" i="77"/>
  <c r="F138" i="77"/>
  <c r="E138" i="77"/>
  <c r="H135" i="77"/>
  <c r="G135" i="77"/>
  <c r="F135" i="77"/>
  <c r="E135" i="77"/>
  <c r="F132" i="77"/>
  <c r="G132" i="77"/>
  <c r="H132" i="77"/>
  <c r="E132" i="77"/>
  <c r="D28" i="77"/>
  <c r="H163" i="77"/>
  <c r="H27" i="77" s="1"/>
  <c r="G163" i="77"/>
  <c r="G27" i="77" s="1"/>
  <c r="F163" i="77"/>
  <c r="F27" i="77" s="1"/>
  <c r="E163" i="77"/>
  <c r="E27" i="77" s="1"/>
  <c r="E115" i="77"/>
  <c r="F115" i="77" s="1"/>
  <c r="G115" i="77" s="1"/>
  <c r="H115" i="77" s="1"/>
  <c r="E69" i="77"/>
  <c r="E165" i="84" l="1"/>
  <c r="E46" i="84" s="1"/>
  <c r="E48" i="84" s="1"/>
  <c r="F106" i="90"/>
  <c r="E105" i="90"/>
  <c r="E100" i="90" s="1"/>
  <c r="E20" i="90" s="1"/>
  <c r="E22" i="90" s="1"/>
  <c r="E105" i="84"/>
  <c r="F105" i="84" s="1"/>
  <c r="G105" i="84" s="1"/>
  <c r="H105" i="84" s="1"/>
  <c r="G172" i="84"/>
  <c r="E118" i="84"/>
  <c r="E25" i="84" s="1"/>
  <c r="E28" i="84" s="1"/>
  <c r="H172" i="84"/>
  <c r="F150" i="84"/>
  <c r="F146" i="84" s="1"/>
  <c r="F26" i="84" s="1"/>
  <c r="D26" i="84" s="1"/>
  <c r="H223" i="85"/>
  <c r="F223" i="85"/>
  <c r="E223" i="85"/>
  <c r="E216" i="85" s="1"/>
  <c r="E52" i="85" s="1"/>
  <c r="E54" i="85" s="1"/>
  <c r="G223" i="85"/>
  <c r="D48" i="85"/>
  <c r="D49" i="85" s="1"/>
  <c r="E113" i="85"/>
  <c r="E25" i="85" s="1"/>
  <c r="E28" i="85" s="1"/>
  <c r="H206" i="85"/>
  <c r="H53" i="85" s="1"/>
  <c r="D53" i="85" s="1"/>
  <c r="D47" i="84"/>
  <c r="F237" i="85"/>
  <c r="G165" i="86"/>
  <c r="G56" i="86" s="1"/>
  <c r="D56" i="86" s="1"/>
  <c r="F186" i="84"/>
  <c r="F132" i="81"/>
  <c r="F41" i="81" s="1"/>
  <c r="G133" i="81"/>
  <c r="D47" i="57"/>
  <c r="G83" i="86"/>
  <c r="H126" i="86"/>
  <c r="H33" i="86" s="1"/>
  <c r="H36" i="86" s="1"/>
  <c r="F126" i="86"/>
  <c r="F33" i="86" s="1"/>
  <c r="F36" i="86" s="1"/>
  <c r="D47" i="86"/>
  <c r="D48" i="86" s="1"/>
  <c r="F182" i="86"/>
  <c r="G182" i="86"/>
  <c r="H182" i="86"/>
  <c r="E182" i="86"/>
  <c r="E175" i="86" s="1"/>
  <c r="E55" i="86" s="1"/>
  <c r="E57" i="86" s="1"/>
  <c r="E111" i="86"/>
  <c r="E26" i="86" s="1"/>
  <c r="F160" i="86"/>
  <c r="F156" i="86" s="1"/>
  <c r="F27" i="86" s="1"/>
  <c r="F29" i="86" s="1"/>
  <c r="F196" i="86"/>
  <c r="E160" i="86"/>
  <c r="E156" i="86" s="1"/>
  <c r="E27" i="86" s="1"/>
  <c r="H52" i="86"/>
  <c r="D51" i="86"/>
  <c r="D52" i="86" s="1"/>
  <c r="D41" i="86"/>
  <c r="D44" i="86" s="1"/>
  <c r="G113" i="86"/>
  <c r="E36" i="86"/>
  <c r="E36" i="85"/>
  <c r="D32" i="85"/>
  <c r="D36" i="85" s="1"/>
  <c r="D26" i="85"/>
  <c r="G115" i="85"/>
  <c r="F113" i="85"/>
  <c r="F25" i="85" s="1"/>
  <c r="F28" i="85" s="1"/>
  <c r="D42" i="85"/>
  <c r="D45" i="85" s="1"/>
  <c r="E49" i="85"/>
  <c r="D32" i="84"/>
  <c r="D35" i="84" s="1"/>
  <c r="E35" i="84"/>
  <c r="H120" i="84"/>
  <c r="H118" i="84" s="1"/>
  <c r="H25" i="84" s="1"/>
  <c r="H28" i="84" s="1"/>
  <c r="G118" i="84"/>
  <c r="G25" i="84" s="1"/>
  <c r="G28" i="84" s="1"/>
  <c r="F43" i="84"/>
  <c r="D40" i="84"/>
  <c r="D43" i="84" s="1"/>
  <c r="F118" i="84"/>
  <c r="F25" i="84" s="1"/>
  <c r="D27" i="77"/>
  <c r="E72" i="83"/>
  <c r="E68" i="83"/>
  <c r="H182" i="83"/>
  <c r="G182" i="83"/>
  <c r="G46" i="83" s="1"/>
  <c r="G47" i="83" s="1"/>
  <c r="F182" i="83"/>
  <c r="F46" i="83" s="1"/>
  <c r="F47" i="83" s="1"/>
  <c r="E182" i="83"/>
  <c r="E46" i="83" s="1"/>
  <c r="H174" i="83"/>
  <c r="G174" i="83"/>
  <c r="F174" i="83"/>
  <c r="F173" i="83"/>
  <c r="H172" i="83"/>
  <c r="G172" i="83"/>
  <c r="E172" i="83"/>
  <c r="H168" i="83"/>
  <c r="H167" i="83" s="1"/>
  <c r="G168" i="83"/>
  <c r="G167" i="83" s="1"/>
  <c r="F168" i="83"/>
  <c r="F167" i="83" s="1"/>
  <c r="E167" i="83"/>
  <c r="H165" i="83"/>
  <c r="G165" i="83"/>
  <c r="F165" i="83"/>
  <c r="E165" i="83"/>
  <c r="H163" i="83"/>
  <c r="G163" i="83"/>
  <c r="F163" i="83"/>
  <c r="E163" i="83"/>
  <c r="H161" i="83"/>
  <c r="G161" i="83"/>
  <c r="F161" i="83"/>
  <c r="E161" i="83"/>
  <c r="H159" i="83"/>
  <c r="G159" i="83"/>
  <c r="F159" i="83"/>
  <c r="E159" i="83"/>
  <c r="H158" i="83"/>
  <c r="G158" i="83"/>
  <c r="F158" i="83"/>
  <c r="E158" i="83"/>
  <c r="E155" i="83"/>
  <c r="G154" i="83"/>
  <c r="F154" i="83"/>
  <c r="G153" i="83"/>
  <c r="F153" i="83"/>
  <c r="E152" i="83"/>
  <c r="H149" i="83"/>
  <c r="G149" i="83"/>
  <c r="F149" i="83"/>
  <c r="E149" i="83"/>
  <c r="H147" i="83"/>
  <c r="G147" i="83"/>
  <c r="F147" i="83"/>
  <c r="E147" i="83"/>
  <c r="H145" i="83"/>
  <c r="G145" i="83"/>
  <c r="F145" i="83"/>
  <c r="E145" i="83"/>
  <c r="H143" i="83"/>
  <c r="G143" i="83"/>
  <c r="F143" i="83"/>
  <c r="E143" i="83"/>
  <c r="H141" i="83"/>
  <c r="H51" i="83" s="1"/>
  <c r="G141" i="83"/>
  <c r="G51" i="83" s="1"/>
  <c r="F141" i="83"/>
  <c r="F51" i="83" s="1"/>
  <c r="E141" i="83"/>
  <c r="E51" i="83" s="1"/>
  <c r="H138" i="83"/>
  <c r="H136" i="83" s="1"/>
  <c r="H132" i="83" s="1"/>
  <c r="H26" i="83" s="1"/>
  <c r="G138" i="83"/>
  <c r="G136" i="83" s="1"/>
  <c r="G132" i="83" s="1"/>
  <c r="G26" i="83" s="1"/>
  <c r="F138" i="83"/>
  <c r="E138" i="83"/>
  <c r="E136" i="83" s="1"/>
  <c r="E132" i="83" s="1"/>
  <c r="E26" i="83" s="1"/>
  <c r="F137" i="83"/>
  <c r="H126" i="83"/>
  <c r="G126" i="83"/>
  <c r="F126" i="83"/>
  <c r="F121" i="83" s="1"/>
  <c r="E126" i="83"/>
  <c r="E121" i="83" s="1"/>
  <c r="E32" i="83" s="1"/>
  <c r="E113" i="83"/>
  <c r="E111" i="83" s="1"/>
  <c r="E25" i="83" s="1"/>
  <c r="H105" i="83"/>
  <c r="G105" i="83"/>
  <c r="F105" i="83"/>
  <c r="H96" i="83"/>
  <c r="G96" i="83"/>
  <c r="F96" i="83"/>
  <c r="E96" i="83"/>
  <c r="H95" i="83"/>
  <c r="H68" i="83"/>
  <c r="E61" i="83"/>
  <c r="E58" i="83"/>
  <c r="F58" i="83" s="1"/>
  <c r="G58" i="83" s="1"/>
  <c r="H58" i="83" s="1"/>
  <c r="H46" i="83"/>
  <c r="H47" i="83" s="1"/>
  <c r="D42" i="83"/>
  <c r="D41" i="83"/>
  <c r="H40" i="83"/>
  <c r="H43" i="83" s="1"/>
  <c r="G40" i="83"/>
  <c r="G43" i="83" s="1"/>
  <c r="F40" i="83"/>
  <c r="F43" i="83" s="1"/>
  <c r="E40" i="83"/>
  <c r="D39" i="83"/>
  <c r="D38" i="83"/>
  <c r="H35" i="83"/>
  <c r="G35" i="83"/>
  <c r="F35" i="83"/>
  <c r="D34" i="83"/>
  <c r="D33" i="83"/>
  <c r="D31" i="83"/>
  <c r="D21" i="83"/>
  <c r="D11" i="83"/>
  <c r="E3" i="83"/>
  <c r="F3" i="83" s="1"/>
  <c r="G3" i="83" s="1"/>
  <c r="H3" i="83" s="1"/>
  <c r="H186" i="81"/>
  <c r="G186" i="81"/>
  <c r="F186" i="81"/>
  <c r="F46" i="81" s="1"/>
  <c r="E186" i="81"/>
  <c r="E46" i="81" s="1"/>
  <c r="E47" i="81" s="1"/>
  <c r="H178" i="81"/>
  <c r="G178" i="81"/>
  <c r="F178" i="81"/>
  <c r="F177" i="81"/>
  <c r="H176" i="81"/>
  <c r="G176" i="81"/>
  <c r="E176" i="81"/>
  <c r="H172" i="81"/>
  <c r="H171" i="81" s="1"/>
  <c r="G172" i="81"/>
  <c r="G171" i="81" s="1"/>
  <c r="F172" i="81"/>
  <c r="F171" i="81" s="1"/>
  <c r="E171" i="81"/>
  <c r="H169" i="81"/>
  <c r="G169" i="81"/>
  <c r="F169" i="81"/>
  <c r="E169" i="81"/>
  <c r="H167" i="81"/>
  <c r="G167" i="81"/>
  <c r="F167" i="81"/>
  <c r="E167" i="81"/>
  <c r="H165" i="81"/>
  <c r="G165" i="81"/>
  <c r="F165" i="81"/>
  <c r="E165" i="81"/>
  <c r="H163" i="81"/>
  <c r="G163" i="81"/>
  <c r="F163" i="81"/>
  <c r="E163" i="81"/>
  <c r="H162" i="81"/>
  <c r="G162" i="81"/>
  <c r="F162" i="81"/>
  <c r="E159" i="81"/>
  <c r="G158" i="81"/>
  <c r="F158" i="81"/>
  <c r="G157" i="81"/>
  <c r="F157" i="81"/>
  <c r="E156" i="81"/>
  <c r="H153" i="81"/>
  <c r="G153" i="81"/>
  <c r="F153" i="81"/>
  <c r="E153" i="81"/>
  <c r="H151" i="81"/>
  <c r="G151" i="81"/>
  <c r="F151" i="81"/>
  <c r="E151" i="81"/>
  <c r="H149" i="81"/>
  <c r="G149" i="81"/>
  <c r="F149" i="81"/>
  <c r="E149" i="81"/>
  <c r="H147" i="81"/>
  <c r="G147" i="81"/>
  <c r="F147" i="81"/>
  <c r="E147" i="81"/>
  <c r="H145" i="81"/>
  <c r="H51" i="81" s="1"/>
  <c r="G145" i="81"/>
  <c r="G51" i="81" s="1"/>
  <c r="F145" i="81"/>
  <c r="F51" i="81" s="1"/>
  <c r="E145" i="81"/>
  <c r="E51" i="81" s="1"/>
  <c r="H142" i="81"/>
  <c r="H140" i="81" s="1"/>
  <c r="H136" i="81" s="1"/>
  <c r="H26" i="81" s="1"/>
  <c r="G142" i="81"/>
  <c r="G140" i="81" s="1"/>
  <c r="G136" i="81" s="1"/>
  <c r="G26" i="81" s="1"/>
  <c r="F142" i="81"/>
  <c r="E142" i="81"/>
  <c r="E140" i="81" s="1"/>
  <c r="E136" i="81" s="1"/>
  <c r="E26" i="81" s="1"/>
  <c r="F141" i="81"/>
  <c r="H126" i="81"/>
  <c r="G126" i="81"/>
  <c r="F126" i="81"/>
  <c r="F121" i="81" s="1"/>
  <c r="E126" i="81"/>
  <c r="E121" i="81" s="1"/>
  <c r="E32" i="81" s="1"/>
  <c r="E113" i="81"/>
  <c r="F113" i="81" s="1"/>
  <c r="H105" i="81"/>
  <c r="G105" i="81"/>
  <c r="F105" i="81"/>
  <c r="H96" i="81"/>
  <c r="G96" i="81"/>
  <c r="F96" i="81"/>
  <c r="E96" i="81"/>
  <c r="H95" i="81"/>
  <c r="H68" i="81"/>
  <c r="E61" i="81"/>
  <c r="E58" i="81"/>
  <c r="F58" i="81" s="1"/>
  <c r="G58" i="81" s="1"/>
  <c r="H58" i="81" s="1"/>
  <c r="H46" i="81"/>
  <c r="H47" i="81" s="1"/>
  <c r="G46" i="81"/>
  <c r="G47" i="81" s="1"/>
  <c r="D42" i="81"/>
  <c r="H40" i="81"/>
  <c r="G40" i="81"/>
  <c r="F40" i="81"/>
  <c r="E40" i="81"/>
  <c r="E43" i="81" s="1"/>
  <c r="D39" i="81"/>
  <c r="D38" i="81"/>
  <c r="H35" i="81"/>
  <c r="G35" i="81"/>
  <c r="F35" i="81"/>
  <c r="D34" i="81"/>
  <c r="D33" i="81"/>
  <c r="D31" i="81"/>
  <c r="D21" i="81"/>
  <c r="D11" i="81"/>
  <c r="E3" i="81"/>
  <c r="F3" i="81" s="1"/>
  <c r="G3" i="81" s="1"/>
  <c r="H3" i="81" s="1"/>
  <c r="E151" i="83" l="1"/>
  <c r="E50" i="83" s="1"/>
  <c r="G106" i="90"/>
  <c r="F105" i="90"/>
  <c r="E162" i="81"/>
  <c r="F136" i="83"/>
  <c r="F132" i="83" s="1"/>
  <c r="F26" i="83" s="1"/>
  <c r="D26" i="83" s="1"/>
  <c r="E52" i="83"/>
  <c r="D27" i="86"/>
  <c r="F28" i="84"/>
  <c r="F172" i="83"/>
  <c r="F113" i="83"/>
  <c r="F111" i="83" s="1"/>
  <c r="F25" i="83" s="1"/>
  <c r="F28" i="83" s="1"/>
  <c r="F43" i="81"/>
  <c r="E155" i="81"/>
  <c r="E50" i="81" s="1"/>
  <c r="E52" i="81" s="1"/>
  <c r="F140" i="81"/>
  <c r="F136" i="81" s="1"/>
  <c r="F26" i="81" s="1"/>
  <c r="D26" i="81" s="1"/>
  <c r="F47" i="81"/>
  <c r="D46" i="81"/>
  <c r="D47" i="81" s="1"/>
  <c r="D51" i="81"/>
  <c r="F176" i="81"/>
  <c r="H133" i="81"/>
  <c r="H132" i="81" s="1"/>
  <c r="H41" i="81" s="1"/>
  <c r="H43" i="81" s="1"/>
  <c r="G132" i="81"/>
  <c r="G41" i="81" s="1"/>
  <c r="E35" i="81"/>
  <c r="D32" i="81"/>
  <c r="D35" i="81" s="1"/>
  <c r="E111" i="81"/>
  <c r="E25" i="81" s="1"/>
  <c r="E28" i="81" s="1"/>
  <c r="H83" i="86"/>
  <c r="H81" i="86" s="1"/>
  <c r="H7" i="86" s="1"/>
  <c r="G81" i="86"/>
  <c r="G7" i="86" s="1"/>
  <c r="D33" i="86"/>
  <c r="D36" i="86" s="1"/>
  <c r="E29" i="86"/>
  <c r="H113" i="86"/>
  <c r="H111" i="86" s="1"/>
  <c r="H26" i="86" s="1"/>
  <c r="H29" i="86" s="1"/>
  <c r="G111" i="86"/>
  <c r="G26" i="86" s="1"/>
  <c r="G113" i="85"/>
  <c r="G25" i="85" s="1"/>
  <c r="G28" i="85" s="1"/>
  <c r="H115" i="85"/>
  <c r="H113" i="85" s="1"/>
  <c r="H25" i="85" s="1"/>
  <c r="H28" i="85" s="1"/>
  <c r="D25" i="84"/>
  <c r="D28" i="84" s="1"/>
  <c r="D46" i="83"/>
  <c r="D47" i="83" s="1"/>
  <c r="E47" i="83"/>
  <c r="E35" i="83"/>
  <c r="D32" i="83"/>
  <c r="D35" i="83" s="1"/>
  <c r="E43" i="83"/>
  <c r="D40" i="83"/>
  <c r="E28" i="83"/>
  <c r="D43" i="83"/>
  <c r="D51" i="83"/>
  <c r="G113" i="81"/>
  <c r="F111" i="81"/>
  <c r="F25" i="81" s="1"/>
  <c r="D40" i="81"/>
  <c r="B35" i="38"/>
  <c r="B36" i="38"/>
  <c r="B37" i="38"/>
  <c r="B38" i="38"/>
  <c r="B39" i="38"/>
  <c r="B40" i="38"/>
  <c r="B41" i="38"/>
  <c r="B31" i="38"/>
  <c r="B32" i="38"/>
  <c r="B33" i="38"/>
  <c r="B25" i="38"/>
  <c r="B26" i="38"/>
  <c r="B27" i="38"/>
  <c r="B28" i="38"/>
  <c r="B29" i="38"/>
  <c r="B30" i="38"/>
  <c r="B19" i="38"/>
  <c r="B20" i="38"/>
  <c r="B21" i="38"/>
  <c r="B22" i="38"/>
  <c r="B16" i="38"/>
  <c r="B17" i="38"/>
  <c r="B10" i="38"/>
  <c r="B11" i="38"/>
  <c r="B12" i="38"/>
  <c r="B13" i="38"/>
  <c r="B14" i="38"/>
  <c r="B9" i="38"/>
  <c r="A41" i="38"/>
  <c r="A40" i="38"/>
  <c r="A39" i="38"/>
  <c r="A38" i="38"/>
  <c r="A37" i="38"/>
  <c r="A36" i="38"/>
  <c r="A35" i="38"/>
  <c r="A32" i="38"/>
  <c r="A31" i="38"/>
  <c r="A30" i="38"/>
  <c r="A29" i="38"/>
  <c r="A28" i="38"/>
  <c r="A27" i="38"/>
  <c r="A26" i="38"/>
  <c r="A25" i="38"/>
  <c r="A21" i="38"/>
  <c r="A22" i="38"/>
  <c r="A20" i="38"/>
  <c r="A19" i="38"/>
  <c r="A17" i="38"/>
  <c r="A16" i="38"/>
  <c r="H106" i="90" l="1"/>
  <c r="H105" i="90" s="1"/>
  <c r="G105" i="90"/>
  <c r="G113" i="83"/>
  <c r="H113" i="83" s="1"/>
  <c r="H111" i="83" s="1"/>
  <c r="H25" i="83" s="1"/>
  <c r="H28" i="83" s="1"/>
  <c r="D41" i="81"/>
  <c r="D43" i="81" s="1"/>
  <c r="G43" i="81"/>
  <c r="D7" i="86"/>
  <c r="G29" i="86"/>
  <c r="D26" i="86"/>
  <c r="D29" i="86" s="1"/>
  <c r="D25" i="85"/>
  <c r="D28" i="85" s="1"/>
  <c r="H113" i="81"/>
  <c r="H111" i="81" s="1"/>
  <c r="H25" i="81" s="1"/>
  <c r="H28" i="81" s="1"/>
  <c r="G111" i="81"/>
  <c r="G25" i="81" s="1"/>
  <c r="G28" i="81" s="1"/>
  <c r="F28" i="81"/>
  <c r="A13" i="38"/>
  <c r="A12" i="38"/>
  <c r="A11" i="38"/>
  <c r="A10" i="38"/>
  <c r="A9" i="38"/>
  <c r="B7" i="38"/>
  <c r="A7" i="38"/>
  <c r="G111" i="83" l="1"/>
  <c r="G25" i="83" s="1"/>
  <c r="G28" i="83" s="1"/>
  <c r="D25" i="81"/>
  <c r="D28" i="81" s="1"/>
  <c r="E68" i="80"/>
  <c r="H183" i="80"/>
  <c r="H46" i="80" s="1"/>
  <c r="H47" i="80" s="1"/>
  <c r="G183" i="80"/>
  <c r="F183" i="80"/>
  <c r="E183" i="80"/>
  <c r="E46" i="80" s="1"/>
  <c r="H175" i="80"/>
  <c r="G175" i="80"/>
  <c r="F175" i="80"/>
  <c r="F174" i="80"/>
  <c r="H173" i="80"/>
  <c r="G173" i="80"/>
  <c r="E173" i="80"/>
  <c r="H169" i="80"/>
  <c r="H168" i="80" s="1"/>
  <c r="G169" i="80"/>
  <c r="G168" i="80" s="1"/>
  <c r="F169" i="80"/>
  <c r="F168" i="80" s="1"/>
  <c r="E168" i="80"/>
  <c r="H166" i="80"/>
  <c r="G166" i="80"/>
  <c r="F166" i="80"/>
  <c r="E166" i="80"/>
  <c r="H164" i="80"/>
  <c r="G164" i="80"/>
  <c r="F164" i="80"/>
  <c r="E164" i="80"/>
  <c r="H162" i="80"/>
  <c r="G162" i="80"/>
  <c r="F162" i="80"/>
  <c r="E162" i="80"/>
  <c r="H160" i="80"/>
  <c r="H159" i="80" s="1"/>
  <c r="G160" i="80"/>
  <c r="F160" i="80"/>
  <c r="E160" i="80"/>
  <c r="G159" i="80"/>
  <c r="F159" i="80"/>
  <c r="E159" i="80"/>
  <c r="E156" i="80"/>
  <c r="G155" i="80"/>
  <c r="F155" i="80"/>
  <c r="G154" i="80"/>
  <c r="F154" i="80"/>
  <c r="E153" i="80"/>
  <c r="H150" i="80"/>
  <c r="G150" i="80"/>
  <c r="F150" i="80"/>
  <c r="E150" i="80"/>
  <c r="H148" i="80"/>
  <c r="G148" i="80"/>
  <c r="F148" i="80"/>
  <c r="E148" i="80"/>
  <c r="H146" i="80"/>
  <c r="G146" i="80"/>
  <c r="F146" i="80"/>
  <c r="E146" i="80"/>
  <c r="H144" i="80"/>
  <c r="G144" i="80"/>
  <c r="F144" i="80"/>
  <c r="E144" i="80"/>
  <c r="H142" i="80"/>
  <c r="H51" i="80" s="1"/>
  <c r="G142" i="80"/>
  <c r="G51" i="80" s="1"/>
  <c r="F142" i="80"/>
  <c r="F51" i="80" s="1"/>
  <c r="E142" i="80"/>
  <c r="H139" i="80"/>
  <c r="G139" i="80"/>
  <c r="G137" i="80" s="1"/>
  <c r="G133" i="80" s="1"/>
  <c r="G26" i="80" s="1"/>
  <c r="F139" i="80"/>
  <c r="E139" i="80"/>
  <c r="E137" i="80" s="1"/>
  <c r="E133" i="80" s="1"/>
  <c r="E26" i="80" s="1"/>
  <c r="F138" i="80"/>
  <c r="H137" i="80"/>
  <c r="H133" i="80" s="1"/>
  <c r="H26" i="80" s="1"/>
  <c r="H127" i="80"/>
  <c r="G127" i="80"/>
  <c r="F127" i="80"/>
  <c r="F122" i="80" s="1"/>
  <c r="E127" i="80"/>
  <c r="E122" i="80" s="1"/>
  <c r="E32" i="80" s="1"/>
  <c r="E35" i="80" s="1"/>
  <c r="E114" i="80"/>
  <c r="F114" i="80" s="1"/>
  <c r="G114" i="80" s="1"/>
  <c r="E112" i="80"/>
  <c r="E25" i="80" s="1"/>
  <c r="H105" i="80"/>
  <c r="G105" i="80"/>
  <c r="F105" i="80"/>
  <c r="H96" i="80"/>
  <c r="G96" i="80"/>
  <c r="F96" i="80"/>
  <c r="E96" i="80"/>
  <c r="H95" i="80"/>
  <c r="H68" i="80"/>
  <c r="E61" i="80"/>
  <c r="E58" i="80"/>
  <c r="F58" i="80" s="1"/>
  <c r="G58" i="80" s="1"/>
  <c r="H58" i="80" s="1"/>
  <c r="E51" i="80"/>
  <c r="G46" i="80"/>
  <c r="G47" i="80" s="1"/>
  <c r="F46" i="80"/>
  <c r="F47" i="80" s="1"/>
  <c r="G43" i="80"/>
  <c r="D42" i="80"/>
  <c r="D41" i="80"/>
  <c r="H40" i="80"/>
  <c r="H43" i="80" s="1"/>
  <c r="G40" i="80"/>
  <c r="F40" i="80"/>
  <c r="F43" i="80" s="1"/>
  <c r="E40" i="80"/>
  <c r="E43" i="80" s="1"/>
  <c r="D40" i="80"/>
  <c r="D39" i="80"/>
  <c r="D38" i="80"/>
  <c r="H35" i="80"/>
  <c r="G35" i="80"/>
  <c r="F35" i="80"/>
  <c r="D34" i="80"/>
  <c r="D33" i="80"/>
  <c r="D31" i="80"/>
  <c r="D21" i="80"/>
  <c r="D11" i="80"/>
  <c r="E3" i="80"/>
  <c r="F3" i="80" s="1"/>
  <c r="G3" i="80" s="1"/>
  <c r="H3" i="80" s="1"/>
  <c r="E50" i="79"/>
  <c r="H51" i="79"/>
  <c r="G51" i="79"/>
  <c r="F51" i="79"/>
  <c r="E51" i="79"/>
  <c r="H26" i="79"/>
  <c r="G26" i="79"/>
  <c r="E26" i="79"/>
  <c r="E32" i="79"/>
  <c r="H105" i="79"/>
  <c r="G105" i="79"/>
  <c r="F105" i="79"/>
  <c r="H96" i="79"/>
  <c r="G96" i="79"/>
  <c r="F96" i="79"/>
  <c r="E96" i="79"/>
  <c r="H95" i="79"/>
  <c r="H68" i="79"/>
  <c r="E61" i="79"/>
  <c r="E58" i="79"/>
  <c r="F58" i="79" s="1"/>
  <c r="G58" i="79" s="1"/>
  <c r="H58" i="79" s="1"/>
  <c r="H46" i="79"/>
  <c r="H47" i="79" s="1"/>
  <c r="G46" i="79"/>
  <c r="G47" i="79" s="1"/>
  <c r="F46" i="79"/>
  <c r="F47" i="79" s="1"/>
  <c r="E46" i="79"/>
  <c r="D42" i="79"/>
  <c r="D41" i="79"/>
  <c r="H40" i="79"/>
  <c r="H43" i="79" s="1"/>
  <c r="G40" i="79"/>
  <c r="G43" i="79" s="1"/>
  <c r="F40" i="79"/>
  <c r="F43" i="79" s="1"/>
  <c r="E40" i="79"/>
  <c r="E43" i="79" s="1"/>
  <c r="D39" i="79"/>
  <c r="D38" i="79"/>
  <c r="H35" i="79"/>
  <c r="G35" i="79"/>
  <c r="F35" i="79"/>
  <c r="D34" i="79"/>
  <c r="D33" i="79"/>
  <c r="D31" i="79"/>
  <c r="D21" i="79"/>
  <c r="D11" i="79"/>
  <c r="E3" i="79"/>
  <c r="F3" i="79" s="1"/>
  <c r="G3" i="79" s="1"/>
  <c r="H3" i="79" s="1"/>
  <c r="D46" i="79" l="1"/>
  <c r="D47" i="79" s="1"/>
  <c r="E25" i="79"/>
  <c r="E28" i="79" s="1"/>
  <c r="F26" i="79"/>
  <c r="D26" i="79" s="1"/>
  <c r="F173" i="80"/>
  <c r="D25" i="83"/>
  <c r="D28" i="83" s="1"/>
  <c r="E152" i="80"/>
  <c r="E50" i="80" s="1"/>
  <c r="E52" i="80" s="1"/>
  <c r="F137" i="80"/>
  <c r="F133" i="80" s="1"/>
  <c r="F26" i="80" s="1"/>
  <c r="D26" i="80" s="1"/>
  <c r="E28" i="80"/>
  <c r="E35" i="79"/>
  <c r="D32" i="79"/>
  <c r="D35" i="79" s="1"/>
  <c r="D51" i="79"/>
  <c r="D51" i="80"/>
  <c r="F25" i="79"/>
  <c r="E47" i="80"/>
  <c r="D46" i="80"/>
  <c r="D47" i="80" s="1"/>
  <c r="H114" i="80"/>
  <c r="H112" i="80" s="1"/>
  <c r="H25" i="80" s="1"/>
  <c r="H28" i="80" s="1"/>
  <c r="G112" i="80"/>
  <c r="G25" i="80" s="1"/>
  <c r="G28" i="80" s="1"/>
  <c r="D43" i="80"/>
  <c r="F112" i="80"/>
  <c r="F25" i="80" s="1"/>
  <c r="D32" i="80"/>
  <c r="D35" i="80" s="1"/>
  <c r="H25" i="79"/>
  <c r="H28" i="79" s="1"/>
  <c r="G25" i="79"/>
  <c r="G28" i="79" s="1"/>
  <c r="E52" i="79"/>
  <c r="E47" i="79"/>
  <c r="D40" i="79"/>
  <c r="D43" i="79" s="1"/>
  <c r="F28" i="79" l="1"/>
  <c r="F28" i="80"/>
  <c r="D25" i="79"/>
  <c r="D28" i="79" s="1"/>
  <c r="D25" i="80"/>
  <c r="D28" i="80" s="1"/>
  <c r="H183" i="78" l="1"/>
  <c r="G183" i="78"/>
  <c r="F183" i="78"/>
  <c r="E183" i="78"/>
  <c r="H175" i="78"/>
  <c r="G175" i="78"/>
  <c r="F175" i="78"/>
  <c r="F174" i="78"/>
  <c r="F173" i="78" s="1"/>
  <c r="H173" i="78"/>
  <c r="G173" i="78"/>
  <c r="E173" i="78"/>
  <c r="H169" i="78"/>
  <c r="H168" i="78" s="1"/>
  <c r="G169" i="78"/>
  <c r="G168" i="78" s="1"/>
  <c r="F169" i="78"/>
  <c r="F168" i="78" s="1"/>
  <c r="E168" i="78"/>
  <c r="H166" i="78"/>
  <c r="G166" i="78"/>
  <c r="F166" i="78"/>
  <c r="E166" i="78"/>
  <c r="H164" i="78"/>
  <c r="G164" i="78"/>
  <c r="F164" i="78"/>
  <c r="E164" i="78"/>
  <c r="H162" i="78"/>
  <c r="G162" i="78"/>
  <c r="F162" i="78"/>
  <c r="E162" i="78"/>
  <c r="H160" i="78"/>
  <c r="G160" i="78"/>
  <c r="F160" i="78"/>
  <c r="E160" i="78"/>
  <c r="H159" i="78"/>
  <c r="G159" i="78"/>
  <c r="F159" i="78"/>
  <c r="E159" i="78"/>
  <c r="E156" i="78"/>
  <c r="G155" i="78"/>
  <c r="F155" i="78"/>
  <c r="G154" i="78"/>
  <c r="F154" i="78"/>
  <c r="E153" i="78"/>
  <c r="H150" i="78"/>
  <c r="G150" i="78"/>
  <c r="F150" i="78"/>
  <c r="E150" i="78"/>
  <c r="H148" i="78"/>
  <c r="G148" i="78"/>
  <c r="F148" i="78"/>
  <c r="E148" i="78"/>
  <c r="H146" i="78"/>
  <c r="G146" i="78"/>
  <c r="F146" i="78"/>
  <c r="E146" i="78"/>
  <c r="H144" i="78"/>
  <c r="G144" i="78"/>
  <c r="F144" i="78"/>
  <c r="E144" i="78"/>
  <c r="E142" i="78" s="1"/>
  <c r="E51" i="78" s="1"/>
  <c r="H142" i="78"/>
  <c r="H51" i="78" s="1"/>
  <c r="H139" i="78"/>
  <c r="H137" i="78" s="1"/>
  <c r="H133" i="78" s="1"/>
  <c r="H26" i="78" s="1"/>
  <c r="G139" i="78"/>
  <c r="G137" i="78" s="1"/>
  <c r="G133" i="78" s="1"/>
  <c r="G26" i="78" s="1"/>
  <c r="F139" i="78"/>
  <c r="E139" i="78"/>
  <c r="E137" i="78" s="1"/>
  <c r="E133" i="78" s="1"/>
  <c r="E26" i="78" s="1"/>
  <c r="F138" i="78"/>
  <c r="H127" i="78"/>
  <c r="G127" i="78"/>
  <c r="F127" i="78"/>
  <c r="F122" i="78" s="1"/>
  <c r="E127" i="78"/>
  <c r="E122" i="78" s="1"/>
  <c r="E32" i="78" s="1"/>
  <c r="E114" i="78"/>
  <c r="F114" i="78" s="1"/>
  <c r="H105" i="78"/>
  <c r="G105" i="78"/>
  <c r="F105" i="78"/>
  <c r="H96" i="78"/>
  <c r="G96" i="78"/>
  <c r="F96" i="78"/>
  <c r="E96" i="78"/>
  <c r="H95" i="78"/>
  <c r="H68" i="78"/>
  <c r="E61" i="78"/>
  <c r="E58" i="78"/>
  <c r="F58" i="78" s="1"/>
  <c r="G58" i="78" s="1"/>
  <c r="H58" i="78" s="1"/>
  <c r="H47" i="78"/>
  <c r="H46" i="78"/>
  <c r="G46" i="78"/>
  <c r="G47" i="78" s="1"/>
  <c r="F46" i="78"/>
  <c r="F47" i="78" s="1"/>
  <c r="E46" i="78"/>
  <c r="F43" i="78"/>
  <c r="D42" i="78"/>
  <c r="D41" i="78"/>
  <c r="H40" i="78"/>
  <c r="H43" i="78" s="1"/>
  <c r="G40" i="78"/>
  <c r="G43" i="78" s="1"/>
  <c r="F40" i="78"/>
  <c r="E40" i="78"/>
  <c r="E43" i="78" s="1"/>
  <c r="D39" i="78"/>
  <c r="D38" i="78"/>
  <c r="H35" i="78"/>
  <c r="G35" i="78"/>
  <c r="F35" i="78"/>
  <c r="D34" i="78"/>
  <c r="D33" i="78"/>
  <c r="D31" i="78"/>
  <c r="D21" i="78"/>
  <c r="D11" i="78"/>
  <c r="E3" i="78"/>
  <c r="F3" i="78" s="1"/>
  <c r="G3" i="78" s="1"/>
  <c r="H3" i="78" s="1"/>
  <c r="D46" i="78" l="1"/>
  <c r="D47" i="78" s="1"/>
  <c r="F142" i="78"/>
  <c r="F51" i="78" s="1"/>
  <c r="G142" i="78"/>
  <c r="G51" i="78" s="1"/>
  <c r="D51" i="78" s="1"/>
  <c r="F137" i="78"/>
  <c r="F133" i="78" s="1"/>
  <c r="F26" i="78" s="1"/>
  <c r="D26" i="78" s="1"/>
  <c r="E152" i="78"/>
  <c r="E50" i="78" s="1"/>
  <c r="E52" i="78" s="1"/>
  <c r="G114" i="78"/>
  <c r="H114" i="78" s="1"/>
  <c r="H112" i="78" s="1"/>
  <c r="H25" i="78" s="1"/>
  <c r="H28" i="78" s="1"/>
  <c r="F112" i="78"/>
  <c r="F25" i="78" s="1"/>
  <c r="E35" i="78"/>
  <c r="D32" i="78"/>
  <c r="D35" i="78" s="1"/>
  <c r="E112" i="78"/>
  <c r="E25" i="78" s="1"/>
  <c r="E28" i="78" s="1"/>
  <c r="E47" i="78"/>
  <c r="D40" i="78"/>
  <c r="D43" i="78" s="1"/>
  <c r="F28" i="78" l="1"/>
  <c r="G112" i="78"/>
  <c r="G25" i="78" s="1"/>
  <c r="G28" i="78" s="1"/>
  <c r="D25" i="78" l="1"/>
  <c r="D28" i="78" s="1"/>
  <c r="F143" i="74" l="1"/>
  <c r="F141" i="74"/>
  <c r="H210" i="77"/>
  <c r="G210" i="77"/>
  <c r="G47" i="77" s="1"/>
  <c r="G48" i="77" s="1"/>
  <c r="F210" i="77"/>
  <c r="F47" i="77" s="1"/>
  <c r="F48" i="77" s="1"/>
  <c r="E210" i="77"/>
  <c r="E47" i="77" s="1"/>
  <c r="H202" i="77"/>
  <c r="G202" i="77"/>
  <c r="F202" i="77"/>
  <c r="F201" i="77"/>
  <c r="H200" i="77"/>
  <c r="G200" i="77"/>
  <c r="E200" i="77"/>
  <c r="H196" i="77"/>
  <c r="H195" i="77" s="1"/>
  <c r="G196" i="77"/>
  <c r="G195" i="77" s="1"/>
  <c r="F196" i="77"/>
  <c r="F195" i="77" s="1"/>
  <c r="E195" i="77"/>
  <c r="H193" i="77"/>
  <c r="G193" i="77"/>
  <c r="F193" i="77"/>
  <c r="E193" i="77"/>
  <c r="H191" i="77"/>
  <c r="G191" i="77"/>
  <c r="F191" i="77"/>
  <c r="E191" i="77"/>
  <c r="H189" i="77"/>
  <c r="G189" i="77"/>
  <c r="F189" i="77"/>
  <c r="E189" i="77"/>
  <c r="H187" i="77"/>
  <c r="H186" i="77" s="1"/>
  <c r="G187" i="77"/>
  <c r="G186" i="77" s="1"/>
  <c r="F187" i="77"/>
  <c r="F186" i="77" s="1"/>
  <c r="E187" i="77"/>
  <c r="E186" i="77" s="1"/>
  <c r="E183" i="77"/>
  <c r="G182" i="77"/>
  <c r="F182" i="77"/>
  <c r="G181" i="77"/>
  <c r="F181" i="77"/>
  <c r="E180" i="77"/>
  <c r="H177" i="77"/>
  <c r="G177" i="77"/>
  <c r="F177" i="77"/>
  <c r="E177" i="77"/>
  <c r="H175" i="77"/>
  <c r="G175" i="77"/>
  <c r="F175" i="77"/>
  <c r="E175" i="77"/>
  <c r="H173" i="77"/>
  <c r="G173" i="77"/>
  <c r="F173" i="77"/>
  <c r="E173" i="77"/>
  <c r="H171" i="77"/>
  <c r="G171" i="77"/>
  <c r="F171" i="77"/>
  <c r="F169" i="77" s="1"/>
  <c r="F52" i="77" s="1"/>
  <c r="E171" i="77"/>
  <c r="E169" i="77" s="1"/>
  <c r="E52" i="77" s="1"/>
  <c r="H169" i="77"/>
  <c r="H52" i="77" s="1"/>
  <c r="H160" i="77"/>
  <c r="H158" i="77" s="1"/>
  <c r="H154" i="77" s="1"/>
  <c r="H26" i="77" s="1"/>
  <c r="G160" i="77"/>
  <c r="G158" i="77" s="1"/>
  <c r="G154" i="77" s="1"/>
  <c r="G26" i="77" s="1"/>
  <c r="F160" i="77"/>
  <c r="E160" i="77"/>
  <c r="E158" i="77" s="1"/>
  <c r="E154" i="77" s="1"/>
  <c r="E26" i="77" s="1"/>
  <c r="F159" i="77"/>
  <c r="E33" i="77"/>
  <c r="E119" i="77"/>
  <c r="E117" i="77" s="1"/>
  <c r="E25" i="77" s="1"/>
  <c r="H111" i="77"/>
  <c r="G111" i="77"/>
  <c r="F111" i="77"/>
  <c r="H97" i="77"/>
  <c r="G97" i="77"/>
  <c r="F97" i="77"/>
  <c r="E97" i="77"/>
  <c r="E62" i="77"/>
  <c r="E59" i="77"/>
  <c r="F59" i="77" s="1"/>
  <c r="G59" i="77" s="1"/>
  <c r="H59" i="77" s="1"/>
  <c r="H47" i="77"/>
  <c r="H48" i="77" s="1"/>
  <c r="D43" i="77"/>
  <c r="D42" i="77"/>
  <c r="H41" i="77"/>
  <c r="H44" i="77" s="1"/>
  <c r="G41" i="77"/>
  <c r="G44" i="77" s="1"/>
  <c r="F41" i="77"/>
  <c r="F44" i="77" s="1"/>
  <c r="E41" i="77"/>
  <c r="D40" i="77"/>
  <c r="D39" i="77"/>
  <c r="H36" i="77"/>
  <c r="G36" i="77"/>
  <c r="F36" i="77"/>
  <c r="D35" i="77"/>
  <c r="D34" i="77"/>
  <c r="D32" i="77"/>
  <c r="D21" i="77"/>
  <c r="D11" i="77"/>
  <c r="E3" i="77"/>
  <c r="F3" i="77" s="1"/>
  <c r="G3" i="77" s="1"/>
  <c r="H3" i="77" s="1"/>
  <c r="F208" i="76"/>
  <c r="G208" i="76"/>
  <c r="H208" i="76"/>
  <c r="E208" i="76"/>
  <c r="E204" i="76"/>
  <c r="E202" i="76" s="1"/>
  <c r="F206" i="76"/>
  <c r="G206" i="76" s="1"/>
  <c r="H206" i="76" s="1"/>
  <c r="H204" i="76" s="1"/>
  <c r="F213" i="76"/>
  <c r="F211" i="76" s="1"/>
  <c r="G213" i="76"/>
  <c r="G211" i="76" s="1"/>
  <c r="H213" i="76"/>
  <c r="H211" i="76" s="1"/>
  <c r="E211" i="76"/>
  <c r="E203" i="76"/>
  <c r="F203" i="76" s="1"/>
  <c r="G203" i="76" s="1"/>
  <c r="H203" i="76" s="1"/>
  <c r="F199" i="76"/>
  <c r="F198" i="76" s="1"/>
  <c r="E198" i="76"/>
  <c r="F195" i="76"/>
  <c r="G195" i="76"/>
  <c r="H195" i="76"/>
  <c r="E196" i="76"/>
  <c r="G169" i="77" l="1"/>
  <c r="G52" i="77" s="1"/>
  <c r="D52" i="77" s="1"/>
  <c r="F200" i="77"/>
  <c r="E29" i="77"/>
  <c r="F119" i="77"/>
  <c r="G119" i="77" s="1"/>
  <c r="H119" i="77" s="1"/>
  <c r="H117" i="77" s="1"/>
  <c r="H25" i="77" s="1"/>
  <c r="H29" i="77" s="1"/>
  <c r="F158" i="77"/>
  <c r="F154" i="77" s="1"/>
  <c r="F26" i="77" s="1"/>
  <c r="D26" i="77" s="1"/>
  <c r="D47" i="77"/>
  <c r="D48" i="77" s="1"/>
  <c r="E48" i="77"/>
  <c r="E36" i="77"/>
  <c r="D33" i="77"/>
  <c r="D36" i="77" s="1"/>
  <c r="E44" i="77"/>
  <c r="D41" i="77"/>
  <c r="D44" i="77" s="1"/>
  <c r="E179" i="77"/>
  <c r="E51" i="77" s="1"/>
  <c r="G204" i="76"/>
  <c r="G202" i="76" s="1"/>
  <c r="F204" i="76"/>
  <c r="F202" i="76" s="1"/>
  <c r="F217" i="76" s="1"/>
  <c r="E217" i="76"/>
  <c r="H202" i="76"/>
  <c r="E195" i="76"/>
  <c r="G199" i="76"/>
  <c r="E194" i="76" l="1"/>
  <c r="E46" i="76" s="1"/>
  <c r="E47" i="76" s="1"/>
  <c r="G117" i="77"/>
  <c r="G25" i="77" s="1"/>
  <c r="G29" i="77" s="1"/>
  <c r="F117" i="77"/>
  <c r="F25" i="77" s="1"/>
  <c r="E53" i="77"/>
  <c r="F194" i="76"/>
  <c r="F46" i="76" s="1"/>
  <c r="G198" i="76"/>
  <c r="H199" i="76"/>
  <c r="H198" i="76" s="1"/>
  <c r="D25" i="77" l="1"/>
  <c r="D29" i="77" s="1"/>
  <c r="F29" i="77"/>
  <c r="F47" i="76"/>
  <c r="G217" i="76"/>
  <c r="G194" i="76" s="1"/>
  <c r="G46" i="76" s="1"/>
  <c r="G47" i="76" s="1"/>
  <c r="H217" i="76"/>
  <c r="H194" i="76" s="1"/>
  <c r="H46" i="76" s="1"/>
  <c r="H47" i="76" s="1"/>
  <c r="D46" i="76" l="1"/>
  <c r="D47" i="76" s="1"/>
  <c r="H190" i="76" l="1"/>
  <c r="H50" i="76" s="1"/>
  <c r="H51" i="76" s="1"/>
  <c r="G190" i="76"/>
  <c r="G50" i="76" s="1"/>
  <c r="G51" i="76" s="1"/>
  <c r="F190" i="76"/>
  <c r="E190" i="76"/>
  <c r="E50" i="76" s="1"/>
  <c r="H182" i="76"/>
  <c r="H180" i="76" s="1"/>
  <c r="G182" i="76"/>
  <c r="G180" i="76" s="1"/>
  <c r="F182" i="76"/>
  <c r="F181" i="76"/>
  <c r="E180" i="76"/>
  <c r="H176" i="76"/>
  <c r="H175" i="76" s="1"/>
  <c r="G176" i="76"/>
  <c r="G175" i="76" s="1"/>
  <c r="F176" i="76"/>
  <c r="F175" i="76" s="1"/>
  <c r="E175" i="76"/>
  <c r="H173" i="76"/>
  <c r="H171" i="76" s="1"/>
  <c r="G173" i="76"/>
  <c r="G171" i="76" s="1"/>
  <c r="F173" i="76"/>
  <c r="F171" i="76" s="1"/>
  <c r="E173" i="76"/>
  <c r="E171" i="76" s="1"/>
  <c r="H169" i="76"/>
  <c r="H167" i="76" s="1"/>
  <c r="G169" i="76"/>
  <c r="G167" i="76" s="1"/>
  <c r="F169" i="76"/>
  <c r="F167" i="76" s="1"/>
  <c r="E169" i="76"/>
  <c r="E167" i="76" s="1"/>
  <c r="E163" i="76"/>
  <c r="G162" i="76"/>
  <c r="F162" i="76"/>
  <c r="G161" i="76"/>
  <c r="F161" i="76"/>
  <c r="E160" i="76"/>
  <c r="H157" i="76"/>
  <c r="G157" i="76"/>
  <c r="F157" i="76"/>
  <c r="E157" i="76"/>
  <c r="H155" i="76"/>
  <c r="G155" i="76"/>
  <c r="F155" i="76"/>
  <c r="E155" i="76"/>
  <c r="H153" i="76"/>
  <c r="G153" i="76"/>
  <c r="F153" i="76"/>
  <c r="E153" i="76"/>
  <c r="H151" i="76"/>
  <c r="G151" i="76"/>
  <c r="G149" i="76" s="1"/>
  <c r="G55" i="76" s="1"/>
  <c r="F151" i="76"/>
  <c r="F149" i="76" s="1"/>
  <c r="F55" i="76" s="1"/>
  <c r="E151" i="76"/>
  <c r="E149" i="76"/>
  <c r="E55" i="76" s="1"/>
  <c r="H146" i="76"/>
  <c r="H144" i="76" s="1"/>
  <c r="H140" i="76" s="1"/>
  <c r="H26" i="76" s="1"/>
  <c r="G146" i="76"/>
  <c r="G144" i="76" s="1"/>
  <c r="G140" i="76" s="1"/>
  <c r="G26" i="76" s="1"/>
  <c r="F146" i="76"/>
  <c r="E146" i="76"/>
  <c r="E144" i="76" s="1"/>
  <c r="E140" i="76" s="1"/>
  <c r="E26" i="76" s="1"/>
  <c r="F145" i="76"/>
  <c r="H134" i="76"/>
  <c r="G134" i="76"/>
  <c r="F134" i="76"/>
  <c r="F129" i="76" s="1"/>
  <c r="E134" i="76"/>
  <c r="E129" i="76" s="1"/>
  <c r="E32" i="76" s="1"/>
  <c r="D32" i="76" s="1"/>
  <c r="E120" i="76"/>
  <c r="E31" i="76" s="1"/>
  <c r="E117" i="76"/>
  <c r="E115" i="76" s="1"/>
  <c r="E25" i="76" s="1"/>
  <c r="F111" i="76"/>
  <c r="G111" i="76" s="1"/>
  <c r="H111" i="76" s="1"/>
  <c r="H109" i="76"/>
  <c r="G109" i="76"/>
  <c r="F109" i="76"/>
  <c r="H100" i="76"/>
  <c r="G100" i="76"/>
  <c r="F100" i="76"/>
  <c r="E100" i="76"/>
  <c r="E65" i="76"/>
  <c r="E62" i="76"/>
  <c r="F62" i="76" s="1"/>
  <c r="G62" i="76" s="1"/>
  <c r="H62" i="76" s="1"/>
  <c r="E51" i="76"/>
  <c r="F50" i="76"/>
  <c r="F51" i="76" s="1"/>
  <c r="D42" i="76"/>
  <c r="D41" i="76"/>
  <c r="H40" i="76"/>
  <c r="H43" i="76" s="1"/>
  <c r="G40" i="76"/>
  <c r="G43" i="76" s="1"/>
  <c r="F40" i="76"/>
  <c r="F43" i="76" s="1"/>
  <c r="E40" i="76"/>
  <c r="E43" i="76" s="1"/>
  <c r="D39" i="76"/>
  <c r="D38" i="76"/>
  <c r="D34" i="76"/>
  <c r="D33" i="76"/>
  <c r="H31" i="76"/>
  <c r="H35" i="76" s="1"/>
  <c r="G31" i="76"/>
  <c r="G35" i="76" s="1"/>
  <c r="F31" i="76"/>
  <c r="F35" i="76" s="1"/>
  <c r="D21" i="76"/>
  <c r="D11" i="76"/>
  <c r="E3" i="76"/>
  <c r="F3" i="76" s="1"/>
  <c r="G3" i="76" s="1"/>
  <c r="H3" i="76" s="1"/>
  <c r="F139" i="59"/>
  <c r="F138" i="59" s="1"/>
  <c r="G139" i="59"/>
  <c r="G138" i="59" s="1"/>
  <c r="H139" i="59"/>
  <c r="H138" i="59" s="1"/>
  <c r="F134" i="59"/>
  <c r="G134" i="59"/>
  <c r="H134" i="59"/>
  <c r="E134" i="59"/>
  <c r="F131" i="59"/>
  <c r="F130" i="59" s="1"/>
  <c r="G131" i="59"/>
  <c r="H131" i="59"/>
  <c r="H130" i="59" s="1"/>
  <c r="E131" i="59"/>
  <c r="E130" i="59" s="1"/>
  <c r="F121" i="59"/>
  <c r="G121" i="59"/>
  <c r="H121" i="59"/>
  <c r="E121" i="59"/>
  <c r="H127" i="59"/>
  <c r="G127" i="59"/>
  <c r="F127" i="59"/>
  <c r="E127" i="59"/>
  <c r="E124" i="59"/>
  <c r="H124" i="59"/>
  <c r="G124" i="59"/>
  <c r="F124" i="59"/>
  <c r="F118" i="59"/>
  <c r="F117" i="59" s="1"/>
  <c r="G118" i="59"/>
  <c r="G117" i="59" s="1"/>
  <c r="H118" i="59"/>
  <c r="H117" i="59" s="1"/>
  <c r="E118" i="59"/>
  <c r="E117" i="59" s="1"/>
  <c r="E116" i="59" s="1"/>
  <c r="F106" i="75"/>
  <c r="F13" i="75" s="1"/>
  <c r="G106" i="75"/>
  <c r="G101" i="75" s="1"/>
  <c r="G13" i="75" s="1"/>
  <c r="H106" i="75"/>
  <c r="H101" i="75" s="1"/>
  <c r="H13" i="75" s="1"/>
  <c r="E106" i="75"/>
  <c r="E13" i="75" s="1"/>
  <c r="F71" i="75"/>
  <c r="F95" i="75"/>
  <c r="F11" i="75" s="1"/>
  <c r="G95" i="75"/>
  <c r="G11" i="75" s="1"/>
  <c r="H95" i="75"/>
  <c r="H11" i="75" s="1"/>
  <c r="E95" i="75"/>
  <c r="E11" i="75" s="1"/>
  <c r="E71" i="75"/>
  <c r="H199" i="75"/>
  <c r="H197" i="75" s="1"/>
  <c r="G199" i="75"/>
  <c r="G197" i="75" s="1"/>
  <c r="F199" i="75"/>
  <c r="F198" i="75"/>
  <c r="E197" i="75"/>
  <c r="H193" i="75"/>
  <c r="H192" i="75" s="1"/>
  <c r="G193" i="75"/>
  <c r="G192" i="75" s="1"/>
  <c r="F193" i="75"/>
  <c r="F192" i="75" s="1"/>
  <c r="E192" i="75"/>
  <c r="H190" i="75"/>
  <c r="G190" i="75"/>
  <c r="F190" i="75"/>
  <c r="F188" i="75" s="1"/>
  <c r="E190" i="75"/>
  <c r="E188" i="75" s="1"/>
  <c r="H188" i="75"/>
  <c r="G188" i="75"/>
  <c r="H186" i="75"/>
  <c r="H184" i="75" s="1"/>
  <c r="G186" i="75"/>
  <c r="G184" i="75" s="1"/>
  <c r="F186" i="75"/>
  <c r="F184" i="75" s="1"/>
  <c r="E186" i="75"/>
  <c r="E184" i="75" s="1"/>
  <c r="E180" i="75"/>
  <c r="G179" i="75"/>
  <c r="F179" i="75"/>
  <c r="G178" i="75"/>
  <c r="F178" i="75"/>
  <c r="E177" i="75"/>
  <c r="H174" i="75"/>
  <c r="G174" i="75"/>
  <c r="F174" i="75"/>
  <c r="E174" i="75"/>
  <c r="H172" i="75"/>
  <c r="G172" i="75"/>
  <c r="F172" i="75"/>
  <c r="E172" i="75"/>
  <c r="H170" i="75"/>
  <c r="G170" i="75"/>
  <c r="F170" i="75"/>
  <c r="E170" i="75"/>
  <c r="H168" i="75"/>
  <c r="G168" i="75"/>
  <c r="F168" i="75"/>
  <c r="E168" i="75"/>
  <c r="H166" i="75"/>
  <c r="H54" i="75" s="1"/>
  <c r="G166" i="75"/>
  <c r="G54" i="75" s="1"/>
  <c r="F166" i="75"/>
  <c r="F54" i="75" s="1"/>
  <c r="H163" i="75"/>
  <c r="H161" i="75" s="1"/>
  <c r="H157" i="75" s="1"/>
  <c r="H28" i="75" s="1"/>
  <c r="G163" i="75"/>
  <c r="G161" i="75" s="1"/>
  <c r="G157" i="75" s="1"/>
  <c r="G28" i="75" s="1"/>
  <c r="F163" i="75"/>
  <c r="E163" i="75"/>
  <c r="E161" i="75" s="1"/>
  <c r="E157" i="75" s="1"/>
  <c r="E28" i="75" s="1"/>
  <c r="F162" i="75"/>
  <c r="F148" i="75"/>
  <c r="F144" i="75"/>
  <c r="H143" i="75"/>
  <c r="H142" i="75" s="1"/>
  <c r="H138" i="75" s="1"/>
  <c r="H34" i="75" s="1"/>
  <c r="H37" i="75" s="1"/>
  <c r="G143" i="75"/>
  <c r="G142" i="75" s="1"/>
  <c r="G138" i="75" s="1"/>
  <c r="G34" i="75" s="1"/>
  <c r="G37" i="75" s="1"/>
  <c r="E143" i="75"/>
  <c r="E142" i="75" s="1"/>
  <c r="E138" i="75" s="1"/>
  <c r="E34" i="75" s="1"/>
  <c r="E37" i="75" s="1"/>
  <c r="E130" i="75"/>
  <c r="F130" i="75" s="1"/>
  <c r="H122" i="75"/>
  <c r="H113" i="75"/>
  <c r="G113" i="75"/>
  <c r="F113" i="75"/>
  <c r="E113" i="75"/>
  <c r="H112" i="75"/>
  <c r="E64" i="75"/>
  <c r="E61" i="75"/>
  <c r="F61" i="75" s="1"/>
  <c r="G61" i="75" s="1"/>
  <c r="H61" i="75" s="1"/>
  <c r="H48" i="75"/>
  <c r="G48" i="75"/>
  <c r="F48" i="75"/>
  <c r="E48" i="75"/>
  <c r="D44" i="75"/>
  <c r="D43" i="75"/>
  <c r="H42" i="75"/>
  <c r="H45" i="75" s="1"/>
  <c r="G42" i="75"/>
  <c r="G45" i="75" s="1"/>
  <c r="F42" i="75"/>
  <c r="F45" i="75" s="1"/>
  <c r="E42" i="75"/>
  <c r="E45" i="75" s="1"/>
  <c r="D41" i="75"/>
  <c r="D40" i="75"/>
  <c r="D36" i="75"/>
  <c r="D35" i="75"/>
  <c r="D33" i="75"/>
  <c r="D23" i="75"/>
  <c r="D12" i="75"/>
  <c r="E3" i="75"/>
  <c r="F3" i="75" s="1"/>
  <c r="G3" i="75" s="1"/>
  <c r="H3" i="75" s="1"/>
  <c r="G183" i="75" l="1"/>
  <c r="G130" i="59"/>
  <c r="E31" i="59"/>
  <c r="H116" i="59"/>
  <c r="H31" i="59" s="1"/>
  <c r="F116" i="59"/>
  <c r="F31" i="59" s="1"/>
  <c r="G116" i="59"/>
  <c r="G31" i="59" s="1"/>
  <c r="E166" i="75"/>
  <c r="E54" i="75" s="1"/>
  <c r="E183" i="75"/>
  <c r="H149" i="76"/>
  <c r="H55" i="76" s="1"/>
  <c r="H183" i="75"/>
  <c r="D13" i="75"/>
  <c r="G166" i="76"/>
  <c r="E166" i="76"/>
  <c r="E159" i="76" s="1"/>
  <c r="E54" i="76" s="1"/>
  <c r="E56" i="76" s="1"/>
  <c r="F166" i="76"/>
  <c r="H166" i="76"/>
  <c r="D31" i="76"/>
  <c r="D35" i="76" s="1"/>
  <c r="F117" i="76"/>
  <c r="D55" i="76"/>
  <c r="F144" i="76"/>
  <c r="F140" i="76" s="1"/>
  <c r="F26" i="76" s="1"/>
  <c r="D26" i="76" s="1"/>
  <c r="F180" i="76"/>
  <c r="E35" i="76"/>
  <c r="E28" i="76"/>
  <c r="D50" i="76"/>
  <c r="D51" i="76" s="1"/>
  <c r="D40" i="76"/>
  <c r="D43" i="76" s="1"/>
  <c r="F183" i="75"/>
  <c r="F161" i="75"/>
  <c r="F157" i="75" s="1"/>
  <c r="F28" i="75" s="1"/>
  <c r="D28" i="75" s="1"/>
  <c r="D11" i="75"/>
  <c r="E176" i="75"/>
  <c r="E53" i="75" s="1"/>
  <c r="E128" i="75"/>
  <c r="E27" i="75" s="1"/>
  <c r="E30" i="75" s="1"/>
  <c r="F197" i="75"/>
  <c r="D54" i="75"/>
  <c r="E210" i="75"/>
  <c r="D42" i="75"/>
  <c r="D45" i="75" s="1"/>
  <c r="F210" i="75"/>
  <c r="F143" i="75"/>
  <c r="F142" i="75" s="1"/>
  <c r="F138" i="75" s="1"/>
  <c r="F34" i="75" s="1"/>
  <c r="F37" i="75" s="1"/>
  <c r="G210" i="75"/>
  <c r="G130" i="75"/>
  <c r="F128" i="75"/>
  <c r="F27" i="75" s="1"/>
  <c r="D48" i="75"/>
  <c r="H210" i="75"/>
  <c r="E55" i="75" l="1"/>
  <c r="F115" i="76"/>
  <c r="F25" i="76" s="1"/>
  <c r="G117" i="76"/>
  <c r="F30" i="75"/>
  <c r="H206" i="75"/>
  <c r="H49" i="75" s="1"/>
  <c r="H50" i="75" s="1"/>
  <c r="G206" i="75"/>
  <c r="G49" i="75" s="1"/>
  <c r="G50" i="75" s="1"/>
  <c r="E206" i="75"/>
  <c r="E49" i="75" s="1"/>
  <c r="F206" i="75"/>
  <c r="F49" i="75" s="1"/>
  <c r="F50" i="75" s="1"/>
  <c r="D34" i="75"/>
  <c r="D37" i="75" s="1"/>
  <c r="H130" i="75"/>
  <c r="H128" i="75" s="1"/>
  <c r="H27" i="75" s="1"/>
  <c r="H30" i="75" s="1"/>
  <c r="G128" i="75"/>
  <c r="G27" i="75" s="1"/>
  <c r="G30" i="75" s="1"/>
  <c r="F28" i="76" l="1"/>
  <c r="H117" i="76"/>
  <c r="H115" i="76" s="1"/>
  <c r="H25" i="76" s="1"/>
  <c r="H28" i="76" s="1"/>
  <c r="G115" i="76"/>
  <c r="G25" i="76" s="1"/>
  <c r="G28" i="76" s="1"/>
  <c r="D49" i="75"/>
  <c r="D50" i="75" s="1"/>
  <c r="E50" i="75"/>
  <c r="D27" i="75"/>
  <c r="D30" i="75" s="1"/>
  <c r="D25" i="76" l="1"/>
  <c r="D28" i="76" s="1"/>
  <c r="E34" i="57" l="1"/>
  <c r="F162" i="57"/>
  <c r="F34" i="57" s="1"/>
  <c r="G162" i="57"/>
  <c r="G34" i="57" s="1"/>
  <c r="H162" i="57"/>
  <c r="H34" i="57" s="1"/>
  <c r="F33" i="57"/>
  <c r="G33" i="57"/>
  <c r="H33" i="57"/>
  <c r="E162" i="57"/>
  <c r="E157" i="57"/>
  <c r="E154" i="57"/>
  <c r="E151" i="57"/>
  <c r="E147" i="57"/>
  <c r="E145" i="57"/>
  <c r="E144" i="57" s="1"/>
  <c r="E142" i="57"/>
  <c r="E141" i="57" s="1"/>
  <c r="E135" i="57"/>
  <c r="E139" i="57"/>
  <c r="E138" i="57" s="1"/>
  <c r="E133" i="57"/>
  <c r="E132" i="57" s="1"/>
  <c r="E107" i="71" l="1"/>
  <c r="E141" i="74" l="1"/>
  <c r="G149" i="73"/>
  <c r="H149" i="73"/>
  <c r="F149" i="73"/>
  <c r="E68" i="74"/>
  <c r="H186" i="74"/>
  <c r="G186" i="74"/>
  <c r="G46" i="74" s="1"/>
  <c r="G47" i="74" s="1"/>
  <c r="F186" i="74"/>
  <c r="F46" i="74" s="1"/>
  <c r="F47" i="74" s="1"/>
  <c r="E186" i="74"/>
  <c r="E46" i="74" s="1"/>
  <c r="E47" i="74" s="1"/>
  <c r="H178" i="74"/>
  <c r="G178" i="74"/>
  <c r="F178" i="74"/>
  <c r="F177" i="74"/>
  <c r="H176" i="74"/>
  <c r="G176" i="74"/>
  <c r="E176" i="74"/>
  <c r="H172" i="74"/>
  <c r="H171" i="74" s="1"/>
  <c r="G172" i="74"/>
  <c r="G171" i="74" s="1"/>
  <c r="F172" i="74"/>
  <c r="F171" i="74" s="1"/>
  <c r="E171" i="74"/>
  <c r="H169" i="74"/>
  <c r="G169" i="74"/>
  <c r="F169" i="74"/>
  <c r="E169" i="74"/>
  <c r="H167" i="74"/>
  <c r="G167" i="74"/>
  <c r="F167" i="74"/>
  <c r="E167" i="74"/>
  <c r="H165" i="74"/>
  <c r="G165" i="74"/>
  <c r="G163" i="74" s="1"/>
  <c r="G162" i="74" s="1"/>
  <c r="F165" i="74"/>
  <c r="F163" i="74" s="1"/>
  <c r="F162" i="74" s="1"/>
  <c r="E165" i="74"/>
  <c r="E163" i="74" s="1"/>
  <c r="E162" i="74" s="1"/>
  <c r="H163" i="74"/>
  <c r="H162" i="74" s="1"/>
  <c r="E159" i="74"/>
  <c r="G158" i="74"/>
  <c r="F158" i="74"/>
  <c r="G157" i="74"/>
  <c r="F157" i="74"/>
  <c r="E156" i="74"/>
  <c r="H153" i="74"/>
  <c r="G153" i="74"/>
  <c r="F153" i="74"/>
  <c r="E153" i="74"/>
  <c r="H151" i="74"/>
  <c r="G151" i="74"/>
  <c r="F151" i="74"/>
  <c r="E151" i="74"/>
  <c r="H149" i="74"/>
  <c r="G149" i="74"/>
  <c r="F149" i="74"/>
  <c r="E149" i="74"/>
  <c r="H147" i="74"/>
  <c r="G147" i="74"/>
  <c r="F147" i="74"/>
  <c r="F145" i="74" s="1"/>
  <c r="F51" i="74" s="1"/>
  <c r="E147" i="74"/>
  <c r="E145" i="74" s="1"/>
  <c r="E51" i="74" s="1"/>
  <c r="H145" i="74"/>
  <c r="H51" i="74" s="1"/>
  <c r="H142" i="74"/>
  <c r="G142" i="74"/>
  <c r="F142" i="74"/>
  <c r="F140" i="74" s="1"/>
  <c r="F136" i="74" s="1"/>
  <c r="F26" i="74" s="1"/>
  <c r="E142" i="74"/>
  <c r="E140" i="74" s="1"/>
  <c r="E136" i="74" s="1"/>
  <c r="E26" i="74" s="1"/>
  <c r="H130" i="74"/>
  <c r="G130" i="74"/>
  <c r="F130" i="74"/>
  <c r="F125" i="74" s="1"/>
  <c r="E130" i="74"/>
  <c r="E125" i="74" s="1"/>
  <c r="E32" i="74" s="1"/>
  <c r="D32" i="74" s="1"/>
  <c r="E113" i="74"/>
  <c r="F113" i="74" s="1"/>
  <c r="G113" i="74" s="1"/>
  <c r="H105" i="74"/>
  <c r="G105" i="74"/>
  <c r="F105" i="74"/>
  <c r="H96" i="74"/>
  <c r="G96" i="74"/>
  <c r="F96" i="74"/>
  <c r="E96" i="74"/>
  <c r="E61" i="74"/>
  <c r="E58" i="74"/>
  <c r="F58" i="74" s="1"/>
  <c r="G58" i="74" s="1"/>
  <c r="H58" i="74" s="1"/>
  <c r="H46" i="74"/>
  <c r="H47" i="74" s="1"/>
  <c r="F43" i="74"/>
  <c r="D42" i="74"/>
  <c r="D41" i="74"/>
  <c r="H40" i="74"/>
  <c r="H43" i="74" s="1"/>
  <c r="G40" i="74"/>
  <c r="G43" i="74" s="1"/>
  <c r="F40" i="74"/>
  <c r="E40" i="74"/>
  <c r="E43" i="74" s="1"/>
  <c r="D39" i="74"/>
  <c r="D38" i="74"/>
  <c r="D34" i="74"/>
  <c r="D33" i="74"/>
  <c r="H31" i="74"/>
  <c r="H35" i="74" s="1"/>
  <c r="G31" i="74"/>
  <c r="G35" i="74" s="1"/>
  <c r="F31" i="74"/>
  <c r="F35" i="74" s="1"/>
  <c r="E31" i="74"/>
  <c r="D21" i="74"/>
  <c r="D11" i="74"/>
  <c r="E3" i="74"/>
  <c r="F3" i="74" s="1"/>
  <c r="G3" i="74" s="1"/>
  <c r="H3" i="74" s="1"/>
  <c r="F147" i="73"/>
  <c r="E69" i="73"/>
  <c r="H192" i="73"/>
  <c r="G192" i="73"/>
  <c r="F192" i="73"/>
  <c r="E192" i="73"/>
  <c r="E47" i="73" s="1"/>
  <c r="H184" i="73"/>
  <c r="G184" i="73"/>
  <c r="F184" i="73"/>
  <c r="F183" i="73"/>
  <c r="H182" i="73"/>
  <c r="G182" i="73"/>
  <c r="E182" i="73"/>
  <c r="H178" i="73"/>
  <c r="H177" i="73" s="1"/>
  <c r="G178" i="73"/>
  <c r="G177" i="73" s="1"/>
  <c r="F178" i="73"/>
  <c r="F177" i="73" s="1"/>
  <c r="E177" i="73"/>
  <c r="H175" i="73"/>
  <c r="G175" i="73"/>
  <c r="G173" i="73" s="1"/>
  <c r="F175" i="73"/>
  <c r="E175" i="73"/>
  <c r="H173" i="73"/>
  <c r="H168" i="73" s="1"/>
  <c r="F173" i="73"/>
  <c r="E173" i="73"/>
  <c r="H171" i="73"/>
  <c r="G171" i="73"/>
  <c r="F171" i="73"/>
  <c r="E171" i="73"/>
  <c r="H169" i="73"/>
  <c r="G169" i="73"/>
  <c r="F169" i="73"/>
  <c r="F168" i="73" s="1"/>
  <c r="E169" i="73"/>
  <c r="E168" i="73" s="1"/>
  <c r="E165" i="73"/>
  <c r="G164" i="73"/>
  <c r="F164" i="73"/>
  <c r="G163" i="73"/>
  <c r="F163" i="73"/>
  <c r="E162" i="73"/>
  <c r="H159" i="73"/>
  <c r="G159" i="73"/>
  <c r="F159" i="73"/>
  <c r="E159" i="73"/>
  <c r="H157" i="73"/>
  <c r="G157" i="73"/>
  <c r="F157" i="73"/>
  <c r="E157" i="73"/>
  <c r="H155" i="73"/>
  <c r="G155" i="73"/>
  <c r="F155" i="73"/>
  <c r="E155" i="73"/>
  <c r="H153" i="73"/>
  <c r="G153" i="73"/>
  <c r="F153" i="73"/>
  <c r="E153" i="73"/>
  <c r="H151" i="73"/>
  <c r="H52" i="73" s="1"/>
  <c r="G151" i="73"/>
  <c r="G52" i="73" s="1"/>
  <c r="F151" i="73"/>
  <c r="F52" i="73" s="1"/>
  <c r="E151" i="73"/>
  <c r="E52" i="73" s="1"/>
  <c r="H148" i="73"/>
  <c r="G148" i="73"/>
  <c r="F148" i="73"/>
  <c r="E148" i="73"/>
  <c r="E146" i="73" s="1"/>
  <c r="E142" i="73" s="1"/>
  <c r="E27" i="73" s="1"/>
  <c r="H136" i="73"/>
  <c r="G136" i="73"/>
  <c r="F136" i="73"/>
  <c r="F131" i="73" s="1"/>
  <c r="E136" i="73"/>
  <c r="E131" i="73" s="1"/>
  <c r="E33" i="73" s="1"/>
  <c r="D33" i="73" s="1"/>
  <c r="E122" i="73"/>
  <c r="E32" i="73" s="1"/>
  <c r="E119" i="73"/>
  <c r="F119" i="73" s="1"/>
  <c r="F113" i="73"/>
  <c r="H111" i="73"/>
  <c r="G111" i="73"/>
  <c r="F111" i="73"/>
  <c r="H102" i="73"/>
  <c r="G102" i="73"/>
  <c r="F102" i="73"/>
  <c r="E102" i="73"/>
  <c r="E62" i="73"/>
  <c r="E59" i="73"/>
  <c r="F59" i="73" s="1"/>
  <c r="G59" i="73" s="1"/>
  <c r="H59" i="73" s="1"/>
  <c r="H47" i="73"/>
  <c r="H48" i="73" s="1"/>
  <c r="G47" i="73"/>
  <c r="G48" i="73" s="1"/>
  <c r="F47" i="73"/>
  <c r="F48" i="73" s="1"/>
  <c r="D43" i="73"/>
  <c r="D42" i="73"/>
  <c r="H41" i="73"/>
  <c r="H44" i="73" s="1"/>
  <c r="G41" i="73"/>
  <c r="G44" i="73" s="1"/>
  <c r="F41" i="73"/>
  <c r="F44" i="73" s="1"/>
  <c r="E41" i="73"/>
  <c r="D40" i="73"/>
  <c r="D39" i="73"/>
  <c r="D35" i="73"/>
  <c r="D34" i="73"/>
  <c r="H32" i="73"/>
  <c r="H36" i="73" s="1"/>
  <c r="G32" i="73"/>
  <c r="G36" i="73" s="1"/>
  <c r="F32" i="73"/>
  <c r="F36" i="73" s="1"/>
  <c r="D22" i="73"/>
  <c r="D12" i="73"/>
  <c r="E3" i="73"/>
  <c r="F3" i="73" s="1"/>
  <c r="G3" i="73" s="1"/>
  <c r="H3" i="73" s="1"/>
  <c r="E141" i="72"/>
  <c r="E68" i="72"/>
  <c r="H186" i="72"/>
  <c r="H46" i="72" s="1"/>
  <c r="H47" i="72" s="1"/>
  <c r="G186" i="72"/>
  <c r="F186" i="72"/>
  <c r="F46" i="72" s="1"/>
  <c r="E186" i="72"/>
  <c r="E46" i="72" s="1"/>
  <c r="E47" i="72" s="1"/>
  <c r="H178" i="72"/>
  <c r="H176" i="72" s="1"/>
  <c r="G178" i="72"/>
  <c r="G176" i="72" s="1"/>
  <c r="F178" i="72"/>
  <c r="F177" i="72"/>
  <c r="E176" i="72"/>
  <c r="H172" i="72"/>
  <c r="H171" i="72" s="1"/>
  <c r="G172" i="72"/>
  <c r="G171" i="72" s="1"/>
  <c r="F172" i="72"/>
  <c r="F171" i="72" s="1"/>
  <c r="E171" i="72"/>
  <c r="H169" i="72"/>
  <c r="G169" i="72"/>
  <c r="F169" i="72"/>
  <c r="E169" i="72"/>
  <c r="H167" i="72"/>
  <c r="G167" i="72"/>
  <c r="F167" i="72"/>
  <c r="E167" i="72"/>
  <c r="H165" i="72"/>
  <c r="G165" i="72"/>
  <c r="F165" i="72"/>
  <c r="E165" i="72"/>
  <c r="H163" i="72"/>
  <c r="H162" i="72" s="1"/>
  <c r="G163" i="72"/>
  <c r="G162" i="72" s="1"/>
  <c r="F163" i="72"/>
  <c r="F162" i="72" s="1"/>
  <c r="E163" i="72"/>
  <c r="E162" i="72" s="1"/>
  <c r="E159" i="72"/>
  <c r="G158" i="72"/>
  <c r="F158" i="72"/>
  <c r="G157" i="72"/>
  <c r="F157" i="72"/>
  <c r="E156" i="72"/>
  <c r="H153" i="72"/>
  <c r="G153" i="72"/>
  <c r="F153" i="72"/>
  <c r="E153" i="72"/>
  <c r="H151" i="72"/>
  <c r="G151" i="72"/>
  <c r="F151" i="72"/>
  <c r="E151" i="72"/>
  <c r="H149" i="72"/>
  <c r="G149" i="72"/>
  <c r="F149" i="72"/>
  <c r="E149" i="72"/>
  <c r="H147" i="72"/>
  <c r="G147" i="72"/>
  <c r="F147" i="72"/>
  <c r="E147" i="72"/>
  <c r="E145" i="72" s="1"/>
  <c r="E51" i="72" s="1"/>
  <c r="H145" i="72"/>
  <c r="H51" i="72" s="1"/>
  <c r="G145" i="72"/>
  <c r="G51" i="72" s="1"/>
  <c r="F145" i="72"/>
  <c r="F51" i="72" s="1"/>
  <c r="H142" i="72"/>
  <c r="G142" i="72"/>
  <c r="F142" i="72"/>
  <c r="E142" i="72"/>
  <c r="F141" i="72"/>
  <c r="H130" i="72"/>
  <c r="G130" i="72"/>
  <c r="F130" i="72"/>
  <c r="F125" i="72" s="1"/>
  <c r="E130" i="72"/>
  <c r="E125" i="72" s="1"/>
  <c r="E32" i="72" s="1"/>
  <c r="D32" i="72" s="1"/>
  <c r="E116" i="72"/>
  <c r="E31" i="72" s="1"/>
  <c r="E113" i="72"/>
  <c r="F113" i="72" s="1"/>
  <c r="H105" i="72"/>
  <c r="G105" i="72"/>
  <c r="F105" i="72"/>
  <c r="H96" i="72"/>
  <c r="G96" i="72"/>
  <c r="F96" i="72"/>
  <c r="E96" i="72"/>
  <c r="E61" i="72"/>
  <c r="E58" i="72"/>
  <c r="F58" i="72" s="1"/>
  <c r="G58" i="72" s="1"/>
  <c r="H58" i="72" s="1"/>
  <c r="G47" i="72"/>
  <c r="F47" i="72"/>
  <c r="G46" i="72"/>
  <c r="H43" i="72"/>
  <c r="F43" i="72"/>
  <c r="D42" i="72"/>
  <c r="D41" i="72"/>
  <c r="H40" i="72"/>
  <c r="G40" i="72"/>
  <c r="G43" i="72" s="1"/>
  <c r="F40" i="72"/>
  <c r="E40" i="72"/>
  <c r="E43" i="72" s="1"/>
  <c r="D39" i="72"/>
  <c r="D38" i="72"/>
  <c r="G35" i="72"/>
  <c r="F35" i="72"/>
  <c r="D34" i="72"/>
  <c r="D33" i="72"/>
  <c r="H31" i="72"/>
  <c r="H35" i="72" s="1"/>
  <c r="G31" i="72"/>
  <c r="F31" i="72"/>
  <c r="D21" i="72"/>
  <c r="D11" i="72"/>
  <c r="E3" i="72"/>
  <c r="F3" i="72" s="1"/>
  <c r="G3" i="72" s="1"/>
  <c r="H3" i="72" s="1"/>
  <c r="E143" i="71"/>
  <c r="E141" i="71"/>
  <c r="E72" i="71"/>
  <c r="E68" i="71"/>
  <c r="H186" i="71"/>
  <c r="G186" i="71"/>
  <c r="G46" i="71" s="1"/>
  <c r="G47" i="71" s="1"/>
  <c r="F186" i="71"/>
  <c r="F46" i="71" s="1"/>
  <c r="F47" i="71" s="1"/>
  <c r="E186" i="71"/>
  <c r="H178" i="71"/>
  <c r="G178" i="71"/>
  <c r="F178" i="71"/>
  <c r="F177" i="71"/>
  <c r="H176" i="71"/>
  <c r="G176" i="71"/>
  <c r="E176" i="71"/>
  <c r="H172" i="71"/>
  <c r="H171" i="71" s="1"/>
  <c r="G172" i="71"/>
  <c r="G171" i="71" s="1"/>
  <c r="F172" i="71"/>
  <c r="F171" i="71" s="1"/>
  <c r="E171" i="71"/>
  <c r="H169" i="71"/>
  <c r="G169" i="71"/>
  <c r="F169" i="71"/>
  <c r="F167" i="71" s="1"/>
  <c r="E169" i="71"/>
  <c r="E167" i="71" s="1"/>
  <c r="H167" i="71"/>
  <c r="G167" i="71"/>
  <c r="H165" i="71"/>
  <c r="G165" i="71"/>
  <c r="F165" i="71"/>
  <c r="E165" i="71"/>
  <c r="H163" i="71"/>
  <c r="G163" i="71"/>
  <c r="F163" i="71"/>
  <c r="E163" i="71"/>
  <c r="E159" i="71"/>
  <c r="G158" i="71"/>
  <c r="F158" i="71"/>
  <c r="G157" i="71"/>
  <c r="F157" i="71"/>
  <c r="E156" i="71"/>
  <c r="H153" i="71"/>
  <c r="G153" i="71"/>
  <c r="F153" i="71"/>
  <c r="E153" i="71"/>
  <c r="H151" i="71"/>
  <c r="G151" i="71"/>
  <c r="F151" i="71"/>
  <c r="E151" i="71"/>
  <c r="H149" i="71"/>
  <c r="G149" i="71"/>
  <c r="F149" i="71"/>
  <c r="E149" i="71"/>
  <c r="H147" i="71"/>
  <c r="G147" i="71"/>
  <c r="G145" i="71" s="1"/>
  <c r="G51" i="71" s="1"/>
  <c r="F147" i="71"/>
  <c r="F145" i="71" s="1"/>
  <c r="F51" i="71" s="1"/>
  <c r="E147" i="71"/>
  <c r="E145" i="71" s="1"/>
  <c r="E51" i="71" s="1"/>
  <c r="H145" i="71"/>
  <c r="H51" i="71" s="1"/>
  <c r="H142" i="71"/>
  <c r="G142" i="71"/>
  <c r="F142" i="71"/>
  <c r="E142" i="71"/>
  <c r="F141" i="71"/>
  <c r="H130" i="71"/>
  <c r="G130" i="71"/>
  <c r="F130" i="71"/>
  <c r="F125" i="71" s="1"/>
  <c r="E130" i="71"/>
  <c r="E125" i="71" s="1"/>
  <c r="E32" i="71" s="1"/>
  <c r="D32" i="71" s="1"/>
  <c r="E31" i="71"/>
  <c r="E113" i="71"/>
  <c r="F113" i="71" s="1"/>
  <c r="G107" i="71"/>
  <c r="H105" i="71"/>
  <c r="G105" i="71"/>
  <c r="F105" i="71"/>
  <c r="H96" i="71"/>
  <c r="G96" i="71"/>
  <c r="F96" i="71"/>
  <c r="E96" i="71"/>
  <c r="E61" i="71"/>
  <c r="E58" i="71"/>
  <c r="F58" i="71" s="1"/>
  <c r="G58" i="71" s="1"/>
  <c r="H58" i="71" s="1"/>
  <c r="H46" i="71"/>
  <c r="H47" i="71" s="1"/>
  <c r="E46" i="71"/>
  <c r="E47" i="71" s="1"/>
  <c r="H43" i="71"/>
  <c r="E43" i="71"/>
  <c r="D42" i="71"/>
  <c r="D41" i="71"/>
  <c r="H40" i="71"/>
  <c r="G40" i="71"/>
  <c r="F40" i="71"/>
  <c r="F43" i="71" s="1"/>
  <c r="E40" i="71"/>
  <c r="D39" i="71"/>
  <c r="D38" i="71"/>
  <c r="F35" i="71"/>
  <c r="D34" i="71"/>
  <c r="D33" i="71"/>
  <c r="H31" i="71"/>
  <c r="H35" i="71" s="1"/>
  <c r="G31" i="71"/>
  <c r="G35" i="71" s="1"/>
  <c r="F31" i="71"/>
  <c r="D21" i="71"/>
  <c r="D11" i="71"/>
  <c r="E3" i="71"/>
  <c r="F3" i="71" s="1"/>
  <c r="G3" i="71" s="1"/>
  <c r="H3" i="71" s="1"/>
  <c r="G107" i="70"/>
  <c r="H107" i="70" s="1"/>
  <c r="F68" i="70"/>
  <c r="E68" i="70"/>
  <c r="H186" i="70"/>
  <c r="G186" i="70"/>
  <c r="G46" i="70" s="1"/>
  <c r="G47" i="70" s="1"/>
  <c r="F186" i="70"/>
  <c r="F46" i="70" s="1"/>
  <c r="F47" i="70" s="1"/>
  <c r="E186" i="70"/>
  <c r="E46" i="70" s="1"/>
  <c r="H178" i="70"/>
  <c r="G178" i="70"/>
  <c r="F178" i="70"/>
  <c r="F177" i="70"/>
  <c r="H176" i="70"/>
  <c r="G176" i="70"/>
  <c r="E176" i="70"/>
  <c r="H172" i="70"/>
  <c r="H171" i="70" s="1"/>
  <c r="G172" i="70"/>
  <c r="G171" i="70" s="1"/>
  <c r="F172" i="70"/>
  <c r="F171" i="70" s="1"/>
  <c r="E171" i="70"/>
  <c r="H169" i="70"/>
  <c r="G169" i="70"/>
  <c r="F169" i="70"/>
  <c r="E169" i="70"/>
  <c r="H167" i="70"/>
  <c r="G167" i="70"/>
  <c r="F167" i="70"/>
  <c r="E167" i="70"/>
  <c r="H165" i="70"/>
  <c r="G165" i="70"/>
  <c r="F165" i="70"/>
  <c r="E165" i="70"/>
  <c r="H163" i="70"/>
  <c r="H162" i="70" s="1"/>
  <c r="G163" i="70"/>
  <c r="G162" i="70" s="1"/>
  <c r="F163" i="70"/>
  <c r="F162" i="70" s="1"/>
  <c r="E163" i="70"/>
  <c r="E162" i="70" s="1"/>
  <c r="E159" i="70"/>
  <c r="G158" i="70"/>
  <c r="F158" i="70"/>
  <c r="G157" i="70"/>
  <c r="F157" i="70"/>
  <c r="E156" i="70"/>
  <c r="H153" i="70"/>
  <c r="G153" i="70"/>
  <c r="F153" i="70"/>
  <c r="E153" i="70"/>
  <c r="H151" i="70"/>
  <c r="G151" i="70"/>
  <c r="F151" i="70"/>
  <c r="E151" i="70"/>
  <c r="H149" i="70"/>
  <c r="G149" i="70"/>
  <c r="F149" i="70"/>
  <c r="E149" i="70"/>
  <c r="H147" i="70"/>
  <c r="G147" i="70"/>
  <c r="G145" i="70" s="1"/>
  <c r="G51" i="70" s="1"/>
  <c r="F147" i="70"/>
  <c r="F145" i="70" s="1"/>
  <c r="F51" i="70" s="1"/>
  <c r="E147" i="70"/>
  <c r="E145" i="70" s="1"/>
  <c r="E51" i="70" s="1"/>
  <c r="H142" i="70"/>
  <c r="H140" i="70" s="1"/>
  <c r="H136" i="70" s="1"/>
  <c r="H26" i="70" s="1"/>
  <c r="G142" i="70"/>
  <c r="G140" i="70" s="1"/>
  <c r="G136" i="70" s="1"/>
  <c r="G26" i="70" s="1"/>
  <c r="F142" i="70"/>
  <c r="E142" i="70"/>
  <c r="E140" i="70" s="1"/>
  <c r="E136" i="70" s="1"/>
  <c r="E26" i="70" s="1"/>
  <c r="F141" i="70"/>
  <c r="H130" i="70"/>
  <c r="G130" i="70"/>
  <c r="F130" i="70"/>
  <c r="F125" i="70" s="1"/>
  <c r="E130" i="70"/>
  <c r="E125" i="70" s="1"/>
  <c r="E32" i="70" s="1"/>
  <c r="D32" i="70" s="1"/>
  <c r="E116" i="70"/>
  <c r="E31" i="70" s="1"/>
  <c r="E113" i="70"/>
  <c r="F113" i="70" s="1"/>
  <c r="F111" i="70" s="1"/>
  <c r="F25" i="70" s="1"/>
  <c r="H105" i="70"/>
  <c r="G105" i="70"/>
  <c r="F105" i="70"/>
  <c r="H96" i="70"/>
  <c r="G96" i="70"/>
  <c r="F96" i="70"/>
  <c r="E96" i="70"/>
  <c r="E61" i="70"/>
  <c r="E58" i="70"/>
  <c r="F58" i="70" s="1"/>
  <c r="G58" i="70" s="1"/>
  <c r="H58" i="70" s="1"/>
  <c r="H46" i="70"/>
  <c r="H47" i="70" s="1"/>
  <c r="D42" i="70"/>
  <c r="D41" i="70"/>
  <c r="H40" i="70"/>
  <c r="H43" i="70" s="1"/>
  <c r="G40" i="70"/>
  <c r="G43" i="70" s="1"/>
  <c r="F40" i="70"/>
  <c r="F43" i="70" s="1"/>
  <c r="E40" i="70"/>
  <c r="D39" i="70"/>
  <c r="D38" i="70"/>
  <c r="D34" i="70"/>
  <c r="D33" i="70"/>
  <c r="H31" i="70"/>
  <c r="H35" i="70" s="1"/>
  <c r="G31" i="70"/>
  <c r="G35" i="70" s="1"/>
  <c r="F31" i="70"/>
  <c r="F35" i="70" s="1"/>
  <c r="D21" i="70"/>
  <c r="D11" i="70"/>
  <c r="E3" i="70"/>
  <c r="F3" i="70" s="1"/>
  <c r="G3" i="70" s="1"/>
  <c r="H3" i="70" s="1"/>
  <c r="G35" i="68"/>
  <c r="F31" i="68"/>
  <c r="G31" i="68"/>
  <c r="H31" i="68"/>
  <c r="F108" i="68"/>
  <c r="G108" i="68" s="1"/>
  <c r="H108" i="68" s="1"/>
  <c r="E150" i="68"/>
  <c r="E136" i="68"/>
  <c r="E122" i="68"/>
  <c r="D46" i="74" l="1"/>
  <c r="D47" i="74" s="1"/>
  <c r="E111" i="74"/>
  <c r="E25" i="74" s="1"/>
  <c r="H145" i="70"/>
  <c r="H51" i="70" s="1"/>
  <c r="D51" i="70" s="1"/>
  <c r="F176" i="70"/>
  <c r="E111" i="71"/>
  <c r="E25" i="71" s="1"/>
  <c r="E111" i="72"/>
  <c r="E25" i="72" s="1"/>
  <c r="H162" i="71"/>
  <c r="G162" i="71"/>
  <c r="F176" i="71"/>
  <c r="E162" i="71"/>
  <c r="E155" i="71" s="1"/>
  <c r="E50" i="71" s="1"/>
  <c r="G168" i="73"/>
  <c r="G145" i="74"/>
  <c r="G51" i="74" s="1"/>
  <c r="D51" i="74" s="1"/>
  <c r="E111" i="70"/>
  <c r="E25" i="70" s="1"/>
  <c r="E28" i="70" s="1"/>
  <c r="F176" i="74"/>
  <c r="F162" i="71"/>
  <c r="E140" i="71"/>
  <c r="E136" i="71" s="1"/>
  <c r="E26" i="71" s="1"/>
  <c r="D51" i="71"/>
  <c r="E35" i="72"/>
  <c r="D51" i="72"/>
  <c r="F176" i="72"/>
  <c r="E117" i="73"/>
  <c r="E26" i="73" s="1"/>
  <c r="E29" i="73" s="1"/>
  <c r="F182" i="73"/>
  <c r="F146" i="73"/>
  <c r="F142" i="73" s="1"/>
  <c r="F27" i="73" s="1"/>
  <c r="E28" i="74"/>
  <c r="H143" i="74"/>
  <c r="H140" i="74" s="1"/>
  <c r="H136" i="74" s="1"/>
  <c r="H26" i="74" s="1"/>
  <c r="G143" i="74"/>
  <c r="G140" i="74" s="1"/>
  <c r="G136" i="74" s="1"/>
  <c r="G26" i="74" s="1"/>
  <c r="H107" i="71"/>
  <c r="H143" i="71" s="1"/>
  <c r="H140" i="71" s="1"/>
  <c r="H136" i="71" s="1"/>
  <c r="H26" i="71" s="1"/>
  <c r="G143" i="71"/>
  <c r="G140" i="71" s="1"/>
  <c r="G136" i="71" s="1"/>
  <c r="G26" i="71" s="1"/>
  <c r="H113" i="74"/>
  <c r="H111" i="74" s="1"/>
  <c r="H25" i="74" s="1"/>
  <c r="H28" i="74" s="1"/>
  <c r="G111" i="74"/>
  <c r="G25" i="74" s="1"/>
  <c r="D40" i="74"/>
  <c r="D43" i="74" s="1"/>
  <c r="D31" i="74"/>
  <c r="D35" i="74" s="1"/>
  <c r="E35" i="74"/>
  <c r="F111" i="74"/>
  <c r="F25" i="74" s="1"/>
  <c r="E155" i="74"/>
  <c r="E50" i="74" s="1"/>
  <c r="D47" i="73"/>
  <c r="D48" i="73" s="1"/>
  <c r="E48" i="73"/>
  <c r="D32" i="73"/>
  <c r="D36" i="73" s="1"/>
  <c r="E36" i="73"/>
  <c r="E44" i="73"/>
  <c r="D41" i="73"/>
  <c r="D44" i="73" s="1"/>
  <c r="G119" i="73"/>
  <c r="F117" i="73"/>
  <c r="F26" i="73" s="1"/>
  <c r="D52" i="73"/>
  <c r="E161" i="73"/>
  <c r="E51" i="73" s="1"/>
  <c r="G113" i="73"/>
  <c r="D43" i="72"/>
  <c r="D31" i="72"/>
  <c r="D35" i="72" s="1"/>
  <c r="E143" i="72"/>
  <c r="E140" i="72" s="1"/>
  <c r="E136" i="72" s="1"/>
  <c r="E26" i="72" s="1"/>
  <c r="E28" i="72" s="1"/>
  <c r="F107" i="72"/>
  <c r="F143" i="71"/>
  <c r="F140" i="71" s="1"/>
  <c r="F136" i="71" s="1"/>
  <c r="F26" i="71" s="1"/>
  <c r="D46" i="72"/>
  <c r="D47" i="72" s="1"/>
  <c r="D40" i="72"/>
  <c r="G113" i="72"/>
  <c r="F111" i="72"/>
  <c r="F25" i="72" s="1"/>
  <c r="E155" i="72"/>
  <c r="E50" i="72" s="1"/>
  <c r="E52" i="71"/>
  <c r="D46" i="71"/>
  <c r="D47" i="71" s="1"/>
  <c r="G43" i="71"/>
  <c r="D40" i="71"/>
  <c r="D43" i="71" s="1"/>
  <c r="F111" i="71"/>
  <c r="F25" i="71" s="1"/>
  <c r="G113" i="71"/>
  <c r="E35" i="71"/>
  <c r="D31" i="71"/>
  <c r="D35" i="71" s="1"/>
  <c r="F140" i="70"/>
  <c r="F136" i="70" s="1"/>
  <c r="F26" i="70" s="1"/>
  <c r="F28" i="70" s="1"/>
  <c r="D40" i="70"/>
  <c r="D43" i="70" s="1"/>
  <c r="E47" i="70"/>
  <c r="D46" i="70"/>
  <c r="D47" i="70" s="1"/>
  <c r="E35" i="70"/>
  <c r="D31" i="70"/>
  <c r="D35" i="70" s="1"/>
  <c r="E43" i="70"/>
  <c r="G113" i="70"/>
  <c r="E155" i="70"/>
  <c r="E50" i="70" s="1"/>
  <c r="E121" i="68"/>
  <c r="E118" i="68" s="1"/>
  <c r="E31" i="68" s="1"/>
  <c r="H252" i="68"/>
  <c r="H46" i="68" s="1"/>
  <c r="H47" i="68" s="1"/>
  <c r="G252" i="68"/>
  <c r="G46" i="68" s="1"/>
  <c r="G47" i="68" s="1"/>
  <c r="F252" i="68"/>
  <c r="F46" i="68" s="1"/>
  <c r="F47" i="68" s="1"/>
  <c r="E252" i="68"/>
  <c r="H244" i="68"/>
  <c r="G244" i="68"/>
  <c r="G242" i="68" s="1"/>
  <c r="F244" i="68"/>
  <c r="F243" i="68"/>
  <c r="H242" i="68"/>
  <c r="E242" i="68"/>
  <c r="H238" i="68"/>
  <c r="H237" i="68" s="1"/>
  <c r="G238" i="68"/>
  <c r="G237" i="68" s="1"/>
  <c r="F238" i="68"/>
  <c r="F237" i="68" s="1"/>
  <c r="E237" i="68"/>
  <c r="H235" i="68"/>
  <c r="G235" i="68"/>
  <c r="F235" i="68"/>
  <c r="E235" i="68"/>
  <c r="E233" i="68" s="1"/>
  <c r="H233" i="68"/>
  <c r="G233" i="68"/>
  <c r="F233" i="68"/>
  <c r="H231" i="68"/>
  <c r="H229" i="68" s="1"/>
  <c r="G231" i="68"/>
  <c r="G229" i="68" s="1"/>
  <c r="F231" i="68"/>
  <c r="F229" i="68" s="1"/>
  <c r="E231" i="68"/>
  <c r="E229" i="68" s="1"/>
  <c r="E225" i="68"/>
  <c r="G224" i="68"/>
  <c r="F224" i="68"/>
  <c r="G223" i="68"/>
  <c r="F223" i="68"/>
  <c r="E222" i="68"/>
  <c r="H219" i="68"/>
  <c r="G219" i="68"/>
  <c r="F219" i="68"/>
  <c r="E219" i="68"/>
  <c r="H217" i="68"/>
  <c r="G217" i="68"/>
  <c r="F217" i="68"/>
  <c r="E217" i="68"/>
  <c r="H215" i="68"/>
  <c r="G215" i="68"/>
  <c r="F215" i="68"/>
  <c r="E215" i="68"/>
  <c r="H213" i="68"/>
  <c r="G213" i="68"/>
  <c r="G211" i="68" s="1"/>
  <c r="G51" i="68" s="1"/>
  <c r="F213" i="68"/>
  <c r="E213" i="68"/>
  <c r="E211" i="68" s="1"/>
  <c r="E51" i="68" s="1"/>
  <c r="H211" i="68"/>
  <c r="H51" i="68" s="1"/>
  <c r="H208" i="68"/>
  <c r="H206" i="68" s="1"/>
  <c r="H202" i="68" s="1"/>
  <c r="H26" i="68" s="1"/>
  <c r="G208" i="68"/>
  <c r="G206" i="68" s="1"/>
  <c r="G202" i="68" s="1"/>
  <c r="G26" i="68" s="1"/>
  <c r="F208" i="68"/>
  <c r="E208" i="68"/>
  <c r="E206" i="68" s="1"/>
  <c r="E202" i="68" s="1"/>
  <c r="E26" i="68" s="1"/>
  <c r="F207" i="68"/>
  <c r="H196" i="68"/>
  <c r="G196" i="68"/>
  <c r="F196" i="68"/>
  <c r="E196" i="68"/>
  <c r="E32" i="68" s="1"/>
  <c r="E112" i="68"/>
  <c r="E25" i="68" s="1"/>
  <c r="H106" i="68"/>
  <c r="G106" i="68"/>
  <c r="F106" i="68"/>
  <c r="H97" i="68"/>
  <c r="G97" i="68"/>
  <c r="F97" i="68"/>
  <c r="E97" i="68"/>
  <c r="E61" i="68"/>
  <c r="E58" i="68"/>
  <c r="F58" i="68" s="1"/>
  <c r="G58" i="68" s="1"/>
  <c r="H58" i="68" s="1"/>
  <c r="E46" i="68"/>
  <c r="D42" i="68"/>
  <c r="D41" i="68"/>
  <c r="H40" i="68"/>
  <c r="H43" i="68" s="1"/>
  <c r="G40" i="68"/>
  <c r="G43" i="68" s="1"/>
  <c r="F40" i="68"/>
  <c r="F43" i="68" s="1"/>
  <c r="E40" i="68"/>
  <c r="E43" i="68" s="1"/>
  <c r="D39" i="68"/>
  <c r="D38" i="68"/>
  <c r="H35" i="68"/>
  <c r="F35" i="68"/>
  <c r="D34" i="68"/>
  <c r="D33" i="68"/>
  <c r="D31" i="68"/>
  <c r="D21" i="68"/>
  <c r="D11" i="68"/>
  <c r="E3" i="68"/>
  <c r="F3" i="68" s="1"/>
  <c r="G3" i="68" s="1"/>
  <c r="H3" i="68" s="1"/>
  <c r="E28" i="71" l="1"/>
  <c r="F29" i="73"/>
  <c r="F211" i="68"/>
  <c r="F51" i="68" s="1"/>
  <c r="D26" i="70"/>
  <c r="D26" i="74"/>
  <c r="G228" i="68"/>
  <c r="H228" i="68"/>
  <c r="D46" i="68"/>
  <c r="D47" i="68" s="1"/>
  <c r="E228" i="68"/>
  <c r="E221" i="68" s="1"/>
  <c r="E50" i="68" s="1"/>
  <c r="E52" i="68" s="1"/>
  <c r="E35" i="68"/>
  <c r="D26" i="71"/>
  <c r="E52" i="74"/>
  <c r="F28" i="74"/>
  <c r="D25" i="74"/>
  <c r="G28" i="74"/>
  <c r="G117" i="73"/>
  <c r="G26" i="73" s="1"/>
  <c r="H119" i="73"/>
  <c r="H117" i="73" s="1"/>
  <c r="H26" i="73" s="1"/>
  <c r="H113" i="73"/>
  <c r="H146" i="73" s="1"/>
  <c r="H142" i="73" s="1"/>
  <c r="H27" i="73" s="1"/>
  <c r="G146" i="73"/>
  <c r="G142" i="73" s="1"/>
  <c r="G27" i="73" s="1"/>
  <c r="E53" i="73"/>
  <c r="E52" i="72"/>
  <c r="G111" i="72"/>
  <c r="G25" i="72" s="1"/>
  <c r="H113" i="72"/>
  <c r="H111" i="72" s="1"/>
  <c r="H25" i="72" s="1"/>
  <c r="F143" i="72"/>
  <c r="F140" i="72" s="1"/>
  <c r="F136" i="72" s="1"/>
  <c r="F26" i="72" s="1"/>
  <c r="F28" i="72" s="1"/>
  <c r="G107" i="72"/>
  <c r="F28" i="71"/>
  <c r="G111" i="71"/>
  <c r="G25" i="71" s="1"/>
  <c r="H113" i="71"/>
  <c r="H111" i="71" s="1"/>
  <c r="H25" i="71" s="1"/>
  <c r="H28" i="71" s="1"/>
  <c r="H113" i="70"/>
  <c r="H111" i="70" s="1"/>
  <c r="H25" i="70" s="1"/>
  <c r="H28" i="70" s="1"/>
  <c r="G111" i="70"/>
  <c r="G25" i="70" s="1"/>
  <c r="E52" i="70"/>
  <c r="F242" i="68"/>
  <c r="F228" i="68"/>
  <c r="F206" i="68"/>
  <c r="F202" i="68" s="1"/>
  <c r="F26" i="68" s="1"/>
  <c r="D26" i="68" s="1"/>
  <c r="D51" i="68"/>
  <c r="F115" i="68"/>
  <c r="D32" i="68"/>
  <c r="D35" i="68" s="1"/>
  <c r="E28" i="68"/>
  <c r="E47" i="68"/>
  <c r="D40" i="68"/>
  <c r="D43" i="68" s="1"/>
  <c r="F107" i="46"/>
  <c r="G107" i="46" s="1"/>
  <c r="H107" i="46" s="1"/>
  <c r="D28" i="74" l="1"/>
  <c r="E105" i="46"/>
  <c r="E104" i="84"/>
  <c r="F105" i="46"/>
  <c r="G105" i="46" s="1"/>
  <c r="H105" i="46" s="1"/>
  <c r="F104" i="84"/>
  <c r="H104" i="84"/>
  <c r="G104" i="84"/>
  <c r="D27" i="73"/>
  <c r="H29" i="73"/>
  <c r="G29" i="73"/>
  <c r="D26" i="73"/>
  <c r="H107" i="72"/>
  <c r="H143" i="72" s="1"/>
  <c r="H140" i="72" s="1"/>
  <c r="H136" i="72" s="1"/>
  <c r="H26" i="72" s="1"/>
  <c r="H28" i="72" s="1"/>
  <c r="G143" i="72"/>
  <c r="G140" i="72" s="1"/>
  <c r="G136" i="72" s="1"/>
  <c r="G26" i="72" s="1"/>
  <c r="D25" i="72"/>
  <c r="G28" i="71"/>
  <c r="D25" i="71"/>
  <c r="D28" i="71" s="1"/>
  <c r="G28" i="70"/>
  <c r="D25" i="70"/>
  <c r="D28" i="70" s="1"/>
  <c r="G115" i="68"/>
  <c r="F112" i="68"/>
  <c r="F25" i="68" s="1"/>
  <c r="F28" i="68" s="1"/>
  <c r="E68" i="64"/>
  <c r="E72" i="64"/>
  <c r="E69" i="67"/>
  <c r="H189" i="67"/>
  <c r="H47" i="67" s="1"/>
  <c r="H48" i="67" s="1"/>
  <c r="G189" i="67"/>
  <c r="F189" i="67"/>
  <c r="F47" i="67" s="1"/>
  <c r="F48" i="67" s="1"/>
  <c r="E189" i="67"/>
  <c r="E47" i="67" s="1"/>
  <c r="H181" i="67"/>
  <c r="G181" i="67"/>
  <c r="F181" i="67"/>
  <c r="F180" i="67"/>
  <c r="H179" i="67"/>
  <c r="G179" i="67"/>
  <c r="E179" i="67"/>
  <c r="H175" i="67"/>
  <c r="H174" i="67" s="1"/>
  <c r="G175" i="67"/>
  <c r="G174" i="67" s="1"/>
  <c r="F175" i="67"/>
  <c r="F174" i="67" s="1"/>
  <c r="E174" i="67"/>
  <c r="H172" i="67"/>
  <c r="H170" i="67" s="1"/>
  <c r="G172" i="67"/>
  <c r="G170" i="67" s="1"/>
  <c r="F172" i="67"/>
  <c r="F170" i="67" s="1"/>
  <c r="E172" i="67"/>
  <c r="E170" i="67" s="1"/>
  <c r="H168" i="67"/>
  <c r="H166" i="67" s="1"/>
  <c r="G168" i="67"/>
  <c r="G166" i="67" s="1"/>
  <c r="F168" i="67"/>
  <c r="F166" i="67" s="1"/>
  <c r="E168" i="67"/>
  <c r="E166" i="67" s="1"/>
  <c r="E162" i="67"/>
  <c r="G161" i="67"/>
  <c r="F161" i="67"/>
  <c r="G160" i="67"/>
  <c r="F160" i="67"/>
  <c r="E159" i="67"/>
  <c r="H156" i="67"/>
  <c r="G156" i="67"/>
  <c r="F156" i="67"/>
  <c r="E156" i="67"/>
  <c r="H154" i="67"/>
  <c r="G154" i="67"/>
  <c r="F154" i="67"/>
  <c r="E154" i="67"/>
  <c r="H152" i="67"/>
  <c r="G152" i="67"/>
  <c r="F152" i="67"/>
  <c r="E152" i="67"/>
  <c r="H150" i="67"/>
  <c r="H148" i="67" s="1"/>
  <c r="H52" i="67" s="1"/>
  <c r="G150" i="67"/>
  <c r="G148" i="67" s="1"/>
  <c r="G52" i="67" s="1"/>
  <c r="F150" i="67"/>
  <c r="F148" i="67" s="1"/>
  <c r="F52" i="67" s="1"/>
  <c r="E150" i="67"/>
  <c r="E148" i="67" s="1"/>
  <c r="E52" i="67" s="1"/>
  <c r="H145" i="67"/>
  <c r="H143" i="67" s="1"/>
  <c r="H139" i="67" s="1"/>
  <c r="H27" i="67" s="1"/>
  <c r="G145" i="67"/>
  <c r="G143" i="67" s="1"/>
  <c r="G139" i="67" s="1"/>
  <c r="G27" i="67" s="1"/>
  <c r="F145" i="67"/>
  <c r="E145" i="67"/>
  <c r="F144" i="67"/>
  <c r="E144" i="67"/>
  <c r="E33" i="67"/>
  <c r="E114" i="67"/>
  <c r="F114" i="67" s="1"/>
  <c r="H106" i="67"/>
  <c r="G106" i="67"/>
  <c r="F106" i="67"/>
  <c r="H97" i="67"/>
  <c r="G97" i="67"/>
  <c r="F97" i="67"/>
  <c r="E97" i="67"/>
  <c r="H96" i="67"/>
  <c r="H69" i="67"/>
  <c r="E62" i="67"/>
  <c r="E59" i="67"/>
  <c r="F59" i="67" s="1"/>
  <c r="G59" i="67" s="1"/>
  <c r="H59" i="67" s="1"/>
  <c r="G47" i="67"/>
  <c r="G48" i="67" s="1"/>
  <c r="D43" i="67"/>
  <c r="D42" i="67"/>
  <c r="H41" i="67"/>
  <c r="H44" i="67" s="1"/>
  <c r="G41" i="67"/>
  <c r="G44" i="67" s="1"/>
  <c r="F41" i="67"/>
  <c r="F44" i="67" s="1"/>
  <c r="E41" i="67"/>
  <c r="E44" i="67" s="1"/>
  <c r="D40" i="67"/>
  <c r="D39" i="67"/>
  <c r="H36" i="67"/>
  <c r="G36" i="67"/>
  <c r="F36" i="67"/>
  <c r="D35" i="67"/>
  <c r="D34" i="67"/>
  <c r="D32" i="67"/>
  <c r="D22" i="67"/>
  <c r="D12" i="67"/>
  <c r="E3" i="67"/>
  <c r="F3" i="67" s="1"/>
  <c r="G3" i="67" s="1"/>
  <c r="H3" i="67" s="1"/>
  <c r="E68" i="66"/>
  <c r="E72" i="66"/>
  <c r="E137" i="66"/>
  <c r="H182" i="66"/>
  <c r="H46" i="66" s="1"/>
  <c r="G182" i="66"/>
  <c r="G46" i="66" s="1"/>
  <c r="G47" i="66" s="1"/>
  <c r="F182" i="66"/>
  <c r="F46" i="66" s="1"/>
  <c r="F47" i="66" s="1"/>
  <c r="E182" i="66"/>
  <c r="E46" i="66" s="1"/>
  <c r="E47" i="66" s="1"/>
  <c r="H174" i="66"/>
  <c r="G174" i="66"/>
  <c r="F174" i="66"/>
  <c r="F173" i="66"/>
  <c r="H172" i="66"/>
  <c r="G172" i="66"/>
  <c r="E172" i="66"/>
  <c r="H168" i="66"/>
  <c r="H167" i="66" s="1"/>
  <c r="G168" i="66"/>
  <c r="G167" i="66" s="1"/>
  <c r="F168" i="66"/>
  <c r="F167" i="66" s="1"/>
  <c r="E167" i="66"/>
  <c r="H165" i="66"/>
  <c r="G165" i="66"/>
  <c r="F165" i="66"/>
  <c r="F163" i="66" s="1"/>
  <c r="E165" i="66"/>
  <c r="E163" i="66" s="1"/>
  <c r="H163" i="66"/>
  <c r="G163" i="66"/>
  <c r="H161" i="66"/>
  <c r="G161" i="66"/>
  <c r="F161" i="66"/>
  <c r="F159" i="66" s="1"/>
  <c r="E161" i="66"/>
  <c r="E159" i="66" s="1"/>
  <c r="H159" i="66"/>
  <c r="G159" i="66"/>
  <c r="E155" i="66"/>
  <c r="G154" i="66"/>
  <c r="F154" i="66"/>
  <c r="G153" i="66"/>
  <c r="F153" i="66"/>
  <c r="E152" i="66"/>
  <c r="H149" i="66"/>
  <c r="G149" i="66"/>
  <c r="F149" i="66"/>
  <c r="E149" i="66"/>
  <c r="H147" i="66"/>
  <c r="G147" i="66"/>
  <c r="F147" i="66"/>
  <c r="E147" i="66"/>
  <c r="H145" i="66"/>
  <c r="G145" i="66"/>
  <c r="F145" i="66"/>
  <c r="E145" i="66"/>
  <c r="H143" i="66"/>
  <c r="G143" i="66"/>
  <c r="F143" i="66"/>
  <c r="E143" i="66"/>
  <c r="H141" i="66"/>
  <c r="H51" i="66" s="1"/>
  <c r="G141" i="66"/>
  <c r="G51" i="66" s="1"/>
  <c r="F141" i="66"/>
  <c r="F51" i="66" s="1"/>
  <c r="E141" i="66"/>
  <c r="E51" i="66" s="1"/>
  <c r="H138" i="66"/>
  <c r="H136" i="66" s="1"/>
  <c r="H132" i="66" s="1"/>
  <c r="H26" i="66" s="1"/>
  <c r="G138" i="66"/>
  <c r="G136" i="66" s="1"/>
  <c r="G132" i="66" s="1"/>
  <c r="G26" i="66" s="1"/>
  <c r="F138" i="66"/>
  <c r="E138" i="66"/>
  <c r="F137" i="66"/>
  <c r="H126" i="66"/>
  <c r="G126" i="66"/>
  <c r="F126" i="66"/>
  <c r="F121" i="66" s="1"/>
  <c r="E126" i="66"/>
  <c r="E121" i="66" s="1"/>
  <c r="E32" i="66" s="1"/>
  <c r="E113" i="66"/>
  <c r="E111" i="66" s="1"/>
  <c r="E25" i="66" s="1"/>
  <c r="H105" i="66"/>
  <c r="G105" i="66"/>
  <c r="F105" i="66"/>
  <c r="H96" i="66"/>
  <c r="G96" i="66"/>
  <c r="F96" i="66"/>
  <c r="E96" i="66"/>
  <c r="H95" i="66"/>
  <c r="H68" i="66"/>
  <c r="E61" i="66"/>
  <c r="E58" i="66"/>
  <c r="F58" i="66" s="1"/>
  <c r="G58" i="66" s="1"/>
  <c r="H58" i="66" s="1"/>
  <c r="H47" i="66"/>
  <c r="D42" i="66"/>
  <c r="D41" i="66"/>
  <c r="H40" i="66"/>
  <c r="H43" i="66" s="1"/>
  <c r="G40" i="66"/>
  <c r="G43" i="66" s="1"/>
  <c r="F40" i="66"/>
  <c r="F43" i="66" s="1"/>
  <c r="E40" i="66"/>
  <c r="D39" i="66"/>
  <c r="D38" i="66"/>
  <c r="H35" i="66"/>
  <c r="G35" i="66"/>
  <c r="F35" i="66"/>
  <c r="D34" i="66"/>
  <c r="D33" i="66"/>
  <c r="D31" i="66"/>
  <c r="D21" i="66"/>
  <c r="D11" i="66"/>
  <c r="E3" i="66"/>
  <c r="F3" i="66" s="1"/>
  <c r="G3" i="66" s="1"/>
  <c r="H3" i="66" s="1"/>
  <c r="E139" i="65"/>
  <c r="E137" i="65"/>
  <c r="E68" i="65"/>
  <c r="H182" i="65"/>
  <c r="H46" i="65" s="1"/>
  <c r="H47" i="65" s="1"/>
  <c r="G182" i="65"/>
  <c r="F182" i="65"/>
  <c r="F46" i="65" s="1"/>
  <c r="F47" i="65" s="1"/>
  <c r="E182" i="65"/>
  <c r="E46" i="65" s="1"/>
  <c r="E47" i="65" s="1"/>
  <c r="H174" i="65"/>
  <c r="G174" i="65"/>
  <c r="F174" i="65"/>
  <c r="F173" i="65"/>
  <c r="H172" i="65"/>
  <c r="G172" i="65"/>
  <c r="E172" i="65"/>
  <c r="H168" i="65"/>
  <c r="H167" i="65" s="1"/>
  <c r="G168" i="65"/>
  <c r="G167" i="65" s="1"/>
  <c r="F168" i="65"/>
  <c r="F167" i="65" s="1"/>
  <c r="E167" i="65"/>
  <c r="H165" i="65"/>
  <c r="H163" i="65" s="1"/>
  <c r="G165" i="65"/>
  <c r="G163" i="65" s="1"/>
  <c r="F165" i="65"/>
  <c r="F163" i="65" s="1"/>
  <c r="E165" i="65"/>
  <c r="E163" i="65" s="1"/>
  <c r="H161" i="65"/>
  <c r="G161" i="65"/>
  <c r="F161" i="65"/>
  <c r="E161" i="65"/>
  <c r="H159" i="65"/>
  <c r="G159" i="65"/>
  <c r="F159" i="65"/>
  <c r="E159" i="65"/>
  <c r="E155" i="65"/>
  <c r="G154" i="65"/>
  <c r="F154" i="65"/>
  <c r="G153" i="65"/>
  <c r="F153" i="65"/>
  <c r="E152" i="65"/>
  <c r="H149" i="65"/>
  <c r="G149" i="65"/>
  <c r="F149" i="65"/>
  <c r="E149" i="65"/>
  <c r="H147" i="65"/>
  <c r="G147" i="65"/>
  <c r="F147" i="65"/>
  <c r="E147" i="65"/>
  <c r="H145" i="65"/>
  <c r="G145" i="65"/>
  <c r="F145" i="65"/>
  <c r="E145" i="65"/>
  <c r="H143" i="65"/>
  <c r="G143" i="65"/>
  <c r="F143" i="65"/>
  <c r="F141" i="65" s="1"/>
  <c r="F51" i="65" s="1"/>
  <c r="E143" i="65"/>
  <c r="E141" i="65" s="1"/>
  <c r="E51" i="65" s="1"/>
  <c r="H141" i="65"/>
  <c r="H51" i="65" s="1"/>
  <c r="H138" i="65"/>
  <c r="H136" i="65" s="1"/>
  <c r="H132" i="65" s="1"/>
  <c r="H26" i="65" s="1"/>
  <c r="G138" i="65"/>
  <c r="G136" i="65" s="1"/>
  <c r="G132" i="65" s="1"/>
  <c r="G26" i="65" s="1"/>
  <c r="F138" i="65"/>
  <c r="E138" i="65"/>
  <c r="F137" i="65"/>
  <c r="H126" i="65"/>
  <c r="G126" i="65"/>
  <c r="F126" i="65"/>
  <c r="F121" i="65" s="1"/>
  <c r="E126" i="65"/>
  <c r="E121" i="65" s="1"/>
  <c r="E32" i="65" s="1"/>
  <c r="E113" i="65"/>
  <c r="E111" i="65" s="1"/>
  <c r="E25" i="65" s="1"/>
  <c r="H105" i="65"/>
  <c r="G105" i="65"/>
  <c r="F105" i="65"/>
  <c r="H96" i="65"/>
  <c r="G96" i="65"/>
  <c r="F96" i="65"/>
  <c r="E96" i="65"/>
  <c r="H95" i="65"/>
  <c r="H68" i="65"/>
  <c r="E61" i="65"/>
  <c r="E58" i="65"/>
  <c r="F58" i="65" s="1"/>
  <c r="G58" i="65" s="1"/>
  <c r="H58" i="65" s="1"/>
  <c r="G46" i="65"/>
  <c r="G47" i="65" s="1"/>
  <c r="D42" i="65"/>
  <c r="D41" i="65"/>
  <c r="H40" i="65"/>
  <c r="H43" i="65" s="1"/>
  <c r="G40" i="65"/>
  <c r="G43" i="65" s="1"/>
  <c r="F40" i="65"/>
  <c r="F43" i="65" s="1"/>
  <c r="E40" i="65"/>
  <c r="D40" i="65" s="1"/>
  <c r="D39" i="65"/>
  <c r="D38" i="65"/>
  <c r="H35" i="65"/>
  <c r="G35" i="65"/>
  <c r="F35" i="65"/>
  <c r="D34" i="65"/>
  <c r="D33" i="65"/>
  <c r="D31" i="65"/>
  <c r="D21" i="65"/>
  <c r="D11" i="65"/>
  <c r="E3" i="65"/>
  <c r="F3" i="65" s="1"/>
  <c r="G3" i="65" s="1"/>
  <c r="H3" i="65" s="1"/>
  <c r="D43" i="65" l="1"/>
  <c r="E43" i="65"/>
  <c r="E20" i="84"/>
  <c r="E22" i="84" s="1"/>
  <c r="D41" i="67"/>
  <c r="F165" i="67"/>
  <c r="D44" i="67"/>
  <c r="G165" i="67"/>
  <c r="E165" i="67"/>
  <c r="E158" i="67" s="1"/>
  <c r="E51" i="67" s="1"/>
  <c r="E53" i="67" s="1"/>
  <c r="H165" i="67"/>
  <c r="F143" i="67"/>
  <c r="F139" i="67" s="1"/>
  <c r="F27" i="67" s="1"/>
  <c r="F136" i="65"/>
  <c r="F132" i="65" s="1"/>
  <c r="F26" i="65" s="1"/>
  <c r="F172" i="65"/>
  <c r="G158" i="66"/>
  <c r="E158" i="66"/>
  <c r="E151" i="66" s="1"/>
  <c r="E50" i="66" s="1"/>
  <c r="E52" i="66" s="1"/>
  <c r="H158" i="66"/>
  <c r="F158" i="65"/>
  <c r="G158" i="65"/>
  <c r="E158" i="65"/>
  <c r="E151" i="65" s="1"/>
  <c r="E50" i="65" s="1"/>
  <c r="E136" i="65"/>
  <c r="E132" i="65" s="1"/>
  <c r="E26" i="65" s="1"/>
  <c r="E28" i="65" s="1"/>
  <c r="E143" i="67"/>
  <c r="E139" i="67" s="1"/>
  <c r="E27" i="67" s="1"/>
  <c r="E112" i="67"/>
  <c r="E26" i="67" s="1"/>
  <c r="H158" i="65"/>
  <c r="F172" i="66"/>
  <c r="F158" i="66"/>
  <c r="G141" i="65"/>
  <c r="G51" i="65" s="1"/>
  <c r="D51" i="65" s="1"/>
  <c r="E136" i="66"/>
  <c r="E132" i="66" s="1"/>
  <c r="E26" i="66" s="1"/>
  <c r="E28" i="66" s="1"/>
  <c r="F113" i="65"/>
  <c r="G113" i="65" s="1"/>
  <c r="H113" i="65" s="1"/>
  <c r="H111" i="65" s="1"/>
  <c r="H25" i="65" s="1"/>
  <c r="H28" i="65" s="1"/>
  <c r="F136" i="66"/>
  <c r="F132" i="66" s="1"/>
  <c r="F26" i="66" s="1"/>
  <c r="F179" i="67"/>
  <c r="D29" i="73"/>
  <c r="D26" i="72"/>
  <c r="D28" i="72" s="1"/>
  <c r="G28" i="72"/>
  <c r="H115" i="68"/>
  <c r="H112" i="68" s="1"/>
  <c r="H25" i="68" s="1"/>
  <c r="H28" i="68" s="1"/>
  <c r="G112" i="68"/>
  <c r="G25" i="68" s="1"/>
  <c r="G28" i="68" s="1"/>
  <c r="F112" i="67"/>
  <c r="F26" i="67" s="1"/>
  <c r="G114" i="67"/>
  <c r="E48" i="67"/>
  <c r="D47" i="67"/>
  <c r="D48" i="67" s="1"/>
  <c r="D52" i="67"/>
  <c r="D33" i="67"/>
  <c r="D36" i="67" s="1"/>
  <c r="E36" i="67"/>
  <c r="E35" i="66"/>
  <c r="D32" i="66"/>
  <c r="D35" i="66" s="1"/>
  <c r="E43" i="66"/>
  <c r="D40" i="66"/>
  <c r="D43" i="66" s="1"/>
  <c r="F113" i="66"/>
  <c r="D46" i="66"/>
  <c r="D47" i="66" s="1"/>
  <c r="D51" i="66"/>
  <c r="D26" i="65"/>
  <c r="E35" i="65"/>
  <c r="D32" i="65"/>
  <c r="D35" i="65" s="1"/>
  <c r="D46" i="65"/>
  <c r="D47" i="65" s="1"/>
  <c r="E29" i="67" l="1"/>
  <c r="D27" i="67"/>
  <c r="F111" i="65"/>
  <c r="F25" i="65" s="1"/>
  <c r="G111" i="65"/>
  <c r="G25" i="65" s="1"/>
  <c r="G28" i="65" s="1"/>
  <c r="D26" i="66"/>
  <c r="D25" i="68"/>
  <c r="D28" i="68" s="1"/>
  <c r="F29" i="67"/>
  <c r="H114" i="67"/>
  <c r="H112" i="67" s="1"/>
  <c r="H26" i="67" s="1"/>
  <c r="H29" i="67" s="1"/>
  <c r="G112" i="67"/>
  <c r="G26" i="67" s="1"/>
  <c r="G29" i="67" s="1"/>
  <c r="G113" i="66"/>
  <c r="F111" i="66"/>
  <c r="F25" i="66" s="1"/>
  <c r="F28" i="65"/>
  <c r="E52" i="65"/>
  <c r="D25" i="65" l="1"/>
  <c r="D28" i="65" s="1"/>
  <c r="D26" i="67"/>
  <c r="D29" i="67" s="1"/>
  <c r="F28" i="66"/>
  <c r="H113" i="66"/>
  <c r="H111" i="66" s="1"/>
  <c r="H25" i="66" s="1"/>
  <c r="H28" i="66" s="1"/>
  <c r="G111" i="66"/>
  <c r="G25" i="66" s="1"/>
  <c r="G28" i="66" s="1"/>
  <c r="D25" i="66" l="1"/>
  <c r="D28" i="66" s="1"/>
  <c r="H182" i="64" l="1"/>
  <c r="H46" i="64" s="1"/>
  <c r="H47" i="64" s="1"/>
  <c r="G182" i="64"/>
  <c r="G46" i="64" s="1"/>
  <c r="G47" i="64" s="1"/>
  <c r="F182" i="64"/>
  <c r="E182" i="64"/>
  <c r="H174" i="64"/>
  <c r="G174" i="64"/>
  <c r="G172" i="64" s="1"/>
  <c r="F174" i="64"/>
  <c r="F173" i="64"/>
  <c r="H172" i="64"/>
  <c r="E172" i="64"/>
  <c r="H168" i="64"/>
  <c r="H167" i="64" s="1"/>
  <c r="G168" i="64"/>
  <c r="G167" i="64" s="1"/>
  <c r="F168" i="64"/>
  <c r="F167" i="64" s="1"/>
  <c r="E167" i="64"/>
  <c r="H165" i="64"/>
  <c r="G165" i="64"/>
  <c r="F165" i="64"/>
  <c r="E165" i="64"/>
  <c r="H163" i="64"/>
  <c r="G163" i="64"/>
  <c r="F163" i="64"/>
  <c r="E163" i="64"/>
  <c r="H161" i="64"/>
  <c r="G161" i="64"/>
  <c r="F161" i="64"/>
  <c r="E161" i="64"/>
  <c r="H159" i="64"/>
  <c r="G159" i="64"/>
  <c r="G158" i="64" s="1"/>
  <c r="F159" i="64"/>
  <c r="E159" i="64"/>
  <c r="E158" i="64" s="1"/>
  <c r="E151" i="64" s="1"/>
  <c r="E50" i="64" s="1"/>
  <c r="F158" i="64"/>
  <c r="E155" i="64"/>
  <c r="G154" i="64"/>
  <c r="F154" i="64"/>
  <c r="G153" i="64"/>
  <c r="F153" i="64"/>
  <c r="E152" i="64"/>
  <c r="H149" i="64"/>
  <c r="G149" i="64"/>
  <c r="F149" i="64"/>
  <c r="E149" i="64"/>
  <c r="H147" i="64"/>
  <c r="G147" i="64"/>
  <c r="F147" i="64"/>
  <c r="E147" i="64"/>
  <c r="H145" i="64"/>
  <c r="G145" i="64"/>
  <c r="F145" i="64"/>
  <c r="E145" i="64"/>
  <c r="H143" i="64"/>
  <c r="G143" i="64"/>
  <c r="F143" i="64"/>
  <c r="E143" i="64"/>
  <c r="E141" i="64" s="1"/>
  <c r="E51" i="64" s="1"/>
  <c r="H141" i="64"/>
  <c r="H51" i="64" s="1"/>
  <c r="G141" i="64"/>
  <c r="G51" i="64" s="1"/>
  <c r="H138" i="64"/>
  <c r="H136" i="64" s="1"/>
  <c r="H132" i="64" s="1"/>
  <c r="H26" i="64" s="1"/>
  <c r="G138" i="64"/>
  <c r="G136" i="64" s="1"/>
  <c r="G132" i="64" s="1"/>
  <c r="G26" i="64" s="1"/>
  <c r="F138" i="64"/>
  <c r="E138" i="64"/>
  <c r="E136" i="64" s="1"/>
  <c r="E132" i="64" s="1"/>
  <c r="E26" i="64" s="1"/>
  <c r="F137" i="64"/>
  <c r="H126" i="64"/>
  <c r="G126" i="64"/>
  <c r="F126" i="64"/>
  <c r="F121" i="64" s="1"/>
  <c r="E126" i="64"/>
  <c r="E121" i="64" s="1"/>
  <c r="E32" i="64" s="1"/>
  <c r="E113" i="64"/>
  <c r="F113" i="64" s="1"/>
  <c r="H105" i="64"/>
  <c r="G105" i="64"/>
  <c r="F105" i="64"/>
  <c r="H96" i="64"/>
  <c r="G96" i="64"/>
  <c r="F96" i="64"/>
  <c r="E96" i="64"/>
  <c r="H95" i="64"/>
  <c r="H68" i="64"/>
  <c r="E61" i="64"/>
  <c r="E58" i="64"/>
  <c r="F58" i="64" s="1"/>
  <c r="G58" i="64" s="1"/>
  <c r="H58" i="64" s="1"/>
  <c r="E47" i="64"/>
  <c r="F46" i="64"/>
  <c r="F47" i="64" s="1"/>
  <c r="E46" i="64"/>
  <c r="D42" i="64"/>
  <c r="D41" i="64"/>
  <c r="H40" i="64"/>
  <c r="H43" i="64" s="1"/>
  <c r="G40" i="64"/>
  <c r="G43" i="64" s="1"/>
  <c r="F40" i="64"/>
  <c r="F43" i="64" s="1"/>
  <c r="E40" i="64"/>
  <c r="D39" i="64"/>
  <c r="D38" i="64"/>
  <c r="H35" i="64"/>
  <c r="G35" i="64"/>
  <c r="F35" i="64"/>
  <c r="D34" i="64"/>
  <c r="D33" i="64"/>
  <c r="D31" i="64"/>
  <c r="D21" i="64"/>
  <c r="D11" i="64"/>
  <c r="E3" i="64"/>
  <c r="F3" i="64" s="1"/>
  <c r="G3" i="64" s="1"/>
  <c r="H3" i="64" s="1"/>
  <c r="H178" i="63"/>
  <c r="G178" i="63"/>
  <c r="F178" i="63"/>
  <c r="F177" i="63"/>
  <c r="H176" i="63"/>
  <c r="G176" i="63"/>
  <c r="E176" i="63"/>
  <c r="H172" i="63"/>
  <c r="H171" i="63" s="1"/>
  <c r="G172" i="63"/>
  <c r="G171" i="63" s="1"/>
  <c r="F172" i="63"/>
  <c r="F171" i="63" s="1"/>
  <c r="E171" i="63"/>
  <c r="H169" i="63"/>
  <c r="G169" i="63"/>
  <c r="F169" i="63"/>
  <c r="F167" i="63" s="1"/>
  <c r="E169" i="63"/>
  <c r="E167" i="63" s="1"/>
  <c r="H167" i="63"/>
  <c r="G167" i="63"/>
  <c r="H165" i="63"/>
  <c r="G165" i="63"/>
  <c r="F165" i="63"/>
  <c r="F163" i="63" s="1"/>
  <c r="E165" i="63"/>
  <c r="H163" i="63"/>
  <c r="G163" i="63"/>
  <c r="E163" i="63"/>
  <c r="E159" i="63"/>
  <c r="G158" i="63"/>
  <c r="F158" i="63"/>
  <c r="G157" i="63"/>
  <c r="F157" i="63"/>
  <c r="E156" i="63"/>
  <c r="H153" i="63"/>
  <c r="G153" i="63"/>
  <c r="F153" i="63"/>
  <c r="E153" i="63"/>
  <c r="H151" i="63"/>
  <c r="G151" i="63"/>
  <c r="F151" i="63"/>
  <c r="E151" i="63"/>
  <c r="H149" i="63"/>
  <c r="G149" i="63"/>
  <c r="F149" i="63"/>
  <c r="E149" i="63"/>
  <c r="H147" i="63"/>
  <c r="G147" i="63"/>
  <c r="F147" i="63"/>
  <c r="E147" i="63"/>
  <c r="H145" i="63"/>
  <c r="H48" i="63" s="1"/>
  <c r="G145" i="63"/>
  <c r="G48" i="63" s="1"/>
  <c r="F145" i="63"/>
  <c r="F48" i="63" s="1"/>
  <c r="E145" i="63"/>
  <c r="E48" i="63" s="1"/>
  <c r="H142" i="63"/>
  <c r="H140" i="63" s="1"/>
  <c r="G142" i="63"/>
  <c r="G140" i="63" s="1"/>
  <c r="F142" i="63"/>
  <c r="E142" i="63"/>
  <c r="E140" i="63" s="1"/>
  <c r="F141" i="63"/>
  <c r="F138" i="63"/>
  <c r="G138" i="63" s="1"/>
  <c r="H129" i="63"/>
  <c r="G129" i="63"/>
  <c r="F129" i="63"/>
  <c r="F124" i="63" s="1"/>
  <c r="E129" i="63"/>
  <c r="E124" i="63" s="1"/>
  <c r="E33" i="63" s="1"/>
  <c r="E116" i="63"/>
  <c r="F116" i="63" s="1"/>
  <c r="E112" i="63"/>
  <c r="E111" i="63"/>
  <c r="F111" i="63" s="1"/>
  <c r="F106" i="63"/>
  <c r="H102" i="63"/>
  <c r="G102" i="63"/>
  <c r="F102" i="63"/>
  <c r="H93" i="63"/>
  <c r="G93" i="63"/>
  <c r="F93" i="63"/>
  <c r="E93" i="63"/>
  <c r="E58" i="63"/>
  <c r="E55" i="63"/>
  <c r="F55" i="63" s="1"/>
  <c r="G55" i="63" s="1"/>
  <c r="H55" i="63" s="1"/>
  <c r="D43" i="63"/>
  <c r="D42" i="63"/>
  <c r="H41" i="63"/>
  <c r="H44" i="63" s="1"/>
  <c r="G41" i="63"/>
  <c r="G44" i="63" s="1"/>
  <c r="F41" i="63"/>
  <c r="F44" i="63" s="1"/>
  <c r="E41" i="63"/>
  <c r="D40" i="63"/>
  <c r="D39" i="63"/>
  <c r="H36" i="63"/>
  <c r="G36" i="63"/>
  <c r="F36" i="63"/>
  <c r="D35" i="63"/>
  <c r="D34" i="63"/>
  <c r="D32" i="63"/>
  <c r="D22" i="63"/>
  <c r="D11" i="63"/>
  <c r="E3" i="63"/>
  <c r="F3" i="63" s="1"/>
  <c r="G3" i="63" s="1"/>
  <c r="H3" i="63" s="1"/>
  <c r="H177" i="62"/>
  <c r="G177" i="62"/>
  <c r="G175" i="62" s="1"/>
  <c r="F177" i="62"/>
  <c r="F176" i="62"/>
  <c r="H175" i="62"/>
  <c r="E175" i="62"/>
  <c r="H171" i="62"/>
  <c r="H170" i="62" s="1"/>
  <c r="G171" i="62"/>
  <c r="G170" i="62" s="1"/>
  <c r="F171" i="62"/>
  <c r="F170" i="62" s="1"/>
  <c r="E170" i="62"/>
  <c r="H168" i="62"/>
  <c r="G168" i="62"/>
  <c r="F168" i="62"/>
  <c r="E168" i="62"/>
  <c r="H166" i="62"/>
  <c r="G166" i="62"/>
  <c r="F166" i="62"/>
  <c r="E166" i="62"/>
  <c r="H164" i="62"/>
  <c r="G164" i="62"/>
  <c r="F164" i="62"/>
  <c r="F162" i="62" s="1"/>
  <c r="F161" i="62" s="1"/>
  <c r="E164" i="62"/>
  <c r="E162" i="62" s="1"/>
  <c r="E161" i="62" s="1"/>
  <c r="H162" i="62"/>
  <c r="H161" i="62" s="1"/>
  <c r="G162" i="62"/>
  <c r="G161" i="62" s="1"/>
  <c r="E158" i="62"/>
  <c r="G157" i="62"/>
  <c r="F157" i="62"/>
  <c r="G156" i="62"/>
  <c r="F156" i="62"/>
  <c r="E155" i="62"/>
  <c r="H152" i="62"/>
  <c r="G152" i="62"/>
  <c r="F152" i="62"/>
  <c r="E152" i="62"/>
  <c r="H150" i="62"/>
  <c r="G150" i="62"/>
  <c r="F150" i="62"/>
  <c r="E150" i="62"/>
  <c r="H148" i="62"/>
  <c r="G148" i="62"/>
  <c r="F148" i="62"/>
  <c r="E148" i="62"/>
  <c r="H146" i="62"/>
  <c r="G146" i="62"/>
  <c r="F146" i="62"/>
  <c r="E146" i="62"/>
  <c r="E144" i="62" s="1"/>
  <c r="E47" i="62" s="1"/>
  <c r="H144" i="62"/>
  <c r="H47" i="62" s="1"/>
  <c r="G144" i="62"/>
  <c r="G47" i="62" s="1"/>
  <c r="F144" i="62"/>
  <c r="F47" i="62" s="1"/>
  <c r="H141" i="62"/>
  <c r="H139" i="62" s="1"/>
  <c r="G141" i="62"/>
  <c r="F141" i="62"/>
  <c r="E141" i="62"/>
  <c r="E139" i="62" s="1"/>
  <c r="F140" i="62"/>
  <c r="G139" i="62"/>
  <c r="F137" i="62"/>
  <c r="G137" i="62" s="1"/>
  <c r="H128" i="62"/>
  <c r="G128" i="62"/>
  <c r="F128" i="62"/>
  <c r="F123" i="62" s="1"/>
  <c r="E128" i="62"/>
  <c r="E123" i="62" s="1"/>
  <c r="E32" i="62" s="1"/>
  <c r="E115" i="62"/>
  <c r="F115" i="62" s="1"/>
  <c r="E110" i="62"/>
  <c r="F110" i="62" s="1"/>
  <c r="H101" i="62"/>
  <c r="G101" i="62"/>
  <c r="F101" i="62"/>
  <c r="H92" i="62"/>
  <c r="G92" i="62"/>
  <c r="F92" i="62"/>
  <c r="E92" i="62"/>
  <c r="E57" i="62"/>
  <c r="E54" i="62"/>
  <c r="F54" i="62" s="1"/>
  <c r="G54" i="62" s="1"/>
  <c r="H54" i="62" s="1"/>
  <c r="D42" i="62"/>
  <c r="D41" i="62"/>
  <c r="H40" i="62"/>
  <c r="H43" i="62" s="1"/>
  <c r="G40" i="62"/>
  <c r="G43" i="62" s="1"/>
  <c r="F40" i="62"/>
  <c r="E40" i="62"/>
  <c r="E43" i="62" s="1"/>
  <c r="D39" i="62"/>
  <c r="D38" i="62"/>
  <c r="H35" i="62"/>
  <c r="G35" i="62"/>
  <c r="F35" i="62"/>
  <c r="D34" i="62"/>
  <c r="D33" i="62"/>
  <c r="D31" i="62"/>
  <c r="D21" i="62"/>
  <c r="D11" i="62"/>
  <c r="E3" i="62"/>
  <c r="F3" i="62" s="1"/>
  <c r="G3" i="62" s="1"/>
  <c r="H3" i="62" s="1"/>
  <c r="F27" i="61"/>
  <c r="G27" i="61"/>
  <c r="H27" i="61"/>
  <c r="E27" i="61"/>
  <c r="F199" i="61"/>
  <c r="G199" i="61"/>
  <c r="H199" i="61"/>
  <c r="E199" i="61"/>
  <c r="F207" i="61"/>
  <c r="G207" i="61"/>
  <c r="H207" i="61"/>
  <c r="E207" i="61"/>
  <c r="F203" i="61"/>
  <c r="G203" i="61"/>
  <c r="H203" i="61"/>
  <c r="E203" i="61"/>
  <c r="D27" i="61" s="1"/>
  <c r="H144" i="61"/>
  <c r="G144" i="61"/>
  <c r="F144" i="61"/>
  <c r="E144" i="61"/>
  <c r="H140" i="61"/>
  <c r="G140" i="61"/>
  <c r="F140" i="61"/>
  <c r="E140" i="61"/>
  <c r="F136" i="61"/>
  <c r="G136" i="61"/>
  <c r="G135" i="61" s="1"/>
  <c r="G38" i="61" s="1"/>
  <c r="G39" i="61" s="1"/>
  <c r="H136" i="61"/>
  <c r="H135" i="61" s="1"/>
  <c r="H38" i="61" s="1"/>
  <c r="H39" i="61" s="1"/>
  <c r="E136" i="61"/>
  <c r="E135" i="61" s="1"/>
  <c r="E38" i="61" s="1"/>
  <c r="F121" i="61"/>
  <c r="F120" i="61" s="1"/>
  <c r="G121" i="61"/>
  <c r="G120" i="61" s="1"/>
  <c r="H121" i="61"/>
  <c r="H120" i="61" s="1"/>
  <c r="E121" i="61"/>
  <c r="F133" i="61"/>
  <c r="G133" i="61"/>
  <c r="H133" i="61"/>
  <c r="E133" i="61"/>
  <c r="F134" i="61"/>
  <c r="G134" i="61"/>
  <c r="H134" i="61"/>
  <c r="F128" i="61"/>
  <c r="G128" i="61"/>
  <c r="H128" i="61"/>
  <c r="F127" i="61"/>
  <c r="G127" i="61"/>
  <c r="H127" i="61"/>
  <c r="E127" i="61"/>
  <c r="E122" i="61"/>
  <c r="E134" i="61" s="1"/>
  <c r="E60" i="61"/>
  <c r="H192" i="61"/>
  <c r="H190" i="61" s="1"/>
  <c r="G192" i="61"/>
  <c r="G190" i="61" s="1"/>
  <c r="F192" i="61"/>
  <c r="F191" i="61"/>
  <c r="E190" i="61"/>
  <c r="H186" i="61"/>
  <c r="H185" i="61" s="1"/>
  <c r="G186" i="61"/>
  <c r="G185" i="61" s="1"/>
  <c r="F186" i="61"/>
  <c r="F185" i="61" s="1"/>
  <c r="E185" i="61"/>
  <c r="H183" i="61"/>
  <c r="G183" i="61"/>
  <c r="G181" i="61" s="1"/>
  <c r="F183" i="61"/>
  <c r="F181" i="61" s="1"/>
  <c r="E183" i="61"/>
  <c r="E181" i="61" s="1"/>
  <c r="H181" i="61"/>
  <c r="H179" i="61"/>
  <c r="G179" i="61"/>
  <c r="G177" i="61" s="1"/>
  <c r="F179" i="61"/>
  <c r="F177" i="61" s="1"/>
  <c r="E179" i="61"/>
  <c r="E177" i="61" s="1"/>
  <c r="H177" i="61"/>
  <c r="E173" i="61"/>
  <c r="G172" i="61"/>
  <c r="F172" i="61"/>
  <c r="G171" i="61"/>
  <c r="F171" i="61"/>
  <c r="E170" i="61"/>
  <c r="H167" i="61"/>
  <c r="G167" i="61"/>
  <c r="F167" i="61"/>
  <c r="E167" i="61"/>
  <c r="H165" i="61"/>
  <c r="G165" i="61"/>
  <c r="F165" i="61"/>
  <c r="E165" i="61"/>
  <c r="H163" i="61"/>
  <c r="G163" i="61"/>
  <c r="F163" i="61"/>
  <c r="E163" i="61"/>
  <c r="H161" i="61"/>
  <c r="H159" i="61" s="1"/>
  <c r="H43" i="61" s="1"/>
  <c r="G161" i="61"/>
  <c r="G159" i="61" s="1"/>
  <c r="G43" i="61" s="1"/>
  <c r="F161" i="61"/>
  <c r="F159" i="61" s="1"/>
  <c r="F43" i="61" s="1"/>
  <c r="E161" i="61"/>
  <c r="E159" i="61" s="1"/>
  <c r="E43" i="61" s="1"/>
  <c r="H156" i="61"/>
  <c r="H154" i="61" s="1"/>
  <c r="G156" i="61"/>
  <c r="F156" i="61"/>
  <c r="E156" i="61"/>
  <c r="E154" i="61" s="1"/>
  <c r="F155" i="61"/>
  <c r="G154" i="61"/>
  <c r="F152" i="61"/>
  <c r="H124" i="61"/>
  <c r="H123" i="61" s="1"/>
  <c r="G124" i="61"/>
  <c r="G123" i="61" s="1"/>
  <c r="F124" i="61"/>
  <c r="E124" i="61"/>
  <c r="E123" i="61" s="1"/>
  <c r="E111" i="61"/>
  <c r="F111" i="61" s="1"/>
  <c r="E106" i="61"/>
  <c r="F106" i="61" s="1"/>
  <c r="H97" i="61"/>
  <c r="G97" i="61"/>
  <c r="F97" i="61"/>
  <c r="H88" i="61"/>
  <c r="G88" i="61"/>
  <c r="F88" i="61"/>
  <c r="E88" i="61"/>
  <c r="E53" i="61"/>
  <c r="E50" i="61"/>
  <c r="F50" i="61" s="1"/>
  <c r="G50" i="61" s="1"/>
  <c r="H50" i="61" s="1"/>
  <c r="D34" i="61"/>
  <c r="D31" i="61"/>
  <c r="D21" i="61"/>
  <c r="D11" i="61"/>
  <c r="E3" i="61"/>
  <c r="F3" i="61" s="1"/>
  <c r="G3" i="61" s="1"/>
  <c r="H3" i="61" s="1"/>
  <c r="E64" i="47"/>
  <c r="E175" i="59"/>
  <c r="H212" i="59"/>
  <c r="H210" i="59" s="1"/>
  <c r="G212" i="59"/>
  <c r="G210" i="59" s="1"/>
  <c r="F212" i="59"/>
  <c r="F211" i="59"/>
  <c r="E210" i="59"/>
  <c r="H206" i="59"/>
  <c r="H205" i="59" s="1"/>
  <c r="G206" i="59"/>
  <c r="G205" i="59" s="1"/>
  <c r="F206" i="59"/>
  <c r="F205" i="59" s="1"/>
  <c r="E205" i="59"/>
  <c r="H203" i="59"/>
  <c r="G203" i="59"/>
  <c r="F203" i="59"/>
  <c r="F201" i="59" s="1"/>
  <c r="E203" i="59"/>
  <c r="E201" i="59" s="1"/>
  <c r="H201" i="59"/>
  <c r="G201" i="59"/>
  <c r="H199" i="59"/>
  <c r="H197" i="59" s="1"/>
  <c r="G199" i="59"/>
  <c r="G197" i="59" s="1"/>
  <c r="F199" i="59"/>
  <c r="F197" i="59" s="1"/>
  <c r="E199" i="59"/>
  <c r="E197" i="59" s="1"/>
  <c r="E193" i="59"/>
  <c r="G192" i="59"/>
  <c r="F192" i="59"/>
  <c r="G191" i="59"/>
  <c r="F191" i="59"/>
  <c r="E190" i="59"/>
  <c r="H187" i="59"/>
  <c r="G187" i="59"/>
  <c r="F187" i="59"/>
  <c r="E187" i="59"/>
  <c r="H185" i="59"/>
  <c r="G185" i="59"/>
  <c r="F185" i="59"/>
  <c r="E185" i="59"/>
  <c r="H183" i="59"/>
  <c r="G183" i="59"/>
  <c r="F183" i="59"/>
  <c r="E183" i="59"/>
  <c r="H181" i="59"/>
  <c r="G181" i="59"/>
  <c r="F181" i="59"/>
  <c r="F179" i="59" s="1"/>
  <c r="F51" i="59" s="1"/>
  <c r="E181" i="59"/>
  <c r="E179" i="59" s="1"/>
  <c r="E51" i="59" s="1"/>
  <c r="H179" i="59"/>
  <c r="H51" i="59" s="1"/>
  <c r="H176" i="59"/>
  <c r="H174" i="59" s="1"/>
  <c r="H170" i="59" s="1"/>
  <c r="H26" i="59" s="1"/>
  <c r="G176" i="59"/>
  <c r="F176" i="59"/>
  <c r="E176" i="59"/>
  <c r="F175" i="59"/>
  <c r="G174" i="59"/>
  <c r="G170" i="59" s="1"/>
  <c r="G26" i="59" s="1"/>
  <c r="H164" i="59"/>
  <c r="G164" i="59"/>
  <c r="F164" i="59"/>
  <c r="F159" i="59" s="1"/>
  <c r="E164" i="59"/>
  <c r="E159" i="59" s="1"/>
  <c r="E32" i="59" s="1"/>
  <c r="E35" i="59" s="1"/>
  <c r="E113" i="59"/>
  <c r="F113" i="59" s="1"/>
  <c r="H105" i="59"/>
  <c r="H96" i="59"/>
  <c r="G96" i="59"/>
  <c r="F96" i="59"/>
  <c r="E96" i="59"/>
  <c r="H95" i="59"/>
  <c r="E61" i="59"/>
  <c r="E58" i="59"/>
  <c r="F58" i="59" s="1"/>
  <c r="G58" i="59" s="1"/>
  <c r="H58" i="59" s="1"/>
  <c r="D42" i="59"/>
  <c r="D41" i="59"/>
  <c r="H40" i="59"/>
  <c r="H43" i="59" s="1"/>
  <c r="G40" i="59"/>
  <c r="G43" i="59" s="1"/>
  <c r="F40" i="59"/>
  <c r="F43" i="59" s="1"/>
  <c r="E40" i="59"/>
  <c r="D39" i="59"/>
  <c r="D38" i="59"/>
  <c r="H35" i="59"/>
  <c r="G35" i="59"/>
  <c r="F35" i="59"/>
  <c r="D34" i="59"/>
  <c r="D33" i="59"/>
  <c r="D31" i="59"/>
  <c r="D21" i="59"/>
  <c r="D11" i="59"/>
  <c r="E3" i="59"/>
  <c r="F3" i="59" s="1"/>
  <c r="G3" i="59" s="1"/>
  <c r="H3" i="59" s="1"/>
  <c r="E140" i="58"/>
  <c r="F141" i="58"/>
  <c r="G141" i="58"/>
  <c r="G139" i="58" s="1"/>
  <c r="H141" i="58"/>
  <c r="H139" i="58" s="1"/>
  <c r="E141" i="58"/>
  <c r="F142" i="58"/>
  <c r="G142" i="58"/>
  <c r="H142" i="58"/>
  <c r="E142" i="58"/>
  <c r="F106" i="58"/>
  <c r="G106" i="58" s="1"/>
  <c r="H106" i="58" s="1"/>
  <c r="E64" i="58"/>
  <c r="E68" i="58"/>
  <c r="H177" i="58"/>
  <c r="G177" i="58"/>
  <c r="F177" i="58"/>
  <c r="F176" i="58"/>
  <c r="H175" i="58"/>
  <c r="G175" i="58"/>
  <c r="E175" i="58"/>
  <c r="H171" i="58"/>
  <c r="H170" i="58" s="1"/>
  <c r="G171" i="58"/>
  <c r="G170" i="58" s="1"/>
  <c r="F171" i="58"/>
  <c r="F170" i="58" s="1"/>
  <c r="E170" i="58"/>
  <c r="H168" i="58"/>
  <c r="G168" i="58"/>
  <c r="F168" i="58"/>
  <c r="F166" i="58" s="1"/>
  <c r="E168" i="58"/>
  <c r="E166" i="58" s="1"/>
  <c r="H166" i="58"/>
  <c r="G166" i="58"/>
  <c r="H164" i="58"/>
  <c r="G164" i="58"/>
  <c r="F164" i="58"/>
  <c r="E164" i="58"/>
  <c r="E162" i="58" s="1"/>
  <c r="H162" i="58"/>
  <c r="G162" i="58"/>
  <c r="F162" i="58"/>
  <c r="E158" i="58"/>
  <c r="G157" i="58"/>
  <c r="F157" i="58"/>
  <c r="G156" i="58"/>
  <c r="F156" i="58"/>
  <c r="E155" i="58"/>
  <c r="H152" i="58"/>
  <c r="G152" i="58"/>
  <c r="F152" i="58"/>
  <c r="E152" i="58"/>
  <c r="H150" i="58"/>
  <c r="G150" i="58"/>
  <c r="F150" i="58"/>
  <c r="E150" i="58"/>
  <c r="H148" i="58"/>
  <c r="G148" i="58"/>
  <c r="F148" i="58"/>
  <c r="E148" i="58"/>
  <c r="H146" i="58"/>
  <c r="G146" i="58"/>
  <c r="F146" i="58"/>
  <c r="F144" i="58" s="1"/>
  <c r="F47" i="58" s="1"/>
  <c r="E146" i="58"/>
  <c r="E144" i="58" s="1"/>
  <c r="E47" i="58" s="1"/>
  <c r="H144" i="58"/>
  <c r="H47" i="58" s="1"/>
  <c r="G144" i="58"/>
  <c r="G47" i="58" s="1"/>
  <c r="F140" i="58"/>
  <c r="F137" i="58"/>
  <c r="H128" i="58"/>
  <c r="G128" i="58"/>
  <c r="F128" i="58"/>
  <c r="F123" i="58" s="1"/>
  <c r="E128" i="58"/>
  <c r="E123" i="58" s="1"/>
  <c r="E32" i="58" s="1"/>
  <c r="D32" i="58" s="1"/>
  <c r="E115" i="58"/>
  <c r="F115" i="58" s="1"/>
  <c r="E110" i="58"/>
  <c r="F110" i="58" s="1"/>
  <c r="H101" i="58"/>
  <c r="G101" i="58"/>
  <c r="F101" i="58"/>
  <c r="H92" i="58"/>
  <c r="G92" i="58"/>
  <c r="F92" i="58"/>
  <c r="E92" i="58"/>
  <c r="E57" i="58"/>
  <c r="E54" i="58"/>
  <c r="F54" i="58" s="1"/>
  <c r="G54" i="58" s="1"/>
  <c r="H54" i="58" s="1"/>
  <c r="G43" i="58"/>
  <c r="E43" i="58"/>
  <c r="D42" i="58"/>
  <c r="D41" i="58"/>
  <c r="H40" i="58"/>
  <c r="H43" i="58" s="1"/>
  <c r="G40" i="58"/>
  <c r="F40" i="58"/>
  <c r="F43" i="58" s="1"/>
  <c r="E40" i="58"/>
  <c r="D40" i="58"/>
  <c r="D39" i="58"/>
  <c r="D38" i="58"/>
  <c r="H35" i="58"/>
  <c r="G35" i="58"/>
  <c r="F35" i="58"/>
  <c r="D34" i="58"/>
  <c r="D33" i="58"/>
  <c r="D31" i="58"/>
  <c r="D21" i="58"/>
  <c r="D11" i="58"/>
  <c r="E3" i="58"/>
  <c r="F3" i="58" s="1"/>
  <c r="G3" i="58" s="1"/>
  <c r="H3" i="58" s="1"/>
  <c r="H158" i="64" l="1"/>
  <c r="D43" i="58"/>
  <c r="E154" i="62"/>
  <c r="E46" i="62" s="1"/>
  <c r="G161" i="58"/>
  <c r="H161" i="58"/>
  <c r="F141" i="64"/>
  <c r="F51" i="64" s="1"/>
  <c r="D51" i="64" s="1"/>
  <c r="E161" i="58"/>
  <c r="E154" i="58" s="1"/>
  <c r="E46" i="58" s="1"/>
  <c r="F161" i="58"/>
  <c r="H162" i="63"/>
  <c r="E113" i="62"/>
  <c r="E25" i="62" s="1"/>
  <c r="F139" i="62"/>
  <c r="E52" i="64"/>
  <c r="F139" i="58"/>
  <c r="F175" i="58"/>
  <c r="F136" i="64"/>
  <c r="F132" i="64" s="1"/>
  <c r="F26" i="64" s="1"/>
  <c r="D26" i="64" s="1"/>
  <c r="E139" i="58"/>
  <c r="G196" i="59"/>
  <c r="F175" i="62"/>
  <c r="E162" i="63"/>
  <c r="E155" i="63" s="1"/>
  <c r="E47" i="63" s="1"/>
  <c r="E49" i="63" s="1"/>
  <c r="F162" i="63"/>
  <c r="G162" i="63"/>
  <c r="E111" i="64"/>
  <c r="E25" i="64" s="1"/>
  <c r="E28" i="64" s="1"/>
  <c r="D32" i="62"/>
  <c r="D35" i="62" s="1"/>
  <c r="E35" i="62"/>
  <c r="D47" i="62"/>
  <c r="H196" i="59"/>
  <c r="E113" i="58"/>
  <c r="E25" i="58" s="1"/>
  <c r="F176" i="63"/>
  <c r="F172" i="64"/>
  <c r="E48" i="58"/>
  <c r="E196" i="59"/>
  <c r="E189" i="59" s="1"/>
  <c r="E50" i="59" s="1"/>
  <c r="E52" i="59" s="1"/>
  <c r="F140" i="63"/>
  <c r="F196" i="59"/>
  <c r="G179" i="59"/>
  <c r="G51" i="59" s="1"/>
  <c r="D51" i="59" s="1"/>
  <c r="F210" i="59"/>
  <c r="F174" i="59"/>
  <c r="F170" i="59" s="1"/>
  <c r="F26" i="59" s="1"/>
  <c r="E137" i="63"/>
  <c r="E135" i="63" s="1"/>
  <c r="E27" i="63" s="1"/>
  <c r="E35" i="64"/>
  <c r="D32" i="64"/>
  <c r="D35" i="64" s="1"/>
  <c r="E43" i="64"/>
  <c r="D40" i="64"/>
  <c r="D43" i="64" s="1"/>
  <c r="D46" i="64"/>
  <c r="D47" i="64" s="1"/>
  <c r="G113" i="64"/>
  <c r="F111" i="64"/>
  <c r="F25" i="64" s="1"/>
  <c r="E36" i="63"/>
  <c r="D33" i="63"/>
  <c r="D36" i="63" s="1"/>
  <c r="D48" i="63"/>
  <c r="H138" i="63"/>
  <c r="G106" i="63"/>
  <c r="F105" i="63"/>
  <c r="G116" i="63"/>
  <c r="F114" i="63"/>
  <c r="F26" i="63" s="1"/>
  <c r="E44" i="63"/>
  <c r="D41" i="63"/>
  <c r="D44" i="63" s="1"/>
  <c r="E105" i="63"/>
  <c r="E100" i="63" s="1"/>
  <c r="E21" i="63" s="1"/>
  <c r="G111" i="63"/>
  <c r="F112" i="63"/>
  <c r="F137" i="63" s="1"/>
  <c r="E114" i="63"/>
  <c r="E26" i="63" s="1"/>
  <c r="H137" i="62"/>
  <c r="E48" i="62"/>
  <c r="F104" i="62"/>
  <c r="G115" i="62"/>
  <c r="F113" i="62"/>
  <c r="F25" i="62" s="1"/>
  <c r="F43" i="62"/>
  <c r="D40" i="62"/>
  <c r="D43" i="62" s="1"/>
  <c r="G110" i="62"/>
  <c r="F111" i="62"/>
  <c r="F138" i="62" s="1"/>
  <c r="F136" i="62" s="1"/>
  <c r="E104" i="62"/>
  <c r="E99" i="62" s="1"/>
  <c r="E20" i="62" s="1"/>
  <c r="E111" i="62"/>
  <c r="E138" i="62" s="1"/>
  <c r="E136" i="62" s="1"/>
  <c r="E134" i="62" s="1"/>
  <c r="E26" i="62" s="1"/>
  <c r="E39" i="61"/>
  <c r="D38" i="61"/>
  <c r="D39" i="61" s="1"/>
  <c r="F176" i="61"/>
  <c r="G176" i="61"/>
  <c r="H176" i="61"/>
  <c r="E176" i="61"/>
  <c r="E169" i="61" s="1"/>
  <c r="E42" i="61" s="1"/>
  <c r="E44" i="61" s="1"/>
  <c r="E128" i="61"/>
  <c r="E126" i="61" s="1"/>
  <c r="F126" i="61"/>
  <c r="F135" i="61"/>
  <c r="F38" i="61" s="1"/>
  <c r="F39" i="61" s="1"/>
  <c r="E132" i="61"/>
  <c r="E33" i="61" s="1"/>
  <c r="H132" i="61"/>
  <c r="H33" i="61" s="1"/>
  <c r="H126" i="61"/>
  <c r="H119" i="61" s="1"/>
  <c r="H32" i="61" s="1"/>
  <c r="G132" i="61"/>
  <c r="G33" i="61" s="1"/>
  <c r="G126" i="61"/>
  <c r="G119" i="61" s="1"/>
  <c r="G32" i="61" s="1"/>
  <c r="F132" i="61"/>
  <c r="F33" i="61" s="1"/>
  <c r="F190" i="61"/>
  <c r="F123" i="61"/>
  <c r="D35" i="58"/>
  <c r="D32" i="59"/>
  <c r="D35" i="59" s="1"/>
  <c r="E120" i="61"/>
  <c r="E111" i="59"/>
  <c r="E25" i="59" s="1"/>
  <c r="E174" i="59"/>
  <c r="E170" i="59" s="1"/>
  <c r="E26" i="59" s="1"/>
  <c r="D43" i="61"/>
  <c r="F154" i="61"/>
  <c r="E109" i="61"/>
  <c r="E25" i="61" s="1"/>
  <c r="G106" i="61"/>
  <c r="F107" i="61"/>
  <c r="F153" i="61" s="1"/>
  <c r="F151" i="61" s="1"/>
  <c r="G152" i="61"/>
  <c r="G111" i="61"/>
  <c r="F109" i="61"/>
  <c r="F25" i="61" s="1"/>
  <c r="E107" i="61"/>
  <c r="G113" i="59"/>
  <c r="F111" i="59"/>
  <c r="F25" i="59" s="1"/>
  <c r="E43" i="59"/>
  <c r="D40" i="59"/>
  <c r="D43" i="59" s="1"/>
  <c r="G110" i="58"/>
  <c r="F138" i="58"/>
  <c r="F136" i="58"/>
  <c r="G137" i="58"/>
  <c r="D47" i="58"/>
  <c r="G115" i="58"/>
  <c r="F113" i="58"/>
  <c r="F25" i="58" s="1"/>
  <c r="E35" i="58"/>
  <c r="H126" i="56"/>
  <c r="H122" i="56" s="1"/>
  <c r="H32" i="56" s="1"/>
  <c r="H35" i="56" s="1"/>
  <c r="E126" i="56"/>
  <c r="E122" i="56" s="1"/>
  <c r="E32" i="56" s="1"/>
  <c r="H127" i="56"/>
  <c r="G127" i="56"/>
  <c r="G126" i="56" s="1"/>
  <c r="G122" i="56" s="1"/>
  <c r="G32" i="56" s="1"/>
  <c r="G35" i="56" s="1"/>
  <c r="E127" i="56"/>
  <c r="F127" i="56"/>
  <c r="F126" i="56" s="1"/>
  <c r="F122" i="56" s="1"/>
  <c r="F32" i="56" s="1"/>
  <c r="F35" i="56" s="1"/>
  <c r="F128" i="56"/>
  <c r="F132" i="56"/>
  <c r="H185" i="41"/>
  <c r="G185" i="41"/>
  <c r="F185" i="41"/>
  <c r="E46" i="41"/>
  <c r="E69" i="41"/>
  <c r="E73" i="41"/>
  <c r="G232" i="57"/>
  <c r="E224" i="57"/>
  <c r="G244" i="57"/>
  <c r="H228" i="57"/>
  <c r="G228" i="57"/>
  <c r="F228" i="57"/>
  <c r="E228" i="57"/>
  <c r="G224" i="57"/>
  <c r="G240" i="57"/>
  <c r="H215" i="57"/>
  <c r="G215" i="57"/>
  <c r="G213" i="57" s="1"/>
  <c r="F215" i="57"/>
  <c r="F214" i="57"/>
  <c r="H213" i="57"/>
  <c r="E213" i="57"/>
  <c r="H209" i="57"/>
  <c r="H208" i="57" s="1"/>
  <c r="G209" i="57"/>
  <c r="G208" i="57" s="1"/>
  <c r="F209" i="57"/>
  <c r="F208" i="57" s="1"/>
  <c r="E208" i="57"/>
  <c r="H206" i="57"/>
  <c r="G206" i="57"/>
  <c r="F206" i="57"/>
  <c r="F204" i="57" s="1"/>
  <c r="E206" i="57"/>
  <c r="E204" i="57" s="1"/>
  <c r="H204" i="57"/>
  <c r="G204" i="57"/>
  <c r="H202" i="57"/>
  <c r="H200" i="57" s="1"/>
  <c r="G202" i="57"/>
  <c r="G200" i="57" s="1"/>
  <c r="F202" i="57"/>
  <c r="F200" i="57" s="1"/>
  <c r="E202" i="57"/>
  <c r="E200" i="57" s="1"/>
  <c r="E196" i="57"/>
  <c r="G195" i="57"/>
  <c r="F195" i="57"/>
  <c r="G194" i="57"/>
  <c r="F194" i="57"/>
  <c r="E193" i="57"/>
  <c r="H190" i="57"/>
  <c r="G190" i="57"/>
  <c r="F190" i="57"/>
  <c r="E190" i="57"/>
  <c r="H188" i="57"/>
  <c r="G188" i="57"/>
  <c r="F188" i="57"/>
  <c r="E188" i="57"/>
  <c r="H186" i="57"/>
  <c r="G186" i="57"/>
  <c r="F186" i="57"/>
  <c r="E186" i="57"/>
  <c r="H184" i="57"/>
  <c r="G184" i="57"/>
  <c r="F184" i="57"/>
  <c r="F182" i="57" s="1"/>
  <c r="F57" i="57" s="1"/>
  <c r="E184" i="57"/>
  <c r="E182" i="57" s="1"/>
  <c r="E57" i="57" s="1"/>
  <c r="H179" i="57"/>
  <c r="H177" i="57" s="1"/>
  <c r="H173" i="57" s="1"/>
  <c r="G179" i="57"/>
  <c r="F179" i="57"/>
  <c r="E179" i="57"/>
  <c r="E177" i="57" s="1"/>
  <c r="E173" i="57" s="1"/>
  <c r="F178" i="57"/>
  <c r="G177" i="57"/>
  <c r="G173" i="57" s="1"/>
  <c r="E119" i="57"/>
  <c r="F119" i="57" s="1"/>
  <c r="F117" i="57" s="1"/>
  <c r="F25" i="57" s="1"/>
  <c r="H111" i="57"/>
  <c r="H102" i="57"/>
  <c r="G102" i="57"/>
  <c r="F102" i="57"/>
  <c r="E102" i="57"/>
  <c r="H101" i="57"/>
  <c r="E67" i="57"/>
  <c r="E64" i="57"/>
  <c r="F64" i="57" s="1"/>
  <c r="G64" i="57" s="1"/>
  <c r="H64" i="57" s="1"/>
  <c r="D43" i="57"/>
  <c r="D42" i="57"/>
  <c r="H41" i="57"/>
  <c r="H44" i="57" s="1"/>
  <c r="G41" i="57"/>
  <c r="G44" i="57" s="1"/>
  <c r="F41" i="57"/>
  <c r="F44" i="57" s="1"/>
  <c r="E41" i="57"/>
  <c r="E44" i="57" s="1"/>
  <c r="D40" i="57"/>
  <c r="D39" i="57"/>
  <c r="H36" i="57"/>
  <c r="G36" i="57"/>
  <c r="F36" i="57"/>
  <c r="D35" i="57"/>
  <c r="D34" i="57"/>
  <c r="D31" i="57"/>
  <c r="D21" i="57"/>
  <c r="D11" i="57"/>
  <c r="E3" i="57"/>
  <c r="F3" i="57" s="1"/>
  <c r="G3" i="57" s="1"/>
  <c r="H3" i="57" s="1"/>
  <c r="F46" i="56"/>
  <c r="G46" i="56"/>
  <c r="H46" i="56"/>
  <c r="E46" i="56"/>
  <c r="F200" i="56"/>
  <c r="G200" i="56"/>
  <c r="H200" i="56"/>
  <c r="E200" i="56"/>
  <c r="C194" i="56"/>
  <c r="E195" i="56" s="1"/>
  <c r="G195" i="56"/>
  <c r="F195" i="56"/>
  <c r="H183" i="56"/>
  <c r="G183" i="56"/>
  <c r="G181" i="56" s="1"/>
  <c r="F183" i="56"/>
  <c r="F182" i="56"/>
  <c r="H181" i="56"/>
  <c r="E181" i="56"/>
  <c r="H177" i="56"/>
  <c r="H176" i="56" s="1"/>
  <c r="G177" i="56"/>
  <c r="G176" i="56" s="1"/>
  <c r="F177" i="56"/>
  <c r="F176" i="56" s="1"/>
  <c r="E176" i="56"/>
  <c r="H174" i="56"/>
  <c r="G174" i="56"/>
  <c r="F174" i="56"/>
  <c r="F172" i="56" s="1"/>
  <c r="E174" i="56"/>
  <c r="E172" i="56" s="1"/>
  <c r="H172" i="56"/>
  <c r="G172" i="56"/>
  <c r="H170" i="56"/>
  <c r="G170" i="56"/>
  <c r="F170" i="56"/>
  <c r="F168" i="56" s="1"/>
  <c r="E170" i="56"/>
  <c r="H168" i="56"/>
  <c r="G168" i="56"/>
  <c r="E168" i="56"/>
  <c r="E164" i="56"/>
  <c r="G163" i="56"/>
  <c r="F163" i="56"/>
  <c r="G162" i="56"/>
  <c r="F162" i="56"/>
  <c r="E161" i="56"/>
  <c r="H158" i="56"/>
  <c r="G158" i="56"/>
  <c r="F158" i="56"/>
  <c r="E158" i="56"/>
  <c r="H156" i="56"/>
  <c r="G156" i="56"/>
  <c r="F156" i="56"/>
  <c r="E156" i="56"/>
  <c r="H154" i="56"/>
  <c r="G154" i="56"/>
  <c r="F154" i="56"/>
  <c r="E154" i="56"/>
  <c r="H152" i="56"/>
  <c r="G152" i="56"/>
  <c r="F152" i="56"/>
  <c r="E152" i="56"/>
  <c r="E150" i="56" s="1"/>
  <c r="E52" i="56" s="1"/>
  <c r="H150" i="56"/>
  <c r="H52" i="56" s="1"/>
  <c r="G150" i="56"/>
  <c r="G52" i="56" s="1"/>
  <c r="H147" i="56"/>
  <c r="H145" i="56" s="1"/>
  <c r="H141" i="56" s="1"/>
  <c r="H26" i="56" s="1"/>
  <c r="G147" i="56"/>
  <c r="G145" i="56" s="1"/>
  <c r="G141" i="56" s="1"/>
  <c r="G26" i="56" s="1"/>
  <c r="F147" i="56"/>
  <c r="E147" i="56"/>
  <c r="E145" i="56" s="1"/>
  <c r="E141" i="56" s="1"/>
  <c r="E26" i="56" s="1"/>
  <c r="F146" i="56"/>
  <c r="E114" i="56"/>
  <c r="E112" i="56" s="1"/>
  <c r="E25" i="56" s="1"/>
  <c r="H106" i="56"/>
  <c r="H97" i="56"/>
  <c r="G97" i="56"/>
  <c r="F97" i="56"/>
  <c r="E97" i="56"/>
  <c r="H96" i="56"/>
  <c r="E62" i="56"/>
  <c r="E59" i="56"/>
  <c r="F59" i="56" s="1"/>
  <c r="G59" i="56" s="1"/>
  <c r="H59" i="56" s="1"/>
  <c r="D42" i="56"/>
  <c r="D41" i="56"/>
  <c r="H40" i="56"/>
  <c r="H43" i="56" s="1"/>
  <c r="G40" i="56"/>
  <c r="G43" i="56" s="1"/>
  <c r="F40" i="56"/>
  <c r="F43" i="56" s="1"/>
  <c r="E40" i="56"/>
  <c r="E43" i="56" s="1"/>
  <c r="D39" i="56"/>
  <c r="D38" i="56"/>
  <c r="D34" i="56"/>
  <c r="D33" i="56"/>
  <c r="D31" i="56"/>
  <c r="D21" i="56"/>
  <c r="D11" i="56"/>
  <c r="E3" i="56"/>
  <c r="F3" i="56" s="1"/>
  <c r="G3" i="56" s="1"/>
  <c r="H3" i="56" s="1"/>
  <c r="E28" i="62" l="1"/>
  <c r="F134" i="58"/>
  <c r="F26" i="58" s="1"/>
  <c r="F134" i="62"/>
  <c r="F26" i="62" s="1"/>
  <c r="F28" i="62" s="1"/>
  <c r="F28" i="64"/>
  <c r="F150" i="56"/>
  <c r="F52" i="56" s="1"/>
  <c r="D52" i="56" s="1"/>
  <c r="F149" i="61"/>
  <c r="F26" i="61" s="1"/>
  <c r="F28" i="61" s="1"/>
  <c r="E48" i="41"/>
  <c r="D46" i="41"/>
  <c r="H182" i="57"/>
  <c r="H57" i="57" s="1"/>
  <c r="D26" i="59"/>
  <c r="F119" i="61"/>
  <c r="F32" i="61" s="1"/>
  <c r="F35" i="61" s="1"/>
  <c r="F135" i="63"/>
  <c r="F27" i="63" s="1"/>
  <c r="H26" i="57"/>
  <c r="H48" i="57"/>
  <c r="E26" i="57"/>
  <c r="G26" i="57"/>
  <c r="G48" i="57"/>
  <c r="E28" i="59"/>
  <c r="G199" i="57"/>
  <c r="G237" i="57"/>
  <c r="G52" i="57" s="1"/>
  <c r="H199" i="57"/>
  <c r="E199" i="57"/>
  <c r="E192" i="57" s="1"/>
  <c r="E56" i="57" s="1"/>
  <c r="E58" i="57" s="1"/>
  <c r="F199" i="57"/>
  <c r="G182" i="57"/>
  <c r="G57" i="57" s="1"/>
  <c r="F177" i="57"/>
  <c r="F173" i="57" s="1"/>
  <c r="G111" i="64"/>
  <c r="G25" i="64" s="1"/>
  <c r="G28" i="64" s="1"/>
  <c r="H113" i="64"/>
  <c r="H111" i="64" s="1"/>
  <c r="H25" i="64" s="1"/>
  <c r="H28" i="64" s="1"/>
  <c r="G112" i="63"/>
  <c r="G137" i="63" s="1"/>
  <c r="G135" i="63" s="1"/>
  <c r="G27" i="63" s="1"/>
  <c r="H111" i="63"/>
  <c r="H112" i="63" s="1"/>
  <c r="H137" i="63" s="1"/>
  <c r="H135" i="63" s="1"/>
  <c r="H27" i="63" s="1"/>
  <c r="G114" i="63"/>
  <c r="G26" i="63" s="1"/>
  <c r="H116" i="63"/>
  <c r="H114" i="63" s="1"/>
  <c r="H26" i="63" s="1"/>
  <c r="G105" i="63"/>
  <c r="H106" i="63"/>
  <c r="H105" i="63" s="1"/>
  <c r="E29" i="63"/>
  <c r="E23" i="63"/>
  <c r="F29" i="63"/>
  <c r="G104" i="62"/>
  <c r="H104" i="62"/>
  <c r="E22" i="62"/>
  <c r="G111" i="62"/>
  <c r="G138" i="62" s="1"/>
  <c r="G136" i="62" s="1"/>
  <c r="G134" i="62" s="1"/>
  <c r="G26" i="62" s="1"/>
  <c r="H110" i="62"/>
  <c r="H111" i="62" s="1"/>
  <c r="H138" i="62" s="1"/>
  <c r="H136" i="62" s="1"/>
  <c r="H134" i="62" s="1"/>
  <c r="H26" i="62" s="1"/>
  <c r="G113" i="62"/>
  <c r="G25" i="62" s="1"/>
  <c r="H115" i="62"/>
  <c r="H113" i="62" s="1"/>
  <c r="H25" i="62" s="1"/>
  <c r="E119" i="61"/>
  <c r="E32" i="61" s="1"/>
  <c r="H35" i="61"/>
  <c r="G35" i="61"/>
  <c r="D33" i="61"/>
  <c r="H167" i="56"/>
  <c r="F213" i="57"/>
  <c r="E153" i="61"/>
  <c r="E151" i="61" s="1"/>
  <c r="E149" i="61" s="1"/>
  <c r="E26" i="61" s="1"/>
  <c r="H152" i="61"/>
  <c r="H111" i="61"/>
  <c r="H109" i="61" s="1"/>
  <c r="H25" i="61" s="1"/>
  <c r="G109" i="61"/>
  <c r="G25" i="61" s="1"/>
  <c r="H106" i="61"/>
  <c r="H107" i="61" s="1"/>
  <c r="H153" i="61" s="1"/>
  <c r="G107" i="61"/>
  <c r="G153" i="61" s="1"/>
  <c r="G151" i="61" s="1"/>
  <c r="G149" i="61" s="1"/>
  <c r="G26" i="61" s="1"/>
  <c r="E232" i="57"/>
  <c r="E220" i="57" s="1"/>
  <c r="E51" i="57" s="1"/>
  <c r="H113" i="59"/>
  <c r="H111" i="59" s="1"/>
  <c r="H25" i="59" s="1"/>
  <c r="H28" i="59" s="1"/>
  <c r="G111" i="59"/>
  <c r="G25" i="59" s="1"/>
  <c r="G28" i="59" s="1"/>
  <c r="F28" i="59"/>
  <c r="E138" i="58"/>
  <c r="E136" i="58" s="1"/>
  <c r="E134" i="58" s="1"/>
  <c r="E26" i="58" s="1"/>
  <c r="E33" i="57"/>
  <c r="F232" i="57"/>
  <c r="H110" i="58"/>
  <c r="H138" i="58" s="1"/>
  <c r="G138" i="58"/>
  <c r="G136" i="58" s="1"/>
  <c r="G134" i="58" s="1"/>
  <c r="G26" i="58" s="1"/>
  <c r="H115" i="58"/>
  <c r="H113" i="58" s="1"/>
  <c r="H25" i="58" s="1"/>
  <c r="G113" i="58"/>
  <c r="G25" i="58" s="1"/>
  <c r="H232" i="57"/>
  <c r="F28" i="58"/>
  <c r="H137" i="58"/>
  <c r="H195" i="56"/>
  <c r="E35" i="56"/>
  <c r="G220" i="57"/>
  <c r="G51" i="57" s="1"/>
  <c r="F224" i="57"/>
  <c r="H240" i="57"/>
  <c r="D41" i="57"/>
  <c r="D44" i="57" s="1"/>
  <c r="E240" i="57"/>
  <c r="H244" i="57"/>
  <c r="F240" i="57"/>
  <c r="G119" i="57"/>
  <c r="H119" i="57" s="1"/>
  <c r="H117" i="57" s="1"/>
  <c r="H25" i="57" s="1"/>
  <c r="E117" i="57"/>
  <c r="E25" i="57" s="1"/>
  <c r="F244" i="57"/>
  <c r="E244" i="57"/>
  <c r="H224" i="57"/>
  <c r="G167" i="56"/>
  <c r="D40" i="56"/>
  <c r="D43" i="56" s="1"/>
  <c r="D32" i="56"/>
  <c r="D35" i="56" s="1"/>
  <c r="E167" i="56"/>
  <c r="E160" i="56" s="1"/>
  <c r="E51" i="56" s="1"/>
  <c r="E53" i="56" s="1"/>
  <c r="F167" i="56"/>
  <c r="F145" i="56"/>
  <c r="F141" i="56" s="1"/>
  <c r="F26" i="56" s="1"/>
  <c r="D26" i="56" s="1"/>
  <c r="F114" i="56"/>
  <c r="G114" i="56" s="1"/>
  <c r="G112" i="56" s="1"/>
  <c r="G25" i="56" s="1"/>
  <c r="G28" i="56" s="1"/>
  <c r="F181" i="56"/>
  <c r="D46" i="56"/>
  <c r="E28" i="56"/>
  <c r="E139" i="54"/>
  <c r="E137" i="54"/>
  <c r="E138" i="54"/>
  <c r="F138" i="54"/>
  <c r="G138" i="54"/>
  <c r="G136" i="54" s="1"/>
  <c r="G132" i="54" s="1"/>
  <c r="G26" i="54" s="1"/>
  <c r="H138" i="54"/>
  <c r="H136" i="54" s="1"/>
  <c r="H132" i="54" s="1"/>
  <c r="H26" i="54" s="1"/>
  <c r="H174" i="54"/>
  <c r="G174" i="54"/>
  <c r="F174" i="54"/>
  <c r="F173" i="54"/>
  <c r="H172" i="54"/>
  <c r="G172" i="54"/>
  <c r="E172" i="54"/>
  <c r="H168" i="54"/>
  <c r="H167" i="54" s="1"/>
  <c r="G168" i="54"/>
  <c r="G167" i="54" s="1"/>
  <c r="F168" i="54"/>
  <c r="F167" i="54" s="1"/>
  <c r="E167" i="54"/>
  <c r="H165" i="54"/>
  <c r="G165" i="54"/>
  <c r="F165" i="54"/>
  <c r="E165" i="54"/>
  <c r="H163" i="54"/>
  <c r="G163" i="54"/>
  <c r="F163" i="54"/>
  <c r="E163" i="54"/>
  <c r="H161" i="54"/>
  <c r="H159" i="54" s="1"/>
  <c r="H158" i="54" s="1"/>
  <c r="G161" i="54"/>
  <c r="F161" i="54"/>
  <c r="E161" i="54"/>
  <c r="E159" i="54" s="1"/>
  <c r="E158" i="54" s="1"/>
  <c r="E151" i="54" s="1"/>
  <c r="E50" i="54" s="1"/>
  <c r="G159" i="54"/>
  <c r="F159" i="54"/>
  <c r="E155" i="54"/>
  <c r="G154" i="54"/>
  <c r="F154" i="54"/>
  <c r="G153" i="54"/>
  <c r="F153" i="54"/>
  <c r="E152" i="54"/>
  <c r="H149" i="54"/>
  <c r="G149" i="54"/>
  <c r="F149" i="54"/>
  <c r="E149" i="54"/>
  <c r="H147" i="54"/>
  <c r="G147" i="54"/>
  <c r="F147" i="54"/>
  <c r="E147" i="54"/>
  <c r="H145" i="54"/>
  <c r="G145" i="54"/>
  <c r="F145" i="54"/>
  <c r="E145" i="54"/>
  <c r="H143" i="54"/>
  <c r="G143" i="54"/>
  <c r="G141" i="54" s="1"/>
  <c r="G51" i="54" s="1"/>
  <c r="F143" i="54"/>
  <c r="F141" i="54" s="1"/>
  <c r="F51" i="54" s="1"/>
  <c r="E143" i="54"/>
  <c r="E141" i="54" s="1"/>
  <c r="E51" i="54" s="1"/>
  <c r="H141" i="54"/>
  <c r="H51" i="54" s="1"/>
  <c r="F137" i="54"/>
  <c r="H126" i="54"/>
  <c r="G126" i="54"/>
  <c r="F126" i="54"/>
  <c r="F121" i="54" s="1"/>
  <c r="E126" i="54"/>
  <c r="E121" i="54" s="1"/>
  <c r="E32" i="54" s="1"/>
  <c r="E113" i="54"/>
  <c r="F113" i="54" s="1"/>
  <c r="F111" i="54" s="1"/>
  <c r="F25" i="54" s="1"/>
  <c r="H105" i="54"/>
  <c r="H95" i="54"/>
  <c r="E61" i="54"/>
  <c r="E58" i="54"/>
  <c r="F58" i="54" s="1"/>
  <c r="G58" i="54" s="1"/>
  <c r="H58" i="54" s="1"/>
  <c r="F43" i="54"/>
  <c r="D42" i="54"/>
  <c r="D41" i="54"/>
  <c r="H40" i="54"/>
  <c r="H43" i="54" s="1"/>
  <c r="G40" i="54"/>
  <c r="G43" i="54" s="1"/>
  <c r="F40" i="54"/>
  <c r="E40" i="54"/>
  <c r="E43" i="54" s="1"/>
  <c r="D40" i="54"/>
  <c r="D39" i="54"/>
  <c r="D38" i="54"/>
  <c r="H35" i="54"/>
  <c r="G35" i="54"/>
  <c r="F35" i="54"/>
  <c r="D34" i="54"/>
  <c r="D33" i="54"/>
  <c r="D31" i="54"/>
  <c r="D21" i="54"/>
  <c r="D11" i="54"/>
  <c r="E3" i="54"/>
  <c r="F3" i="54" s="1"/>
  <c r="G3" i="54" s="1"/>
  <c r="H3" i="54" s="1"/>
  <c r="H136" i="58" l="1"/>
  <c r="H134" i="58" s="1"/>
  <c r="H26" i="58" s="1"/>
  <c r="H28" i="58" s="1"/>
  <c r="D43" i="54"/>
  <c r="F158" i="54"/>
  <c r="G158" i="54"/>
  <c r="D32" i="61"/>
  <c r="D35" i="61" s="1"/>
  <c r="E136" i="54"/>
  <c r="E132" i="54" s="1"/>
  <c r="E26" i="54" s="1"/>
  <c r="D57" i="57"/>
  <c r="D48" i="41"/>
  <c r="F172" i="54"/>
  <c r="F136" i="54"/>
  <c r="F132" i="54" s="1"/>
  <c r="F26" i="54" s="1"/>
  <c r="F28" i="54" s="1"/>
  <c r="D33" i="57"/>
  <c r="D36" i="57" s="1"/>
  <c r="E36" i="57"/>
  <c r="H28" i="57"/>
  <c r="E28" i="57"/>
  <c r="F26" i="57"/>
  <c r="F28" i="57" s="1"/>
  <c r="G53" i="57"/>
  <c r="H237" i="57"/>
  <c r="E237" i="57"/>
  <c r="E52" i="57" s="1"/>
  <c r="F237" i="57"/>
  <c r="F52" i="57" s="1"/>
  <c r="F53" i="57" s="1"/>
  <c r="D25" i="59"/>
  <c r="D28" i="59" s="1"/>
  <c r="D26" i="62"/>
  <c r="D26" i="63"/>
  <c r="D25" i="64"/>
  <c r="D28" i="64" s="1"/>
  <c r="D27" i="63"/>
  <c r="H29" i="63"/>
  <c r="G29" i="63"/>
  <c r="G28" i="62"/>
  <c r="D25" i="62"/>
  <c r="H28" i="62"/>
  <c r="E35" i="61"/>
  <c r="D51" i="54"/>
  <c r="E111" i="54"/>
  <c r="E25" i="54" s="1"/>
  <c r="H151" i="61"/>
  <c r="H149" i="61" s="1"/>
  <c r="H26" i="61" s="1"/>
  <c r="H28" i="61" s="1"/>
  <c r="G28" i="61"/>
  <c r="D25" i="61"/>
  <c r="E28" i="61"/>
  <c r="G28" i="58"/>
  <c r="F220" i="57"/>
  <c r="F51" i="57" s="1"/>
  <c r="E28" i="58"/>
  <c r="D25" i="58"/>
  <c r="F47" i="56"/>
  <c r="F48" i="56" s="1"/>
  <c r="H47" i="56"/>
  <c r="H48" i="56" s="1"/>
  <c r="G47" i="56"/>
  <c r="G48" i="56" s="1"/>
  <c r="H52" i="57"/>
  <c r="H220" i="57"/>
  <c r="H51" i="57" s="1"/>
  <c r="G117" i="57"/>
  <c r="G25" i="57" s="1"/>
  <c r="G28" i="57" s="1"/>
  <c r="E47" i="56"/>
  <c r="E48" i="56" s="1"/>
  <c r="H114" i="56"/>
  <c r="H112" i="56" s="1"/>
  <c r="H25" i="56" s="1"/>
  <c r="H28" i="56" s="1"/>
  <c r="F112" i="56"/>
  <c r="F25" i="56" s="1"/>
  <c r="F28" i="56" s="1"/>
  <c r="D32" i="54"/>
  <c r="D35" i="54" s="1"/>
  <c r="E35" i="54"/>
  <c r="E52" i="54"/>
  <c r="G113" i="54"/>
  <c r="F95" i="53"/>
  <c r="G95" i="53"/>
  <c r="H95" i="53" s="1"/>
  <c r="H68" i="53"/>
  <c r="F68" i="53"/>
  <c r="G68" i="53"/>
  <c r="E68" i="53"/>
  <c r="H182" i="53"/>
  <c r="G182" i="53"/>
  <c r="G46" i="53" s="1"/>
  <c r="G47" i="53" s="1"/>
  <c r="F182" i="53"/>
  <c r="F46" i="53" s="1"/>
  <c r="F47" i="53" s="1"/>
  <c r="E182" i="53"/>
  <c r="E46" i="53" s="1"/>
  <c r="E47" i="53" s="1"/>
  <c r="H174" i="53"/>
  <c r="G174" i="53"/>
  <c r="G172" i="53" s="1"/>
  <c r="F174" i="53"/>
  <c r="F173" i="53"/>
  <c r="H172" i="53"/>
  <c r="E172" i="53"/>
  <c r="H168" i="53"/>
  <c r="H167" i="53" s="1"/>
  <c r="G168" i="53"/>
  <c r="G167" i="53" s="1"/>
  <c r="F168" i="53"/>
  <c r="F167" i="53" s="1"/>
  <c r="E167" i="53"/>
  <c r="H165" i="53"/>
  <c r="G165" i="53"/>
  <c r="G163" i="53" s="1"/>
  <c r="F165" i="53"/>
  <c r="F163" i="53" s="1"/>
  <c r="E165" i="53"/>
  <c r="E163" i="53" s="1"/>
  <c r="H163" i="53"/>
  <c r="H161" i="53"/>
  <c r="G161" i="53"/>
  <c r="F161" i="53"/>
  <c r="E161" i="53"/>
  <c r="H159" i="53"/>
  <c r="G159" i="53"/>
  <c r="F159" i="53"/>
  <c r="E159" i="53"/>
  <c r="E155" i="53"/>
  <c r="G154" i="53"/>
  <c r="F154" i="53"/>
  <c r="G153" i="53"/>
  <c r="F153" i="53"/>
  <c r="E152" i="53"/>
  <c r="H149" i="53"/>
  <c r="G149" i="53"/>
  <c r="F149" i="53"/>
  <c r="E149" i="53"/>
  <c r="H147" i="53"/>
  <c r="G147" i="53"/>
  <c r="F147" i="53"/>
  <c r="E147" i="53"/>
  <c r="H145" i="53"/>
  <c r="G145" i="53"/>
  <c r="F145" i="53"/>
  <c r="E145" i="53"/>
  <c r="H143" i="53"/>
  <c r="G143" i="53"/>
  <c r="F143" i="53"/>
  <c r="E143" i="53"/>
  <c r="H141" i="53"/>
  <c r="H51" i="53" s="1"/>
  <c r="G141" i="53"/>
  <c r="G51" i="53" s="1"/>
  <c r="F141" i="53"/>
  <c r="F51" i="53" s="1"/>
  <c r="E141" i="53"/>
  <c r="E51" i="53" s="1"/>
  <c r="H138" i="53"/>
  <c r="H136" i="53" s="1"/>
  <c r="H132" i="53" s="1"/>
  <c r="H26" i="53" s="1"/>
  <c r="G138" i="53"/>
  <c r="F138" i="53"/>
  <c r="E138" i="53"/>
  <c r="E136" i="53" s="1"/>
  <c r="E132" i="53" s="1"/>
  <c r="E26" i="53" s="1"/>
  <c r="F137" i="53"/>
  <c r="G136" i="53"/>
  <c r="G132" i="53" s="1"/>
  <c r="G26" i="53" s="1"/>
  <c r="H126" i="53"/>
  <c r="G126" i="53"/>
  <c r="F126" i="53"/>
  <c r="F121" i="53" s="1"/>
  <c r="E126" i="53"/>
  <c r="E121" i="53" s="1"/>
  <c r="E32" i="53" s="1"/>
  <c r="E35" i="53" s="1"/>
  <c r="E113" i="53"/>
  <c r="F113" i="53" s="1"/>
  <c r="F111" i="53" s="1"/>
  <c r="F25" i="53" s="1"/>
  <c r="H105" i="53"/>
  <c r="H96" i="53"/>
  <c r="G96" i="53"/>
  <c r="F96" i="53"/>
  <c r="E96" i="53"/>
  <c r="E61" i="53"/>
  <c r="E58" i="53"/>
  <c r="F58" i="53" s="1"/>
  <c r="G58" i="53" s="1"/>
  <c r="H58" i="53" s="1"/>
  <c r="H47" i="53"/>
  <c r="H46" i="53"/>
  <c r="G43" i="53"/>
  <c r="F43" i="53"/>
  <c r="D42" i="53"/>
  <c r="D41" i="53"/>
  <c r="H40" i="53"/>
  <c r="H43" i="53" s="1"/>
  <c r="G40" i="53"/>
  <c r="F40" i="53"/>
  <c r="E40" i="53"/>
  <c r="E43" i="53" s="1"/>
  <c r="D40" i="53"/>
  <c r="D39" i="53"/>
  <c r="D38" i="53"/>
  <c r="H35" i="53"/>
  <c r="G35" i="53"/>
  <c r="F35" i="53"/>
  <c r="D34" i="53"/>
  <c r="D33" i="53"/>
  <c r="D31" i="53"/>
  <c r="D21" i="53"/>
  <c r="D11" i="53"/>
  <c r="E3" i="53"/>
  <c r="F3" i="53" s="1"/>
  <c r="G3" i="53" s="1"/>
  <c r="H3" i="53" s="1"/>
  <c r="G95" i="52"/>
  <c r="H95" i="52" s="1"/>
  <c r="E95" i="52"/>
  <c r="F95" i="52" s="1"/>
  <c r="H68" i="52"/>
  <c r="G68" i="52"/>
  <c r="F68" i="52"/>
  <c r="E68" i="52"/>
  <c r="H182" i="52"/>
  <c r="G182" i="52"/>
  <c r="F182" i="52"/>
  <c r="E182" i="52"/>
  <c r="E46" i="52" s="1"/>
  <c r="D46" i="52" s="1"/>
  <c r="D47" i="52" s="1"/>
  <c r="H174" i="52"/>
  <c r="G174" i="52"/>
  <c r="F174" i="52"/>
  <c r="F173" i="52"/>
  <c r="H172" i="52"/>
  <c r="G172" i="52"/>
  <c r="E172" i="52"/>
  <c r="H168" i="52"/>
  <c r="H167" i="52" s="1"/>
  <c r="G168" i="52"/>
  <c r="G167" i="52" s="1"/>
  <c r="F168" i="52"/>
  <c r="F167" i="52" s="1"/>
  <c r="E167" i="52"/>
  <c r="H165" i="52"/>
  <c r="H163" i="52" s="1"/>
  <c r="G165" i="52"/>
  <c r="G163" i="52" s="1"/>
  <c r="F165" i="52"/>
  <c r="F163" i="52" s="1"/>
  <c r="E165" i="52"/>
  <c r="E163" i="52" s="1"/>
  <c r="H161" i="52"/>
  <c r="G161" i="52"/>
  <c r="F161" i="52"/>
  <c r="E161" i="52"/>
  <c r="E159" i="52" s="1"/>
  <c r="H159" i="52"/>
  <c r="H158" i="52" s="1"/>
  <c r="G159" i="52"/>
  <c r="F159" i="52"/>
  <c r="E155" i="52"/>
  <c r="G154" i="52"/>
  <c r="F154" i="52"/>
  <c r="G153" i="52"/>
  <c r="F153" i="52"/>
  <c r="E152" i="52"/>
  <c r="H149" i="52"/>
  <c r="G149" i="52"/>
  <c r="F149" i="52"/>
  <c r="E149" i="52"/>
  <c r="H147" i="52"/>
  <c r="G147" i="52"/>
  <c r="F147" i="52"/>
  <c r="E147" i="52"/>
  <c r="H145" i="52"/>
  <c r="G145" i="52"/>
  <c r="F145" i="52"/>
  <c r="E145" i="52"/>
  <c r="H143" i="52"/>
  <c r="G143" i="52"/>
  <c r="G141" i="52" s="1"/>
  <c r="G51" i="52" s="1"/>
  <c r="F143" i="52"/>
  <c r="F141" i="52" s="1"/>
  <c r="F51" i="52" s="1"/>
  <c r="E143" i="52"/>
  <c r="E141" i="52" s="1"/>
  <c r="E51" i="52" s="1"/>
  <c r="H141" i="52"/>
  <c r="H51" i="52" s="1"/>
  <c r="H138" i="52"/>
  <c r="H136" i="52" s="1"/>
  <c r="H132" i="52" s="1"/>
  <c r="H26" i="52" s="1"/>
  <c r="G138" i="52"/>
  <c r="G136" i="52" s="1"/>
  <c r="G132" i="52" s="1"/>
  <c r="G26" i="52" s="1"/>
  <c r="F138" i="52"/>
  <c r="E138" i="52"/>
  <c r="E136" i="52" s="1"/>
  <c r="E132" i="52" s="1"/>
  <c r="E26" i="52" s="1"/>
  <c r="F137" i="52"/>
  <c r="H126" i="52"/>
  <c r="G126" i="52"/>
  <c r="F126" i="52"/>
  <c r="F121" i="52" s="1"/>
  <c r="E126" i="52"/>
  <c r="E121" i="52" s="1"/>
  <c r="E32" i="52" s="1"/>
  <c r="E113" i="52"/>
  <c r="F113" i="52" s="1"/>
  <c r="F111" i="52" s="1"/>
  <c r="F25" i="52" s="1"/>
  <c r="H105" i="52"/>
  <c r="G105" i="52"/>
  <c r="F105" i="52"/>
  <c r="H96" i="52"/>
  <c r="G96" i="52"/>
  <c r="F96" i="52"/>
  <c r="E96" i="52"/>
  <c r="E61" i="52"/>
  <c r="E58" i="52"/>
  <c r="F58" i="52" s="1"/>
  <c r="G58" i="52" s="1"/>
  <c r="H58" i="52" s="1"/>
  <c r="H47" i="52"/>
  <c r="H46" i="52"/>
  <c r="G46" i="52"/>
  <c r="G47" i="52" s="1"/>
  <c r="F46" i="52"/>
  <c r="F47" i="52" s="1"/>
  <c r="D42" i="52"/>
  <c r="D41" i="52"/>
  <c r="H40" i="52"/>
  <c r="H43" i="52" s="1"/>
  <c r="G40" i="52"/>
  <c r="G43" i="52" s="1"/>
  <c r="F40" i="52"/>
  <c r="F43" i="52" s="1"/>
  <c r="E40" i="52"/>
  <c r="E43" i="52" s="1"/>
  <c r="D39" i="52"/>
  <c r="D38" i="52"/>
  <c r="H35" i="52"/>
  <c r="G35" i="52"/>
  <c r="F35" i="52"/>
  <c r="D34" i="52"/>
  <c r="D33" i="52"/>
  <c r="D31" i="52"/>
  <c r="D21" i="52"/>
  <c r="D11" i="52"/>
  <c r="E3" i="52"/>
  <c r="F3" i="52" s="1"/>
  <c r="G3" i="52" s="1"/>
  <c r="H3" i="52" s="1"/>
  <c r="E95" i="51"/>
  <c r="E68" i="51"/>
  <c r="H182" i="51"/>
  <c r="H46" i="51" s="1"/>
  <c r="H47" i="51" s="1"/>
  <c r="G182" i="51"/>
  <c r="G46" i="51" s="1"/>
  <c r="G47" i="51" s="1"/>
  <c r="F182" i="51"/>
  <c r="E182" i="51"/>
  <c r="H174" i="51"/>
  <c r="G174" i="51"/>
  <c r="G172" i="51" s="1"/>
  <c r="F174" i="51"/>
  <c r="F173" i="51"/>
  <c r="H172" i="51"/>
  <c r="E172" i="51"/>
  <c r="H168" i="51"/>
  <c r="H167" i="51" s="1"/>
  <c r="G168" i="51"/>
  <c r="G167" i="51" s="1"/>
  <c r="F168" i="51"/>
  <c r="F167" i="51" s="1"/>
  <c r="E167" i="51"/>
  <c r="H165" i="51"/>
  <c r="G165" i="51"/>
  <c r="F165" i="51"/>
  <c r="E165" i="51"/>
  <c r="E163" i="51" s="1"/>
  <c r="H163" i="51"/>
  <c r="G163" i="51"/>
  <c r="F163" i="51"/>
  <c r="H161" i="51"/>
  <c r="G161" i="51"/>
  <c r="F161" i="51"/>
  <c r="E161" i="51"/>
  <c r="E159" i="51" s="1"/>
  <c r="H159" i="51"/>
  <c r="H158" i="51" s="1"/>
  <c r="G159" i="51"/>
  <c r="F159" i="51"/>
  <c r="E155" i="51"/>
  <c r="G154" i="51"/>
  <c r="F154" i="51"/>
  <c r="G153" i="51"/>
  <c r="F153" i="51"/>
  <c r="E152" i="51"/>
  <c r="H149" i="51"/>
  <c r="G149" i="51"/>
  <c r="F149" i="51"/>
  <c r="E149" i="51"/>
  <c r="H147" i="51"/>
  <c r="G147" i="51"/>
  <c r="F147" i="51"/>
  <c r="E147" i="51"/>
  <c r="H145" i="51"/>
  <c r="G145" i="51"/>
  <c r="F145" i="51"/>
  <c r="E145" i="51"/>
  <c r="H143" i="51"/>
  <c r="G143" i="51"/>
  <c r="F143" i="51"/>
  <c r="E143" i="51"/>
  <c r="E141" i="51" s="1"/>
  <c r="E51" i="51" s="1"/>
  <c r="H141" i="51"/>
  <c r="H51" i="51" s="1"/>
  <c r="G141" i="51"/>
  <c r="G51" i="51" s="1"/>
  <c r="H138" i="51"/>
  <c r="H136" i="51" s="1"/>
  <c r="H132" i="51" s="1"/>
  <c r="H26" i="51" s="1"/>
  <c r="G138" i="51"/>
  <c r="F138" i="51"/>
  <c r="E138" i="51"/>
  <c r="E136" i="51" s="1"/>
  <c r="E132" i="51" s="1"/>
  <c r="E26" i="51" s="1"/>
  <c r="F137" i="51"/>
  <c r="G136" i="51"/>
  <c r="G132" i="51" s="1"/>
  <c r="G26" i="51" s="1"/>
  <c r="H126" i="51"/>
  <c r="G126" i="51"/>
  <c r="F126" i="51"/>
  <c r="F121" i="51" s="1"/>
  <c r="E126" i="51"/>
  <c r="E121" i="51" s="1"/>
  <c r="E32" i="51" s="1"/>
  <c r="D32" i="51" s="1"/>
  <c r="E113" i="51"/>
  <c r="F113" i="51" s="1"/>
  <c r="H105" i="51"/>
  <c r="G105" i="51"/>
  <c r="F105" i="51"/>
  <c r="H96" i="51"/>
  <c r="G96" i="51"/>
  <c r="F96" i="51"/>
  <c r="E96" i="51"/>
  <c r="E61" i="51"/>
  <c r="E58" i="51"/>
  <c r="F58" i="51" s="1"/>
  <c r="G58" i="51" s="1"/>
  <c r="H58" i="51" s="1"/>
  <c r="F46" i="51"/>
  <c r="E46" i="51"/>
  <c r="E47" i="51" s="1"/>
  <c r="E43" i="51"/>
  <c r="D42" i="51"/>
  <c r="D41" i="51"/>
  <c r="H40" i="51"/>
  <c r="H43" i="51" s="1"/>
  <c r="G40" i="51"/>
  <c r="G43" i="51" s="1"/>
  <c r="F40" i="51"/>
  <c r="F43" i="51" s="1"/>
  <c r="E40" i="51"/>
  <c r="D39" i="51"/>
  <c r="D38" i="51"/>
  <c r="H35" i="51"/>
  <c r="G35" i="51"/>
  <c r="F35" i="51"/>
  <c r="D34" i="51"/>
  <c r="D33" i="51"/>
  <c r="D31" i="51"/>
  <c r="D21" i="51"/>
  <c r="D11" i="51"/>
  <c r="E3" i="51"/>
  <c r="F3" i="51" s="1"/>
  <c r="G3" i="51" s="1"/>
  <c r="H3" i="51" s="1"/>
  <c r="D46" i="51" l="1"/>
  <c r="D47" i="51" s="1"/>
  <c r="D26" i="58"/>
  <c r="E158" i="51"/>
  <c r="E151" i="51" s="1"/>
  <c r="E50" i="51" s="1"/>
  <c r="F158" i="51"/>
  <c r="E111" i="51"/>
  <c r="E25" i="51" s="1"/>
  <c r="F141" i="51"/>
  <c r="F51" i="51" s="1"/>
  <c r="D51" i="51" s="1"/>
  <c r="F172" i="51"/>
  <c r="G158" i="51"/>
  <c r="E158" i="53"/>
  <c r="E151" i="53" s="1"/>
  <c r="E50" i="53" s="1"/>
  <c r="E52" i="53" s="1"/>
  <c r="E28" i="54"/>
  <c r="G158" i="53"/>
  <c r="F136" i="52"/>
  <c r="F132" i="52" s="1"/>
  <c r="F26" i="52" s="1"/>
  <c r="F28" i="52" s="1"/>
  <c r="H158" i="53"/>
  <c r="F158" i="53"/>
  <c r="D32" i="53"/>
  <c r="D35" i="53" s="1"/>
  <c r="F172" i="53"/>
  <c r="E111" i="52"/>
  <c r="E25" i="52" s="1"/>
  <c r="E28" i="52" s="1"/>
  <c r="F158" i="52"/>
  <c r="G158" i="52"/>
  <c r="F172" i="52"/>
  <c r="F136" i="53"/>
  <c r="F132" i="53" s="1"/>
  <c r="F26" i="53" s="1"/>
  <c r="D26" i="53" s="1"/>
  <c r="E111" i="53"/>
  <c r="E25" i="53" s="1"/>
  <c r="E28" i="53" s="1"/>
  <c r="D47" i="56"/>
  <c r="D48" i="56" s="1"/>
  <c r="D26" i="57"/>
  <c r="D48" i="57"/>
  <c r="F48" i="57"/>
  <c r="D28" i="62"/>
  <c r="D29" i="63"/>
  <c r="D26" i="61"/>
  <c r="D28" i="61" s="1"/>
  <c r="E158" i="52"/>
  <c r="E151" i="52" s="1"/>
  <c r="E50" i="52" s="1"/>
  <c r="E52" i="52" s="1"/>
  <c r="F136" i="51"/>
  <c r="F132" i="51" s="1"/>
  <c r="F26" i="51" s="1"/>
  <c r="D26" i="51" s="1"/>
  <c r="D51" i="53"/>
  <c r="D51" i="57"/>
  <c r="G220" i="59"/>
  <c r="G46" i="59" s="1"/>
  <c r="G47" i="59" s="1"/>
  <c r="F220" i="59"/>
  <c r="F46" i="59" s="1"/>
  <c r="F47" i="59" s="1"/>
  <c r="E220" i="59"/>
  <c r="E46" i="59" s="1"/>
  <c r="H220" i="59"/>
  <c r="H46" i="59" s="1"/>
  <c r="H47" i="59" s="1"/>
  <c r="D28" i="58"/>
  <c r="D52" i="57"/>
  <c r="H53" i="57"/>
  <c r="D25" i="57"/>
  <c r="E53" i="57"/>
  <c r="D25" i="56"/>
  <c r="D28" i="56" s="1"/>
  <c r="D26" i="54"/>
  <c r="H113" i="54"/>
  <c r="H111" i="54" s="1"/>
  <c r="H25" i="54" s="1"/>
  <c r="H28" i="54" s="1"/>
  <c r="G111" i="54"/>
  <c r="G25" i="54" s="1"/>
  <c r="G113" i="53"/>
  <c r="D43" i="53"/>
  <c r="D46" i="53"/>
  <c r="D47" i="53" s="1"/>
  <c r="D32" i="52"/>
  <c r="D35" i="52" s="1"/>
  <c r="E35" i="52"/>
  <c r="D51" i="52"/>
  <c r="E47" i="52"/>
  <c r="G113" i="52"/>
  <c r="D40" i="52"/>
  <c r="D43" i="52" s="1"/>
  <c r="G113" i="51"/>
  <c r="F111" i="51"/>
  <c r="F25" i="51" s="1"/>
  <c r="D35" i="51"/>
  <c r="E52" i="51"/>
  <c r="E35" i="51"/>
  <c r="F47" i="51"/>
  <c r="E28" i="51"/>
  <c r="D40" i="51"/>
  <c r="D43" i="51" s="1"/>
  <c r="E108" i="50"/>
  <c r="F108" i="50" s="1"/>
  <c r="G108" i="50" s="1"/>
  <c r="H108" i="50" s="1"/>
  <c r="H174" i="50"/>
  <c r="G174" i="50"/>
  <c r="G172" i="50" s="1"/>
  <c r="F174" i="50"/>
  <c r="F173" i="50"/>
  <c r="H172" i="50"/>
  <c r="E172" i="50"/>
  <c r="H168" i="50"/>
  <c r="H167" i="50" s="1"/>
  <c r="G168" i="50"/>
  <c r="G167" i="50" s="1"/>
  <c r="F168" i="50"/>
  <c r="F167" i="50" s="1"/>
  <c r="E167" i="50"/>
  <c r="H165" i="50"/>
  <c r="H163" i="50" s="1"/>
  <c r="G165" i="50"/>
  <c r="G163" i="50" s="1"/>
  <c r="F165" i="50"/>
  <c r="F163" i="50" s="1"/>
  <c r="E165" i="50"/>
  <c r="E163" i="50" s="1"/>
  <c r="H161" i="50"/>
  <c r="H159" i="50" s="1"/>
  <c r="G161" i="50"/>
  <c r="G159" i="50" s="1"/>
  <c r="F161" i="50"/>
  <c r="F159" i="50" s="1"/>
  <c r="E161" i="50"/>
  <c r="E159" i="50" s="1"/>
  <c r="E155" i="50"/>
  <c r="G154" i="50"/>
  <c r="F154" i="50"/>
  <c r="G153" i="50"/>
  <c r="F153" i="50"/>
  <c r="E152" i="50"/>
  <c r="H149" i="50"/>
  <c r="G149" i="50"/>
  <c r="F149" i="50"/>
  <c r="E149" i="50"/>
  <c r="H147" i="50"/>
  <c r="G147" i="50"/>
  <c r="F147" i="50"/>
  <c r="E147" i="50"/>
  <c r="H145" i="50"/>
  <c r="G145" i="50"/>
  <c r="F145" i="50"/>
  <c r="E145" i="50"/>
  <c r="H143" i="50"/>
  <c r="H141" i="50" s="1"/>
  <c r="H51" i="50" s="1"/>
  <c r="G143" i="50"/>
  <c r="G141" i="50" s="1"/>
  <c r="G51" i="50" s="1"/>
  <c r="F143" i="50"/>
  <c r="F141" i="50" s="1"/>
  <c r="F51" i="50" s="1"/>
  <c r="E143" i="50"/>
  <c r="E141" i="50" s="1"/>
  <c r="E51" i="50" s="1"/>
  <c r="H138" i="50"/>
  <c r="H136" i="50" s="1"/>
  <c r="H132" i="50" s="1"/>
  <c r="H26" i="50" s="1"/>
  <c r="G138" i="50"/>
  <c r="F138" i="50"/>
  <c r="E138" i="50"/>
  <c r="E136" i="50" s="1"/>
  <c r="E132" i="50" s="1"/>
  <c r="E26" i="50" s="1"/>
  <c r="F137" i="50"/>
  <c r="G136" i="50"/>
  <c r="G132" i="50" s="1"/>
  <c r="G26" i="50" s="1"/>
  <c r="H126" i="50"/>
  <c r="G126" i="50"/>
  <c r="F126" i="50"/>
  <c r="F121" i="50" s="1"/>
  <c r="E126" i="50"/>
  <c r="E121" i="50" s="1"/>
  <c r="E32" i="50" s="1"/>
  <c r="D32" i="50" s="1"/>
  <c r="E113" i="50"/>
  <c r="F113" i="50" s="1"/>
  <c r="H105" i="50"/>
  <c r="G105" i="50"/>
  <c r="F105" i="50"/>
  <c r="H96" i="50"/>
  <c r="G96" i="50"/>
  <c r="F96" i="50"/>
  <c r="E96" i="50"/>
  <c r="E61" i="50"/>
  <c r="E58" i="50"/>
  <c r="F58" i="50" s="1"/>
  <c r="G58" i="50" s="1"/>
  <c r="H58" i="50" s="1"/>
  <c r="H43" i="50"/>
  <c r="D42" i="50"/>
  <c r="D41" i="50"/>
  <c r="H40" i="50"/>
  <c r="G40" i="50"/>
  <c r="G43" i="50" s="1"/>
  <c r="F40" i="50"/>
  <c r="F43" i="50" s="1"/>
  <c r="E40" i="50"/>
  <c r="E43" i="50" s="1"/>
  <c r="D39" i="50"/>
  <c r="D38" i="50"/>
  <c r="H35" i="50"/>
  <c r="G35" i="50"/>
  <c r="F35" i="50"/>
  <c r="D34" i="50"/>
  <c r="D33" i="50"/>
  <c r="D31" i="50"/>
  <c r="D21" i="50"/>
  <c r="D11" i="50"/>
  <c r="E3" i="50"/>
  <c r="F3" i="50" s="1"/>
  <c r="G3" i="50" s="1"/>
  <c r="H3" i="50" s="1"/>
  <c r="F40" i="48"/>
  <c r="G40" i="48"/>
  <c r="H40" i="48"/>
  <c r="E40" i="48"/>
  <c r="E158" i="50" l="1"/>
  <c r="E151" i="50" s="1"/>
  <c r="E50" i="50" s="1"/>
  <c r="E52" i="50" s="1"/>
  <c r="F158" i="50"/>
  <c r="G158" i="50"/>
  <c r="H158" i="50"/>
  <c r="F28" i="53"/>
  <c r="D26" i="52"/>
  <c r="E111" i="50"/>
  <c r="E25" i="50" s="1"/>
  <c r="E28" i="50" s="1"/>
  <c r="F172" i="50"/>
  <c r="F136" i="50"/>
  <c r="F132" i="50" s="1"/>
  <c r="F26" i="50" s="1"/>
  <c r="D26" i="50" s="1"/>
  <c r="F28" i="51"/>
  <c r="D28" i="57"/>
  <c r="D53" i="57"/>
  <c r="D46" i="59"/>
  <c r="D47" i="59" s="1"/>
  <c r="E47" i="59"/>
  <c r="G28" i="54"/>
  <c r="D25" i="54"/>
  <c r="D28" i="54" s="1"/>
  <c r="H113" i="53"/>
  <c r="H111" i="53" s="1"/>
  <c r="H25" i="53" s="1"/>
  <c r="H28" i="53" s="1"/>
  <c r="G111" i="53"/>
  <c r="G25" i="53" s="1"/>
  <c r="H113" i="52"/>
  <c r="H111" i="52" s="1"/>
  <c r="H25" i="52" s="1"/>
  <c r="H28" i="52" s="1"/>
  <c r="G111" i="52"/>
  <c r="G25" i="52" s="1"/>
  <c r="H113" i="51"/>
  <c r="H111" i="51" s="1"/>
  <c r="H25" i="51" s="1"/>
  <c r="H28" i="51" s="1"/>
  <c r="G111" i="51"/>
  <c r="G25" i="51" s="1"/>
  <c r="G28" i="51" s="1"/>
  <c r="F111" i="50"/>
  <c r="F25" i="50" s="1"/>
  <c r="F28" i="50" s="1"/>
  <c r="G113" i="50"/>
  <c r="D51" i="50"/>
  <c r="D35" i="50"/>
  <c r="E35" i="50"/>
  <c r="D40" i="50"/>
  <c r="D43" i="50" s="1"/>
  <c r="G28" i="53" l="1"/>
  <c r="D25" i="53"/>
  <c r="D28" i="53" s="1"/>
  <c r="G28" i="52"/>
  <c r="D25" i="52"/>
  <c r="D28" i="52" s="1"/>
  <c r="D25" i="51"/>
  <c r="D28" i="51" s="1"/>
  <c r="H113" i="50"/>
  <c r="H111" i="50" s="1"/>
  <c r="H25" i="50" s="1"/>
  <c r="H28" i="50" s="1"/>
  <c r="G111" i="50"/>
  <c r="G25" i="50" s="1"/>
  <c r="G28" i="50" l="1"/>
  <c r="D25" i="50"/>
  <c r="D28" i="50" s="1"/>
  <c r="E68" i="48" l="1"/>
  <c r="E72" i="48"/>
  <c r="H174" i="48"/>
  <c r="G174" i="48"/>
  <c r="G172" i="48" s="1"/>
  <c r="F174" i="48"/>
  <c r="F173" i="48"/>
  <c r="E172" i="48"/>
  <c r="H168" i="48"/>
  <c r="H167" i="48" s="1"/>
  <c r="G168" i="48"/>
  <c r="G167" i="48" s="1"/>
  <c r="F168" i="48"/>
  <c r="F167" i="48" s="1"/>
  <c r="E167" i="48"/>
  <c r="H165" i="48"/>
  <c r="G165" i="48"/>
  <c r="F165" i="48"/>
  <c r="F163" i="48" s="1"/>
  <c r="E165" i="48"/>
  <c r="E163" i="48" s="1"/>
  <c r="H163" i="48"/>
  <c r="G163" i="48"/>
  <c r="H161" i="48"/>
  <c r="G161" i="48"/>
  <c r="F161" i="48"/>
  <c r="E161" i="48"/>
  <c r="H159" i="48"/>
  <c r="G159" i="48"/>
  <c r="F159" i="48"/>
  <c r="E159" i="48"/>
  <c r="E155" i="48"/>
  <c r="G154" i="48"/>
  <c r="F154" i="48"/>
  <c r="G153" i="48"/>
  <c r="F153" i="48"/>
  <c r="E152" i="48"/>
  <c r="H149" i="48"/>
  <c r="G149" i="48"/>
  <c r="F149" i="48"/>
  <c r="E149" i="48"/>
  <c r="H147" i="48"/>
  <c r="G147" i="48"/>
  <c r="F147" i="48"/>
  <c r="E147" i="48"/>
  <c r="H145" i="48"/>
  <c r="G145" i="48"/>
  <c r="F145" i="48"/>
  <c r="E145" i="48"/>
  <c r="H143" i="48"/>
  <c r="H141" i="48" s="1"/>
  <c r="H51" i="48" s="1"/>
  <c r="G143" i="48"/>
  <c r="G141" i="48" s="1"/>
  <c r="G51" i="48" s="1"/>
  <c r="F143" i="48"/>
  <c r="F141" i="48" s="1"/>
  <c r="F51" i="48" s="1"/>
  <c r="E143" i="48"/>
  <c r="E141" i="48" s="1"/>
  <c r="E51" i="48" s="1"/>
  <c r="H138" i="48"/>
  <c r="H136" i="48" s="1"/>
  <c r="H132" i="48" s="1"/>
  <c r="H26" i="48" s="1"/>
  <c r="G138" i="48"/>
  <c r="F138" i="48"/>
  <c r="E138" i="48"/>
  <c r="E136" i="48" s="1"/>
  <c r="E132" i="48" s="1"/>
  <c r="E26" i="48" s="1"/>
  <c r="F137" i="48"/>
  <c r="G136" i="48"/>
  <c r="G132" i="48" s="1"/>
  <c r="G26" i="48" s="1"/>
  <c r="H126" i="48"/>
  <c r="G126" i="48"/>
  <c r="F126" i="48"/>
  <c r="F121" i="48" s="1"/>
  <c r="E126" i="48"/>
  <c r="E121" i="48" s="1"/>
  <c r="E32" i="48" s="1"/>
  <c r="E35" i="48" s="1"/>
  <c r="E113" i="48"/>
  <c r="F113" i="48" s="1"/>
  <c r="F111" i="48" s="1"/>
  <c r="F25" i="48" s="1"/>
  <c r="H105" i="48"/>
  <c r="G105" i="48"/>
  <c r="F105" i="48"/>
  <c r="H96" i="48"/>
  <c r="G96" i="48"/>
  <c r="F96" i="48"/>
  <c r="E96" i="48"/>
  <c r="E61" i="48"/>
  <c r="E58" i="48"/>
  <c r="F58" i="48" s="1"/>
  <c r="G58" i="48" s="1"/>
  <c r="H58" i="48" s="1"/>
  <c r="D42" i="48"/>
  <c r="D41" i="48"/>
  <c r="H43" i="48"/>
  <c r="G43" i="48"/>
  <c r="F43" i="48"/>
  <c r="D39" i="48"/>
  <c r="D38" i="48"/>
  <c r="H35" i="48"/>
  <c r="G35" i="48"/>
  <c r="F35" i="48"/>
  <c r="D34" i="48"/>
  <c r="D33" i="48"/>
  <c r="D31" i="48"/>
  <c r="D21" i="48"/>
  <c r="D11" i="48"/>
  <c r="E3" i="48"/>
  <c r="F3" i="48" s="1"/>
  <c r="G3" i="48" s="1"/>
  <c r="H3" i="48" s="1"/>
  <c r="H172" i="48" l="1"/>
  <c r="E158" i="48"/>
  <c r="E151" i="48" s="1"/>
  <c r="E50" i="48" s="1"/>
  <c r="E52" i="48" s="1"/>
  <c r="F158" i="48"/>
  <c r="H158" i="48"/>
  <c r="F172" i="48"/>
  <c r="G158" i="48"/>
  <c r="E111" i="48"/>
  <c r="E25" i="48" s="1"/>
  <c r="E28" i="48" s="1"/>
  <c r="D51" i="48"/>
  <c r="F136" i="48"/>
  <c r="F132" i="48" s="1"/>
  <c r="F26" i="48" s="1"/>
  <c r="F28" i="48" s="1"/>
  <c r="D32" i="48"/>
  <c r="D35" i="48" s="1"/>
  <c r="G113" i="48"/>
  <c r="E43" i="48"/>
  <c r="D40" i="48"/>
  <c r="D43" i="48" s="1"/>
  <c r="C38" i="7"/>
  <c r="E110" i="47"/>
  <c r="E105" i="47" l="1"/>
  <c r="E104" i="47" s="1"/>
  <c r="D26" i="48"/>
  <c r="H113" i="48"/>
  <c r="H111" i="48" s="1"/>
  <c r="H25" i="48" s="1"/>
  <c r="H28" i="48" s="1"/>
  <c r="G111" i="48"/>
  <c r="G25" i="48" s="1"/>
  <c r="F105" i="47"/>
  <c r="G105" i="47" s="1"/>
  <c r="H105" i="47" s="1"/>
  <c r="E111" i="47"/>
  <c r="E138" i="47" s="1"/>
  <c r="E136" i="47" s="1"/>
  <c r="F110" i="47"/>
  <c r="G110" i="47" s="1"/>
  <c r="H177" i="47"/>
  <c r="G177" i="47"/>
  <c r="F177" i="47"/>
  <c r="F176" i="47"/>
  <c r="H175" i="47"/>
  <c r="G175" i="47"/>
  <c r="E175" i="47"/>
  <c r="H171" i="47"/>
  <c r="H170" i="47" s="1"/>
  <c r="G171" i="47"/>
  <c r="G170" i="47" s="1"/>
  <c r="F171" i="47"/>
  <c r="F170" i="47" s="1"/>
  <c r="E170" i="47"/>
  <c r="H168" i="47"/>
  <c r="G168" i="47"/>
  <c r="F168" i="47"/>
  <c r="E168" i="47"/>
  <c r="H166" i="47"/>
  <c r="G166" i="47"/>
  <c r="F166" i="47"/>
  <c r="E166" i="47"/>
  <c r="H164" i="47"/>
  <c r="G164" i="47"/>
  <c r="G162" i="47" s="1"/>
  <c r="G161" i="47" s="1"/>
  <c r="F164" i="47"/>
  <c r="F162" i="47" s="1"/>
  <c r="F161" i="47" s="1"/>
  <c r="E164" i="47"/>
  <c r="H162" i="47"/>
  <c r="H161" i="47" s="1"/>
  <c r="E162" i="47"/>
  <c r="E161" i="47" s="1"/>
  <c r="E154" i="47" s="1"/>
  <c r="E46" i="47" s="1"/>
  <c r="E158" i="47"/>
  <c r="G157" i="47"/>
  <c r="F157" i="47"/>
  <c r="G156" i="47"/>
  <c r="F156" i="47"/>
  <c r="E155" i="47"/>
  <c r="H152" i="47"/>
  <c r="G152" i="47"/>
  <c r="F152" i="47"/>
  <c r="E152" i="47"/>
  <c r="H150" i="47"/>
  <c r="G150" i="47"/>
  <c r="F150" i="47"/>
  <c r="E150" i="47"/>
  <c r="H148" i="47"/>
  <c r="G148" i="47"/>
  <c r="F148" i="47"/>
  <c r="E148" i="47"/>
  <c r="H146" i="47"/>
  <c r="G146" i="47"/>
  <c r="F146" i="47"/>
  <c r="E146" i="47"/>
  <c r="E144" i="47" s="1"/>
  <c r="E47" i="47" s="1"/>
  <c r="H144" i="47"/>
  <c r="H47" i="47" s="1"/>
  <c r="G144" i="47"/>
  <c r="G47" i="47" s="1"/>
  <c r="F144" i="47"/>
  <c r="F47" i="47" s="1"/>
  <c r="H141" i="47"/>
  <c r="H139" i="47" s="1"/>
  <c r="G141" i="47"/>
  <c r="G139" i="47" s="1"/>
  <c r="F141" i="47"/>
  <c r="E141" i="47"/>
  <c r="E139" i="47" s="1"/>
  <c r="F140" i="47"/>
  <c r="H128" i="47"/>
  <c r="G128" i="47"/>
  <c r="F128" i="47"/>
  <c r="F123" i="47" s="1"/>
  <c r="E128" i="47"/>
  <c r="E123" i="47" s="1"/>
  <c r="E32" i="47" s="1"/>
  <c r="E115" i="47"/>
  <c r="H101" i="47"/>
  <c r="G101" i="47"/>
  <c r="F101" i="47"/>
  <c r="H92" i="47"/>
  <c r="G92" i="47"/>
  <c r="F92" i="47"/>
  <c r="E92" i="47"/>
  <c r="E57" i="47"/>
  <c r="E54" i="47"/>
  <c r="F54" i="47" s="1"/>
  <c r="G54" i="47" s="1"/>
  <c r="H54" i="47" s="1"/>
  <c r="F43" i="47"/>
  <c r="E43" i="47"/>
  <c r="D42" i="47"/>
  <c r="D41" i="47"/>
  <c r="H40" i="47"/>
  <c r="H43" i="47" s="1"/>
  <c r="G40" i="47"/>
  <c r="G43" i="47" s="1"/>
  <c r="F40" i="47"/>
  <c r="E40" i="47"/>
  <c r="D39" i="47"/>
  <c r="D38" i="47"/>
  <c r="H35" i="47"/>
  <c r="G35" i="47"/>
  <c r="F35" i="47"/>
  <c r="D34" i="47"/>
  <c r="D33" i="47"/>
  <c r="D31" i="47"/>
  <c r="D21" i="47"/>
  <c r="D11" i="47"/>
  <c r="E3" i="47"/>
  <c r="F3" i="47" s="1"/>
  <c r="G3" i="47" s="1"/>
  <c r="H3" i="47" s="1"/>
  <c r="E104" i="46"/>
  <c r="E99" i="46" s="1"/>
  <c r="E64" i="46"/>
  <c r="H172" i="46"/>
  <c r="G172" i="46"/>
  <c r="F172" i="46"/>
  <c r="F171" i="46"/>
  <c r="H170" i="46"/>
  <c r="G170" i="46"/>
  <c r="E170" i="46"/>
  <c r="H166" i="46"/>
  <c r="H165" i="46" s="1"/>
  <c r="G166" i="46"/>
  <c r="G165" i="46" s="1"/>
  <c r="F166" i="46"/>
  <c r="F165" i="46" s="1"/>
  <c r="E165" i="46"/>
  <c r="H163" i="46"/>
  <c r="G163" i="46"/>
  <c r="G161" i="46" s="1"/>
  <c r="F163" i="46"/>
  <c r="E163" i="46"/>
  <c r="H161" i="46"/>
  <c r="F161" i="46"/>
  <c r="E161" i="46"/>
  <c r="H159" i="46"/>
  <c r="G159" i="46"/>
  <c r="F159" i="46"/>
  <c r="E159" i="46"/>
  <c r="H157" i="46"/>
  <c r="G157" i="46"/>
  <c r="F157" i="46"/>
  <c r="F156" i="46" s="1"/>
  <c r="E157" i="46"/>
  <c r="E156" i="46" s="1"/>
  <c r="E149" i="46" s="1"/>
  <c r="E46" i="46" s="1"/>
  <c r="E153" i="46"/>
  <c r="G152" i="46"/>
  <c r="F152" i="46"/>
  <c r="G151" i="46"/>
  <c r="F151" i="46"/>
  <c r="E150" i="46"/>
  <c r="H147" i="46"/>
  <c r="G147" i="46"/>
  <c r="F147" i="46"/>
  <c r="E147" i="46"/>
  <c r="H145" i="46"/>
  <c r="G145" i="46"/>
  <c r="F145" i="46"/>
  <c r="E145" i="46"/>
  <c r="H143" i="46"/>
  <c r="G143" i="46"/>
  <c r="F143" i="46"/>
  <c r="E143" i="46"/>
  <c r="H141" i="46"/>
  <c r="G141" i="46"/>
  <c r="G139" i="46" s="1"/>
  <c r="G47" i="46" s="1"/>
  <c r="F141" i="46"/>
  <c r="F139" i="46" s="1"/>
  <c r="F47" i="46" s="1"/>
  <c r="E141" i="46"/>
  <c r="E139" i="46" s="1"/>
  <c r="E47" i="46" s="1"/>
  <c r="H136" i="46"/>
  <c r="H134" i="46" s="1"/>
  <c r="H130" i="46" s="1"/>
  <c r="H26" i="46" s="1"/>
  <c r="G136" i="46"/>
  <c r="G134" i="46" s="1"/>
  <c r="G130" i="46" s="1"/>
  <c r="G26" i="46" s="1"/>
  <c r="F136" i="46"/>
  <c r="E136" i="46"/>
  <c r="E134" i="46" s="1"/>
  <c r="E130" i="46" s="1"/>
  <c r="E26" i="46" s="1"/>
  <c r="F135" i="46"/>
  <c r="H124" i="46"/>
  <c r="G124" i="46"/>
  <c r="F124" i="46"/>
  <c r="F119" i="46" s="1"/>
  <c r="E124" i="46"/>
  <c r="E119" i="46" s="1"/>
  <c r="E32" i="46" s="1"/>
  <c r="E111" i="46"/>
  <c r="H101" i="46"/>
  <c r="G101" i="46"/>
  <c r="F101" i="46"/>
  <c r="H92" i="46"/>
  <c r="G92" i="46"/>
  <c r="F92" i="46"/>
  <c r="E92" i="46"/>
  <c r="E57" i="46"/>
  <c r="E54" i="46"/>
  <c r="F54" i="46" s="1"/>
  <c r="G54" i="46" s="1"/>
  <c r="H54" i="46" s="1"/>
  <c r="D42" i="46"/>
  <c r="D41" i="46"/>
  <c r="H40" i="46"/>
  <c r="H43" i="46" s="1"/>
  <c r="G40" i="46"/>
  <c r="G43" i="46" s="1"/>
  <c r="F40" i="46"/>
  <c r="F43" i="46" s="1"/>
  <c r="E40" i="46"/>
  <c r="E43" i="46" s="1"/>
  <c r="D39" i="46"/>
  <c r="D38" i="46"/>
  <c r="H35" i="46"/>
  <c r="G35" i="46"/>
  <c r="F35" i="46"/>
  <c r="D34" i="46"/>
  <c r="D33" i="46"/>
  <c r="D31" i="46"/>
  <c r="D21" i="46"/>
  <c r="D11" i="46"/>
  <c r="E3" i="46"/>
  <c r="F3" i="46" s="1"/>
  <c r="G3" i="46" s="1"/>
  <c r="H3" i="46" s="1"/>
  <c r="D40" i="47" l="1"/>
  <c r="H156" i="46"/>
  <c r="G156" i="46"/>
  <c r="F175" i="47"/>
  <c r="H139" i="46"/>
  <c r="H47" i="46" s="1"/>
  <c r="E100" i="61"/>
  <c r="E95" i="61" s="1"/>
  <c r="E20" i="61" s="1"/>
  <c r="E22" i="61" s="1"/>
  <c r="E104" i="58"/>
  <c r="F134" i="46"/>
  <c r="F130" i="46" s="1"/>
  <c r="F26" i="46" s="1"/>
  <c r="D26" i="46" s="1"/>
  <c r="F111" i="46"/>
  <c r="G111" i="46" s="1"/>
  <c r="E109" i="46"/>
  <c r="E25" i="46" s="1"/>
  <c r="E28" i="46" s="1"/>
  <c r="E134" i="47"/>
  <c r="E26" i="47" s="1"/>
  <c r="G28" i="48"/>
  <c r="D25" i="48"/>
  <c r="D28" i="48" s="1"/>
  <c r="F104" i="46"/>
  <c r="F115" i="47"/>
  <c r="E113" i="47"/>
  <c r="E25" i="47" s="1"/>
  <c r="F137" i="47"/>
  <c r="G137" i="47" s="1"/>
  <c r="H137" i="47" s="1"/>
  <c r="E99" i="47"/>
  <c r="E20" i="47" s="1"/>
  <c r="E22" i="47" s="1"/>
  <c r="G111" i="47"/>
  <c r="H110" i="47"/>
  <c r="H111" i="47" s="1"/>
  <c r="F111" i="47"/>
  <c r="F104" i="47"/>
  <c r="E35" i="47"/>
  <c r="D32" i="47"/>
  <c r="D35" i="47" s="1"/>
  <c r="E48" i="47"/>
  <c r="D47" i="47"/>
  <c r="F139" i="47"/>
  <c r="D43" i="47"/>
  <c r="F170" i="46"/>
  <c r="E20" i="46"/>
  <c r="E22" i="46" s="1"/>
  <c r="D47" i="46"/>
  <c r="E35" i="46"/>
  <c r="D32" i="46"/>
  <c r="D35" i="46" s="1"/>
  <c r="E48" i="46"/>
  <c r="D40" i="46"/>
  <c r="D43" i="46" s="1"/>
  <c r="F108" i="47" l="1"/>
  <c r="E108" i="47"/>
  <c r="G108" i="47"/>
  <c r="E109" i="63"/>
  <c r="F100" i="61"/>
  <c r="F104" i="58"/>
  <c r="E104" i="61"/>
  <c r="H108" i="47"/>
  <c r="E108" i="62"/>
  <c r="H111" i="46"/>
  <c r="H109" i="46" s="1"/>
  <c r="H25" i="46" s="1"/>
  <c r="H28" i="46" s="1"/>
  <c r="G109" i="46"/>
  <c r="G25" i="46" s="1"/>
  <c r="G28" i="46" s="1"/>
  <c r="F109" i="46"/>
  <c r="F25" i="46" s="1"/>
  <c r="F28" i="46" s="1"/>
  <c r="E108" i="58"/>
  <c r="E28" i="47"/>
  <c r="H104" i="46"/>
  <c r="G104" i="46"/>
  <c r="F138" i="47"/>
  <c r="F136" i="47" s="1"/>
  <c r="F134" i="47" s="1"/>
  <c r="F26" i="47" s="1"/>
  <c r="G115" i="47"/>
  <c r="F113" i="47"/>
  <c r="F25" i="47" s="1"/>
  <c r="E64" i="44"/>
  <c r="H170" i="44"/>
  <c r="G170" i="44"/>
  <c r="F170" i="44"/>
  <c r="F169" i="44"/>
  <c r="H168" i="44"/>
  <c r="G168" i="44"/>
  <c r="E168" i="44"/>
  <c r="H164" i="44"/>
  <c r="H163" i="44" s="1"/>
  <c r="G164" i="44"/>
  <c r="G163" i="44" s="1"/>
  <c r="F164" i="44"/>
  <c r="F163" i="44" s="1"/>
  <c r="E163" i="44"/>
  <c r="H161" i="44"/>
  <c r="H159" i="44" s="1"/>
  <c r="G161" i="44"/>
  <c r="F161" i="44"/>
  <c r="F159" i="44" s="1"/>
  <c r="E161" i="44"/>
  <c r="E159" i="44" s="1"/>
  <c r="G159" i="44"/>
  <c r="H157" i="44"/>
  <c r="G157" i="44"/>
  <c r="G155" i="44" s="1"/>
  <c r="F157" i="44"/>
  <c r="F155" i="44" s="1"/>
  <c r="E157" i="44"/>
  <c r="E155" i="44" s="1"/>
  <c r="H155" i="44"/>
  <c r="E151" i="44"/>
  <c r="G150" i="44"/>
  <c r="F150" i="44"/>
  <c r="G149" i="44"/>
  <c r="F149" i="44"/>
  <c r="E148" i="44"/>
  <c r="H145" i="44"/>
  <c r="G145" i="44"/>
  <c r="F145" i="44"/>
  <c r="E145" i="44"/>
  <c r="H143" i="44"/>
  <c r="G143" i="44"/>
  <c r="F143" i="44"/>
  <c r="E143" i="44"/>
  <c r="H141" i="44"/>
  <c r="G141" i="44"/>
  <c r="F141" i="44"/>
  <c r="E141" i="44"/>
  <c r="H139" i="44"/>
  <c r="G139" i="44"/>
  <c r="F139" i="44"/>
  <c r="E139" i="44"/>
  <c r="E137" i="44" s="1"/>
  <c r="E47" i="44" s="1"/>
  <c r="H137" i="44"/>
  <c r="H47" i="44" s="1"/>
  <c r="G137" i="44"/>
  <c r="G47" i="44" s="1"/>
  <c r="F137" i="44"/>
  <c r="F47" i="44" s="1"/>
  <c r="H134" i="44"/>
  <c r="H132" i="44" s="1"/>
  <c r="H128" i="44" s="1"/>
  <c r="H26" i="44" s="1"/>
  <c r="G134" i="44"/>
  <c r="G132" i="44" s="1"/>
  <c r="G128" i="44" s="1"/>
  <c r="G26" i="44" s="1"/>
  <c r="F134" i="44"/>
  <c r="E134" i="44"/>
  <c r="E132" i="44" s="1"/>
  <c r="E128" i="44" s="1"/>
  <c r="E26" i="44" s="1"/>
  <c r="F133" i="44"/>
  <c r="H122" i="44"/>
  <c r="G122" i="44"/>
  <c r="F122" i="44"/>
  <c r="F117" i="44" s="1"/>
  <c r="E122" i="44"/>
  <c r="E117" i="44" s="1"/>
  <c r="E32" i="44" s="1"/>
  <c r="D32" i="44" s="1"/>
  <c r="E109" i="44"/>
  <c r="F109" i="44" s="1"/>
  <c r="F107" i="44" s="1"/>
  <c r="F25" i="44" s="1"/>
  <c r="E103" i="44"/>
  <c r="E99" i="44" s="1"/>
  <c r="E20" i="44" s="1"/>
  <c r="E22" i="44" s="1"/>
  <c r="H101" i="44"/>
  <c r="G101" i="44"/>
  <c r="F101" i="44"/>
  <c r="H92" i="44"/>
  <c r="G92" i="44"/>
  <c r="F92" i="44"/>
  <c r="E92" i="44"/>
  <c r="E57" i="44"/>
  <c r="E54" i="44"/>
  <c r="F54" i="44" s="1"/>
  <c r="G54" i="44" s="1"/>
  <c r="H54" i="44" s="1"/>
  <c r="H43" i="44"/>
  <c r="D42" i="44"/>
  <c r="D41" i="44"/>
  <c r="H40" i="44"/>
  <c r="G40" i="44"/>
  <c r="G43" i="44" s="1"/>
  <c r="F40" i="44"/>
  <c r="E40" i="44"/>
  <c r="E43" i="44" s="1"/>
  <c r="D39" i="44"/>
  <c r="D38" i="44"/>
  <c r="H35" i="44"/>
  <c r="G35" i="44"/>
  <c r="F35" i="44"/>
  <c r="D34" i="44"/>
  <c r="D33" i="44"/>
  <c r="D31" i="44"/>
  <c r="D21" i="44"/>
  <c r="D11" i="44"/>
  <c r="E3" i="44"/>
  <c r="F3" i="44" s="1"/>
  <c r="G3" i="44" s="1"/>
  <c r="H3" i="44" s="1"/>
  <c r="E68" i="43"/>
  <c r="E64" i="43"/>
  <c r="H170" i="43"/>
  <c r="G170" i="43"/>
  <c r="F170" i="43"/>
  <c r="F169" i="43"/>
  <c r="H168" i="43"/>
  <c r="G168" i="43"/>
  <c r="E168" i="43"/>
  <c r="H164" i="43"/>
  <c r="H163" i="43" s="1"/>
  <c r="G164" i="43"/>
  <c r="G163" i="43" s="1"/>
  <c r="F164" i="43"/>
  <c r="F163" i="43" s="1"/>
  <c r="E163" i="43"/>
  <c r="H161" i="43"/>
  <c r="H159" i="43" s="1"/>
  <c r="G161" i="43"/>
  <c r="F161" i="43"/>
  <c r="E161" i="43"/>
  <c r="G159" i="43"/>
  <c r="F159" i="43"/>
  <c r="E159" i="43"/>
  <c r="H157" i="43"/>
  <c r="H155" i="43" s="1"/>
  <c r="G157" i="43"/>
  <c r="G155" i="43" s="1"/>
  <c r="G154" i="43" s="1"/>
  <c r="F157" i="43"/>
  <c r="F155" i="43" s="1"/>
  <c r="F154" i="43" s="1"/>
  <c r="E157" i="43"/>
  <c r="E155" i="43" s="1"/>
  <c r="E154" i="43" s="1"/>
  <c r="E151" i="43"/>
  <c r="G150" i="43"/>
  <c r="F150" i="43"/>
  <c r="G149" i="43"/>
  <c r="F149" i="43"/>
  <c r="E148" i="43"/>
  <c r="H145" i="43"/>
  <c r="G145" i="43"/>
  <c r="F145" i="43"/>
  <c r="E145" i="43"/>
  <c r="H143" i="43"/>
  <c r="G143" i="43"/>
  <c r="F143" i="43"/>
  <c r="E143" i="43"/>
  <c r="H141" i="43"/>
  <c r="G141" i="43"/>
  <c r="F141" i="43"/>
  <c r="E141" i="43"/>
  <c r="H139" i="43"/>
  <c r="G139" i="43"/>
  <c r="G137" i="43" s="1"/>
  <c r="G47" i="43" s="1"/>
  <c r="F139" i="43"/>
  <c r="F137" i="43" s="1"/>
  <c r="F47" i="43" s="1"/>
  <c r="E139" i="43"/>
  <c r="E137" i="43" s="1"/>
  <c r="E47" i="43" s="1"/>
  <c r="H134" i="43"/>
  <c r="H132" i="43" s="1"/>
  <c r="H128" i="43" s="1"/>
  <c r="H26" i="43" s="1"/>
  <c r="G134" i="43"/>
  <c r="G132" i="43" s="1"/>
  <c r="G128" i="43" s="1"/>
  <c r="G26" i="43" s="1"/>
  <c r="F134" i="43"/>
  <c r="E134" i="43"/>
  <c r="E132" i="43" s="1"/>
  <c r="E128" i="43" s="1"/>
  <c r="E26" i="43" s="1"/>
  <c r="F133" i="43"/>
  <c r="H122" i="43"/>
  <c r="G122" i="43"/>
  <c r="F122" i="43"/>
  <c r="F117" i="43" s="1"/>
  <c r="E122" i="43"/>
  <c r="E117" i="43" s="1"/>
  <c r="E32" i="43" s="1"/>
  <c r="E109" i="43"/>
  <c r="F109" i="43" s="1"/>
  <c r="G109" i="43" s="1"/>
  <c r="E103" i="43"/>
  <c r="E99" i="43" s="1"/>
  <c r="E20" i="43" s="1"/>
  <c r="E22" i="43" s="1"/>
  <c r="H101" i="43"/>
  <c r="G101" i="43"/>
  <c r="F101" i="43"/>
  <c r="H92" i="43"/>
  <c r="G92" i="43"/>
  <c r="F92" i="43"/>
  <c r="E92" i="43"/>
  <c r="E57" i="43"/>
  <c r="E54" i="43"/>
  <c r="F54" i="43" s="1"/>
  <c r="G54" i="43" s="1"/>
  <c r="H54" i="43" s="1"/>
  <c r="E43" i="43"/>
  <c r="D42" i="43"/>
  <c r="D41" i="43"/>
  <c r="H40" i="43"/>
  <c r="H43" i="43" s="1"/>
  <c r="G40" i="43"/>
  <c r="G43" i="43" s="1"/>
  <c r="F40" i="43"/>
  <c r="E40" i="43"/>
  <c r="D39" i="43"/>
  <c r="D38" i="43"/>
  <c r="H35" i="43"/>
  <c r="G35" i="43"/>
  <c r="F35" i="43"/>
  <c r="D34" i="43"/>
  <c r="D33" i="43"/>
  <c r="D31" i="43"/>
  <c r="D21" i="43"/>
  <c r="D11" i="43"/>
  <c r="E3" i="43"/>
  <c r="F3" i="43" s="1"/>
  <c r="G3" i="43" s="1"/>
  <c r="H3" i="43" s="1"/>
  <c r="E64" i="42"/>
  <c r="E68" i="42"/>
  <c r="H170" i="42"/>
  <c r="H168" i="42" s="1"/>
  <c r="G170" i="42"/>
  <c r="F170" i="42"/>
  <c r="F169" i="42"/>
  <c r="G168" i="42"/>
  <c r="E168" i="42"/>
  <c r="H164" i="42"/>
  <c r="H163" i="42" s="1"/>
  <c r="G164" i="42"/>
  <c r="G163" i="42" s="1"/>
  <c r="F164" i="42"/>
  <c r="F163" i="42" s="1"/>
  <c r="E163" i="42"/>
  <c r="H161" i="42"/>
  <c r="G161" i="42"/>
  <c r="F161" i="42"/>
  <c r="E161" i="42"/>
  <c r="H159" i="42"/>
  <c r="G159" i="42"/>
  <c r="F159" i="42"/>
  <c r="E159" i="42"/>
  <c r="H157" i="42"/>
  <c r="H155" i="42" s="1"/>
  <c r="H154" i="42" s="1"/>
  <c r="G157" i="42"/>
  <c r="G155" i="42" s="1"/>
  <c r="G154" i="42" s="1"/>
  <c r="F157" i="42"/>
  <c r="F155" i="42" s="1"/>
  <c r="F154" i="42" s="1"/>
  <c r="E157" i="42"/>
  <c r="E155" i="42" s="1"/>
  <c r="E154" i="42" s="1"/>
  <c r="E147" i="42" s="1"/>
  <c r="E46" i="42" s="1"/>
  <c r="E151" i="42"/>
  <c r="G150" i="42"/>
  <c r="F150" i="42"/>
  <c r="G149" i="42"/>
  <c r="F149" i="42"/>
  <c r="E148" i="42"/>
  <c r="H145" i="42"/>
  <c r="G145" i="42"/>
  <c r="F145" i="42"/>
  <c r="E145" i="42"/>
  <c r="H143" i="42"/>
  <c r="G143" i="42"/>
  <c r="F143" i="42"/>
  <c r="E143" i="42"/>
  <c r="H141" i="42"/>
  <c r="G141" i="42"/>
  <c r="F141" i="42"/>
  <c r="E141" i="42"/>
  <c r="H139" i="42"/>
  <c r="G139" i="42"/>
  <c r="F139" i="42"/>
  <c r="E139" i="42"/>
  <c r="E137" i="42" s="1"/>
  <c r="E47" i="42" s="1"/>
  <c r="H137" i="42"/>
  <c r="H47" i="42" s="1"/>
  <c r="G137" i="42"/>
  <c r="G47" i="42" s="1"/>
  <c r="F137" i="42"/>
  <c r="F47" i="42" s="1"/>
  <c r="H134" i="42"/>
  <c r="H132" i="42" s="1"/>
  <c r="H128" i="42" s="1"/>
  <c r="H26" i="42" s="1"/>
  <c r="G134" i="42"/>
  <c r="F134" i="42"/>
  <c r="E134" i="42"/>
  <c r="E132" i="42" s="1"/>
  <c r="E128" i="42" s="1"/>
  <c r="E26" i="42" s="1"/>
  <c r="F133" i="42"/>
  <c r="G132" i="42"/>
  <c r="G128" i="42" s="1"/>
  <c r="G26" i="42" s="1"/>
  <c r="H122" i="42"/>
  <c r="G122" i="42"/>
  <c r="F122" i="42"/>
  <c r="F117" i="42" s="1"/>
  <c r="E122" i="42"/>
  <c r="E117" i="42" s="1"/>
  <c r="E32" i="42" s="1"/>
  <c r="E109" i="42"/>
  <c r="F109" i="42" s="1"/>
  <c r="E103" i="42"/>
  <c r="E99" i="42" s="1"/>
  <c r="E20" i="42" s="1"/>
  <c r="H101" i="42"/>
  <c r="G101" i="42"/>
  <c r="F101" i="42"/>
  <c r="H92" i="42"/>
  <c r="G92" i="42"/>
  <c r="F92" i="42"/>
  <c r="E92" i="42"/>
  <c r="E57" i="42"/>
  <c r="E54" i="42"/>
  <c r="F54" i="42" s="1"/>
  <c r="G54" i="42" s="1"/>
  <c r="H54" i="42" s="1"/>
  <c r="E43" i="42"/>
  <c r="D42" i="42"/>
  <c r="D41" i="42"/>
  <c r="H40" i="42"/>
  <c r="H43" i="42" s="1"/>
  <c r="G40" i="42"/>
  <c r="F40" i="42"/>
  <c r="F43" i="42" s="1"/>
  <c r="E40" i="42"/>
  <c r="D39" i="42"/>
  <c r="D38" i="42"/>
  <c r="H35" i="42"/>
  <c r="G35" i="42"/>
  <c r="F35" i="42"/>
  <c r="D34" i="42"/>
  <c r="D33" i="42"/>
  <c r="D31" i="42"/>
  <c r="D21" i="42"/>
  <c r="D11" i="42"/>
  <c r="E3" i="42"/>
  <c r="F3" i="42" s="1"/>
  <c r="G3" i="42" s="1"/>
  <c r="H3" i="42" s="1"/>
  <c r="H175" i="41"/>
  <c r="H173" i="41" s="1"/>
  <c r="G175" i="41"/>
  <c r="G173" i="41" s="1"/>
  <c r="F175" i="41"/>
  <c r="F174" i="41"/>
  <c r="E173" i="41"/>
  <c r="H169" i="41"/>
  <c r="H168" i="41" s="1"/>
  <c r="G169" i="41"/>
  <c r="G168" i="41" s="1"/>
  <c r="F169" i="41"/>
  <c r="F168" i="41" s="1"/>
  <c r="E168" i="41"/>
  <c r="H166" i="41"/>
  <c r="G166" i="41"/>
  <c r="F166" i="41"/>
  <c r="E166" i="41"/>
  <c r="E164" i="41" s="1"/>
  <c r="H164" i="41"/>
  <c r="G164" i="41"/>
  <c r="F164" i="41"/>
  <c r="H162" i="41"/>
  <c r="H160" i="41" s="1"/>
  <c r="G162" i="41"/>
  <c r="G160" i="41" s="1"/>
  <c r="F162" i="41"/>
  <c r="F160" i="41" s="1"/>
  <c r="E162" i="41"/>
  <c r="E160" i="41" s="1"/>
  <c r="E156" i="41"/>
  <c r="G155" i="41"/>
  <c r="F155" i="41"/>
  <c r="G154" i="41"/>
  <c r="F154" i="41"/>
  <c r="E153" i="41"/>
  <c r="H150" i="41"/>
  <c r="G150" i="41"/>
  <c r="F150" i="41"/>
  <c r="E150" i="41"/>
  <c r="H148" i="41"/>
  <c r="G148" i="41"/>
  <c r="F148" i="41"/>
  <c r="E148" i="41"/>
  <c r="H146" i="41"/>
  <c r="G146" i="41"/>
  <c r="F146" i="41"/>
  <c r="E146" i="41"/>
  <c r="H144" i="41"/>
  <c r="G144" i="41"/>
  <c r="F144" i="41"/>
  <c r="E144" i="41"/>
  <c r="H142" i="41"/>
  <c r="H52" i="41" s="1"/>
  <c r="G142" i="41"/>
  <c r="G52" i="41" s="1"/>
  <c r="F142" i="41"/>
  <c r="F52" i="41" s="1"/>
  <c r="E142" i="41"/>
  <c r="E52" i="41" s="1"/>
  <c r="H139" i="41"/>
  <c r="H137" i="41" s="1"/>
  <c r="H133" i="41" s="1"/>
  <c r="H26" i="41" s="1"/>
  <c r="G139" i="41"/>
  <c r="F139" i="41"/>
  <c r="E139" i="41"/>
  <c r="E137" i="41" s="1"/>
  <c r="E133" i="41" s="1"/>
  <c r="E26" i="41" s="1"/>
  <c r="F138" i="41"/>
  <c r="G137" i="41"/>
  <c r="G133" i="41" s="1"/>
  <c r="G26" i="41" s="1"/>
  <c r="H127" i="41"/>
  <c r="G127" i="41"/>
  <c r="F127" i="41"/>
  <c r="F122" i="41" s="1"/>
  <c r="E127" i="41"/>
  <c r="E122" i="41" s="1"/>
  <c r="E32" i="41" s="1"/>
  <c r="E114" i="41"/>
  <c r="F114" i="41" s="1"/>
  <c r="E108" i="41"/>
  <c r="E104" i="41" s="1"/>
  <c r="E20" i="41" s="1"/>
  <c r="H106" i="41"/>
  <c r="G106" i="41"/>
  <c r="F106" i="41"/>
  <c r="H97" i="41"/>
  <c r="G97" i="41"/>
  <c r="F97" i="41"/>
  <c r="E97" i="41"/>
  <c r="E62" i="41"/>
  <c r="E59" i="41"/>
  <c r="F59" i="41" s="1"/>
  <c r="G59" i="41" s="1"/>
  <c r="H59" i="41" s="1"/>
  <c r="F43" i="41"/>
  <c r="D42" i="41"/>
  <c r="D41" i="41"/>
  <c r="H40" i="41"/>
  <c r="H43" i="41" s="1"/>
  <c r="G40" i="41"/>
  <c r="G43" i="41" s="1"/>
  <c r="F40" i="41"/>
  <c r="E40" i="41"/>
  <c r="E43" i="41" s="1"/>
  <c r="D39" i="41"/>
  <c r="D38" i="41"/>
  <c r="H35" i="41"/>
  <c r="G35" i="41"/>
  <c r="F35" i="41"/>
  <c r="D34" i="41"/>
  <c r="D33" i="41"/>
  <c r="D31" i="41"/>
  <c r="D21" i="41"/>
  <c r="D11" i="41"/>
  <c r="E3" i="41"/>
  <c r="F3" i="41" s="1"/>
  <c r="G3" i="41" s="1"/>
  <c r="H3" i="41" s="1"/>
  <c r="H170" i="40"/>
  <c r="G170" i="40"/>
  <c r="F170" i="40"/>
  <c r="F169" i="40"/>
  <c r="H168" i="40"/>
  <c r="G168" i="40"/>
  <c r="E168" i="40"/>
  <c r="H164" i="40"/>
  <c r="H163" i="40" s="1"/>
  <c r="G164" i="40"/>
  <c r="G163" i="40" s="1"/>
  <c r="F164" i="40"/>
  <c r="F163" i="40" s="1"/>
  <c r="E163" i="40"/>
  <c r="H161" i="40"/>
  <c r="G161" i="40"/>
  <c r="F161" i="40"/>
  <c r="E161" i="40"/>
  <c r="E159" i="40" s="1"/>
  <c r="H159" i="40"/>
  <c r="G159" i="40"/>
  <c r="F159" i="40"/>
  <c r="H157" i="40"/>
  <c r="H155" i="40" s="1"/>
  <c r="G157" i="40"/>
  <c r="G155" i="40" s="1"/>
  <c r="F157" i="40"/>
  <c r="F155" i="40" s="1"/>
  <c r="E157" i="40"/>
  <c r="E155" i="40" s="1"/>
  <c r="E151" i="40"/>
  <c r="G150" i="40"/>
  <c r="F150" i="40"/>
  <c r="G149" i="40"/>
  <c r="F149" i="40"/>
  <c r="E148" i="40"/>
  <c r="H145" i="40"/>
  <c r="G145" i="40"/>
  <c r="F145" i="40"/>
  <c r="E145" i="40"/>
  <c r="H143" i="40"/>
  <c r="G143" i="40"/>
  <c r="F143" i="40"/>
  <c r="E143" i="40"/>
  <c r="H141" i="40"/>
  <c r="G141" i="40"/>
  <c r="F141" i="40"/>
  <c r="E141" i="40"/>
  <c r="H139" i="40"/>
  <c r="G139" i="40"/>
  <c r="F139" i="40"/>
  <c r="E139" i="40"/>
  <c r="H137" i="40"/>
  <c r="H47" i="40" s="1"/>
  <c r="G137" i="40"/>
  <c r="G47" i="40" s="1"/>
  <c r="F137" i="40"/>
  <c r="F47" i="40" s="1"/>
  <c r="E137" i="40"/>
  <c r="E47" i="40" s="1"/>
  <c r="H134" i="40"/>
  <c r="H132" i="40" s="1"/>
  <c r="H128" i="40" s="1"/>
  <c r="H26" i="40" s="1"/>
  <c r="G134" i="40"/>
  <c r="G132" i="40" s="1"/>
  <c r="G128" i="40" s="1"/>
  <c r="G26" i="40" s="1"/>
  <c r="F134" i="40"/>
  <c r="E134" i="40"/>
  <c r="E132" i="40" s="1"/>
  <c r="E128" i="40" s="1"/>
  <c r="E26" i="40" s="1"/>
  <c r="F133" i="40"/>
  <c r="H122" i="40"/>
  <c r="G122" i="40"/>
  <c r="F122" i="40"/>
  <c r="F117" i="40" s="1"/>
  <c r="E122" i="40"/>
  <c r="E117" i="40" s="1"/>
  <c r="E32" i="40" s="1"/>
  <c r="E35" i="40" s="1"/>
  <c r="E109" i="40"/>
  <c r="E107" i="40" s="1"/>
  <c r="E25" i="40" s="1"/>
  <c r="E103" i="40"/>
  <c r="E99" i="40" s="1"/>
  <c r="E20" i="40" s="1"/>
  <c r="H101" i="40"/>
  <c r="G101" i="40"/>
  <c r="F101" i="40"/>
  <c r="H92" i="40"/>
  <c r="G92" i="40"/>
  <c r="F92" i="40"/>
  <c r="E92" i="40"/>
  <c r="E57" i="40"/>
  <c r="E54" i="40"/>
  <c r="F54" i="40" s="1"/>
  <c r="G54" i="40" s="1"/>
  <c r="H54" i="40" s="1"/>
  <c r="E43" i="40"/>
  <c r="D42" i="40"/>
  <c r="D41" i="40"/>
  <c r="H40" i="40"/>
  <c r="H43" i="40" s="1"/>
  <c r="G40" i="40"/>
  <c r="G43" i="40" s="1"/>
  <c r="F40" i="40"/>
  <c r="F43" i="40" s="1"/>
  <c r="E40" i="40"/>
  <c r="D39" i="40"/>
  <c r="D38" i="40"/>
  <c r="H35" i="40"/>
  <c r="G35" i="40"/>
  <c r="F35" i="40"/>
  <c r="D34" i="40"/>
  <c r="D33" i="40"/>
  <c r="D31" i="40"/>
  <c r="D21" i="40"/>
  <c r="D11" i="40"/>
  <c r="E3" i="40"/>
  <c r="F3" i="40" s="1"/>
  <c r="G3" i="40" s="1"/>
  <c r="H3" i="40" s="1"/>
  <c r="H170" i="39"/>
  <c r="G170" i="39"/>
  <c r="F170" i="39"/>
  <c r="F169" i="39"/>
  <c r="H168" i="39"/>
  <c r="G168" i="39"/>
  <c r="E168" i="39"/>
  <c r="H164" i="39"/>
  <c r="H163" i="39" s="1"/>
  <c r="G164" i="39"/>
  <c r="G163" i="39" s="1"/>
  <c r="F164" i="39"/>
  <c r="F163" i="39" s="1"/>
  <c r="E163" i="39"/>
  <c r="H161" i="39"/>
  <c r="G161" i="39"/>
  <c r="G159" i="39" s="1"/>
  <c r="F161" i="39"/>
  <c r="F159" i="39" s="1"/>
  <c r="E161" i="39"/>
  <c r="E159" i="39" s="1"/>
  <c r="H159" i="39"/>
  <c r="H157" i="39"/>
  <c r="G157" i="39"/>
  <c r="F157" i="39"/>
  <c r="E157" i="39"/>
  <c r="H155" i="39"/>
  <c r="G155" i="39"/>
  <c r="F155" i="39"/>
  <c r="E155" i="39"/>
  <c r="E151" i="39"/>
  <c r="G150" i="39"/>
  <c r="F150" i="39"/>
  <c r="G149" i="39"/>
  <c r="F149" i="39"/>
  <c r="E148" i="39"/>
  <c r="H145" i="39"/>
  <c r="G145" i="39"/>
  <c r="F145" i="39"/>
  <c r="E145" i="39"/>
  <c r="H143" i="39"/>
  <c r="G143" i="39"/>
  <c r="F143" i="39"/>
  <c r="E143" i="39"/>
  <c r="H141" i="39"/>
  <c r="G141" i="39"/>
  <c r="F141" i="39"/>
  <c r="E141" i="39"/>
  <c r="H139" i="39"/>
  <c r="G139" i="39"/>
  <c r="G137" i="39" s="1"/>
  <c r="G47" i="39" s="1"/>
  <c r="F139" i="39"/>
  <c r="F137" i="39" s="1"/>
  <c r="F47" i="39" s="1"/>
  <c r="E139" i="39"/>
  <c r="E137" i="39" s="1"/>
  <c r="E47" i="39" s="1"/>
  <c r="H137" i="39"/>
  <c r="H47" i="39" s="1"/>
  <c r="H134" i="39"/>
  <c r="H132" i="39" s="1"/>
  <c r="H128" i="39" s="1"/>
  <c r="H26" i="39" s="1"/>
  <c r="G134" i="39"/>
  <c r="G132" i="39" s="1"/>
  <c r="G128" i="39" s="1"/>
  <c r="G26" i="39" s="1"/>
  <c r="F134" i="39"/>
  <c r="E134" i="39"/>
  <c r="E132" i="39" s="1"/>
  <c r="E128" i="39" s="1"/>
  <c r="E26" i="39" s="1"/>
  <c r="F133" i="39"/>
  <c r="H122" i="39"/>
  <c r="G122" i="39"/>
  <c r="F122" i="39"/>
  <c r="F117" i="39" s="1"/>
  <c r="E122" i="39"/>
  <c r="E117" i="39" s="1"/>
  <c r="E32" i="39" s="1"/>
  <c r="E35" i="39" s="1"/>
  <c r="E109" i="39"/>
  <c r="F109" i="39" s="1"/>
  <c r="E103" i="39"/>
  <c r="E99" i="39" s="1"/>
  <c r="E20" i="39" s="1"/>
  <c r="E22" i="39" s="1"/>
  <c r="H101" i="39"/>
  <c r="G101" i="39"/>
  <c r="F101" i="39"/>
  <c r="H92" i="39"/>
  <c r="G92" i="39"/>
  <c r="F92" i="39"/>
  <c r="E92" i="39"/>
  <c r="E57" i="39"/>
  <c r="E54" i="39"/>
  <c r="F54" i="39" s="1"/>
  <c r="G54" i="39" s="1"/>
  <c r="H54" i="39" s="1"/>
  <c r="E43" i="39"/>
  <c r="D42" i="39"/>
  <c r="D41" i="39"/>
  <c r="H40" i="39"/>
  <c r="H43" i="39" s="1"/>
  <c r="G40" i="39"/>
  <c r="G43" i="39" s="1"/>
  <c r="F40" i="39"/>
  <c r="D40" i="39" s="1"/>
  <c r="E40" i="39"/>
  <c r="D39" i="39"/>
  <c r="D38" i="39"/>
  <c r="H35" i="39"/>
  <c r="G35" i="39"/>
  <c r="F35" i="39"/>
  <c r="D34" i="39"/>
  <c r="D33" i="39"/>
  <c r="D31" i="39"/>
  <c r="D21" i="39"/>
  <c r="D11" i="39"/>
  <c r="E3" i="39"/>
  <c r="F3" i="39" s="1"/>
  <c r="G3" i="39" s="1"/>
  <c r="H3" i="39" s="1"/>
  <c r="H154" i="44" l="1"/>
  <c r="E147" i="43"/>
  <c r="E46" i="43" s="1"/>
  <c r="D40" i="40"/>
  <c r="D43" i="40" s="1"/>
  <c r="F43" i="39"/>
  <c r="H154" i="43"/>
  <c r="F154" i="44"/>
  <c r="H154" i="39"/>
  <c r="E154" i="44"/>
  <c r="E147" i="44" s="1"/>
  <c r="E46" i="44" s="1"/>
  <c r="E48" i="44" s="1"/>
  <c r="F154" i="39"/>
  <c r="H154" i="40"/>
  <c r="E154" i="39"/>
  <c r="E147" i="39" s="1"/>
  <c r="E46" i="39" s="1"/>
  <c r="E48" i="39" s="1"/>
  <c r="F132" i="40"/>
  <c r="F128" i="40" s="1"/>
  <c r="F26" i="40" s="1"/>
  <c r="D26" i="40" s="1"/>
  <c r="F154" i="40"/>
  <c r="G154" i="40"/>
  <c r="E154" i="40"/>
  <c r="E147" i="40" s="1"/>
  <c r="E46" i="40" s="1"/>
  <c r="E107" i="39"/>
  <c r="E25" i="39" s="1"/>
  <c r="E28" i="39" s="1"/>
  <c r="F132" i="42"/>
  <c r="F128" i="42" s="1"/>
  <c r="F26" i="42" s="1"/>
  <c r="D26" i="42" s="1"/>
  <c r="F132" i="44"/>
  <c r="F128" i="44" s="1"/>
  <c r="F26" i="44" s="1"/>
  <c r="F28" i="44" s="1"/>
  <c r="H137" i="43"/>
  <c r="H47" i="43" s="1"/>
  <c r="D47" i="43" s="1"/>
  <c r="G154" i="44"/>
  <c r="G154" i="39"/>
  <c r="E112" i="41"/>
  <c r="E25" i="41" s="1"/>
  <c r="E28" i="41" s="1"/>
  <c r="F173" i="41"/>
  <c r="F168" i="42"/>
  <c r="H100" i="61"/>
  <c r="G100" i="61"/>
  <c r="G104" i="58"/>
  <c r="H104" i="58"/>
  <c r="F109" i="63"/>
  <c r="F104" i="61"/>
  <c r="F108" i="62"/>
  <c r="G159" i="41"/>
  <c r="F132" i="43"/>
  <c r="F128" i="43" s="1"/>
  <c r="F26" i="43" s="1"/>
  <c r="D26" i="43" s="1"/>
  <c r="D25" i="46"/>
  <c r="D28" i="46" s="1"/>
  <c r="F168" i="39"/>
  <c r="F109" i="40"/>
  <c r="G109" i="40" s="1"/>
  <c r="G107" i="40" s="1"/>
  <c r="G25" i="40" s="1"/>
  <c r="G28" i="40" s="1"/>
  <c r="H159" i="41"/>
  <c r="E107" i="43"/>
  <c r="E25" i="43" s="1"/>
  <c r="E107" i="44"/>
  <c r="E25" i="44" s="1"/>
  <c r="E28" i="44" s="1"/>
  <c r="F108" i="58"/>
  <c r="F28" i="47"/>
  <c r="G104" i="47"/>
  <c r="G138" i="47"/>
  <c r="G136" i="47" s="1"/>
  <c r="G134" i="47" s="1"/>
  <c r="G26" i="47" s="1"/>
  <c r="H104" i="47"/>
  <c r="H138" i="47"/>
  <c r="H136" i="47" s="1"/>
  <c r="H134" i="47" s="1"/>
  <c r="H26" i="47" s="1"/>
  <c r="H115" i="47"/>
  <c r="H113" i="47" s="1"/>
  <c r="H25" i="47" s="1"/>
  <c r="G113" i="47"/>
  <c r="G25" i="47" s="1"/>
  <c r="D32" i="43"/>
  <c r="D35" i="43" s="1"/>
  <c r="E35" i="43"/>
  <c r="D52" i="41"/>
  <c r="D32" i="39"/>
  <c r="D35" i="39" s="1"/>
  <c r="F159" i="41"/>
  <c r="F132" i="39"/>
  <c r="F128" i="39" s="1"/>
  <c r="F26" i="39" s="1"/>
  <c r="D26" i="39" s="1"/>
  <c r="D47" i="40"/>
  <c r="F168" i="40"/>
  <c r="F137" i="41"/>
  <c r="F133" i="41" s="1"/>
  <c r="F26" i="41" s="1"/>
  <c r="D26" i="41" s="1"/>
  <c r="E159" i="41"/>
  <c r="E152" i="41" s="1"/>
  <c r="E51" i="41" s="1"/>
  <c r="E107" i="42"/>
  <c r="E25" i="42" s="1"/>
  <c r="E28" i="42" s="1"/>
  <c r="F168" i="43"/>
  <c r="D35" i="44"/>
  <c r="E35" i="44"/>
  <c r="F168" i="44"/>
  <c r="G109" i="44"/>
  <c r="H109" i="44" s="1"/>
  <c r="H107" i="44" s="1"/>
  <c r="H25" i="44" s="1"/>
  <c r="H28" i="44" s="1"/>
  <c r="F43" i="44"/>
  <c r="D40" i="44"/>
  <c r="D43" i="44" s="1"/>
  <c r="D47" i="44"/>
  <c r="H109" i="43"/>
  <c r="H107" i="43" s="1"/>
  <c r="H25" i="43" s="1"/>
  <c r="H28" i="43" s="1"/>
  <c r="G107" i="43"/>
  <c r="G25" i="43" s="1"/>
  <c r="G28" i="43" s="1"/>
  <c r="F43" i="43"/>
  <c r="D40" i="43"/>
  <c r="D43" i="43" s="1"/>
  <c r="F107" i="43"/>
  <c r="F25" i="43" s="1"/>
  <c r="E28" i="43"/>
  <c r="E48" i="43"/>
  <c r="E22" i="42"/>
  <c r="G109" i="39"/>
  <c r="H109" i="39" s="1"/>
  <c r="H107" i="39" s="1"/>
  <c r="H25" i="39" s="1"/>
  <c r="H28" i="39" s="1"/>
  <c r="F107" i="39"/>
  <c r="F25" i="39" s="1"/>
  <c r="D40" i="42"/>
  <c r="D43" i="42" s="1"/>
  <c r="G43" i="42"/>
  <c r="G109" i="42"/>
  <c r="F107" i="42"/>
  <c r="F25" i="42" s="1"/>
  <c r="D32" i="42"/>
  <c r="D35" i="42" s="1"/>
  <c r="E35" i="42"/>
  <c r="E48" i="42"/>
  <c r="D47" i="42"/>
  <c r="G114" i="41"/>
  <c r="F112" i="41"/>
  <c r="F25" i="41" s="1"/>
  <c r="E22" i="41"/>
  <c r="E35" i="41"/>
  <c r="D32" i="41"/>
  <c r="D35" i="41" s="1"/>
  <c r="D40" i="41"/>
  <c r="D43" i="41" s="1"/>
  <c r="E28" i="40"/>
  <c r="E48" i="40"/>
  <c r="E22" i="40"/>
  <c r="D32" i="40"/>
  <c r="D35" i="40" s="1"/>
  <c r="D47" i="39"/>
  <c r="D43" i="39"/>
  <c r="F150" i="35"/>
  <c r="G150" i="35"/>
  <c r="D26" i="44" l="1"/>
  <c r="F28" i="39"/>
  <c r="F28" i="43"/>
  <c r="H109" i="40"/>
  <c r="H107" i="40" s="1"/>
  <c r="H25" i="40" s="1"/>
  <c r="H28" i="40" s="1"/>
  <c r="H109" i="63"/>
  <c r="G109" i="63"/>
  <c r="H104" i="61"/>
  <c r="G104" i="61"/>
  <c r="G108" i="62"/>
  <c r="H108" i="62"/>
  <c r="F107" i="40"/>
  <c r="F25" i="40" s="1"/>
  <c r="F28" i="40" s="1"/>
  <c r="H108" i="58"/>
  <c r="G108" i="58"/>
  <c r="H28" i="47"/>
  <c r="D26" i="47"/>
  <c r="G28" i="47"/>
  <c r="D25" i="47"/>
  <c r="G107" i="44"/>
  <c r="G25" i="44" s="1"/>
  <c r="G28" i="44" s="1"/>
  <c r="G107" i="39"/>
  <c r="G25" i="39" s="1"/>
  <c r="G28" i="39" s="1"/>
  <c r="D25" i="43"/>
  <c r="D28" i="43" s="1"/>
  <c r="F28" i="42"/>
  <c r="H109" i="42"/>
  <c r="H107" i="42" s="1"/>
  <c r="H25" i="42" s="1"/>
  <c r="H28" i="42" s="1"/>
  <c r="G107" i="42"/>
  <c r="G25" i="42" s="1"/>
  <c r="G28" i="42" s="1"/>
  <c r="E53" i="41"/>
  <c r="H114" i="41"/>
  <c r="H112" i="41" s="1"/>
  <c r="H25" i="41" s="1"/>
  <c r="H28" i="41" s="1"/>
  <c r="G112" i="41"/>
  <c r="G25" i="41" s="1"/>
  <c r="G28" i="41" s="1"/>
  <c r="F28" i="41"/>
  <c r="D25" i="40" l="1"/>
  <c r="D28" i="40" s="1"/>
  <c r="D25" i="44"/>
  <c r="D28" i="44" s="1"/>
  <c r="D28" i="47"/>
  <c r="D25" i="39"/>
  <c r="D28" i="39" s="1"/>
  <c r="D25" i="42"/>
  <c r="D28" i="42" s="1"/>
  <c r="D25" i="41"/>
  <c r="D28" i="41" s="1"/>
  <c r="E54" i="35" l="1"/>
  <c r="F54" i="35" s="1"/>
  <c r="G54" i="35" s="1"/>
  <c r="H54" i="35" s="1"/>
  <c r="D12" i="4"/>
  <c r="E65" i="90" l="1"/>
  <c r="E65" i="89"/>
  <c r="E74" i="87"/>
  <c r="E69" i="88"/>
  <c r="C8" i="7"/>
  <c r="E71" i="85"/>
  <c r="E65" i="84"/>
  <c r="E74" i="86"/>
  <c r="C9" i="7"/>
  <c r="C42" i="7" s="1"/>
  <c r="E114" i="77" s="1"/>
  <c r="F114" i="77" s="1"/>
  <c r="G114" i="77" s="1"/>
  <c r="H114" i="77" s="1"/>
  <c r="E69" i="83"/>
  <c r="E69" i="81"/>
  <c r="E69" i="80"/>
  <c r="E69" i="79"/>
  <c r="E69" i="78"/>
  <c r="E70" i="77"/>
  <c r="E73" i="76"/>
  <c r="E72" i="75"/>
  <c r="E69" i="70"/>
  <c r="E69" i="74"/>
  <c r="E70" i="73"/>
  <c r="E69" i="72"/>
  <c r="E69" i="71"/>
  <c r="E69" i="68"/>
  <c r="E70" i="67"/>
  <c r="E69" i="66"/>
  <c r="E69" i="65"/>
  <c r="E69" i="64"/>
  <c r="E65" i="62"/>
  <c r="E61" i="61"/>
  <c r="E69" i="59"/>
  <c r="E65" i="58"/>
  <c r="E66" i="63"/>
  <c r="E70" i="56"/>
  <c r="E75" i="57"/>
  <c r="E69" i="54"/>
  <c r="E69" i="53"/>
  <c r="E69" i="52"/>
  <c r="E69" i="51"/>
  <c r="E69" i="50"/>
  <c r="E69" i="48"/>
  <c r="E65" i="47"/>
  <c r="E65" i="46"/>
  <c r="E65" i="39"/>
  <c r="E70" i="41"/>
  <c r="E65" i="44"/>
  <c r="E65" i="42"/>
  <c r="E65" i="40"/>
  <c r="E65" i="43"/>
  <c r="E63" i="89" l="1"/>
  <c r="E5" i="89" s="1"/>
  <c r="F65" i="89"/>
  <c r="F65" i="90"/>
  <c r="E63" i="90"/>
  <c r="E5" i="90" s="1"/>
  <c r="F65" i="42"/>
  <c r="E63" i="42"/>
  <c r="E5" i="42" s="1"/>
  <c r="F65" i="46"/>
  <c r="E63" i="46"/>
  <c r="E5" i="46" s="1"/>
  <c r="F69" i="50"/>
  <c r="E67" i="50"/>
  <c r="E5" i="50" s="1"/>
  <c r="E67" i="54"/>
  <c r="E5" i="54" s="1"/>
  <c r="F69" i="54"/>
  <c r="E63" i="58"/>
  <c r="E5" i="58" s="1"/>
  <c r="F65" i="58"/>
  <c r="F69" i="64"/>
  <c r="E67" i="64"/>
  <c r="E5" i="64" s="1"/>
  <c r="F69" i="68"/>
  <c r="E67" i="68"/>
  <c r="E5" i="68" s="1"/>
  <c r="F69" i="74"/>
  <c r="E67" i="74"/>
  <c r="E5" i="74" s="1"/>
  <c r="F70" i="77"/>
  <c r="E68" i="77"/>
  <c r="E5" i="77" s="1"/>
  <c r="E67" i="81"/>
  <c r="E5" i="81" s="1"/>
  <c r="F69" i="81"/>
  <c r="E63" i="84"/>
  <c r="E5" i="84" s="1"/>
  <c r="F65" i="84"/>
  <c r="E72" i="87"/>
  <c r="E5" i="87" s="1"/>
  <c r="F74" i="87"/>
  <c r="E63" i="44"/>
  <c r="E5" i="44" s="1"/>
  <c r="F65" i="44"/>
  <c r="F65" i="47"/>
  <c r="E63" i="47"/>
  <c r="E5" i="47" s="1"/>
  <c r="E67" i="51"/>
  <c r="E5" i="51" s="1"/>
  <c r="F69" i="51"/>
  <c r="F75" i="57"/>
  <c r="E73" i="57"/>
  <c r="E5" i="57" s="1"/>
  <c r="F69" i="59"/>
  <c r="E67" i="59"/>
  <c r="E5" i="59" s="1"/>
  <c r="F69" i="65"/>
  <c r="E67" i="65"/>
  <c r="E5" i="65" s="1"/>
  <c r="F69" i="71"/>
  <c r="E67" i="71"/>
  <c r="E5" i="71" s="1"/>
  <c r="F69" i="70"/>
  <c r="E67" i="70"/>
  <c r="E5" i="70" s="1"/>
  <c r="F69" i="78"/>
  <c r="E67" i="78"/>
  <c r="E5" i="78" s="1"/>
  <c r="E67" i="83"/>
  <c r="E5" i="83" s="1"/>
  <c r="F69" i="83"/>
  <c r="E69" i="85"/>
  <c r="E5" i="85" s="1"/>
  <c r="F71" i="85"/>
  <c r="E63" i="43"/>
  <c r="E5" i="43" s="1"/>
  <c r="F65" i="43"/>
  <c r="F70" i="41"/>
  <c r="E68" i="41"/>
  <c r="E5" i="41" s="1"/>
  <c r="F69" i="48"/>
  <c r="E67" i="48"/>
  <c r="E5" i="48" s="1"/>
  <c r="E67" i="52"/>
  <c r="E5" i="52" s="1"/>
  <c r="F69" i="52"/>
  <c r="F70" i="56"/>
  <c r="E68" i="56"/>
  <c r="E5" i="56" s="1"/>
  <c r="F61" i="61"/>
  <c r="E59" i="61"/>
  <c r="E5" i="61" s="1"/>
  <c r="F69" i="66"/>
  <c r="E67" i="66"/>
  <c r="E5" i="66" s="1"/>
  <c r="F69" i="72"/>
  <c r="E67" i="72"/>
  <c r="E5" i="72" s="1"/>
  <c r="F72" i="75"/>
  <c r="E70" i="75"/>
  <c r="E5" i="75" s="1"/>
  <c r="E67" i="79"/>
  <c r="E5" i="79" s="1"/>
  <c r="F69" i="79"/>
  <c r="F65" i="40"/>
  <c r="E63" i="40"/>
  <c r="E5" i="40" s="1"/>
  <c r="F65" i="39"/>
  <c r="E63" i="39"/>
  <c r="E5" i="39" s="1"/>
  <c r="E67" i="53"/>
  <c r="E5" i="53" s="1"/>
  <c r="F69" i="53"/>
  <c r="E64" i="63"/>
  <c r="E5" i="63" s="1"/>
  <c r="F66" i="63"/>
  <c r="F65" i="62"/>
  <c r="E63" i="62"/>
  <c r="E5" i="62" s="1"/>
  <c r="E68" i="67"/>
  <c r="E5" i="67" s="1"/>
  <c r="F70" i="67"/>
  <c r="F70" i="73"/>
  <c r="E68" i="73"/>
  <c r="E5" i="73" s="1"/>
  <c r="E71" i="76"/>
  <c r="E5" i="76" s="1"/>
  <c r="F73" i="76"/>
  <c r="E67" i="80"/>
  <c r="E5" i="80" s="1"/>
  <c r="F69" i="80"/>
  <c r="F74" i="86"/>
  <c r="E72" i="86"/>
  <c r="E5" i="86" s="1"/>
  <c r="E67" i="88"/>
  <c r="E5" i="88" s="1"/>
  <c r="F69" i="88"/>
  <c r="F63" i="90" l="1"/>
  <c r="F5" i="90" s="1"/>
  <c r="G65" i="90"/>
  <c r="F63" i="89"/>
  <c r="F5" i="89" s="1"/>
  <c r="G65" i="89"/>
  <c r="F68" i="73"/>
  <c r="F5" i="73" s="1"/>
  <c r="G70" i="73"/>
  <c r="G65" i="62"/>
  <c r="F63" i="62"/>
  <c r="F5" i="62" s="1"/>
  <c r="G65" i="39"/>
  <c r="F63" i="39"/>
  <c r="F5" i="39" s="1"/>
  <c r="G69" i="72"/>
  <c r="F67" i="72"/>
  <c r="F5" i="72" s="1"/>
  <c r="F59" i="61"/>
  <c r="F5" i="61" s="1"/>
  <c r="G61" i="61"/>
  <c r="G70" i="41"/>
  <c r="F68" i="41"/>
  <c r="F5" i="41" s="1"/>
  <c r="F67" i="78"/>
  <c r="F5" i="78" s="1"/>
  <c r="G69" i="78"/>
  <c r="G69" i="71"/>
  <c r="F67" i="71"/>
  <c r="F5" i="71" s="1"/>
  <c r="F67" i="59"/>
  <c r="F5" i="59" s="1"/>
  <c r="G69" i="59"/>
  <c r="F68" i="77"/>
  <c r="F5" i="77" s="1"/>
  <c r="G70" i="77"/>
  <c r="F67" i="68"/>
  <c r="F5" i="68" s="1"/>
  <c r="G69" i="68"/>
  <c r="G69" i="50"/>
  <c r="F67" i="50"/>
  <c r="F5" i="50" s="1"/>
  <c r="G65" i="42"/>
  <c r="F63" i="42"/>
  <c r="F5" i="42" s="1"/>
  <c r="G73" i="76"/>
  <c r="F71" i="76"/>
  <c r="F5" i="76" s="1"/>
  <c r="F68" i="67"/>
  <c r="F5" i="67" s="1"/>
  <c r="G70" i="67"/>
  <c r="F64" i="63"/>
  <c r="F5" i="63" s="1"/>
  <c r="G66" i="63"/>
  <c r="G65" i="43"/>
  <c r="F63" i="43"/>
  <c r="F5" i="43" s="1"/>
  <c r="F67" i="83"/>
  <c r="F5" i="83" s="1"/>
  <c r="G69" i="83"/>
  <c r="G74" i="87"/>
  <c r="F72" i="87"/>
  <c r="F5" i="87" s="1"/>
  <c r="F67" i="81"/>
  <c r="F5" i="81" s="1"/>
  <c r="G69" i="81"/>
  <c r="F67" i="54"/>
  <c r="F5" i="54" s="1"/>
  <c r="G69" i="54"/>
  <c r="G74" i="86"/>
  <c r="F72" i="86"/>
  <c r="F5" i="86" s="1"/>
  <c r="G65" i="40"/>
  <c r="F63" i="40"/>
  <c r="F5" i="40" s="1"/>
  <c r="G72" i="75"/>
  <c r="F70" i="75"/>
  <c r="F5" i="75" s="1"/>
  <c r="F67" i="66"/>
  <c r="F5" i="66" s="1"/>
  <c r="G69" i="66"/>
  <c r="F68" i="56"/>
  <c r="F5" i="56" s="1"/>
  <c r="G70" i="56"/>
  <c r="F67" i="48"/>
  <c r="F5" i="48" s="1"/>
  <c r="G69" i="48"/>
  <c r="G69" i="70"/>
  <c r="F67" i="70"/>
  <c r="F5" i="70" s="1"/>
  <c r="G69" i="65"/>
  <c r="F67" i="65"/>
  <c r="F5" i="65" s="1"/>
  <c r="G75" i="57"/>
  <c r="F73" i="57"/>
  <c r="F5" i="57" s="1"/>
  <c r="F63" i="47"/>
  <c r="F5" i="47" s="1"/>
  <c r="G65" i="47"/>
  <c r="G69" i="74"/>
  <c r="F67" i="74"/>
  <c r="F5" i="74" s="1"/>
  <c r="F67" i="64"/>
  <c r="F5" i="64" s="1"/>
  <c r="G69" i="64"/>
  <c r="F63" i="46"/>
  <c r="F5" i="46" s="1"/>
  <c r="G65" i="46"/>
  <c r="G69" i="88"/>
  <c r="F67" i="88"/>
  <c r="F5" i="88" s="1"/>
  <c r="G69" i="80"/>
  <c r="F67" i="80"/>
  <c r="F5" i="80" s="1"/>
  <c r="F67" i="53"/>
  <c r="F5" i="53" s="1"/>
  <c r="G69" i="53"/>
  <c r="F67" i="79"/>
  <c r="F5" i="79" s="1"/>
  <c r="G69" i="79"/>
  <c r="F67" i="52"/>
  <c r="F5" i="52" s="1"/>
  <c r="G69" i="52"/>
  <c r="G71" i="85"/>
  <c r="F69" i="85"/>
  <c r="F5" i="85" s="1"/>
  <c r="G69" i="51"/>
  <c r="F67" i="51"/>
  <c r="F5" i="51" s="1"/>
  <c r="G65" i="44"/>
  <c r="F63" i="44"/>
  <c r="F5" i="44" s="1"/>
  <c r="G65" i="84"/>
  <c r="F63" i="84"/>
  <c r="F5" i="84" s="1"/>
  <c r="F63" i="58"/>
  <c r="F5" i="58" s="1"/>
  <c r="G65" i="58"/>
  <c r="H65" i="90" l="1"/>
  <c r="H63" i="90" s="1"/>
  <c r="H5" i="90" s="1"/>
  <c r="G63" i="90"/>
  <c r="G5" i="90" s="1"/>
  <c r="G63" i="89"/>
  <c r="G5" i="89" s="1"/>
  <c r="H65" i="89"/>
  <c r="H63" i="89" s="1"/>
  <c r="H5" i="89" s="1"/>
  <c r="H65" i="84"/>
  <c r="H63" i="84" s="1"/>
  <c r="H5" i="84" s="1"/>
  <c r="G63" i="84"/>
  <c r="G5" i="84" s="1"/>
  <c r="H69" i="51"/>
  <c r="H67" i="51" s="1"/>
  <c r="H5" i="51" s="1"/>
  <c r="G67" i="51"/>
  <c r="G5" i="51" s="1"/>
  <c r="G67" i="64"/>
  <c r="G5" i="64" s="1"/>
  <c r="H69" i="64"/>
  <c r="H67" i="64" s="1"/>
  <c r="H5" i="64" s="1"/>
  <c r="H69" i="48"/>
  <c r="H67" i="48" s="1"/>
  <c r="H5" i="48" s="1"/>
  <c r="G67" i="48"/>
  <c r="G5" i="48" s="1"/>
  <c r="H69" i="66"/>
  <c r="H67" i="66" s="1"/>
  <c r="H5" i="66" s="1"/>
  <c r="G67" i="66"/>
  <c r="G5" i="66" s="1"/>
  <c r="G72" i="86"/>
  <c r="G5" i="86" s="1"/>
  <c r="H74" i="86"/>
  <c r="H72" i="86" s="1"/>
  <c r="H5" i="86" s="1"/>
  <c r="G72" i="87"/>
  <c r="G5" i="87" s="1"/>
  <c r="H74" i="87"/>
  <c r="H72" i="87" s="1"/>
  <c r="H5" i="87" s="1"/>
  <c r="H65" i="43"/>
  <c r="H63" i="43" s="1"/>
  <c r="H5" i="43" s="1"/>
  <c r="G63" i="43"/>
  <c r="G5" i="43" s="1"/>
  <c r="H66" i="63"/>
  <c r="H64" i="63" s="1"/>
  <c r="H5" i="63" s="1"/>
  <c r="G64" i="63"/>
  <c r="G5" i="63" s="1"/>
  <c r="H65" i="42"/>
  <c r="H63" i="42" s="1"/>
  <c r="H5" i="42" s="1"/>
  <c r="G63" i="42"/>
  <c r="G5" i="42" s="1"/>
  <c r="H69" i="68"/>
  <c r="H67" i="68" s="1"/>
  <c r="H5" i="68" s="1"/>
  <c r="G67" i="68"/>
  <c r="G5" i="68" s="1"/>
  <c r="G59" i="61"/>
  <c r="G5" i="61" s="1"/>
  <c r="H61" i="61"/>
  <c r="H59" i="61" s="1"/>
  <c r="H5" i="61" s="1"/>
  <c r="H65" i="62"/>
  <c r="H63" i="62" s="1"/>
  <c r="H5" i="62" s="1"/>
  <c r="G63" i="62"/>
  <c r="G5" i="62" s="1"/>
  <c r="H71" i="85"/>
  <c r="H69" i="85" s="1"/>
  <c r="H5" i="85" s="1"/>
  <c r="G69" i="85"/>
  <c r="G5" i="85" s="1"/>
  <c r="H69" i="88"/>
  <c r="H67" i="88" s="1"/>
  <c r="H5" i="88" s="1"/>
  <c r="G67" i="88"/>
  <c r="G5" i="88" s="1"/>
  <c r="H75" i="57"/>
  <c r="H73" i="57" s="1"/>
  <c r="H5" i="57" s="1"/>
  <c r="G73" i="57"/>
  <c r="G5" i="57" s="1"/>
  <c r="G67" i="70"/>
  <c r="G5" i="70" s="1"/>
  <c r="H69" i="70"/>
  <c r="H67" i="70" s="1"/>
  <c r="H5" i="70" s="1"/>
  <c r="H65" i="40"/>
  <c r="H63" i="40" s="1"/>
  <c r="H5" i="40" s="1"/>
  <c r="G63" i="40"/>
  <c r="G5" i="40" s="1"/>
  <c r="G67" i="81"/>
  <c r="G5" i="81" s="1"/>
  <c r="H69" i="81"/>
  <c r="H67" i="81" s="1"/>
  <c r="H5" i="81" s="1"/>
  <c r="H69" i="83"/>
  <c r="H67" i="83" s="1"/>
  <c r="H5" i="83" s="1"/>
  <c r="G67" i="83"/>
  <c r="G5" i="83" s="1"/>
  <c r="H73" i="76"/>
  <c r="H71" i="76" s="1"/>
  <c r="H5" i="76" s="1"/>
  <c r="G71" i="76"/>
  <c r="G5" i="76" s="1"/>
  <c r="G68" i="73"/>
  <c r="G5" i="73" s="1"/>
  <c r="H70" i="73"/>
  <c r="H68" i="73" s="1"/>
  <c r="H5" i="73" s="1"/>
  <c r="G63" i="44"/>
  <c r="G5" i="44" s="1"/>
  <c r="H65" i="44"/>
  <c r="H63" i="44" s="1"/>
  <c r="H5" i="44" s="1"/>
  <c r="H69" i="53"/>
  <c r="H67" i="53" s="1"/>
  <c r="H5" i="53" s="1"/>
  <c r="G67" i="53"/>
  <c r="G5" i="53" s="1"/>
  <c r="G63" i="46"/>
  <c r="G5" i="46" s="1"/>
  <c r="H65" i="46"/>
  <c r="H63" i="46" s="1"/>
  <c r="H5" i="46" s="1"/>
  <c r="G63" i="47"/>
  <c r="G5" i="47" s="1"/>
  <c r="H65" i="47"/>
  <c r="H63" i="47" s="1"/>
  <c r="H5" i="47" s="1"/>
  <c r="H70" i="56"/>
  <c r="H68" i="56" s="1"/>
  <c r="H5" i="56" s="1"/>
  <c r="G68" i="56"/>
  <c r="G5" i="56" s="1"/>
  <c r="H69" i="54"/>
  <c r="H67" i="54" s="1"/>
  <c r="H5" i="54" s="1"/>
  <c r="G67" i="54"/>
  <c r="G5" i="54" s="1"/>
  <c r="H70" i="67"/>
  <c r="H68" i="67" s="1"/>
  <c r="H5" i="67" s="1"/>
  <c r="G68" i="67"/>
  <c r="G5" i="67" s="1"/>
  <c r="G67" i="50"/>
  <c r="G5" i="50" s="1"/>
  <c r="H69" i="50"/>
  <c r="H67" i="50" s="1"/>
  <c r="H5" i="50" s="1"/>
  <c r="H70" i="77"/>
  <c r="H68" i="77" s="1"/>
  <c r="H5" i="77" s="1"/>
  <c r="G68" i="77"/>
  <c r="G5" i="77" s="1"/>
  <c r="G67" i="71"/>
  <c r="G5" i="71" s="1"/>
  <c r="H69" i="71"/>
  <c r="H67" i="71" s="1"/>
  <c r="H5" i="71" s="1"/>
  <c r="G63" i="39"/>
  <c r="G5" i="39" s="1"/>
  <c r="H65" i="39"/>
  <c r="H63" i="39" s="1"/>
  <c r="H5" i="39" s="1"/>
  <c r="G63" i="58"/>
  <c r="G5" i="58" s="1"/>
  <c r="H65" i="58"/>
  <c r="H63" i="58" s="1"/>
  <c r="H5" i="58" s="1"/>
  <c r="G67" i="52"/>
  <c r="G5" i="52" s="1"/>
  <c r="H69" i="52"/>
  <c r="H67" i="52" s="1"/>
  <c r="H5" i="52" s="1"/>
  <c r="H69" i="79"/>
  <c r="H67" i="79" s="1"/>
  <c r="H5" i="79" s="1"/>
  <c r="G67" i="79"/>
  <c r="G5" i="79" s="1"/>
  <c r="H69" i="80"/>
  <c r="H67" i="80" s="1"/>
  <c r="H5" i="80" s="1"/>
  <c r="G67" i="80"/>
  <c r="G5" i="80" s="1"/>
  <c r="G67" i="74"/>
  <c r="G5" i="74" s="1"/>
  <c r="H69" i="74"/>
  <c r="H67" i="74" s="1"/>
  <c r="H5" i="74" s="1"/>
  <c r="H69" i="65"/>
  <c r="H67" i="65" s="1"/>
  <c r="H5" i="65" s="1"/>
  <c r="G67" i="65"/>
  <c r="G5" i="65" s="1"/>
  <c r="H72" i="75"/>
  <c r="H70" i="75" s="1"/>
  <c r="H5" i="75" s="1"/>
  <c r="G70" i="75"/>
  <c r="G5" i="75" s="1"/>
  <c r="H69" i="59"/>
  <c r="H67" i="59" s="1"/>
  <c r="H5" i="59" s="1"/>
  <c r="G67" i="59"/>
  <c r="G5" i="59" s="1"/>
  <c r="G67" i="78"/>
  <c r="G5" i="78" s="1"/>
  <c r="H69" i="78"/>
  <c r="H67" i="78" s="1"/>
  <c r="H5" i="78" s="1"/>
  <c r="G68" i="41"/>
  <c r="G5" i="41" s="1"/>
  <c r="H70" i="41"/>
  <c r="H68" i="41" s="1"/>
  <c r="H5" i="41" s="1"/>
  <c r="G67" i="72"/>
  <c r="G5" i="72" s="1"/>
  <c r="H69" i="72"/>
  <c r="H67" i="72" s="1"/>
  <c r="H5" i="72" s="1"/>
  <c r="D5" i="38"/>
  <c r="E5" i="38" s="1"/>
  <c r="F5" i="38" s="1"/>
  <c r="G5" i="38" s="1"/>
  <c r="D5" i="75" l="1"/>
  <c r="D5" i="74"/>
  <c r="D5" i="79"/>
  <c r="D5" i="58"/>
  <c r="D5" i="54"/>
  <c r="D5" i="53"/>
  <c r="D5" i="83"/>
  <c r="D5" i="40"/>
  <c r="D5" i="57"/>
  <c r="D5" i="42"/>
  <c r="D5" i="43"/>
  <c r="D5" i="48"/>
  <c r="D5" i="51"/>
  <c r="D5" i="89"/>
  <c r="D5" i="59"/>
  <c r="D5" i="65"/>
  <c r="D5" i="80"/>
  <c r="D5" i="52"/>
  <c r="D5" i="77"/>
  <c r="D5" i="67"/>
  <c r="D5" i="56"/>
  <c r="D5" i="44"/>
  <c r="D5" i="76"/>
  <c r="D5" i="88"/>
  <c r="D5" i="62"/>
  <c r="D5" i="68"/>
  <c r="D5" i="63"/>
  <c r="D5" i="66"/>
  <c r="D5" i="84"/>
  <c r="D5" i="90"/>
  <c r="D5" i="78"/>
  <c r="D5" i="50"/>
  <c r="D5" i="70"/>
  <c r="D5" i="71"/>
  <c r="D5" i="85"/>
  <c r="D5" i="41"/>
  <c r="D5" i="39"/>
  <c r="D5" i="47"/>
  <c r="D5" i="73"/>
  <c r="D5" i="61"/>
  <c r="D5" i="86"/>
  <c r="D5" i="72"/>
  <c r="D5" i="46"/>
  <c r="D5" i="81"/>
  <c r="D5" i="87"/>
  <c r="D5" i="64"/>
  <c r="F134" i="35" l="1"/>
  <c r="G134" i="35"/>
  <c r="G132" i="35" s="1"/>
  <c r="G128" i="35" s="1"/>
  <c r="G26" i="35" s="1"/>
  <c r="H134" i="35"/>
  <c r="H132" i="35" s="1"/>
  <c r="H128" i="35" s="1"/>
  <c r="H26" i="35" s="1"/>
  <c r="E134" i="35"/>
  <c r="E132" i="35" s="1"/>
  <c r="E128" i="35" s="1"/>
  <c r="E26" i="35" s="1"/>
  <c r="F122" i="35"/>
  <c r="F117" i="35" s="1"/>
  <c r="G122" i="35"/>
  <c r="H122" i="35"/>
  <c r="E122" i="35"/>
  <c r="E117" i="35" s="1"/>
  <c r="E32" i="35" s="1"/>
  <c r="E35" i="35" s="1"/>
  <c r="G40" i="35"/>
  <c r="G43" i="35" s="1"/>
  <c r="F40" i="35"/>
  <c r="F43" i="35" s="1"/>
  <c r="H170" i="35"/>
  <c r="G170" i="35"/>
  <c r="F170" i="35"/>
  <c r="F169" i="35"/>
  <c r="H168" i="35"/>
  <c r="G168" i="35"/>
  <c r="E168" i="35"/>
  <c r="H164" i="35"/>
  <c r="H163" i="35" s="1"/>
  <c r="G164" i="35"/>
  <c r="G163" i="35" s="1"/>
  <c r="F164" i="35"/>
  <c r="F163" i="35" s="1"/>
  <c r="E163" i="35"/>
  <c r="H161" i="35"/>
  <c r="H159" i="35" s="1"/>
  <c r="G161" i="35"/>
  <c r="G159" i="35" s="1"/>
  <c r="F161" i="35"/>
  <c r="F159" i="35" s="1"/>
  <c r="E161" i="35"/>
  <c r="E159" i="35" s="1"/>
  <c r="H157" i="35"/>
  <c r="H155" i="35" s="1"/>
  <c r="G157" i="35"/>
  <c r="G155" i="35" s="1"/>
  <c r="F157" i="35"/>
  <c r="F155" i="35" s="1"/>
  <c r="E157" i="35"/>
  <c r="E155" i="35" s="1"/>
  <c r="E151" i="35"/>
  <c r="G149" i="35"/>
  <c r="F149" i="35"/>
  <c r="E148" i="35"/>
  <c r="H145" i="35"/>
  <c r="G145" i="35"/>
  <c r="F145" i="35"/>
  <c r="E145" i="35"/>
  <c r="H143" i="35"/>
  <c r="G143" i="35"/>
  <c r="F143" i="35"/>
  <c r="E143" i="35"/>
  <c r="H141" i="35"/>
  <c r="G141" i="35"/>
  <c r="F141" i="35"/>
  <c r="E141" i="35"/>
  <c r="H139" i="35"/>
  <c r="G139" i="35"/>
  <c r="G137" i="35" s="1"/>
  <c r="G47" i="35" s="1"/>
  <c r="F139" i="35"/>
  <c r="E139" i="35"/>
  <c r="E137" i="35" s="1"/>
  <c r="E47" i="35" s="1"/>
  <c r="H137" i="35"/>
  <c r="H47" i="35" s="1"/>
  <c r="F133" i="35"/>
  <c r="E109" i="35"/>
  <c r="F109" i="35" s="1"/>
  <c r="G109" i="35" s="1"/>
  <c r="E103" i="35"/>
  <c r="E99" i="35" s="1"/>
  <c r="E20" i="35" s="1"/>
  <c r="E22" i="35" s="1"/>
  <c r="H101" i="35"/>
  <c r="G101" i="35"/>
  <c r="F101" i="35"/>
  <c r="E57" i="35"/>
  <c r="D42" i="35"/>
  <c r="D41" i="35"/>
  <c r="H40" i="35"/>
  <c r="H43" i="35" s="1"/>
  <c r="E40" i="35"/>
  <c r="D39" i="35"/>
  <c r="D38" i="35"/>
  <c r="H35" i="35"/>
  <c r="G35" i="35"/>
  <c r="F35" i="35"/>
  <c r="D34" i="35"/>
  <c r="D33" i="35"/>
  <c r="D31" i="35"/>
  <c r="D21" i="35"/>
  <c r="E3" i="35"/>
  <c r="F3" i="35" s="1"/>
  <c r="G3" i="35" s="1"/>
  <c r="H3" i="35" s="1"/>
  <c r="C15" i="7"/>
  <c r="C28" i="7" s="1"/>
  <c r="F154" i="35" l="1"/>
  <c r="G154" i="35"/>
  <c r="H154" i="35"/>
  <c r="F137" i="35"/>
  <c r="F47" i="35" s="1"/>
  <c r="D47" i="35" s="1"/>
  <c r="E154" i="35"/>
  <c r="E147" i="35" s="1"/>
  <c r="E46" i="35" s="1"/>
  <c r="E48" i="35" s="1"/>
  <c r="E107" i="35"/>
  <c r="E25" i="35" s="1"/>
  <c r="E28" i="35" s="1"/>
  <c r="F132" i="35"/>
  <c r="F128" i="35" s="1"/>
  <c r="F26" i="35" s="1"/>
  <c r="D26" i="35" s="1"/>
  <c r="F168" i="35"/>
  <c r="D40" i="35"/>
  <c r="D43" i="35" s="1"/>
  <c r="D32" i="35"/>
  <c r="D35" i="35" s="1"/>
  <c r="H109" i="35"/>
  <c r="H107" i="35" s="1"/>
  <c r="H25" i="35" s="1"/>
  <c r="H28" i="35" s="1"/>
  <c r="G107" i="35"/>
  <c r="G25" i="35" s="1"/>
  <c r="G28" i="35" s="1"/>
  <c r="E43" i="35"/>
  <c r="F107" i="35"/>
  <c r="F25" i="35" s="1"/>
  <c r="D25" i="35" l="1"/>
  <c r="D28" i="35" s="1"/>
  <c r="F28" i="35"/>
  <c r="C16" i="7" l="1"/>
  <c r="C30" i="7" l="1"/>
  <c r="C19" i="7"/>
  <c r="C24" i="7" s="1"/>
  <c r="C27" i="7"/>
  <c r="C13" i="7"/>
  <c r="E65" i="35" l="1"/>
  <c r="B39" i="3"/>
  <c r="B38" i="3"/>
  <c r="C37" i="3"/>
  <c r="B37" i="3" s="1"/>
  <c r="F65" i="35" l="1"/>
  <c r="E63" i="35"/>
  <c r="E5" i="35" s="1"/>
  <c r="B5" i="3"/>
  <c r="E21" i="3" l="1"/>
  <c r="E16" i="3"/>
  <c r="E17" i="3" s="1"/>
  <c r="C28" i="3"/>
  <c r="C26" i="3"/>
  <c r="C22" i="3"/>
  <c r="C20" i="3"/>
  <c r="C16" i="3"/>
  <c r="C14" i="3"/>
  <c r="D12" i="3"/>
  <c r="E15" i="3"/>
  <c r="E20" i="3"/>
  <c r="E22" i="3" s="1"/>
  <c r="E13" i="3"/>
  <c r="E14" i="3" s="1"/>
  <c r="D27" i="3"/>
  <c r="D25" i="3"/>
  <c r="D21" i="3"/>
  <c r="D19" i="3"/>
  <c r="D17" i="3"/>
  <c r="C15" i="3"/>
  <c r="C13" i="3"/>
  <c r="E25" i="3"/>
  <c r="E26" i="3" s="1"/>
  <c r="E19" i="3"/>
  <c r="E12" i="3"/>
  <c r="C27" i="3"/>
  <c r="C25" i="3"/>
  <c r="C21" i="3"/>
  <c r="C19" i="3"/>
  <c r="C17" i="3"/>
  <c r="D15" i="3"/>
  <c r="D13" i="3"/>
  <c r="E23" i="3"/>
  <c r="E24" i="3" s="1"/>
  <c r="E18" i="3"/>
  <c r="D28" i="3"/>
  <c r="D26" i="3"/>
  <c r="D22" i="3"/>
  <c r="D20" i="3"/>
  <c r="D16" i="3"/>
  <c r="D14" i="3"/>
  <c r="C12" i="3"/>
  <c r="E142" i="87"/>
  <c r="E140" i="87" s="1"/>
  <c r="C227" i="87"/>
  <c r="E139" i="87"/>
  <c r="E137" i="87" s="1"/>
  <c r="E146" i="87"/>
  <c r="E144" i="87" s="1"/>
  <c r="E136" i="87"/>
  <c r="E134" i="87" s="1"/>
  <c r="E143" i="87"/>
  <c r="E133" i="87"/>
  <c r="E131" i="87" s="1"/>
  <c r="C24" i="3"/>
  <c r="C18" i="3"/>
  <c r="D23" i="3"/>
  <c r="C23" i="3"/>
  <c r="D24" i="3"/>
  <c r="D18" i="3"/>
  <c r="C23" i="7"/>
  <c r="E106" i="91" s="1"/>
  <c r="F106" i="91" s="1"/>
  <c r="G106" i="91" s="1"/>
  <c r="H106" i="91" s="1"/>
  <c r="H92" i="35"/>
  <c r="G92" i="35"/>
  <c r="F92" i="35"/>
  <c r="E92" i="35"/>
  <c r="D54" i="4"/>
  <c r="E156" i="91" s="1"/>
  <c r="E155" i="91" s="1"/>
  <c r="E152" i="91" s="1"/>
  <c r="E151" i="91" s="1"/>
  <c r="E50" i="91" s="1"/>
  <c r="E52" i="91" s="1"/>
  <c r="C33" i="7"/>
  <c r="E104" i="91" s="1"/>
  <c r="F63" i="35"/>
  <c r="F5" i="35" s="1"/>
  <c r="G65" i="35"/>
  <c r="D13" i="4"/>
  <c r="E73" i="91" s="1"/>
  <c r="F104" i="91" l="1"/>
  <c r="E103" i="91"/>
  <c r="E20" i="91" s="1"/>
  <c r="E71" i="91"/>
  <c r="E6" i="91" s="1"/>
  <c r="F73" i="91"/>
  <c r="G156" i="91"/>
  <c r="F156" i="91"/>
  <c r="H156" i="91"/>
  <c r="B25" i="3"/>
  <c r="F103" i="90"/>
  <c r="G103" i="90" s="1"/>
  <c r="H103" i="90" s="1"/>
  <c r="E106" i="78"/>
  <c r="F106" i="78" s="1"/>
  <c r="G106" i="78" s="1"/>
  <c r="H106" i="78" s="1"/>
  <c r="E106" i="80"/>
  <c r="F106" i="80" s="1"/>
  <c r="G106" i="80" s="1"/>
  <c r="H106" i="80" s="1"/>
  <c r="E106" i="79"/>
  <c r="F106" i="79" s="1"/>
  <c r="G106" i="79" s="1"/>
  <c r="H106" i="79" s="1"/>
  <c r="F102" i="89"/>
  <c r="G102" i="89" s="1"/>
  <c r="H102" i="89" s="1"/>
  <c r="E69" i="89"/>
  <c r="F69" i="89" s="1"/>
  <c r="E70" i="90"/>
  <c r="G155" i="90"/>
  <c r="F155" i="90"/>
  <c r="H155" i="90"/>
  <c r="F101" i="90"/>
  <c r="F100" i="90" s="1"/>
  <c r="F20" i="90" s="1"/>
  <c r="H101" i="90"/>
  <c r="G101" i="90"/>
  <c r="G100" i="90" s="1"/>
  <c r="G20" i="90" s="1"/>
  <c r="G22" i="90" s="1"/>
  <c r="G156" i="89"/>
  <c r="F156" i="89"/>
  <c r="H156" i="89"/>
  <c r="F100" i="89"/>
  <c r="F99" i="89" s="1"/>
  <c r="F20" i="89" s="1"/>
  <c r="H100" i="89"/>
  <c r="G100" i="89"/>
  <c r="B21" i="3"/>
  <c r="G228" i="87"/>
  <c r="G224" i="87" s="1"/>
  <c r="G51" i="87" s="1"/>
  <c r="G52" i="87" s="1"/>
  <c r="F228" i="87"/>
  <c r="F224" i="87" s="1"/>
  <c r="F51" i="87" s="1"/>
  <c r="F52" i="87" s="1"/>
  <c r="H228" i="87"/>
  <c r="H224" i="87" s="1"/>
  <c r="H51" i="87" s="1"/>
  <c r="H52" i="87" s="1"/>
  <c r="E228" i="87"/>
  <c r="E224" i="87" s="1"/>
  <c r="E51" i="87" s="1"/>
  <c r="B18" i="3"/>
  <c r="B14" i="3"/>
  <c r="B26" i="3"/>
  <c r="B24" i="3"/>
  <c r="H182" i="54"/>
  <c r="H46" i="54" s="1"/>
  <c r="H47" i="54" s="1"/>
  <c r="G182" i="54"/>
  <c r="G46" i="54" s="1"/>
  <c r="G47" i="54" s="1"/>
  <c r="E182" i="54"/>
  <c r="E46" i="54" s="1"/>
  <c r="F182" i="54"/>
  <c r="F46" i="54" s="1"/>
  <c r="F47" i="54" s="1"/>
  <c r="B17" i="3"/>
  <c r="B27" i="3"/>
  <c r="B13" i="3"/>
  <c r="B22" i="3"/>
  <c r="B16" i="3"/>
  <c r="B28" i="3"/>
  <c r="B23" i="3"/>
  <c r="E130" i="87"/>
  <c r="E129" i="87" s="1"/>
  <c r="E33" i="87" s="1"/>
  <c r="B19" i="3"/>
  <c r="B15" i="3"/>
  <c r="B20" i="3"/>
  <c r="F102" i="84"/>
  <c r="G102" i="84" s="1"/>
  <c r="H102" i="84" s="1"/>
  <c r="E111" i="87"/>
  <c r="F111" i="87" s="1"/>
  <c r="G111" i="87" s="1"/>
  <c r="H111" i="87" s="1"/>
  <c r="E106" i="88"/>
  <c r="F106" i="88" s="1"/>
  <c r="G106" i="88" s="1"/>
  <c r="H106" i="88" s="1"/>
  <c r="E107" i="68"/>
  <c r="F107" i="68" s="1"/>
  <c r="G107" i="68" s="1"/>
  <c r="H107" i="68" s="1"/>
  <c r="E105" i="86"/>
  <c r="E108" i="85"/>
  <c r="F108" i="85" s="1"/>
  <c r="G108" i="85" s="1"/>
  <c r="H108" i="85" s="1"/>
  <c r="E112" i="57"/>
  <c r="F112" i="57" s="1"/>
  <c r="G112" i="57" s="1"/>
  <c r="H112" i="57" s="1"/>
  <c r="E102" i="86"/>
  <c r="E109" i="87"/>
  <c r="E104" i="88"/>
  <c r="E78" i="87"/>
  <c r="E76" i="87" s="1"/>
  <c r="E6" i="87" s="1"/>
  <c r="E73" i="88"/>
  <c r="G159" i="88"/>
  <c r="F159" i="88"/>
  <c r="H159" i="88"/>
  <c r="F184" i="87"/>
  <c r="H184" i="87"/>
  <c r="G184" i="87"/>
  <c r="E75" i="85"/>
  <c r="E73" i="85" s="1"/>
  <c r="E6" i="85" s="1"/>
  <c r="E78" i="86"/>
  <c r="F180" i="86"/>
  <c r="H180" i="86"/>
  <c r="G180" i="86"/>
  <c r="E106" i="85"/>
  <c r="F106" i="85" s="1"/>
  <c r="E99" i="86"/>
  <c r="H221" i="85"/>
  <c r="G221" i="85"/>
  <c r="F221" i="85"/>
  <c r="H100" i="84"/>
  <c r="H99" i="84" s="1"/>
  <c r="F100" i="84"/>
  <c r="G100" i="84"/>
  <c r="E73" i="83"/>
  <c r="E71" i="83" s="1"/>
  <c r="E6" i="83" s="1"/>
  <c r="C10" i="7"/>
  <c r="E69" i="84"/>
  <c r="F170" i="84"/>
  <c r="H170" i="84"/>
  <c r="G170" i="84"/>
  <c r="E106" i="83"/>
  <c r="F106" i="83" s="1"/>
  <c r="G106" i="83" s="1"/>
  <c r="H106" i="83" s="1"/>
  <c r="E106" i="81"/>
  <c r="F106" i="81" s="1"/>
  <c r="G106" i="81" s="1"/>
  <c r="H106" i="81" s="1"/>
  <c r="E112" i="77"/>
  <c r="F112" i="77" s="1"/>
  <c r="G112" i="77" s="1"/>
  <c r="H112" i="77" s="1"/>
  <c r="E110" i="76"/>
  <c r="F110" i="76" s="1"/>
  <c r="G110" i="76" s="1"/>
  <c r="H110" i="76" s="1"/>
  <c r="E123" i="75"/>
  <c r="F123" i="75" s="1"/>
  <c r="G123" i="75" s="1"/>
  <c r="H123" i="75" s="1"/>
  <c r="E106" i="72"/>
  <c r="F106" i="72" s="1"/>
  <c r="G106" i="72" s="1"/>
  <c r="H106" i="72" s="1"/>
  <c r="E106" i="71"/>
  <c r="F106" i="71" s="1"/>
  <c r="G106" i="71" s="1"/>
  <c r="H106" i="71" s="1"/>
  <c r="E106" i="70"/>
  <c r="F106" i="70" s="1"/>
  <c r="G106" i="70" s="1"/>
  <c r="H106" i="70" s="1"/>
  <c r="E106" i="74"/>
  <c r="F106" i="74" s="1"/>
  <c r="G106" i="74" s="1"/>
  <c r="H106" i="74" s="1"/>
  <c r="E112" i="73"/>
  <c r="F112" i="73" s="1"/>
  <c r="G112" i="73" s="1"/>
  <c r="H112" i="73" s="1"/>
  <c r="G156" i="83"/>
  <c r="F156" i="83"/>
  <c r="H156" i="83"/>
  <c r="E104" i="81"/>
  <c r="F104" i="81" s="1"/>
  <c r="E104" i="83"/>
  <c r="G160" i="81"/>
  <c r="F160" i="81"/>
  <c r="H160" i="81"/>
  <c r="E73" i="80"/>
  <c r="E71" i="80" s="1"/>
  <c r="E6" i="80" s="1"/>
  <c r="E73" i="81"/>
  <c r="F157" i="80"/>
  <c r="H157" i="80"/>
  <c r="G157" i="80"/>
  <c r="E104" i="79"/>
  <c r="F104" i="79" s="1"/>
  <c r="E104" i="80"/>
  <c r="E73" i="78"/>
  <c r="F73" i="78" s="1"/>
  <c r="E73" i="79"/>
  <c r="G157" i="78"/>
  <c r="F157" i="78"/>
  <c r="H157" i="78"/>
  <c r="E110" i="77"/>
  <c r="F110" i="77" s="1"/>
  <c r="E104" i="78"/>
  <c r="E77" i="76"/>
  <c r="F77" i="76" s="1"/>
  <c r="E74" i="77"/>
  <c r="G184" i="77"/>
  <c r="F184" i="77"/>
  <c r="H184" i="77"/>
  <c r="E121" i="75"/>
  <c r="F121" i="75" s="1"/>
  <c r="E108" i="76"/>
  <c r="G164" i="76"/>
  <c r="H164" i="76"/>
  <c r="F164" i="76"/>
  <c r="F181" i="75"/>
  <c r="H181" i="75"/>
  <c r="G181" i="75"/>
  <c r="E73" i="74"/>
  <c r="F73" i="74" s="1"/>
  <c r="E76" i="75"/>
  <c r="F160" i="74"/>
  <c r="H160" i="74"/>
  <c r="G160" i="74"/>
  <c r="E110" i="73"/>
  <c r="F110" i="73" s="1"/>
  <c r="E104" i="74"/>
  <c r="E73" i="72"/>
  <c r="E71" i="72" s="1"/>
  <c r="E6" i="72" s="1"/>
  <c r="E74" i="73"/>
  <c r="G166" i="73"/>
  <c r="F166" i="73"/>
  <c r="H166" i="73"/>
  <c r="G160" i="72"/>
  <c r="F160" i="72"/>
  <c r="H160" i="72"/>
  <c r="E104" i="71"/>
  <c r="E104" i="72"/>
  <c r="G160" i="71"/>
  <c r="H160" i="71"/>
  <c r="F160" i="71"/>
  <c r="E73" i="70"/>
  <c r="E71" i="70" s="1"/>
  <c r="E6" i="70" s="1"/>
  <c r="E73" i="71"/>
  <c r="G160" i="70"/>
  <c r="F160" i="70"/>
  <c r="H160" i="70"/>
  <c r="E105" i="68"/>
  <c r="F105" i="68" s="1"/>
  <c r="E104" i="70"/>
  <c r="G226" i="68"/>
  <c r="F226" i="68"/>
  <c r="H226" i="68"/>
  <c r="E74" i="67"/>
  <c r="F74" i="67" s="1"/>
  <c r="E74" i="68"/>
  <c r="E106" i="66"/>
  <c r="F106" i="66" s="1"/>
  <c r="G106" i="66" s="1"/>
  <c r="H106" i="66" s="1"/>
  <c r="E107" i="67"/>
  <c r="F107" i="67" s="1"/>
  <c r="G107" i="67" s="1"/>
  <c r="H107" i="67" s="1"/>
  <c r="E106" i="65"/>
  <c r="F106" i="65" s="1"/>
  <c r="G106" i="65" s="1"/>
  <c r="H106" i="65" s="1"/>
  <c r="E106" i="64"/>
  <c r="F106" i="64" s="1"/>
  <c r="G106" i="64" s="1"/>
  <c r="H106" i="64" s="1"/>
  <c r="F103" i="63"/>
  <c r="G103" i="63" s="1"/>
  <c r="H103" i="63" s="1"/>
  <c r="F102" i="62"/>
  <c r="G102" i="62" s="1"/>
  <c r="H102" i="62" s="1"/>
  <c r="E104" i="66"/>
  <c r="F104" i="66" s="1"/>
  <c r="E105" i="67"/>
  <c r="G163" i="67"/>
  <c r="F163" i="67"/>
  <c r="H163" i="67"/>
  <c r="E73" i="65"/>
  <c r="E71" i="65" s="1"/>
  <c r="E6" i="65" s="1"/>
  <c r="E73" i="66"/>
  <c r="H156" i="66"/>
  <c r="G156" i="66"/>
  <c r="F156" i="66"/>
  <c r="E104" i="64"/>
  <c r="F104" i="64" s="1"/>
  <c r="E104" i="65"/>
  <c r="G156" i="65"/>
  <c r="F156" i="65"/>
  <c r="H156" i="65"/>
  <c r="E70" i="63"/>
  <c r="E68" i="63" s="1"/>
  <c r="E6" i="63" s="1"/>
  <c r="E73" i="64"/>
  <c r="H156" i="64"/>
  <c r="F156" i="64"/>
  <c r="G156" i="64"/>
  <c r="H160" i="63"/>
  <c r="F160" i="63"/>
  <c r="G160" i="63"/>
  <c r="H101" i="63"/>
  <c r="G101" i="63"/>
  <c r="F101" i="63"/>
  <c r="H100" i="62"/>
  <c r="G100" i="62"/>
  <c r="F100" i="62"/>
  <c r="E65" i="61"/>
  <c r="E63" i="61" s="1"/>
  <c r="E6" i="61" s="1"/>
  <c r="E69" i="62"/>
  <c r="F159" i="62"/>
  <c r="H159" i="62"/>
  <c r="G159" i="62"/>
  <c r="F102" i="46"/>
  <c r="G102" i="46" s="1"/>
  <c r="H102" i="46" s="1"/>
  <c r="F98" i="61"/>
  <c r="G98" i="61" s="1"/>
  <c r="H98" i="61" s="1"/>
  <c r="F174" i="61"/>
  <c r="H174" i="61"/>
  <c r="G174" i="61"/>
  <c r="F96" i="61"/>
  <c r="H96" i="61"/>
  <c r="G96" i="61"/>
  <c r="F102" i="43"/>
  <c r="G102" i="43" s="1"/>
  <c r="H102" i="43" s="1"/>
  <c r="F102" i="44"/>
  <c r="G102" i="44" s="1"/>
  <c r="H102" i="44" s="1"/>
  <c r="F102" i="35"/>
  <c r="G102" i="35" s="1"/>
  <c r="H102" i="35" s="1"/>
  <c r="F102" i="40"/>
  <c r="G102" i="40" s="1"/>
  <c r="H102" i="40" s="1"/>
  <c r="F107" i="41"/>
  <c r="G107" i="41" s="1"/>
  <c r="H107" i="41" s="1"/>
  <c r="E106" i="59"/>
  <c r="F106" i="59" s="1"/>
  <c r="G106" i="59" s="1"/>
  <c r="H106" i="59" s="1"/>
  <c r="E102" i="58"/>
  <c r="F102" i="58" s="1"/>
  <c r="G102" i="58" s="1"/>
  <c r="H102" i="58" s="1"/>
  <c r="E107" i="56"/>
  <c r="F107" i="56" s="1"/>
  <c r="G107" i="56" s="1"/>
  <c r="H107" i="56" s="1"/>
  <c r="E106" i="54"/>
  <c r="F106" i="54" s="1"/>
  <c r="G106" i="54" s="1"/>
  <c r="H106" i="54" s="1"/>
  <c r="E106" i="51"/>
  <c r="F106" i="51" s="1"/>
  <c r="G106" i="51" s="1"/>
  <c r="H106" i="51" s="1"/>
  <c r="E106" i="53"/>
  <c r="F106" i="53" s="1"/>
  <c r="G106" i="53" s="1"/>
  <c r="H106" i="53" s="1"/>
  <c r="E106" i="52"/>
  <c r="F106" i="52" s="1"/>
  <c r="G106" i="52" s="1"/>
  <c r="H106" i="52" s="1"/>
  <c r="E73" i="59"/>
  <c r="F73" i="59" s="1"/>
  <c r="G194" i="59"/>
  <c r="F194" i="59"/>
  <c r="H194" i="59"/>
  <c r="E104" i="59"/>
  <c r="E100" i="58"/>
  <c r="H100" i="58"/>
  <c r="G100" i="58"/>
  <c r="F100" i="58"/>
  <c r="E79" i="57"/>
  <c r="F79" i="57" s="1"/>
  <c r="E69" i="58"/>
  <c r="F159" i="58"/>
  <c r="H159" i="58"/>
  <c r="G159" i="58"/>
  <c r="E105" i="56"/>
  <c r="F105" i="56" s="1"/>
  <c r="E110" i="57"/>
  <c r="H197" i="57"/>
  <c r="G197" i="57"/>
  <c r="F197" i="57"/>
  <c r="E73" i="54"/>
  <c r="F73" i="54" s="1"/>
  <c r="E74" i="56"/>
  <c r="G165" i="56"/>
  <c r="F165" i="56"/>
  <c r="H165" i="56"/>
  <c r="G156" i="54"/>
  <c r="F156" i="54"/>
  <c r="H156" i="54"/>
  <c r="E104" i="53"/>
  <c r="F104" i="53" s="1"/>
  <c r="E104" i="54"/>
  <c r="E73" i="52"/>
  <c r="E71" i="52" s="1"/>
  <c r="E6" i="52" s="1"/>
  <c r="E73" i="53"/>
  <c r="H156" i="53"/>
  <c r="G156" i="53"/>
  <c r="F156" i="53"/>
  <c r="E104" i="51"/>
  <c r="F104" i="51" s="1"/>
  <c r="E104" i="52"/>
  <c r="G156" i="52"/>
  <c r="F156" i="52"/>
  <c r="H156" i="52"/>
  <c r="E73" i="50"/>
  <c r="F73" i="50" s="1"/>
  <c r="E73" i="51"/>
  <c r="G156" i="51"/>
  <c r="F156" i="51"/>
  <c r="H156" i="51"/>
  <c r="E106" i="50"/>
  <c r="F106" i="50" s="1"/>
  <c r="G106" i="50" s="1"/>
  <c r="H106" i="50" s="1"/>
  <c r="E106" i="48"/>
  <c r="F106" i="48" s="1"/>
  <c r="G106" i="48" s="1"/>
  <c r="H106" i="48" s="1"/>
  <c r="F102" i="39"/>
  <c r="G102" i="39" s="1"/>
  <c r="H102" i="39" s="1"/>
  <c r="F102" i="42"/>
  <c r="G102" i="42" s="1"/>
  <c r="H102" i="42" s="1"/>
  <c r="F102" i="47"/>
  <c r="G102" i="47" s="1"/>
  <c r="H102" i="47" s="1"/>
  <c r="H156" i="50"/>
  <c r="F156" i="50"/>
  <c r="G156" i="50"/>
  <c r="E104" i="50"/>
  <c r="E104" i="48"/>
  <c r="H156" i="48"/>
  <c r="F156" i="48"/>
  <c r="G156" i="48"/>
  <c r="E69" i="47"/>
  <c r="F69" i="47" s="1"/>
  <c r="E73" i="48"/>
  <c r="G100" i="47"/>
  <c r="F100" i="47"/>
  <c r="H100" i="47"/>
  <c r="F159" i="47"/>
  <c r="H159" i="47"/>
  <c r="G159" i="47"/>
  <c r="F100" i="46"/>
  <c r="H100" i="46"/>
  <c r="G100" i="46"/>
  <c r="G154" i="46"/>
  <c r="F154" i="46"/>
  <c r="H154" i="46"/>
  <c r="E69" i="46"/>
  <c r="E69" i="43"/>
  <c r="E67" i="43" s="1"/>
  <c r="E6" i="43" s="1"/>
  <c r="E69" i="44"/>
  <c r="H100" i="44"/>
  <c r="G100" i="44"/>
  <c r="F100" i="44"/>
  <c r="G152" i="44"/>
  <c r="F152" i="44"/>
  <c r="H152" i="44"/>
  <c r="H100" i="43"/>
  <c r="G100" i="43"/>
  <c r="F100" i="43"/>
  <c r="G152" i="43"/>
  <c r="F152" i="43"/>
  <c r="H152" i="43"/>
  <c r="G152" i="35"/>
  <c r="G151" i="35" s="1"/>
  <c r="H100" i="42"/>
  <c r="G100" i="42"/>
  <c r="F100" i="42"/>
  <c r="G152" i="42"/>
  <c r="F152" i="42"/>
  <c r="H152" i="42"/>
  <c r="E74" i="41"/>
  <c r="F74" i="41" s="1"/>
  <c r="E69" i="42"/>
  <c r="H105" i="41"/>
  <c r="G105" i="41"/>
  <c r="F105" i="41"/>
  <c r="G157" i="41"/>
  <c r="F157" i="41"/>
  <c r="H157" i="41"/>
  <c r="E69" i="39"/>
  <c r="E67" i="39" s="1"/>
  <c r="E6" i="39" s="1"/>
  <c r="E69" i="40"/>
  <c r="H100" i="40"/>
  <c r="G100" i="40"/>
  <c r="F100" i="40"/>
  <c r="G152" i="40"/>
  <c r="F152" i="40"/>
  <c r="H152" i="40"/>
  <c r="H100" i="39"/>
  <c r="G100" i="39"/>
  <c r="F100" i="39"/>
  <c r="G152" i="39"/>
  <c r="F152" i="39"/>
  <c r="H152" i="39"/>
  <c r="F152" i="35"/>
  <c r="F148" i="35" s="1"/>
  <c r="B12" i="3"/>
  <c r="C40" i="3"/>
  <c r="B40" i="3" s="1"/>
  <c r="B41" i="3" s="1"/>
  <c r="E101" i="91" s="1"/>
  <c r="F100" i="35"/>
  <c r="G100" i="35"/>
  <c r="H100" i="35"/>
  <c r="H152" i="35"/>
  <c r="H148" i="35" s="1"/>
  <c r="G63" i="35"/>
  <c r="G5" i="35" s="1"/>
  <c r="H65" i="35"/>
  <c r="H63" i="35" s="1"/>
  <c r="H5" i="35" s="1"/>
  <c r="E69" i="35"/>
  <c r="G99" i="84" l="1"/>
  <c r="F99" i="84"/>
  <c r="H20" i="84"/>
  <c r="H22" i="84" s="1"/>
  <c r="F101" i="91"/>
  <c r="E99" i="91"/>
  <c r="E15" i="91" s="1"/>
  <c r="F155" i="91"/>
  <c r="F152" i="91" s="1"/>
  <c r="F151" i="91" s="1"/>
  <c r="F50" i="91" s="1"/>
  <c r="E22" i="91"/>
  <c r="G155" i="91"/>
  <c r="G152" i="91" s="1"/>
  <c r="G151" i="91" s="1"/>
  <c r="G104" i="91"/>
  <c r="F103" i="91"/>
  <c r="F20" i="91" s="1"/>
  <c r="F22" i="91" s="1"/>
  <c r="F71" i="91"/>
  <c r="F6" i="91" s="1"/>
  <c r="G73" i="91"/>
  <c r="G99" i="89"/>
  <c r="G20" i="89" s="1"/>
  <c r="G22" i="89" s="1"/>
  <c r="H155" i="91"/>
  <c r="H152" i="91" s="1"/>
  <c r="H151" i="91" s="1"/>
  <c r="H50" i="91" s="1"/>
  <c r="H52" i="91" s="1"/>
  <c r="E7" i="91"/>
  <c r="E67" i="89"/>
  <c r="E6" i="89" s="1"/>
  <c r="E7" i="89" s="1"/>
  <c r="H99" i="89"/>
  <c r="H20" i="89" s="1"/>
  <c r="H22" i="89" s="1"/>
  <c r="H100" i="90"/>
  <c r="H20" i="90" s="1"/>
  <c r="H22" i="90" s="1"/>
  <c r="E71" i="50"/>
  <c r="E6" i="50" s="1"/>
  <c r="E7" i="50" s="1"/>
  <c r="F95" i="61"/>
  <c r="F20" i="61" s="1"/>
  <c r="F22" i="61" s="1"/>
  <c r="E108" i="87"/>
  <c r="E20" i="87" s="1"/>
  <c r="E22" i="87" s="1"/>
  <c r="F99" i="35"/>
  <c r="F20" i="35" s="1"/>
  <c r="F22" i="35" s="1"/>
  <c r="F154" i="90"/>
  <c r="F151" i="90"/>
  <c r="E97" i="89"/>
  <c r="E95" i="89" s="1"/>
  <c r="E15" i="89" s="1"/>
  <c r="E98" i="90"/>
  <c r="G154" i="90"/>
  <c r="G151" i="90"/>
  <c r="F22" i="90"/>
  <c r="D20" i="90"/>
  <c r="D22" i="90" s="1"/>
  <c r="E68" i="90"/>
  <c r="E6" i="90" s="1"/>
  <c r="F70" i="90"/>
  <c r="H154" i="90"/>
  <c r="H151" i="90"/>
  <c r="F67" i="89"/>
  <c r="F6" i="89" s="1"/>
  <c r="G69" i="89"/>
  <c r="F22" i="89"/>
  <c r="H152" i="89"/>
  <c r="H155" i="89"/>
  <c r="F155" i="89"/>
  <c r="F152" i="89"/>
  <c r="G152" i="89"/>
  <c r="G155" i="89"/>
  <c r="F75" i="85"/>
  <c r="F73" i="85" s="1"/>
  <c r="F6" i="85" s="1"/>
  <c r="E36" i="87"/>
  <c r="D33" i="87"/>
  <c r="D36" i="87" s="1"/>
  <c r="E52" i="87"/>
  <c r="D51" i="87"/>
  <c r="D52" i="87" s="1"/>
  <c r="E47" i="54"/>
  <c r="D46" i="54"/>
  <c r="D47" i="54" s="1"/>
  <c r="E99" i="58"/>
  <c r="E20" i="58" s="1"/>
  <c r="E22" i="58" s="1"/>
  <c r="G20" i="84"/>
  <c r="G22" i="84" s="1"/>
  <c r="E105" i="85"/>
  <c r="E20" i="85" s="1"/>
  <c r="E22" i="85" s="1"/>
  <c r="F109" i="87"/>
  <c r="F108" i="87" s="1"/>
  <c r="F20" i="87" s="1"/>
  <c r="F22" i="87" s="1"/>
  <c r="B10" i="3"/>
  <c r="F20" i="84"/>
  <c r="E101" i="86"/>
  <c r="F102" i="86"/>
  <c r="F105" i="86"/>
  <c r="E104" i="86"/>
  <c r="E106" i="87"/>
  <c r="F106" i="87" s="1"/>
  <c r="E101" i="88"/>
  <c r="H99" i="42"/>
  <c r="H20" i="42" s="1"/>
  <c r="H22" i="42" s="1"/>
  <c r="E71" i="88"/>
  <c r="E6" i="88" s="1"/>
  <c r="F73" i="88"/>
  <c r="H155" i="88"/>
  <c r="H158" i="88"/>
  <c r="F78" i="87"/>
  <c r="G78" i="87" s="1"/>
  <c r="F158" i="88"/>
  <c r="F155" i="88"/>
  <c r="F104" i="88"/>
  <c r="E103" i="88"/>
  <c r="E20" i="88" s="1"/>
  <c r="G158" i="88"/>
  <c r="G155" i="88"/>
  <c r="E7" i="87"/>
  <c r="H183" i="87"/>
  <c r="H180" i="87"/>
  <c r="G183" i="87"/>
  <c r="G180" i="87"/>
  <c r="F183" i="87"/>
  <c r="F180" i="87"/>
  <c r="H179" i="86"/>
  <c r="H176" i="86"/>
  <c r="E103" i="85"/>
  <c r="E101" i="85" s="1"/>
  <c r="E15" i="85" s="1"/>
  <c r="E96" i="86"/>
  <c r="F99" i="86"/>
  <c r="F176" i="86"/>
  <c r="F179" i="86"/>
  <c r="F78" i="86"/>
  <c r="E76" i="86"/>
  <c r="E6" i="86" s="1"/>
  <c r="E8" i="86" s="1"/>
  <c r="G179" i="86"/>
  <c r="G176" i="86"/>
  <c r="F73" i="80"/>
  <c r="G73" i="80" s="1"/>
  <c r="E7" i="85"/>
  <c r="G220" i="85"/>
  <c r="G217" i="85"/>
  <c r="F105" i="85"/>
  <c r="F20" i="85" s="1"/>
  <c r="F22" i="85" s="1"/>
  <c r="G106" i="85"/>
  <c r="F220" i="85"/>
  <c r="F217" i="85"/>
  <c r="H220" i="85"/>
  <c r="H217" i="85"/>
  <c r="E103" i="78"/>
  <c r="E20" i="78" s="1"/>
  <c r="F166" i="84"/>
  <c r="F169" i="84"/>
  <c r="F73" i="83"/>
  <c r="F71" i="83" s="1"/>
  <c r="F6" i="83" s="1"/>
  <c r="E67" i="84"/>
  <c r="E6" i="84" s="1"/>
  <c r="F69" i="84"/>
  <c r="G89" i="84"/>
  <c r="G87" i="84" s="1"/>
  <c r="G10" i="84" s="1"/>
  <c r="G12" i="84" s="1"/>
  <c r="H169" i="84"/>
  <c r="H166" i="84"/>
  <c r="E101" i="83"/>
  <c r="E99" i="83" s="1"/>
  <c r="E15" i="83" s="1"/>
  <c r="E97" i="84"/>
  <c r="G169" i="84"/>
  <c r="G166" i="84"/>
  <c r="E120" i="75"/>
  <c r="E22" i="75" s="1"/>
  <c r="E24" i="75" s="1"/>
  <c r="F99" i="44"/>
  <c r="F20" i="44" s="1"/>
  <c r="F22" i="44" s="1"/>
  <c r="F104" i="41"/>
  <c r="F20" i="41" s="1"/>
  <c r="F22" i="41" s="1"/>
  <c r="F99" i="39"/>
  <c r="F20" i="39" s="1"/>
  <c r="F22" i="39" s="1"/>
  <c r="E103" i="71"/>
  <c r="E20" i="71" s="1"/>
  <c r="E22" i="71" s="1"/>
  <c r="F93" i="83"/>
  <c r="F91" i="83" s="1"/>
  <c r="F10" i="83" s="1"/>
  <c r="F12" i="83" s="1"/>
  <c r="E103" i="81"/>
  <c r="E20" i="81" s="1"/>
  <c r="E22" i="81" s="1"/>
  <c r="F155" i="83"/>
  <c r="F152" i="83"/>
  <c r="E103" i="83"/>
  <c r="E20" i="83" s="1"/>
  <c r="F104" i="83"/>
  <c r="G152" i="83"/>
  <c r="G155" i="83"/>
  <c r="E75" i="76"/>
  <c r="E6" i="76" s="1"/>
  <c r="E7" i="76" s="1"/>
  <c r="H152" i="83"/>
  <c r="H155" i="83"/>
  <c r="E7" i="83"/>
  <c r="H93" i="81"/>
  <c r="H91" i="81" s="1"/>
  <c r="H10" i="81" s="1"/>
  <c r="H12" i="81" s="1"/>
  <c r="G104" i="81"/>
  <c r="F103" i="81"/>
  <c r="F20" i="81" s="1"/>
  <c r="F22" i="81" s="1"/>
  <c r="E71" i="81"/>
  <c r="E6" i="81" s="1"/>
  <c r="F73" i="81"/>
  <c r="F159" i="81"/>
  <c r="F156" i="81"/>
  <c r="E101" i="80"/>
  <c r="F101" i="80" s="1"/>
  <c r="E101" i="81"/>
  <c r="H159" i="81"/>
  <c r="H156" i="81"/>
  <c r="E71" i="78"/>
  <c r="E6" i="78" s="1"/>
  <c r="E7" i="78" s="1"/>
  <c r="G159" i="81"/>
  <c r="G156" i="81"/>
  <c r="G156" i="80"/>
  <c r="G153" i="80"/>
  <c r="E103" i="79"/>
  <c r="E20" i="79" s="1"/>
  <c r="E22" i="79" s="1"/>
  <c r="E7" i="80"/>
  <c r="H156" i="80"/>
  <c r="H153" i="80"/>
  <c r="F104" i="80"/>
  <c r="E103" i="80"/>
  <c r="E20" i="80" s="1"/>
  <c r="F153" i="80"/>
  <c r="F156" i="80"/>
  <c r="G104" i="79"/>
  <c r="F103" i="79"/>
  <c r="F20" i="79" s="1"/>
  <c r="F22" i="79" s="1"/>
  <c r="E71" i="79"/>
  <c r="E6" i="79" s="1"/>
  <c r="F73" i="79"/>
  <c r="E101" i="78"/>
  <c r="E99" i="78" s="1"/>
  <c r="E15" i="78" s="1"/>
  <c r="E101" i="79"/>
  <c r="E109" i="77"/>
  <c r="E20" i="77" s="1"/>
  <c r="E22" i="77" s="1"/>
  <c r="F71" i="78"/>
  <c r="F6" i="78" s="1"/>
  <c r="G73" i="78"/>
  <c r="H156" i="78"/>
  <c r="H153" i="78"/>
  <c r="F156" i="78"/>
  <c r="F153" i="78"/>
  <c r="F104" i="78"/>
  <c r="F103" i="78" s="1"/>
  <c r="G156" i="78"/>
  <c r="G153" i="78"/>
  <c r="F183" i="77"/>
  <c r="F180" i="77"/>
  <c r="G110" i="77"/>
  <c r="F109" i="77"/>
  <c r="F20" i="77" s="1"/>
  <c r="F22" i="77" s="1"/>
  <c r="H99" i="40"/>
  <c r="H20" i="40" s="1"/>
  <c r="H22" i="40" s="1"/>
  <c r="G180" i="77"/>
  <c r="G183" i="77"/>
  <c r="E105" i="76"/>
  <c r="E103" i="76" s="1"/>
  <c r="E15" i="76" s="1"/>
  <c r="E107" i="77"/>
  <c r="E109" i="73"/>
  <c r="E21" i="73" s="1"/>
  <c r="E23" i="73" s="1"/>
  <c r="E72" i="77"/>
  <c r="E6" i="77" s="1"/>
  <c r="F74" i="77"/>
  <c r="H99" i="44"/>
  <c r="H20" i="44" s="1"/>
  <c r="H22" i="44" s="1"/>
  <c r="E71" i="74"/>
  <c r="E6" i="74" s="1"/>
  <c r="E7" i="74" s="1"/>
  <c r="H180" i="77"/>
  <c r="H183" i="77"/>
  <c r="E107" i="76"/>
  <c r="E20" i="76" s="1"/>
  <c r="F108" i="76"/>
  <c r="F99" i="58"/>
  <c r="F20" i="58" s="1"/>
  <c r="F22" i="58" s="1"/>
  <c r="F163" i="76"/>
  <c r="F160" i="76"/>
  <c r="H163" i="76"/>
  <c r="H160" i="76"/>
  <c r="G77" i="76"/>
  <c r="F75" i="76"/>
  <c r="F6" i="76" s="1"/>
  <c r="G99" i="43"/>
  <c r="G20" i="43" s="1"/>
  <c r="G22" i="43" s="1"/>
  <c r="G160" i="76"/>
  <c r="G163" i="76"/>
  <c r="E71" i="59"/>
  <c r="E6" i="59" s="1"/>
  <c r="E7" i="59" s="1"/>
  <c r="F76" i="75"/>
  <c r="E74" i="75"/>
  <c r="E6" i="75" s="1"/>
  <c r="G180" i="75"/>
  <c r="G177" i="75"/>
  <c r="F73" i="72"/>
  <c r="F71" i="72" s="1"/>
  <c r="F6" i="72" s="1"/>
  <c r="H180" i="75"/>
  <c r="H177" i="75"/>
  <c r="E101" i="74"/>
  <c r="F101" i="74" s="1"/>
  <c r="E118" i="75"/>
  <c r="G121" i="75"/>
  <c r="F120" i="75"/>
  <c r="F22" i="75" s="1"/>
  <c r="F24" i="75" s="1"/>
  <c r="F180" i="75"/>
  <c r="F177" i="75"/>
  <c r="G156" i="74"/>
  <c r="G159" i="74"/>
  <c r="G73" i="74"/>
  <c r="F71" i="74"/>
  <c r="F6" i="74" s="1"/>
  <c r="H159" i="74"/>
  <c r="H156" i="74"/>
  <c r="F73" i="70"/>
  <c r="G73" i="70" s="1"/>
  <c r="F104" i="71"/>
  <c r="F103" i="71" s="1"/>
  <c r="F20" i="71" s="1"/>
  <c r="F22" i="71" s="1"/>
  <c r="F104" i="74"/>
  <c r="E103" i="74"/>
  <c r="E20" i="74" s="1"/>
  <c r="F159" i="74"/>
  <c r="F156" i="74"/>
  <c r="E101" i="72"/>
  <c r="F101" i="72" s="1"/>
  <c r="E107" i="73"/>
  <c r="H162" i="73"/>
  <c r="H165" i="73"/>
  <c r="F165" i="73"/>
  <c r="F162" i="73"/>
  <c r="F109" i="73"/>
  <c r="F21" i="73" s="1"/>
  <c r="F23" i="73" s="1"/>
  <c r="G110" i="73"/>
  <c r="E72" i="73"/>
  <c r="E6" i="73" s="1"/>
  <c r="F74" i="73"/>
  <c r="H100" i="63"/>
  <c r="H21" i="63" s="1"/>
  <c r="H23" i="63" s="1"/>
  <c r="G162" i="73"/>
  <c r="G165" i="73"/>
  <c r="E7" i="72"/>
  <c r="H156" i="72"/>
  <c r="H159" i="72"/>
  <c r="F159" i="72"/>
  <c r="F156" i="72"/>
  <c r="F104" i="72"/>
  <c r="E103" i="72"/>
  <c r="E20" i="72" s="1"/>
  <c r="G156" i="72"/>
  <c r="G159" i="72"/>
  <c r="E101" i="70"/>
  <c r="F101" i="70" s="1"/>
  <c r="E101" i="71"/>
  <c r="E71" i="71"/>
  <c r="E6" i="71" s="1"/>
  <c r="F73" i="71"/>
  <c r="F159" i="71"/>
  <c r="F156" i="71"/>
  <c r="E104" i="68"/>
  <c r="E20" i="68" s="1"/>
  <c r="E22" i="68" s="1"/>
  <c r="H159" i="71"/>
  <c r="H156" i="71"/>
  <c r="H99" i="62"/>
  <c r="H20" i="62" s="1"/>
  <c r="H22" i="62" s="1"/>
  <c r="G159" i="71"/>
  <c r="G156" i="71"/>
  <c r="E7" i="70"/>
  <c r="G156" i="70"/>
  <c r="G159" i="70"/>
  <c r="E72" i="67"/>
  <c r="E6" i="67" s="1"/>
  <c r="F159" i="70"/>
  <c r="F156" i="70"/>
  <c r="E103" i="70"/>
  <c r="E20" i="70" s="1"/>
  <c r="F104" i="70"/>
  <c r="F73" i="65"/>
  <c r="G73" i="65" s="1"/>
  <c r="H156" i="70"/>
  <c r="H159" i="70"/>
  <c r="G105" i="68"/>
  <c r="F104" i="68"/>
  <c r="F20" i="68" s="1"/>
  <c r="F22" i="68" s="1"/>
  <c r="E102" i="67"/>
  <c r="E100" i="67" s="1"/>
  <c r="E16" i="67" s="1"/>
  <c r="E102" i="68"/>
  <c r="F70" i="63"/>
  <c r="G70" i="63" s="1"/>
  <c r="E72" i="68"/>
  <c r="E6" i="68" s="1"/>
  <c r="F74" i="68"/>
  <c r="H225" i="68"/>
  <c r="H222" i="68"/>
  <c r="G94" i="68"/>
  <c r="G92" i="68" s="1"/>
  <c r="G10" i="68" s="1"/>
  <c r="G12" i="68" s="1"/>
  <c r="F225" i="68"/>
  <c r="F222" i="68"/>
  <c r="G225" i="68"/>
  <c r="G222" i="68"/>
  <c r="E103" i="66"/>
  <c r="E20" i="66" s="1"/>
  <c r="E22" i="66" s="1"/>
  <c r="F100" i="63"/>
  <c r="F21" i="63" s="1"/>
  <c r="F23" i="63" s="1"/>
  <c r="G99" i="62"/>
  <c r="G20" i="62" s="1"/>
  <c r="G22" i="62" s="1"/>
  <c r="G100" i="63"/>
  <c r="G21" i="63" s="1"/>
  <c r="G23" i="63" s="1"/>
  <c r="F99" i="62"/>
  <c r="F20" i="62" s="1"/>
  <c r="F22" i="62" s="1"/>
  <c r="H162" i="67"/>
  <c r="H159" i="67"/>
  <c r="F162" i="67"/>
  <c r="F159" i="67"/>
  <c r="E104" i="67"/>
  <c r="E21" i="67" s="1"/>
  <c r="F105" i="67"/>
  <c r="F72" i="67"/>
  <c r="F6" i="67" s="1"/>
  <c r="F8" i="67" s="1"/>
  <c r="G74" i="67"/>
  <c r="E103" i="64"/>
  <c r="E20" i="64" s="1"/>
  <c r="E22" i="64" s="1"/>
  <c r="G162" i="67"/>
  <c r="G159" i="67"/>
  <c r="E101" i="65"/>
  <c r="F101" i="65" s="1"/>
  <c r="E101" i="66"/>
  <c r="E71" i="66"/>
  <c r="E6" i="66" s="1"/>
  <c r="F73" i="66"/>
  <c r="F155" i="66"/>
  <c r="F152" i="66"/>
  <c r="G155" i="66"/>
  <c r="G152" i="66"/>
  <c r="H152" i="66"/>
  <c r="H155" i="66"/>
  <c r="G104" i="66"/>
  <c r="F103" i="66"/>
  <c r="F20" i="66" s="1"/>
  <c r="F22" i="66" s="1"/>
  <c r="G152" i="65"/>
  <c r="G155" i="65"/>
  <c r="H152" i="65"/>
  <c r="H155" i="65"/>
  <c r="E7" i="65"/>
  <c r="F155" i="65"/>
  <c r="F152" i="65"/>
  <c r="E103" i="65"/>
  <c r="E20" i="65" s="1"/>
  <c r="F104" i="65"/>
  <c r="F73" i="64"/>
  <c r="E71" i="64"/>
  <c r="E6" i="64" s="1"/>
  <c r="E98" i="63"/>
  <c r="E96" i="63" s="1"/>
  <c r="E15" i="63" s="1"/>
  <c r="E101" i="64"/>
  <c r="G155" i="64"/>
  <c r="G152" i="64"/>
  <c r="F155" i="64"/>
  <c r="F152" i="64"/>
  <c r="H155" i="64"/>
  <c r="H152" i="64"/>
  <c r="F103" i="64"/>
  <c r="F20" i="64" s="1"/>
  <c r="F22" i="64" s="1"/>
  <c r="G104" i="64"/>
  <c r="E7" i="63"/>
  <c r="G159" i="63"/>
  <c r="G156" i="63"/>
  <c r="D20" i="63"/>
  <c r="F159" i="63"/>
  <c r="F156" i="63"/>
  <c r="G99" i="44"/>
  <c r="G20" i="44" s="1"/>
  <c r="G22" i="44" s="1"/>
  <c r="F65" i="61"/>
  <c r="F63" i="61" s="1"/>
  <c r="F6" i="61" s="1"/>
  <c r="H159" i="63"/>
  <c r="H156" i="63"/>
  <c r="G158" i="62"/>
  <c r="G155" i="62"/>
  <c r="E93" i="61"/>
  <c r="E91" i="61" s="1"/>
  <c r="E15" i="61" s="1"/>
  <c r="E97" i="62"/>
  <c r="F158" i="62"/>
  <c r="F155" i="62"/>
  <c r="H158" i="62"/>
  <c r="H155" i="62"/>
  <c r="G89" i="62"/>
  <c r="G87" i="62" s="1"/>
  <c r="G10" i="62" s="1"/>
  <c r="G12" i="62" s="1"/>
  <c r="F69" i="62"/>
  <c r="E67" i="62"/>
  <c r="E6" i="62" s="1"/>
  <c r="H95" i="61"/>
  <c r="H20" i="61" s="1"/>
  <c r="H22" i="61" s="1"/>
  <c r="H99" i="35"/>
  <c r="H20" i="35" s="1"/>
  <c r="H22" i="35" s="1"/>
  <c r="F99" i="42"/>
  <c r="F20" i="42" s="1"/>
  <c r="F22" i="42" s="1"/>
  <c r="G95" i="61"/>
  <c r="G20" i="61" s="1"/>
  <c r="G22" i="61" s="1"/>
  <c r="E7" i="61"/>
  <c r="G173" i="61"/>
  <c r="G170" i="61"/>
  <c r="H173" i="61"/>
  <c r="H170" i="61"/>
  <c r="F173" i="61"/>
  <c r="F170" i="61"/>
  <c r="G104" i="41"/>
  <c r="G20" i="41" s="1"/>
  <c r="G22" i="41" s="1"/>
  <c r="H99" i="43"/>
  <c r="H20" i="43" s="1"/>
  <c r="H22" i="43" s="1"/>
  <c r="H104" i="41"/>
  <c r="H20" i="41" s="1"/>
  <c r="H22" i="41" s="1"/>
  <c r="G99" i="35"/>
  <c r="G20" i="35" s="1"/>
  <c r="G22" i="35" s="1"/>
  <c r="F99" i="40"/>
  <c r="F20" i="40" s="1"/>
  <c r="F22" i="40" s="1"/>
  <c r="F99" i="43"/>
  <c r="F20" i="43" s="1"/>
  <c r="F22" i="43" s="1"/>
  <c r="G99" i="58"/>
  <c r="G20" i="58" s="1"/>
  <c r="G22" i="58" s="1"/>
  <c r="G99" i="40"/>
  <c r="G20" i="40" s="1"/>
  <c r="G22" i="40" s="1"/>
  <c r="H99" i="58"/>
  <c r="H20" i="58" s="1"/>
  <c r="H22" i="58" s="1"/>
  <c r="E71" i="54"/>
  <c r="E6" i="54" s="1"/>
  <c r="E7" i="54" s="1"/>
  <c r="F69" i="39"/>
  <c r="F67" i="39" s="1"/>
  <c r="F6" i="39" s="1"/>
  <c r="E104" i="56"/>
  <c r="E20" i="56" s="1"/>
  <c r="E22" i="56" s="1"/>
  <c r="F71" i="59"/>
  <c r="F6" i="59" s="1"/>
  <c r="G73" i="59"/>
  <c r="E101" i="59"/>
  <c r="H193" i="59"/>
  <c r="H190" i="59"/>
  <c r="E77" i="57"/>
  <c r="E6" i="57" s="1"/>
  <c r="E7" i="57" s="1"/>
  <c r="E103" i="59"/>
  <c r="E20" i="59" s="1"/>
  <c r="F104" i="59"/>
  <c r="F193" i="59"/>
  <c r="F190" i="59"/>
  <c r="G193" i="59"/>
  <c r="G190" i="59"/>
  <c r="G158" i="58"/>
  <c r="G155" i="58"/>
  <c r="H158" i="58"/>
  <c r="H155" i="58"/>
  <c r="F158" i="58"/>
  <c r="F155" i="58"/>
  <c r="E107" i="57"/>
  <c r="F107" i="57" s="1"/>
  <c r="E97" i="58"/>
  <c r="E103" i="53"/>
  <c r="E20" i="53" s="1"/>
  <c r="E22" i="53" s="1"/>
  <c r="F69" i="58"/>
  <c r="E67" i="58"/>
  <c r="E6" i="58" s="1"/>
  <c r="F196" i="57"/>
  <c r="F193" i="57"/>
  <c r="G79" i="57"/>
  <c r="F77" i="57"/>
  <c r="F6" i="57" s="1"/>
  <c r="G196" i="57"/>
  <c r="G193" i="57"/>
  <c r="F110" i="57"/>
  <c r="E109" i="57"/>
  <c r="E20" i="57" s="1"/>
  <c r="H196" i="57"/>
  <c r="H193" i="57"/>
  <c r="E101" i="54"/>
  <c r="F101" i="54" s="1"/>
  <c r="E102" i="56"/>
  <c r="F164" i="56"/>
  <c r="F161" i="56"/>
  <c r="F73" i="52"/>
  <c r="G73" i="52" s="1"/>
  <c r="G161" i="56"/>
  <c r="G164" i="56"/>
  <c r="F104" i="56"/>
  <c r="F20" i="56" s="1"/>
  <c r="F22" i="56" s="1"/>
  <c r="G105" i="56"/>
  <c r="E72" i="56"/>
  <c r="E6" i="56" s="1"/>
  <c r="F74" i="56"/>
  <c r="H164" i="56"/>
  <c r="H161" i="56"/>
  <c r="H99" i="47"/>
  <c r="H20" i="47" s="1"/>
  <c r="H22" i="47" s="1"/>
  <c r="F71" i="54"/>
  <c r="F6" i="54" s="1"/>
  <c r="G73" i="54"/>
  <c r="H155" i="54"/>
  <c r="H152" i="54"/>
  <c r="F155" i="54"/>
  <c r="F152" i="54"/>
  <c r="F104" i="54"/>
  <c r="E103" i="54"/>
  <c r="E20" i="54" s="1"/>
  <c r="G155" i="54"/>
  <c r="G152" i="54"/>
  <c r="E101" i="52"/>
  <c r="F101" i="52" s="1"/>
  <c r="E101" i="53"/>
  <c r="E67" i="47"/>
  <c r="E6" i="47" s="1"/>
  <c r="E7" i="47" s="1"/>
  <c r="G155" i="53"/>
  <c r="G152" i="53"/>
  <c r="G104" i="53"/>
  <c r="F103" i="53"/>
  <c r="F20" i="53" s="1"/>
  <c r="F22" i="53" s="1"/>
  <c r="E71" i="53"/>
  <c r="E6" i="53" s="1"/>
  <c r="F73" i="53"/>
  <c r="E103" i="51"/>
  <c r="E20" i="51" s="1"/>
  <c r="E22" i="51" s="1"/>
  <c r="F155" i="53"/>
  <c r="F152" i="53"/>
  <c r="H155" i="53"/>
  <c r="H152" i="53"/>
  <c r="G155" i="52"/>
  <c r="G152" i="52"/>
  <c r="H155" i="52"/>
  <c r="H152" i="52"/>
  <c r="E7" i="52"/>
  <c r="G148" i="35"/>
  <c r="G147" i="35" s="1"/>
  <c r="G46" i="35" s="1"/>
  <c r="G48" i="35" s="1"/>
  <c r="G99" i="47"/>
  <c r="G20" i="47" s="1"/>
  <c r="G22" i="47" s="1"/>
  <c r="F155" i="52"/>
  <c r="F152" i="52"/>
  <c r="F104" i="52"/>
  <c r="E103" i="52"/>
  <c r="E20" i="52" s="1"/>
  <c r="F73" i="51"/>
  <c r="E71" i="51"/>
  <c r="E6" i="51" s="1"/>
  <c r="G99" i="42"/>
  <c r="G20" i="42" s="1"/>
  <c r="G22" i="42" s="1"/>
  <c r="H155" i="51"/>
  <c r="H152" i="51"/>
  <c r="E101" i="50"/>
  <c r="E99" i="50" s="1"/>
  <c r="E15" i="50" s="1"/>
  <c r="E101" i="51"/>
  <c r="F155" i="51"/>
  <c r="F152" i="51"/>
  <c r="G155" i="51"/>
  <c r="G152" i="51"/>
  <c r="G104" i="51"/>
  <c r="F103" i="51"/>
  <c r="F20" i="51" s="1"/>
  <c r="F22" i="51" s="1"/>
  <c r="G99" i="39"/>
  <c r="G20" i="39" s="1"/>
  <c r="G22" i="39" s="1"/>
  <c r="H99" i="39"/>
  <c r="H20" i="39" s="1"/>
  <c r="H22" i="39" s="1"/>
  <c r="F99" i="47"/>
  <c r="F20" i="47" s="1"/>
  <c r="F22" i="47" s="1"/>
  <c r="E103" i="50"/>
  <c r="E20" i="50" s="1"/>
  <c r="F104" i="50"/>
  <c r="G155" i="50"/>
  <c r="G152" i="50"/>
  <c r="F155" i="50"/>
  <c r="F152" i="50"/>
  <c r="F182" i="48"/>
  <c r="F46" i="48" s="1"/>
  <c r="F47" i="48" s="1"/>
  <c r="H182" i="48"/>
  <c r="H46" i="48" s="1"/>
  <c r="H47" i="48" s="1"/>
  <c r="E182" i="48"/>
  <c r="E46" i="48" s="1"/>
  <c r="G182" i="48"/>
  <c r="G46" i="48" s="1"/>
  <c r="G47" i="48" s="1"/>
  <c r="F71" i="50"/>
  <c r="F6" i="50" s="1"/>
  <c r="G73" i="50"/>
  <c r="F69" i="43"/>
  <c r="F67" i="43" s="1"/>
  <c r="F6" i="43" s="1"/>
  <c r="F104" i="48"/>
  <c r="E103" i="48"/>
  <c r="E20" i="48" s="1"/>
  <c r="E22" i="48" s="1"/>
  <c r="H155" i="50"/>
  <c r="H152" i="50"/>
  <c r="H182" i="50"/>
  <c r="H46" i="50" s="1"/>
  <c r="H47" i="50" s="1"/>
  <c r="E182" i="50"/>
  <c r="E46" i="50" s="1"/>
  <c r="G182" i="50"/>
  <c r="G46" i="50" s="1"/>
  <c r="G47" i="50" s="1"/>
  <c r="F182" i="50"/>
  <c r="F46" i="50" s="1"/>
  <c r="F47" i="50" s="1"/>
  <c r="H152" i="48"/>
  <c r="H155" i="48"/>
  <c r="F73" i="48"/>
  <c r="E71" i="48"/>
  <c r="E6" i="48" s="1"/>
  <c r="G155" i="48"/>
  <c r="G152" i="48"/>
  <c r="E97" i="47"/>
  <c r="E95" i="47" s="1"/>
  <c r="E15" i="47" s="1"/>
  <c r="E101" i="48"/>
  <c r="F155" i="48"/>
  <c r="F152" i="48"/>
  <c r="F99" i="46"/>
  <c r="F20" i="46" s="1"/>
  <c r="F22" i="46" s="1"/>
  <c r="F67" i="47"/>
  <c r="F6" i="47" s="1"/>
  <c r="G69" i="47"/>
  <c r="G158" i="47"/>
  <c r="G155" i="47"/>
  <c r="G99" i="46"/>
  <c r="G20" i="46" s="1"/>
  <c r="G22" i="46" s="1"/>
  <c r="H158" i="47"/>
  <c r="H155" i="47"/>
  <c r="H99" i="46"/>
  <c r="H20" i="46" s="1"/>
  <c r="H22" i="46" s="1"/>
  <c r="F158" i="47"/>
  <c r="F155" i="47"/>
  <c r="E67" i="46"/>
  <c r="E6" i="46" s="1"/>
  <c r="F69" i="46"/>
  <c r="E97" i="46"/>
  <c r="H153" i="46"/>
  <c r="H150" i="46"/>
  <c r="G153" i="46"/>
  <c r="G150" i="46"/>
  <c r="F153" i="46"/>
  <c r="F150" i="46"/>
  <c r="H148" i="44"/>
  <c r="H151" i="44"/>
  <c r="F151" i="44"/>
  <c r="F148" i="44"/>
  <c r="E97" i="43"/>
  <c r="E95" i="43" s="1"/>
  <c r="E15" i="43" s="1"/>
  <c r="E97" i="44"/>
  <c r="G148" i="44"/>
  <c r="G151" i="44"/>
  <c r="F69" i="44"/>
  <c r="E67" i="44"/>
  <c r="E6" i="44" s="1"/>
  <c r="E7" i="43"/>
  <c r="G148" i="43"/>
  <c r="G151" i="43"/>
  <c r="E72" i="41"/>
  <c r="E6" i="41" s="1"/>
  <c r="E7" i="41" s="1"/>
  <c r="F151" i="35"/>
  <c r="F147" i="35" s="1"/>
  <c r="F46" i="35" s="1"/>
  <c r="F48" i="35" s="1"/>
  <c r="E97" i="35"/>
  <c r="F97" i="35" s="1"/>
  <c r="H151" i="43"/>
  <c r="H148" i="43"/>
  <c r="F151" i="43"/>
  <c r="F148" i="43"/>
  <c r="F69" i="42"/>
  <c r="E67" i="42"/>
  <c r="E6" i="42" s="1"/>
  <c r="G151" i="42"/>
  <c r="G148" i="42"/>
  <c r="E102" i="41"/>
  <c r="E100" i="41" s="1"/>
  <c r="E15" i="41" s="1"/>
  <c r="E97" i="42"/>
  <c r="H151" i="42"/>
  <c r="H148" i="42"/>
  <c r="F151" i="42"/>
  <c r="F148" i="42"/>
  <c r="F156" i="41"/>
  <c r="F153" i="41"/>
  <c r="G156" i="41"/>
  <c r="G153" i="41"/>
  <c r="H156" i="41"/>
  <c r="H153" i="41"/>
  <c r="G74" i="41"/>
  <c r="F72" i="41"/>
  <c r="F6" i="41" s="1"/>
  <c r="H151" i="40"/>
  <c r="H148" i="40"/>
  <c r="E97" i="39"/>
  <c r="E95" i="39" s="1"/>
  <c r="E15" i="39" s="1"/>
  <c r="E97" i="40"/>
  <c r="F151" i="40"/>
  <c r="F148" i="40"/>
  <c r="G151" i="40"/>
  <c r="G148" i="40"/>
  <c r="F69" i="40"/>
  <c r="E67" i="40"/>
  <c r="E6" i="40" s="1"/>
  <c r="G151" i="39"/>
  <c r="G148" i="39"/>
  <c r="D21" i="4"/>
  <c r="E7" i="39"/>
  <c r="H151" i="39"/>
  <c r="H148" i="39"/>
  <c r="F151" i="39"/>
  <c r="F148" i="39"/>
  <c r="H151" i="35"/>
  <c r="H147" i="35" s="1"/>
  <c r="H46" i="35" s="1"/>
  <c r="H48" i="35" s="1"/>
  <c r="D5" i="35"/>
  <c r="F69" i="35"/>
  <c r="E67" i="35"/>
  <c r="E6" i="35" s="1"/>
  <c r="D20" i="84" l="1"/>
  <c r="D22" i="84" s="1"/>
  <c r="E8" i="67"/>
  <c r="E17" i="91"/>
  <c r="H104" i="91"/>
  <c r="H103" i="91" s="1"/>
  <c r="H20" i="91" s="1"/>
  <c r="H22" i="91" s="1"/>
  <c r="G103" i="91"/>
  <c r="G20" i="91" s="1"/>
  <c r="G22" i="91" s="1"/>
  <c r="G101" i="91"/>
  <c r="F99" i="91"/>
  <c r="F15" i="91" s="1"/>
  <c r="F17" i="91" s="1"/>
  <c r="H73" i="91"/>
  <c r="H71" i="91" s="1"/>
  <c r="H6" i="91" s="1"/>
  <c r="G71" i="91"/>
  <c r="G6" i="91" s="1"/>
  <c r="F52" i="91"/>
  <c r="G88" i="86"/>
  <c r="G86" i="86" s="1"/>
  <c r="G11" i="86" s="1"/>
  <c r="G13" i="86" s="1"/>
  <c r="E93" i="91"/>
  <c r="E91" i="91" s="1"/>
  <c r="E10" i="91" s="1"/>
  <c r="H93" i="91"/>
  <c r="H91" i="91" s="1"/>
  <c r="H10" i="91" s="1"/>
  <c r="H12" i="91" s="1"/>
  <c r="G93" i="91"/>
  <c r="G91" i="91" s="1"/>
  <c r="G10" i="91" s="1"/>
  <c r="G12" i="91" s="1"/>
  <c r="F93" i="91"/>
  <c r="F91" i="91" s="1"/>
  <c r="F10" i="91" s="1"/>
  <c r="F12" i="91" s="1"/>
  <c r="F7" i="91"/>
  <c r="G50" i="91"/>
  <c r="G52" i="91" s="1"/>
  <c r="E104" i="87"/>
  <c r="E15" i="87" s="1"/>
  <c r="E17" i="87" s="1"/>
  <c r="F85" i="61"/>
  <c r="F83" i="61" s="1"/>
  <c r="F10" i="61" s="1"/>
  <c r="F12" i="61" s="1"/>
  <c r="D20" i="89"/>
  <c r="D22" i="89" s="1"/>
  <c r="G150" i="90"/>
  <c r="G46" i="90" s="1"/>
  <c r="G48" i="90" s="1"/>
  <c r="E93" i="74"/>
  <c r="E91" i="74" s="1"/>
  <c r="E10" i="74" s="1"/>
  <c r="E12" i="74" s="1"/>
  <c r="F97" i="76"/>
  <c r="F95" i="76" s="1"/>
  <c r="F10" i="76" s="1"/>
  <c r="F12" i="76" s="1"/>
  <c r="F150" i="90"/>
  <c r="F46" i="90" s="1"/>
  <c r="F48" i="90" s="1"/>
  <c r="F93" i="71"/>
  <c r="F91" i="71" s="1"/>
  <c r="F10" i="71" s="1"/>
  <c r="F12" i="71" s="1"/>
  <c r="G93" i="66"/>
  <c r="G91" i="66" s="1"/>
  <c r="G10" i="66" s="1"/>
  <c r="G12" i="66" s="1"/>
  <c r="F93" i="70"/>
  <c r="F91" i="70" s="1"/>
  <c r="F10" i="70" s="1"/>
  <c r="F12" i="70" s="1"/>
  <c r="H99" i="73"/>
  <c r="H97" i="73" s="1"/>
  <c r="H10" i="73" s="1"/>
  <c r="H13" i="73" s="1"/>
  <c r="G97" i="76"/>
  <c r="G95" i="76" s="1"/>
  <c r="G10" i="76" s="1"/>
  <c r="G12" i="76" s="1"/>
  <c r="E93" i="59"/>
  <c r="E91" i="59" s="1"/>
  <c r="E10" i="59" s="1"/>
  <c r="E12" i="59" s="1"/>
  <c r="E90" i="63"/>
  <c r="E88" i="63" s="1"/>
  <c r="E10" i="63" s="1"/>
  <c r="E12" i="63" s="1"/>
  <c r="H93" i="79"/>
  <c r="H91" i="79" s="1"/>
  <c r="H10" i="79" s="1"/>
  <c r="H12" i="79" s="1"/>
  <c r="G95" i="85"/>
  <c r="G93" i="85" s="1"/>
  <c r="G10" i="85" s="1"/>
  <c r="G12" i="85" s="1"/>
  <c r="E93" i="88"/>
  <c r="E91" i="88" s="1"/>
  <c r="E10" i="88" s="1"/>
  <c r="E12" i="88" s="1"/>
  <c r="H93" i="64"/>
  <c r="H91" i="64" s="1"/>
  <c r="H10" i="64" s="1"/>
  <c r="H12" i="64" s="1"/>
  <c r="G94" i="77"/>
  <c r="G92" i="77" s="1"/>
  <c r="G10" i="77" s="1"/>
  <c r="G12" i="77" s="1"/>
  <c r="H93" i="80"/>
  <c r="H91" i="80" s="1"/>
  <c r="H10" i="80" s="1"/>
  <c r="H12" i="80" s="1"/>
  <c r="G93" i="81"/>
  <c r="G91" i="81" s="1"/>
  <c r="G10" i="81" s="1"/>
  <c r="G12" i="81" s="1"/>
  <c r="F97" i="89"/>
  <c r="G97" i="89" s="1"/>
  <c r="H150" i="90"/>
  <c r="H46" i="90" s="1"/>
  <c r="H48" i="90" s="1"/>
  <c r="E96" i="90"/>
  <c r="E15" i="90" s="1"/>
  <c r="F98" i="90"/>
  <c r="G109" i="87"/>
  <c r="G108" i="87" s="1"/>
  <c r="G20" i="87" s="1"/>
  <c r="F68" i="90"/>
  <c r="F6" i="90" s="1"/>
  <c r="G70" i="90"/>
  <c r="E90" i="90"/>
  <c r="E88" i="90" s="1"/>
  <c r="E10" i="90" s="1"/>
  <c r="H90" i="90"/>
  <c r="H88" i="90" s="1"/>
  <c r="H10" i="90" s="1"/>
  <c r="H12" i="90" s="1"/>
  <c r="G90" i="90"/>
  <c r="G88" i="90" s="1"/>
  <c r="G10" i="90" s="1"/>
  <c r="G12" i="90" s="1"/>
  <c r="F90" i="90"/>
  <c r="F88" i="90" s="1"/>
  <c r="F10" i="90" s="1"/>
  <c r="F12" i="90" s="1"/>
  <c r="E7" i="90"/>
  <c r="G75" i="85"/>
  <c r="H75" i="85" s="1"/>
  <c r="H73" i="85" s="1"/>
  <c r="H6" i="85" s="1"/>
  <c r="F151" i="89"/>
  <c r="F46" i="89" s="1"/>
  <c r="F48" i="89" s="1"/>
  <c r="H151" i="89"/>
  <c r="H46" i="89" s="1"/>
  <c r="H48" i="89" s="1"/>
  <c r="F22" i="84"/>
  <c r="G93" i="88"/>
  <c r="G91" i="88" s="1"/>
  <c r="G10" i="88" s="1"/>
  <c r="G12" i="88" s="1"/>
  <c r="E89" i="89"/>
  <c r="E87" i="89" s="1"/>
  <c r="E10" i="89" s="1"/>
  <c r="H89" i="89"/>
  <c r="H87" i="89" s="1"/>
  <c r="H10" i="89" s="1"/>
  <c r="H12" i="89" s="1"/>
  <c r="G89" i="89"/>
  <c r="G87" i="89" s="1"/>
  <c r="G10" i="89" s="1"/>
  <c r="G12" i="89" s="1"/>
  <c r="F89" i="89"/>
  <c r="F87" i="89" s="1"/>
  <c r="F10" i="89" s="1"/>
  <c r="F12" i="89" s="1"/>
  <c r="F93" i="59"/>
  <c r="F91" i="59" s="1"/>
  <c r="F10" i="59" s="1"/>
  <c r="F12" i="59" s="1"/>
  <c r="G85" i="61"/>
  <c r="G83" i="61" s="1"/>
  <c r="G10" i="61" s="1"/>
  <c r="G12" i="61" s="1"/>
  <c r="F90" i="63"/>
  <c r="F88" i="63" s="1"/>
  <c r="F10" i="63" s="1"/>
  <c r="F12" i="63" s="1"/>
  <c r="E93" i="65"/>
  <c r="E91" i="65" s="1"/>
  <c r="E10" i="65" s="1"/>
  <c r="E12" i="65" s="1"/>
  <c r="E99" i="65"/>
  <c r="E15" i="65" s="1"/>
  <c r="E17" i="65" s="1"/>
  <c r="H93" i="66"/>
  <c r="H91" i="66" s="1"/>
  <c r="H10" i="66" s="1"/>
  <c r="H12" i="66" s="1"/>
  <c r="G94" i="67"/>
  <c r="G92" i="67" s="1"/>
  <c r="G11" i="67" s="1"/>
  <c r="G13" i="67" s="1"/>
  <c r="G93" i="70"/>
  <c r="G91" i="70" s="1"/>
  <c r="G10" i="70" s="1"/>
  <c r="G12" i="70" s="1"/>
  <c r="E93" i="71"/>
  <c r="E91" i="71" s="1"/>
  <c r="E10" i="71" s="1"/>
  <c r="E12" i="71" s="1"/>
  <c r="G93" i="72"/>
  <c r="G91" i="72" s="1"/>
  <c r="G10" i="72" s="1"/>
  <c r="G12" i="72" s="1"/>
  <c r="E99" i="73"/>
  <c r="E97" i="73" s="1"/>
  <c r="E10" i="73" s="1"/>
  <c r="E13" i="73" s="1"/>
  <c r="H93" i="74"/>
  <c r="H91" i="74" s="1"/>
  <c r="H10" i="74" s="1"/>
  <c r="H12" i="74" s="1"/>
  <c r="H110" i="75"/>
  <c r="H108" i="75" s="1"/>
  <c r="H10" i="75" s="1"/>
  <c r="H14" i="75" s="1"/>
  <c r="F93" i="78"/>
  <c r="F91" i="78" s="1"/>
  <c r="F10" i="78" s="1"/>
  <c r="F12" i="78" s="1"/>
  <c r="E93" i="79"/>
  <c r="E91" i="79" s="1"/>
  <c r="E10" i="79" s="1"/>
  <c r="E12" i="79" s="1"/>
  <c r="H93" i="83"/>
  <c r="H91" i="83" s="1"/>
  <c r="H10" i="83" s="1"/>
  <c r="H12" i="83" s="1"/>
  <c r="F88" i="86"/>
  <c r="F86" i="86" s="1"/>
  <c r="F11" i="86" s="1"/>
  <c r="F13" i="86" s="1"/>
  <c r="F98" i="87"/>
  <c r="F96" i="87" s="1"/>
  <c r="F10" i="87" s="1"/>
  <c r="F12" i="87" s="1"/>
  <c r="F93" i="88"/>
  <c r="F91" i="88" s="1"/>
  <c r="F10" i="88" s="1"/>
  <c r="F12" i="88" s="1"/>
  <c r="G151" i="89"/>
  <c r="G46" i="89" s="1"/>
  <c r="G48" i="89" s="1"/>
  <c r="H69" i="89"/>
  <c r="H67" i="89" s="1"/>
  <c r="H6" i="89" s="1"/>
  <c r="G67" i="89"/>
  <c r="G6" i="89" s="1"/>
  <c r="E89" i="62"/>
  <c r="E87" i="62" s="1"/>
  <c r="E10" i="62" s="1"/>
  <c r="E12" i="62" s="1"/>
  <c r="G93" i="64"/>
  <c r="G91" i="64" s="1"/>
  <c r="G10" i="64" s="1"/>
  <c r="G12" i="64" s="1"/>
  <c r="H93" i="65"/>
  <c r="H91" i="65" s="1"/>
  <c r="H10" i="65" s="1"/>
  <c r="H12" i="65" s="1"/>
  <c r="F94" i="67"/>
  <c r="F92" i="67" s="1"/>
  <c r="F11" i="67" s="1"/>
  <c r="F13" i="67" s="1"/>
  <c r="F94" i="68"/>
  <c r="F92" i="68" s="1"/>
  <c r="F10" i="68" s="1"/>
  <c r="F12" i="68" s="1"/>
  <c r="F93" i="72"/>
  <c r="F91" i="72" s="1"/>
  <c r="F10" i="72" s="1"/>
  <c r="F12" i="72" s="1"/>
  <c r="E110" i="75"/>
  <c r="E108" i="75" s="1"/>
  <c r="E10" i="75" s="1"/>
  <c r="E14" i="75" s="1"/>
  <c r="F94" i="77"/>
  <c r="F92" i="77" s="1"/>
  <c r="F10" i="77" s="1"/>
  <c r="F12" i="77" s="1"/>
  <c r="E93" i="78"/>
  <c r="E91" i="78" s="1"/>
  <c r="E10" i="78" s="1"/>
  <c r="E12" i="78" s="1"/>
  <c r="G93" i="80"/>
  <c r="G91" i="80" s="1"/>
  <c r="G10" i="80" s="1"/>
  <c r="G12" i="80" s="1"/>
  <c r="E89" i="84"/>
  <c r="E87" i="84" s="1"/>
  <c r="E10" i="84" s="1"/>
  <c r="E12" i="84" s="1"/>
  <c r="E95" i="85"/>
  <c r="E93" i="85" s="1"/>
  <c r="E10" i="85" s="1"/>
  <c r="E12" i="85" s="1"/>
  <c r="G98" i="87"/>
  <c r="G96" i="87" s="1"/>
  <c r="G10" i="87" s="1"/>
  <c r="G12" i="87" s="1"/>
  <c r="E17" i="89"/>
  <c r="F7" i="89"/>
  <c r="G93" i="59"/>
  <c r="G91" i="59" s="1"/>
  <c r="G10" i="59" s="1"/>
  <c r="G12" i="59" s="1"/>
  <c r="H85" i="61"/>
  <c r="H83" i="61" s="1"/>
  <c r="H10" i="61" s="1"/>
  <c r="H12" i="61" s="1"/>
  <c r="F89" i="62"/>
  <c r="F87" i="62" s="1"/>
  <c r="F10" i="62" s="1"/>
  <c r="F12" i="62" s="1"/>
  <c r="G90" i="63"/>
  <c r="G88" i="63" s="1"/>
  <c r="G10" i="63" s="1"/>
  <c r="G12" i="63" s="1"/>
  <c r="E93" i="64"/>
  <c r="E91" i="64" s="1"/>
  <c r="E10" i="64" s="1"/>
  <c r="E12" i="64" s="1"/>
  <c r="F93" i="65"/>
  <c r="F91" i="65" s="1"/>
  <c r="F10" i="65" s="1"/>
  <c r="F12" i="65" s="1"/>
  <c r="E93" i="66"/>
  <c r="E91" i="66" s="1"/>
  <c r="E10" i="66" s="1"/>
  <c r="E12" i="66" s="1"/>
  <c r="H94" i="67"/>
  <c r="H92" i="67" s="1"/>
  <c r="H11" i="67" s="1"/>
  <c r="H13" i="67" s="1"/>
  <c r="H94" i="68"/>
  <c r="H92" i="68" s="1"/>
  <c r="H10" i="68" s="1"/>
  <c r="H12" i="68" s="1"/>
  <c r="H93" i="70"/>
  <c r="H91" i="70" s="1"/>
  <c r="H10" i="70" s="1"/>
  <c r="H12" i="70" s="1"/>
  <c r="G93" i="71"/>
  <c r="G91" i="71" s="1"/>
  <c r="G10" i="71" s="1"/>
  <c r="G12" i="71" s="1"/>
  <c r="H93" i="72"/>
  <c r="H91" i="72" s="1"/>
  <c r="H10" i="72" s="1"/>
  <c r="H12" i="72" s="1"/>
  <c r="F99" i="73"/>
  <c r="F97" i="73" s="1"/>
  <c r="F10" i="73" s="1"/>
  <c r="F13" i="73" s="1"/>
  <c r="F93" i="74"/>
  <c r="F91" i="74" s="1"/>
  <c r="F10" i="74" s="1"/>
  <c r="F12" i="74" s="1"/>
  <c r="F110" i="75"/>
  <c r="F108" i="75" s="1"/>
  <c r="F10" i="75" s="1"/>
  <c r="F14" i="75" s="1"/>
  <c r="E97" i="76"/>
  <c r="E95" i="76" s="1"/>
  <c r="E10" i="76" s="1"/>
  <c r="E12" i="76" s="1"/>
  <c r="H94" i="77"/>
  <c r="H92" i="77" s="1"/>
  <c r="H10" i="77" s="1"/>
  <c r="H12" i="77" s="1"/>
  <c r="G93" i="78"/>
  <c r="G91" i="78" s="1"/>
  <c r="G10" i="78" s="1"/>
  <c r="G12" i="78" s="1"/>
  <c r="F93" i="79"/>
  <c r="F91" i="79" s="1"/>
  <c r="F10" i="79" s="1"/>
  <c r="F12" i="79" s="1"/>
  <c r="F93" i="80"/>
  <c r="F91" i="80" s="1"/>
  <c r="F10" i="80" s="1"/>
  <c r="F12" i="80" s="1"/>
  <c r="F71" i="80"/>
  <c r="F6" i="80" s="1"/>
  <c r="E93" i="81"/>
  <c r="E91" i="81" s="1"/>
  <c r="E10" i="81" s="1"/>
  <c r="E93" i="83"/>
  <c r="E91" i="83" s="1"/>
  <c r="E10" i="83" s="1"/>
  <c r="H89" i="84"/>
  <c r="H87" i="84" s="1"/>
  <c r="H10" i="84" s="1"/>
  <c r="H12" i="84" s="1"/>
  <c r="F103" i="85"/>
  <c r="F101" i="85" s="1"/>
  <c r="F15" i="85" s="1"/>
  <c r="F17" i="85" s="1"/>
  <c r="H95" i="85"/>
  <c r="H93" i="85" s="1"/>
  <c r="H10" i="85" s="1"/>
  <c r="H12" i="85" s="1"/>
  <c r="H88" i="86"/>
  <c r="H86" i="86" s="1"/>
  <c r="H11" i="86" s="1"/>
  <c r="H13" i="86" s="1"/>
  <c r="F76" i="87"/>
  <c r="F6" i="87" s="1"/>
  <c r="F7" i="87" s="1"/>
  <c r="H98" i="87"/>
  <c r="H96" i="87" s="1"/>
  <c r="H10" i="87" s="1"/>
  <c r="H12" i="87" s="1"/>
  <c r="H93" i="88"/>
  <c r="H91" i="88" s="1"/>
  <c r="H10" i="88" s="1"/>
  <c r="H12" i="88" s="1"/>
  <c r="H93" i="59"/>
  <c r="H91" i="59" s="1"/>
  <c r="H10" i="59" s="1"/>
  <c r="H12" i="59" s="1"/>
  <c r="E85" i="61"/>
  <c r="E83" i="61" s="1"/>
  <c r="E10" i="61" s="1"/>
  <c r="E12" i="61" s="1"/>
  <c r="H89" i="62"/>
  <c r="H87" i="62" s="1"/>
  <c r="H10" i="62" s="1"/>
  <c r="H12" i="62" s="1"/>
  <c r="H90" i="63"/>
  <c r="H88" i="63" s="1"/>
  <c r="H10" i="63" s="1"/>
  <c r="H12" i="63" s="1"/>
  <c r="F93" i="64"/>
  <c r="F91" i="64" s="1"/>
  <c r="F10" i="64" s="1"/>
  <c r="F12" i="64" s="1"/>
  <c r="G93" i="65"/>
  <c r="G91" i="65" s="1"/>
  <c r="G10" i="65" s="1"/>
  <c r="G12" i="65" s="1"/>
  <c r="F93" i="66"/>
  <c r="F91" i="66" s="1"/>
  <c r="F10" i="66" s="1"/>
  <c r="F12" i="66" s="1"/>
  <c r="E94" i="67"/>
  <c r="E92" i="67" s="1"/>
  <c r="E11" i="67" s="1"/>
  <c r="E13" i="67" s="1"/>
  <c r="E94" i="68"/>
  <c r="E92" i="68" s="1"/>
  <c r="E10" i="68" s="1"/>
  <c r="E93" i="70"/>
  <c r="E91" i="70" s="1"/>
  <c r="E10" i="70" s="1"/>
  <c r="E12" i="70" s="1"/>
  <c r="H93" i="71"/>
  <c r="H91" i="71" s="1"/>
  <c r="H10" i="71" s="1"/>
  <c r="H12" i="71" s="1"/>
  <c r="E93" i="72"/>
  <c r="E91" i="72" s="1"/>
  <c r="E10" i="72" s="1"/>
  <c r="E12" i="72" s="1"/>
  <c r="G99" i="73"/>
  <c r="G97" i="73" s="1"/>
  <c r="G10" i="73" s="1"/>
  <c r="G13" i="73" s="1"/>
  <c r="G93" i="74"/>
  <c r="G91" i="74" s="1"/>
  <c r="G10" i="74" s="1"/>
  <c r="G12" i="74" s="1"/>
  <c r="G110" i="75"/>
  <c r="G108" i="75" s="1"/>
  <c r="G10" i="75" s="1"/>
  <c r="G14" i="75" s="1"/>
  <c r="H97" i="76"/>
  <c r="H95" i="76" s="1"/>
  <c r="H10" i="76" s="1"/>
  <c r="H12" i="76" s="1"/>
  <c r="E94" i="77"/>
  <c r="E92" i="77" s="1"/>
  <c r="E10" i="77" s="1"/>
  <c r="H93" i="78"/>
  <c r="H91" i="78" s="1"/>
  <c r="H10" i="78" s="1"/>
  <c r="H12" i="78" s="1"/>
  <c r="G93" i="79"/>
  <c r="G91" i="79" s="1"/>
  <c r="G10" i="79" s="1"/>
  <c r="G12" i="79" s="1"/>
  <c r="E93" i="80"/>
  <c r="E91" i="80" s="1"/>
  <c r="E10" i="80" s="1"/>
  <c r="E12" i="80" s="1"/>
  <c r="F93" i="81"/>
  <c r="F91" i="81" s="1"/>
  <c r="F10" i="81" s="1"/>
  <c r="F12" i="81" s="1"/>
  <c r="F101" i="83"/>
  <c r="F99" i="83" s="1"/>
  <c r="F15" i="83" s="1"/>
  <c r="F17" i="83" s="1"/>
  <c r="G93" i="83"/>
  <c r="G91" i="83" s="1"/>
  <c r="G10" i="83" s="1"/>
  <c r="G12" i="83" s="1"/>
  <c r="F89" i="84"/>
  <c r="F87" i="84" s="1"/>
  <c r="F10" i="84" s="1"/>
  <c r="F12" i="84" s="1"/>
  <c r="H216" i="85"/>
  <c r="H52" i="85" s="1"/>
  <c r="H54" i="85" s="1"/>
  <c r="F95" i="85"/>
  <c r="F93" i="85" s="1"/>
  <c r="F10" i="85" s="1"/>
  <c r="F12" i="85" s="1"/>
  <c r="E88" i="86"/>
  <c r="E86" i="86" s="1"/>
  <c r="E11" i="86" s="1"/>
  <c r="E13" i="86" s="1"/>
  <c r="E98" i="87"/>
  <c r="E96" i="87" s="1"/>
  <c r="E10" i="87" s="1"/>
  <c r="E98" i="86"/>
  <c r="E21" i="86" s="1"/>
  <c r="E23" i="86" s="1"/>
  <c r="G105" i="86"/>
  <c r="F104" i="86"/>
  <c r="G102" i="86"/>
  <c r="F101" i="86"/>
  <c r="G154" i="88"/>
  <c r="G50" i="88" s="1"/>
  <c r="G52" i="88" s="1"/>
  <c r="F154" i="88"/>
  <c r="F50" i="88" s="1"/>
  <c r="F52" i="88" s="1"/>
  <c r="G104" i="88"/>
  <c r="F103" i="88"/>
  <c r="F20" i="88" s="1"/>
  <c r="F22" i="88" s="1"/>
  <c r="E22" i="88"/>
  <c r="E7" i="88"/>
  <c r="H154" i="88"/>
  <c r="H50" i="88" s="1"/>
  <c r="H52" i="88" s="1"/>
  <c r="F101" i="88"/>
  <c r="E99" i="88"/>
  <c r="E15" i="88" s="1"/>
  <c r="G73" i="88"/>
  <c r="F71" i="88"/>
  <c r="F6" i="88" s="1"/>
  <c r="G179" i="87"/>
  <c r="G55" i="87" s="1"/>
  <c r="G57" i="87" s="1"/>
  <c r="F104" i="87"/>
  <c r="F15" i="87" s="1"/>
  <c r="F17" i="87" s="1"/>
  <c r="G106" i="87"/>
  <c r="G76" i="87"/>
  <c r="G6" i="87" s="1"/>
  <c r="H78" i="87"/>
  <c r="H76" i="87" s="1"/>
  <c r="H6" i="87" s="1"/>
  <c r="F179" i="87"/>
  <c r="F55" i="87" s="1"/>
  <c r="H179" i="87"/>
  <c r="H55" i="87" s="1"/>
  <c r="H57" i="87" s="1"/>
  <c r="F175" i="86"/>
  <c r="F55" i="86" s="1"/>
  <c r="F57" i="86" s="1"/>
  <c r="F76" i="86"/>
  <c r="F6" i="86" s="1"/>
  <c r="F8" i="86" s="1"/>
  <c r="G78" i="86"/>
  <c r="H175" i="86"/>
  <c r="H55" i="86" s="1"/>
  <c r="H57" i="86" s="1"/>
  <c r="E94" i="86"/>
  <c r="E16" i="86" s="1"/>
  <c r="F96" i="86"/>
  <c r="G99" i="86"/>
  <c r="G175" i="86"/>
  <c r="G55" i="86" s="1"/>
  <c r="G57" i="86" s="1"/>
  <c r="F101" i="78"/>
  <c r="F99" i="78" s="1"/>
  <c r="F15" i="78" s="1"/>
  <c r="F17" i="78" s="1"/>
  <c r="E17" i="85"/>
  <c r="G105" i="85"/>
  <c r="G20" i="85" s="1"/>
  <c r="G22" i="85" s="1"/>
  <c r="H106" i="85"/>
  <c r="H105" i="85" s="1"/>
  <c r="H20" i="85" s="1"/>
  <c r="H22" i="85" s="1"/>
  <c r="F7" i="85"/>
  <c r="F165" i="84"/>
  <c r="F46" i="84" s="1"/>
  <c r="F48" i="84" s="1"/>
  <c r="F216" i="85"/>
  <c r="F52" i="85" s="1"/>
  <c r="G216" i="85"/>
  <c r="G52" i="85" s="1"/>
  <c r="G54" i="85" s="1"/>
  <c r="F151" i="83"/>
  <c r="F50" i="83" s="1"/>
  <c r="F52" i="83" s="1"/>
  <c r="E7" i="84"/>
  <c r="E95" i="84"/>
  <c r="E15" i="84" s="1"/>
  <c r="F97" i="84"/>
  <c r="H155" i="81"/>
  <c r="H50" i="81" s="1"/>
  <c r="H52" i="81" s="1"/>
  <c r="F155" i="81"/>
  <c r="F50" i="81" s="1"/>
  <c r="F52" i="81" s="1"/>
  <c r="H151" i="83"/>
  <c r="H50" i="83" s="1"/>
  <c r="H52" i="83" s="1"/>
  <c r="G73" i="83"/>
  <c r="H73" i="83" s="1"/>
  <c r="H71" i="83" s="1"/>
  <c r="H6" i="83" s="1"/>
  <c r="G155" i="81"/>
  <c r="G50" i="81" s="1"/>
  <c r="G52" i="81" s="1"/>
  <c r="G165" i="84"/>
  <c r="G46" i="84" s="1"/>
  <c r="G48" i="84" s="1"/>
  <c r="H165" i="84"/>
  <c r="H46" i="84" s="1"/>
  <c r="H48" i="84" s="1"/>
  <c r="G69" i="84"/>
  <c r="F67" i="84"/>
  <c r="F6" i="84" s="1"/>
  <c r="G73" i="72"/>
  <c r="G71" i="72" s="1"/>
  <c r="G6" i="72" s="1"/>
  <c r="F50" i="79"/>
  <c r="F52" i="79" s="1"/>
  <c r="E99" i="80"/>
  <c r="E15" i="80" s="1"/>
  <c r="E17" i="80" s="1"/>
  <c r="E17" i="83"/>
  <c r="G151" i="83"/>
  <c r="G50" i="83" s="1"/>
  <c r="G52" i="83" s="1"/>
  <c r="F7" i="83"/>
  <c r="E22" i="83"/>
  <c r="H152" i="80"/>
  <c r="H50" i="80" s="1"/>
  <c r="H52" i="80" s="1"/>
  <c r="G152" i="80"/>
  <c r="G50" i="80" s="1"/>
  <c r="G52" i="80" s="1"/>
  <c r="G104" i="83"/>
  <c r="F103" i="83"/>
  <c r="F20" i="83" s="1"/>
  <c r="F22" i="83" s="1"/>
  <c r="G152" i="78"/>
  <c r="G50" i="78" s="1"/>
  <c r="G52" i="78" s="1"/>
  <c r="F152" i="78"/>
  <c r="F50" i="78" s="1"/>
  <c r="F52" i="78" s="1"/>
  <c r="F101" i="81"/>
  <c r="E99" i="81"/>
  <c r="E15" i="81" s="1"/>
  <c r="F71" i="81"/>
  <c r="F6" i="81" s="1"/>
  <c r="G73" i="81"/>
  <c r="E7" i="81"/>
  <c r="H104" i="81"/>
  <c r="H103" i="81" s="1"/>
  <c r="H20" i="81" s="1"/>
  <c r="H22" i="81" s="1"/>
  <c r="G103" i="81"/>
  <c r="G20" i="81" s="1"/>
  <c r="F152" i="80"/>
  <c r="F50" i="80" s="1"/>
  <c r="G65" i="61"/>
  <c r="H65" i="61" s="1"/>
  <c r="H63" i="61" s="1"/>
  <c r="H6" i="61" s="1"/>
  <c r="E22" i="80"/>
  <c r="F7" i="80"/>
  <c r="F105" i="76"/>
  <c r="F103" i="76" s="1"/>
  <c r="F15" i="76" s="1"/>
  <c r="F17" i="76" s="1"/>
  <c r="H73" i="80"/>
  <c r="H71" i="80" s="1"/>
  <c r="H6" i="80" s="1"/>
  <c r="G71" i="80"/>
  <c r="G6" i="80" s="1"/>
  <c r="G179" i="77"/>
  <c r="G51" i="77" s="1"/>
  <c r="G53" i="77" s="1"/>
  <c r="F179" i="77"/>
  <c r="F51" i="77" s="1"/>
  <c r="F53" i="77" s="1"/>
  <c r="H50" i="79"/>
  <c r="H52" i="79" s="1"/>
  <c r="G50" i="79"/>
  <c r="G52" i="79" s="1"/>
  <c r="G104" i="80"/>
  <c r="F103" i="80"/>
  <c r="F20" i="80" s="1"/>
  <c r="F22" i="80" s="1"/>
  <c r="G101" i="80"/>
  <c r="F99" i="80"/>
  <c r="F15" i="80" s="1"/>
  <c r="F17" i="80" s="1"/>
  <c r="H104" i="79"/>
  <c r="H103" i="79" s="1"/>
  <c r="H20" i="79" s="1"/>
  <c r="H22" i="79" s="1"/>
  <c r="G103" i="79"/>
  <c r="G20" i="79" s="1"/>
  <c r="G22" i="79" s="1"/>
  <c r="F101" i="79"/>
  <c r="E99" i="79"/>
  <c r="E15" i="79" s="1"/>
  <c r="G73" i="79"/>
  <c r="F71" i="79"/>
  <c r="F6" i="79" s="1"/>
  <c r="E99" i="70"/>
  <c r="E15" i="70" s="1"/>
  <c r="E17" i="70" s="1"/>
  <c r="E7" i="79"/>
  <c r="F7" i="78"/>
  <c r="H152" i="78"/>
  <c r="H50" i="78" s="1"/>
  <c r="H52" i="78" s="1"/>
  <c r="E22" i="78"/>
  <c r="E17" i="78"/>
  <c r="G104" i="78"/>
  <c r="G103" i="78" s="1"/>
  <c r="F20" i="78"/>
  <c r="F22" i="78" s="1"/>
  <c r="H73" i="78"/>
  <c r="H71" i="78" s="1"/>
  <c r="H6" i="78" s="1"/>
  <c r="G71" i="78"/>
  <c r="G6" i="78" s="1"/>
  <c r="G74" i="77"/>
  <c r="F72" i="77"/>
  <c r="F6" i="77" s="1"/>
  <c r="H179" i="77"/>
  <c r="H51" i="77" s="1"/>
  <c r="H53" i="77" s="1"/>
  <c r="E7" i="77"/>
  <c r="F71" i="70"/>
  <c r="F6" i="70" s="1"/>
  <c r="F7" i="70" s="1"/>
  <c r="E99" i="72"/>
  <c r="E15" i="72" s="1"/>
  <c r="E17" i="72" s="1"/>
  <c r="E105" i="77"/>
  <c r="E15" i="77" s="1"/>
  <c r="F107" i="77"/>
  <c r="H110" i="77"/>
  <c r="H109" i="77" s="1"/>
  <c r="H20" i="77" s="1"/>
  <c r="H22" i="77" s="1"/>
  <c r="G109" i="77"/>
  <c r="G20" i="77" s="1"/>
  <c r="F159" i="76"/>
  <c r="F54" i="76" s="1"/>
  <c r="F56" i="76" s="1"/>
  <c r="G159" i="76"/>
  <c r="G54" i="76" s="1"/>
  <c r="G56" i="76" s="1"/>
  <c r="F7" i="76"/>
  <c r="G104" i="71"/>
  <c r="H104" i="71" s="1"/>
  <c r="H103" i="71" s="1"/>
  <c r="H20" i="71" s="1"/>
  <c r="H22" i="71" s="1"/>
  <c r="E99" i="74"/>
  <c r="E15" i="74" s="1"/>
  <c r="E17" i="74" s="1"/>
  <c r="H77" i="76"/>
  <c r="H75" i="76" s="1"/>
  <c r="H6" i="76" s="1"/>
  <c r="G75" i="76"/>
  <c r="G6" i="76" s="1"/>
  <c r="G108" i="76"/>
  <c r="F107" i="76"/>
  <c r="F20" i="76" s="1"/>
  <c r="F22" i="76" s="1"/>
  <c r="G155" i="74"/>
  <c r="G50" i="74" s="1"/>
  <c r="G52" i="74" s="1"/>
  <c r="E17" i="76"/>
  <c r="H159" i="76"/>
  <c r="H54" i="76" s="1"/>
  <c r="H56" i="76" s="1"/>
  <c r="E22" i="76"/>
  <c r="G176" i="75"/>
  <c r="G53" i="75" s="1"/>
  <c r="G55" i="75" s="1"/>
  <c r="H121" i="75"/>
  <c r="H120" i="75" s="1"/>
  <c r="H22" i="75" s="1"/>
  <c r="H24" i="75" s="1"/>
  <c r="G120" i="75"/>
  <c r="G22" i="75" s="1"/>
  <c r="G24" i="75" s="1"/>
  <c r="E7" i="75"/>
  <c r="F176" i="75"/>
  <c r="F53" i="75" s="1"/>
  <c r="E116" i="75"/>
  <c r="E17" i="75" s="1"/>
  <c r="F118" i="75"/>
  <c r="F74" i="75"/>
  <c r="F6" i="75" s="1"/>
  <c r="G76" i="75"/>
  <c r="F155" i="70"/>
  <c r="F50" i="70" s="1"/>
  <c r="F52" i="70" s="1"/>
  <c r="H176" i="75"/>
  <c r="H53" i="75" s="1"/>
  <c r="H55" i="75" s="1"/>
  <c r="G71" i="74"/>
  <c r="G6" i="74" s="1"/>
  <c r="H73" i="74"/>
  <c r="H71" i="74" s="1"/>
  <c r="H6" i="74" s="1"/>
  <c r="F161" i="73"/>
  <c r="F51" i="73" s="1"/>
  <c r="F53" i="73" s="1"/>
  <c r="E22" i="74"/>
  <c r="H155" i="74"/>
  <c r="H50" i="74" s="1"/>
  <c r="H52" i="74" s="1"/>
  <c r="G104" i="74"/>
  <c r="F103" i="74"/>
  <c r="F20" i="74" s="1"/>
  <c r="F22" i="74" s="1"/>
  <c r="G101" i="74"/>
  <c r="F99" i="74"/>
  <c r="F15" i="74" s="1"/>
  <c r="F17" i="74" s="1"/>
  <c r="G161" i="73"/>
  <c r="G51" i="73" s="1"/>
  <c r="G53" i="73" s="1"/>
  <c r="F155" i="74"/>
  <c r="F50" i="74" s="1"/>
  <c r="F7" i="74"/>
  <c r="H110" i="73"/>
  <c r="H109" i="73" s="1"/>
  <c r="H21" i="73" s="1"/>
  <c r="H23" i="73" s="1"/>
  <c r="G109" i="73"/>
  <c r="G21" i="73" s="1"/>
  <c r="F158" i="67"/>
  <c r="F51" i="67" s="1"/>
  <c r="F53" i="67" s="1"/>
  <c r="G155" i="71"/>
  <c r="G50" i="71" s="1"/>
  <c r="G52" i="71" s="1"/>
  <c r="F155" i="71"/>
  <c r="F50" i="71" s="1"/>
  <c r="F52" i="71" s="1"/>
  <c r="H161" i="73"/>
  <c r="H51" i="73" s="1"/>
  <c r="H53" i="73" s="1"/>
  <c r="F72" i="73"/>
  <c r="F6" i="73" s="1"/>
  <c r="G74" i="73"/>
  <c r="E105" i="73"/>
  <c r="E16" i="73" s="1"/>
  <c r="F107" i="73"/>
  <c r="H155" i="72"/>
  <c r="H50" i="72" s="1"/>
  <c r="H52" i="72" s="1"/>
  <c r="E7" i="73"/>
  <c r="F103" i="72"/>
  <c r="F20" i="72" s="1"/>
  <c r="F22" i="72" s="1"/>
  <c r="G104" i="72"/>
  <c r="G155" i="72"/>
  <c r="G50" i="72" s="1"/>
  <c r="G52" i="72" s="1"/>
  <c r="F99" i="72"/>
  <c r="F15" i="72" s="1"/>
  <c r="F17" i="72" s="1"/>
  <c r="G101" i="72"/>
  <c r="F7" i="72"/>
  <c r="H155" i="71"/>
  <c r="H50" i="71" s="1"/>
  <c r="H52" i="71" s="1"/>
  <c r="E22" i="72"/>
  <c r="F155" i="72"/>
  <c r="F50" i="72" s="1"/>
  <c r="F68" i="63"/>
  <c r="F6" i="63" s="1"/>
  <c r="F7" i="63" s="1"/>
  <c r="F71" i="65"/>
  <c r="F6" i="65" s="1"/>
  <c r="F7" i="65" s="1"/>
  <c r="F71" i="71"/>
  <c r="F6" i="71" s="1"/>
  <c r="G73" i="71"/>
  <c r="E99" i="71"/>
  <c r="E15" i="71" s="1"/>
  <c r="F101" i="71"/>
  <c r="G158" i="67"/>
  <c r="G51" i="67" s="1"/>
  <c r="G53" i="67" s="1"/>
  <c r="E7" i="71"/>
  <c r="G155" i="70"/>
  <c r="G50" i="70" s="1"/>
  <c r="G52" i="70" s="1"/>
  <c r="H155" i="70"/>
  <c r="H50" i="70" s="1"/>
  <c r="H52" i="70" s="1"/>
  <c r="F151" i="64"/>
  <c r="F50" i="64" s="1"/>
  <c r="F52" i="64" s="1"/>
  <c r="F102" i="67"/>
  <c r="G102" i="67" s="1"/>
  <c r="H73" i="70"/>
  <c r="H71" i="70" s="1"/>
  <c r="H6" i="70" s="1"/>
  <c r="G71" i="70"/>
  <c r="G6" i="70" s="1"/>
  <c r="E22" i="70"/>
  <c r="F103" i="70"/>
  <c r="F20" i="70" s="1"/>
  <c r="F22" i="70" s="1"/>
  <c r="G104" i="70"/>
  <c r="F97" i="43"/>
  <c r="G97" i="43" s="1"/>
  <c r="F99" i="70"/>
  <c r="F15" i="70" s="1"/>
  <c r="F17" i="70" s="1"/>
  <c r="G101" i="70"/>
  <c r="G221" i="68"/>
  <c r="G50" i="68" s="1"/>
  <c r="G52" i="68" s="1"/>
  <c r="F221" i="68"/>
  <c r="F50" i="68" s="1"/>
  <c r="F52" i="68" s="1"/>
  <c r="F102" i="68"/>
  <c r="E100" i="68"/>
  <c r="E15" i="68" s="1"/>
  <c r="F154" i="62"/>
  <c r="F46" i="62" s="1"/>
  <c r="F48" i="62" s="1"/>
  <c r="G154" i="62"/>
  <c r="G46" i="62" s="1"/>
  <c r="G48" i="62" s="1"/>
  <c r="G74" i="68"/>
  <c r="F72" i="68"/>
  <c r="F6" i="68" s="1"/>
  <c r="E7" i="68"/>
  <c r="F151" i="65"/>
  <c r="F50" i="65" s="1"/>
  <c r="F52" i="65" s="1"/>
  <c r="H221" i="68"/>
  <c r="H50" i="68" s="1"/>
  <c r="H52" i="68" s="1"/>
  <c r="H105" i="68"/>
  <c r="H104" i="68" s="1"/>
  <c r="H20" i="68" s="1"/>
  <c r="H22" i="68" s="1"/>
  <c r="G104" i="68"/>
  <c r="G20" i="68" s="1"/>
  <c r="D20" i="62"/>
  <c r="D22" i="62" s="1"/>
  <c r="H151" i="65"/>
  <c r="H50" i="65" s="1"/>
  <c r="H52" i="65" s="1"/>
  <c r="G151" i="65"/>
  <c r="G50" i="65" s="1"/>
  <c r="G52" i="65" s="1"/>
  <c r="H151" i="66"/>
  <c r="H50" i="66" s="1"/>
  <c r="H52" i="66" s="1"/>
  <c r="G105" i="67"/>
  <c r="F104" i="67"/>
  <c r="F21" i="67" s="1"/>
  <c r="F23" i="67" s="1"/>
  <c r="H158" i="67"/>
  <c r="H51" i="67" s="1"/>
  <c r="H53" i="67" s="1"/>
  <c r="E18" i="67"/>
  <c r="G72" i="67"/>
  <c r="G6" i="67" s="1"/>
  <c r="G8" i="67" s="1"/>
  <c r="H74" i="67"/>
  <c r="H72" i="67" s="1"/>
  <c r="H6" i="67" s="1"/>
  <c r="H8" i="67" s="1"/>
  <c r="G151" i="64"/>
  <c r="G50" i="64" s="1"/>
  <c r="G52" i="64" s="1"/>
  <c r="E23" i="67"/>
  <c r="G151" i="66"/>
  <c r="G50" i="66" s="1"/>
  <c r="G52" i="66" s="1"/>
  <c r="G73" i="66"/>
  <c r="F71" i="66"/>
  <c r="F6" i="66" s="1"/>
  <c r="F151" i="66"/>
  <c r="F50" i="66" s="1"/>
  <c r="F101" i="66"/>
  <c r="E99" i="66"/>
  <c r="E15" i="66" s="1"/>
  <c r="E7" i="66"/>
  <c r="G103" i="66"/>
  <c r="G20" i="66" s="1"/>
  <c r="G22" i="66" s="1"/>
  <c r="H104" i="66"/>
  <c r="H103" i="66" s="1"/>
  <c r="H20" i="66" s="1"/>
  <c r="H22" i="66" s="1"/>
  <c r="F98" i="63"/>
  <c r="F96" i="63" s="1"/>
  <c r="F15" i="63" s="1"/>
  <c r="F17" i="63" s="1"/>
  <c r="H73" i="65"/>
  <c r="H71" i="65" s="1"/>
  <c r="H6" i="65" s="1"/>
  <c r="G71" i="65"/>
  <c r="G6" i="65" s="1"/>
  <c r="G104" i="65"/>
  <c r="F103" i="65"/>
  <c r="F20" i="65" s="1"/>
  <c r="F22" i="65" s="1"/>
  <c r="G69" i="39"/>
  <c r="G67" i="39" s="1"/>
  <c r="G6" i="39" s="1"/>
  <c r="E22" i="65"/>
  <c r="G101" i="65"/>
  <c r="F99" i="65"/>
  <c r="F15" i="65" s="1"/>
  <c r="F17" i="65" s="1"/>
  <c r="E7" i="64"/>
  <c r="D20" i="35"/>
  <c r="D22" i="35" s="1"/>
  <c r="G103" i="64"/>
  <c r="G20" i="64" s="1"/>
  <c r="G22" i="64" s="1"/>
  <c r="H104" i="64"/>
  <c r="H103" i="64" s="1"/>
  <c r="H20" i="64" s="1"/>
  <c r="H22" i="64" s="1"/>
  <c r="D21" i="63"/>
  <c r="D23" i="63" s="1"/>
  <c r="F71" i="64"/>
  <c r="F6" i="64" s="1"/>
  <c r="G73" i="64"/>
  <c r="D20" i="44"/>
  <c r="D22" i="44" s="1"/>
  <c r="F101" i="64"/>
  <c r="E99" i="64"/>
  <c r="E15" i="64" s="1"/>
  <c r="H151" i="64"/>
  <c r="H50" i="64" s="1"/>
  <c r="H52" i="64" s="1"/>
  <c r="G154" i="58"/>
  <c r="G46" i="58" s="1"/>
  <c r="G48" i="58" s="1"/>
  <c r="H70" i="63"/>
  <c r="H68" i="63" s="1"/>
  <c r="H6" i="63" s="1"/>
  <c r="G68" i="63"/>
  <c r="G6" i="63" s="1"/>
  <c r="E17" i="63"/>
  <c r="F93" i="61"/>
  <c r="G93" i="61" s="1"/>
  <c r="H155" i="63"/>
  <c r="H47" i="63" s="1"/>
  <c r="H49" i="63" s="1"/>
  <c r="F155" i="63"/>
  <c r="F47" i="63" s="1"/>
  <c r="G155" i="63"/>
  <c r="G47" i="63" s="1"/>
  <c r="G49" i="63" s="1"/>
  <c r="E7" i="62"/>
  <c r="H154" i="62"/>
  <c r="H46" i="62" s="1"/>
  <c r="H48" i="62" s="1"/>
  <c r="F97" i="62"/>
  <c r="E95" i="62"/>
  <c r="E15" i="62" s="1"/>
  <c r="F67" i="62"/>
  <c r="F6" i="62" s="1"/>
  <c r="G69" i="62"/>
  <c r="D20" i="40"/>
  <c r="D22" i="40" s="1"/>
  <c r="D20" i="61"/>
  <c r="D22" i="61" s="1"/>
  <c r="H189" i="59"/>
  <c r="H50" i="59" s="1"/>
  <c r="H52" i="59" s="1"/>
  <c r="F7" i="61"/>
  <c r="F169" i="61"/>
  <c r="F42" i="61" s="1"/>
  <c r="G169" i="61"/>
  <c r="G42" i="61" s="1"/>
  <c r="G44" i="61" s="1"/>
  <c r="F97" i="39"/>
  <c r="F95" i="39" s="1"/>
  <c r="F15" i="39" s="1"/>
  <c r="F17" i="39" s="1"/>
  <c r="H169" i="61"/>
  <c r="H42" i="61" s="1"/>
  <c r="H44" i="61" s="1"/>
  <c r="E17" i="61"/>
  <c r="D20" i="41"/>
  <c r="D22" i="41" s="1"/>
  <c r="D20" i="43"/>
  <c r="D22" i="43" s="1"/>
  <c r="D20" i="58"/>
  <c r="D22" i="58" s="1"/>
  <c r="F151" i="52"/>
  <c r="F50" i="52" s="1"/>
  <c r="F52" i="52" s="1"/>
  <c r="F189" i="59"/>
  <c r="F50" i="59" s="1"/>
  <c r="F52" i="59" s="1"/>
  <c r="F154" i="58"/>
  <c r="F46" i="58" s="1"/>
  <c r="F48" i="58" s="1"/>
  <c r="H154" i="58"/>
  <c r="H46" i="58" s="1"/>
  <c r="H48" i="58" s="1"/>
  <c r="G189" i="59"/>
  <c r="G50" i="59" s="1"/>
  <c r="G52" i="59" s="1"/>
  <c r="E22" i="59"/>
  <c r="E99" i="59"/>
  <c r="E15" i="59" s="1"/>
  <c r="F101" i="59"/>
  <c r="H73" i="59"/>
  <c r="H71" i="59" s="1"/>
  <c r="H6" i="59" s="1"/>
  <c r="G71" i="59"/>
  <c r="G6" i="59" s="1"/>
  <c r="G104" i="59"/>
  <c r="F103" i="59"/>
  <c r="F20" i="59" s="1"/>
  <c r="F22" i="59" s="1"/>
  <c r="F7" i="59"/>
  <c r="E105" i="57"/>
  <c r="E15" i="57" s="1"/>
  <c r="E17" i="57" s="1"/>
  <c r="H89" i="58"/>
  <c r="H87" i="58" s="1"/>
  <c r="H10" i="58" s="1"/>
  <c r="H12" i="58" s="1"/>
  <c r="G89" i="58"/>
  <c r="G87" i="58" s="1"/>
  <c r="G10" i="58" s="1"/>
  <c r="G12" i="58" s="1"/>
  <c r="F89" i="58"/>
  <c r="F87" i="58" s="1"/>
  <c r="F10" i="58" s="1"/>
  <c r="F12" i="58" s="1"/>
  <c r="E89" i="58"/>
  <c r="E87" i="58" s="1"/>
  <c r="E10" i="58" s="1"/>
  <c r="G69" i="58"/>
  <c r="F67" i="58"/>
  <c r="F6" i="58" s="1"/>
  <c r="E99" i="54"/>
  <c r="E15" i="54" s="1"/>
  <c r="E17" i="54" s="1"/>
  <c r="F97" i="58"/>
  <c r="E95" i="58"/>
  <c r="E15" i="58" s="1"/>
  <c r="E7" i="58"/>
  <c r="H192" i="57"/>
  <c r="H56" i="57" s="1"/>
  <c r="H58" i="57" s="1"/>
  <c r="G192" i="57"/>
  <c r="G56" i="57" s="1"/>
  <c r="G58" i="57" s="1"/>
  <c r="F192" i="57"/>
  <c r="F56" i="57" s="1"/>
  <c r="F58" i="57" s="1"/>
  <c r="H79" i="57"/>
  <c r="H77" i="57" s="1"/>
  <c r="H6" i="57" s="1"/>
  <c r="G77" i="57"/>
  <c r="G6" i="57" s="1"/>
  <c r="F71" i="52"/>
  <c r="F6" i="52" s="1"/>
  <c r="F7" i="52" s="1"/>
  <c r="G110" i="57"/>
  <c r="F109" i="57"/>
  <c r="F20" i="57" s="1"/>
  <c r="F22" i="57" s="1"/>
  <c r="H99" i="57"/>
  <c r="H97" i="57" s="1"/>
  <c r="H10" i="57" s="1"/>
  <c r="H12" i="57" s="1"/>
  <c r="G99" i="57"/>
  <c r="G97" i="57" s="1"/>
  <c r="G10" i="57" s="1"/>
  <c r="G12" i="57" s="1"/>
  <c r="F99" i="57"/>
  <c r="F97" i="57" s="1"/>
  <c r="F10" i="57" s="1"/>
  <c r="F12" i="57" s="1"/>
  <c r="E99" i="57"/>
  <c r="E97" i="57" s="1"/>
  <c r="E10" i="57" s="1"/>
  <c r="H160" i="56"/>
  <c r="H51" i="56" s="1"/>
  <c r="H53" i="56" s="1"/>
  <c r="E22" i="57"/>
  <c r="F7" i="57"/>
  <c r="G107" i="57"/>
  <c r="F105" i="57"/>
  <c r="F15" i="57" s="1"/>
  <c r="F17" i="57" s="1"/>
  <c r="F160" i="56"/>
  <c r="F51" i="56" s="1"/>
  <c r="F53" i="56" s="1"/>
  <c r="G160" i="56"/>
  <c r="G51" i="56" s="1"/>
  <c r="G53" i="56" s="1"/>
  <c r="E7" i="56"/>
  <c r="G104" i="56"/>
  <c r="G20" i="56" s="1"/>
  <c r="G22" i="56" s="1"/>
  <c r="H105" i="56"/>
  <c r="H104" i="56" s="1"/>
  <c r="H20" i="56" s="1"/>
  <c r="H22" i="56" s="1"/>
  <c r="F102" i="56"/>
  <c r="E100" i="56"/>
  <c r="E15" i="56" s="1"/>
  <c r="E94" i="56"/>
  <c r="E92" i="56" s="1"/>
  <c r="E10" i="56" s="1"/>
  <c r="H94" i="56"/>
  <c r="H92" i="56" s="1"/>
  <c r="H10" i="56" s="1"/>
  <c r="H12" i="56" s="1"/>
  <c r="G94" i="56"/>
  <c r="G92" i="56" s="1"/>
  <c r="G10" i="56" s="1"/>
  <c r="G12" i="56" s="1"/>
  <c r="F94" i="56"/>
  <c r="F92" i="56" s="1"/>
  <c r="F10" i="56" s="1"/>
  <c r="F12" i="56" s="1"/>
  <c r="F72" i="56"/>
  <c r="F6" i="56" s="1"/>
  <c r="G74" i="56"/>
  <c r="E99" i="52"/>
  <c r="E15" i="52" s="1"/>
  <c r="E17" i="52" s="1"/>
  <c r="H151" i="54"/>
  <c r="H50" i="54" s="1"/>
  <c r="H52" i="54" s="1"/>
  <c r="F101" i="50"/>
  <c r="G101" i="50" s="1"/>
  <c r="F151" i="53"/>
  <c r="F50" i="53" s="1"/>
  <c r="F52" i="53" s="1"/>
  <c r="G151" i="54"/>
  <c r="G50" i="54" s="1"/>
  <c r="G52" i="54" s="1"/>
  <c r="F151" i="54"/>
  <c r="F50" i="54" s="1"/>
  <c r="F103" i="54"/>
  <c r="F20" i="54" s="1"/>
  <c r="F22" i="54" s="1"/>
  <c r="G104" i="54"/>
  <c r="E93" i="54"/>
  <c r="E91" i="54" s="1"/>
  <c r="E10" i="54" s="1"/>
  <c r="H93" i="54"/>
  <c r="H91" i="54" s="1"/>
  <c r="H10" i="54" s="1"/>
  <c r="H12" i="54" s="1"/>
  <c r="G93" i="54"/>
  <c r="G91" i="54" s="1"/>
  <c r="G10" i="54" s="1"/>
  <c r="G12" i="54" s="1"/>
  <c r="F93" i="54"/>
  <c r="F91" i="54" s="1"/>
  <c r="F10" i="54" s="1"/>
  <c r="F12" i="54" s="1"/>
  <c r="H151" i="52"/>
  <c r="H50" i="52" s="1"/>
  <c r="H52" i="52" s="1"/>
  <c r="G151" i="52"/>
  <c r="G50" i="52" s="1"/>
  <c r="G52" i="52" s="1"/>
  <c r="H73" i="54"/>
  <c r="H71" i="54" s="1"/>
  <c r="H6" i="54" s="1"/>
  <c r="G71" i="54"/>
  <c r="G6" i="54" s="1"/>
  <c r="E22" i="54"/>
  <c r="F99" i="54"/>
  <c r="F15" i="54" s="1"/>
  <c r="F17" i="54" s="1"/>
  <c r="G101" i="54"/>
  <c r="F7" i="54"/>
  <c r="H151" i="53"/>
  <c r="H50" i="53" s="1"/>
  <c r="H52" i="53" s="1"/>
  <c r="H104" i="53"/>
  <c r="H103" i="53" s="1"/>
  <c r="H20" i="53" s="1"/>
  <c r="H22" i="53" s="1"/>
  <c r="G103" i="53"/>
  <c r="G20" i="53" s="1"/>
  <c r="G22" i="53" s="1"/>
  <c r="E99" i="53"/>
  <c r="E15" i="53" s="1"/>
  <c r="F101" i="53"/>
  <c r="E7" i="53"/>
  <c r="E93" i="53"/>
  <c r="E91" i="53" s="1"/>
  <c r="E10" i="53" s="1"/>
  <c r="H93" i="53"/>
  <c r="H91" i="53" s="1"/>
  <c r="H10" i="53" s="1"/>
  <c r="H12" i="53" s="1"/>
  <c r="F93" i="53"/>
  <c r="F91" i="53" s="1"/>
  <c r="F10" i="53" s="1"/>
  <c r="F12" i="53" s="1"/>
  <c r="G93" i="53"/>
  <c r="G91" i="53" s="1"/>
  <c r="G10" i="53" s="1"/>
  <c r="G12" i="53" s="1"/>
  <c r="F97" i="47"/>
  <c r="G97" i="47" s="1"/>
  <c r="H151" i="50"/>
  <c r="H50" i="50" s="1"/>
  <c r="H52" i="50" s="1"/>
  <c r="F151" i="50"/>
  <c r="F50" i="50" s="1"/>
  <c r="F52" i="50" s="1"/>
  <c r="D20" i="47"/>
  <c r="D22" i="47" s="1"/>
  <c r="F71" i="53"/>
  <c r="F6" i="53" s="1"/>
  <c r="G73" i="53"/>
  <c r="G151" i="53"/>
  <c r="G50" i="53" s="1"/>
  <c r="G52" i="53" s="1"/>
  <c r="E93" i="52"/>
  <c r="E91" i="52" s="1"/>
  <c r="E10" i="52" s="1"/>
  <c r="F93" i="52"/>
  <c r="H93" i="52"/>
  <c r="H91" i="52" s="1"/>
  <c r="H10" i="52" s="1"/>
  <c r="H12" i="52" s="1"/>
  <c r="G93" i="52"/>
  <c r="G91" i="52" s="1"/>
  <c r="G10" i="52" s="1"/>
  <c r="G12" i="52" s="1"/>
  <c r="F102" i="41"/>
  <c r="F100" i="41" s="1"/>
  <c r="F15" i="41" s="1"/>
  <c r="F17" i="41" s="1"/>
  <c r="E22" i="52"/>
  <c r="G69" i="43"/>
  <c r="H69" i="43" s="1"/>
  <c r="H67" i="43" s="1"/>
  <c r="H6" i="43" s="1"/>
  <c r="G104" i="52"/>
  <c r="F103" i="52"/>
  <c r="F20" i="52" s="1"/>
  <c r="F22" i="52" s="1"/>
  <c r="G71" i="52"/>
  <c r="G6" i="52" s="1"/>
  <c r="H73" i="52"/>
  <c r="H71" i="52" s="1"/>
  <c r="H6" i="52" s="1"/>
  <c r="G101" i="52"/>
  <c r="F99" i="52"/>
  <c r="F15" i="52" s="1"/>
  <c r="F17" i="52" s="1"/>
  <c r="H93" i="51"/>
  <c r="H91" i="51" s="1"/>
  <c r="H10" i="51" s="1"/>
  <c r="H12" i="51" s="1"/>
  <c r="G93" i="51"/>
  <c r="G91" i="51" s="1"/>
  <c r="G10" i="51" s="1"/>
  <c r="G12" i="51" s="1"/>
  <c r="F93" i="51"/>
  <c r="F91" i="51" s="1"/>
  <c r="F10" i="51" s="1"/>
  <c r="F12" i="51" s="1"/>
  <c r="E93" i="51"/>
  <c r="E91" i="51" s="1"/>
  <c r="E10" i="51" s="1"/>
  <c r="F101" i="51"/>
  <c r="E99" i="51"/>
  <c r="E15" i="51" s="1"/>
  <c r="D20" i="42"/>
  <c r="D22" i="42" s="1"/>
  <c r="H104" i="51"/>
  <c r="H103" i="51" s="1"/>
  <c r="H20" i="51" s="1"/>
  <c r="H22" i="51" s="1"/>
  <c r="G103" i="51"/>
  <c r="G20" i="51" s="1"/>
  <c r="G22" i="51" s="1"/>
  <c r="E7" i="51"/>
  <c r="D20" i="39"/>
  <c r="D22" i="39" s="1"/>
  <c r="G151" i="51"/>
  <c r="G50" i="51" s="1"/>
  <c r="G52" i="51" s="1"/>
  <c r="F151" i="51"/>
  <c r="F50" i="51" s="1"/>
  <c r="H151" i="51"/>
  <c r="H50" i="51" s="1"/>
  <c r="H52" i="51" s="1"/>
  <c r="G73" i="51"/>
  <c r="F71" i="51"/>
  <c r="F6" i="51" s="1"/>
  <c r="D46" i="50"/>
  <c r="D47" i="50" s="1"/>
  <c r="E47" i="50"/>
  <c r="E47" i="48"/>
  <c r="D46" i="48"/>
  <c r="D47" i="48" s="1"/>
  <c r="E17" i="50"/>
  <c r="G71" i="50"/>
  <c r="G6" i="50" s="1"/>
  <c r="H73" i="50"/>
  <c r="H71" i="50" s="1"/>
  <c r="H6" i="50" s="1"/>
  <c r="G151" i="50"/>
  <c r="G50" i="50" s="1"/>
  <c r="G52" i="50" s="1"/>
  <c r="G104" i="50"/>
  <c r="F103" i="50"/>
  <c r="F20" i="50" s="1"/>
  <c r="F22" i="50" s="1"/>
  <c r="E93" i="50"/>
  <c r="E91" i="50" s="1"/>
  <c r="E10" i="50" s="1"/>
  <c r="G93" i="50"/>
  <c r="G91" i="50" s="1"/>
  <c r="G10" i="50" s="1"/>
  <c r="G12" i="50" s="1"/>
  <c r="F93" i="50"/>
  <c r="F91" i="50" s="1"/>
  <c r="F10" i="50" s="1"/>
  <c r="F12" i="50" s="1"/>
  <c r="H93" i="50"/>
  <c r="H91" i="50" s="1"/>
  <c r="H10" i="50" s="1"/>
  <c r="H12" i="50" s="1"/>
  <c r="G104" i="48"/>
  <c r="F103" i="48"/>
  <c r="F20" i="48" s="1"/>
  <c r="F22" i="48" s="1"/>
  <c r="F7" i="50"/>
  <c r="E22" i="50"/>
  <c r="G151" i="48"/>
  <c r="G50" i="48" s="1"/>
  <c r="G52" i="48" s="1"/>
  <c r="E7" i="48"/>
  <c r="F71" i="48"/>
  <c r="F6" i="48" s="1"/>
  <c r="G73" i="48"/>
  <c r="H93" i="48"/>
  <c r="H91" i="48" s="1"/>
  <c r="H10" i="48" s="1"/>
  <c r="H12" i="48" s="1"/>
  <c r="F93" i="48"/>
  <c r="F91" i="48" s="1"/>
  <c r="F10" i="48" s="1"/>
  <c r="F12" i="48" s="1"/>
  <c r="E93" i="48"/>
  <c r="E91" i="48" s="1"/>
  <c r="E10" i="48" s="1"/>
  <c r="G93" i="48"/>
  <c r="G91" i="48" s="1"/>
  <c r="G10" i="48" s="1"/>
  <c r="G12" i="48" s="1"/>
  <c r="F151" i="48"/>
  <c r="F50" i="48" s="1"/>
  <c r="F101" i="48"/>
  <c r="E99" i="48"/>
  <c r="E15" i="48" s="1"/>
  <c r="H151" i="48"/>
  <c r="H50" i="48" s="1"/>
  <c r="H52" i="48" s="1"/>
  <c r="G154" i="47"/>
  <c r="G46" i="47" s="1"/>
  <c r="G48" i="47" s="1"/>
  <c r="D20" i="46"/>
  <c r="D22" i="46" s="1"/>
  <c r="F89" i="47"/>
  <c r="F87" i="47" s="1"/>
  <c r="F10" i="47" s="1"/>
  <c r="F12" i="47" s="1"/>
  <c r="E89" i="47"/>
  <c r="E87" i="47" s="1"/>
  <c r="E10" i="47" s="1"/>
  <c r="H89" i="47"/>
  <c r="H87" i="47" s="1"/>
  <c r="H10" i="47" s="1"/>
  <c r="H12" i="47" s="1"/>
  <c r="G89" i="47"/>
  <c r="G87" i="47" s="1"/>
  <c r="G10" i="47" s="1"/>
  <c r="G12" i="47" s="1"/>
  <c r="G67" i="47"/>
  <c r="G6" i="47" s="1"/>
  <c r="H69" i="47"/>
  <c r="H67" i="47" s="1"/>
  <c r="H6" i="47" s="1"/>
  <c r="F7" i="47"/>
  <c r="F154" i="47"/>
  <c r="F46" i="47" s="1"/>
  <c r="H154" i="47"/>
  <c r="H46" i="47" s="1"/>
  <c r="H48" i="47" s="1"/>
  <c r="E17" i="47"/>
  <c r="G149" i="46"/>
  <c r="G46" i="46" s="1"/>
  <c r="G48" i="46" s="1"/>
  <c r="G147" i="43"/>
  <c r="G46" i="43" s="1"/>
  <c r="G48" i="43" s="1"/>
  <c r="F149" i="46"/>
  <c r="F46" i="46" s="1"/>
  <c r="H149" i="46"/>
  <c r="H46" i="46" s="1"/>
  <c r="H48" i="46" s="1"/>
  <c r="E89" i="46"/>
  <c r="E87" i="46" s="1"/>
  <c r="E10" i="46" s="1"/>
  <c r="H89" i="46"/>
  <c r="H87" i="46" s="1"/>
  <c r="H10" i="46" s="1"/>
  <c r="H12" i="46" s="1"/>
  <c r="G89" i="46"/>
  <c r="G87" i="46" s="1"/>
  <c r="G10" i="46" s="1"/>
  <c r="G12" i="46" s="1"/>
  <c r="F89" i="46"/>
  <c r="F87" i="46" s="1"/>
  <c r="F10" i="46" s="1"/>
  <c r="F12" i="46" s="1"/>
  <c r="E95" i="46"/>
  <c r="E15" i="46" s="1"/>
  <c r="F97" i="46"/>
  <c r="F48" i="46"/>
  <c r="F67" i="46"/>
  <c r="F6" i="46" s="1"/>
  <c r="G69" i="46"/>
  <c r="F147" i="44"/>
  <c r="F46" i="44" s="1"/>
  <c r="F48" i="44" s="1"/>
  <c r="E7" i="46"/>
  <c r="H147" i="43"/>
  <c r="H46" i="43" s="1"/>
  <c r="H48" i="43" s="1"/>
  <c r="G89" i="44"/>
  <c r="G87" i="44" s="1"/>
  <c r="G10" i="44" s="1"/>
  <c r="G12" i="44" s="1"/>
  <c r="F89" i="44"/>
  <c r="F87" i="44" s="1"/>
  <c r="F10" i="44" s="1"/>
  <c r="F12" i="44" s="1"/>
  <c r="E89" i="44"/>
  <c r="E87" i="44" s="1"/>
  <c r="E10" i="44" s="1"/>
  <c r="H89" i="44"/>
  <c r="H87" i="44" s="1"/>
  <c r="H10" i="44" s="1"/>
  <c r="H12" i="44" s="1"/>
  <c r="G147" i="44"/>
  <c r="G46" i="44" s="1"/>
  <c r="G48" i="44" s="1"/>
  <c r="E7" i="44"/>
  <c r="F97" i="44"/>
  <c r="E95" i="44"/>
  <c r="E15" i="44" s="1"/>
  <c r="E95" i="35"/>
  <c r="E15" i="35" s="1"/>
  <c r="E17" i="35" s="1"/>
  <c r="G69" i="44"/>
  <c r="F67" i="44"/>
  <c r="F6" i="44" s="1"/>
  <c r="H147" i="44"/>
  <c r="H46" i="44" s="1"/>
  <c r="H48" i="44" s="1"/>
  <c r="G89" i="43"/>
  <c r="G87" i="43" s="1"/>
  <c r="G10" i="43" s="1"/>
  <c r="G12" i="43" s="1"/>
  <c r="F89" i="43"/>
  <c r="F87" i="43" s="1"/>
  <c r="F10" i="43" s="1"/>
  <c r="F12" i="43" s="1"/>
  <c r="H89" i="43"/>
  <c r="H87" i="43" s="1"/>
  <c r="H10" i="43" s="1"/>
  <c r="H12" i="43" s="1"/>
  <c r="E89" i="43"/>
  <c r="E87" i="43" s="1"/>
  <c r="E10" i="43" s="1"/>
  <c r="F147" i="39"/>
  <c r="F46" i="39" s="1"/>
  <c r="F48" i="39" s="1"/>
  <c r="H147" i="39"/>
  <c r="H46" i="39" s="1"/>
  <c r="H48" i="39" s="1"/>
  <c r="G147" i="39"/>
  <c r="G46" i="39" s="1"/>
  <c r="G48" i="39" s="1"/>
  <c r="F147" i="40"/>
  <c r="F46" i="40" s="1"/>
  <c r="F48" i="40" s="1"/>
  <c r="H147" i="40"/>
  <c r="H46" i="40" s="1"/>
  <c r="H48" i="40" s="1"/>
  <c r="F152" i="41"/>
  <c r="F51" i="41" s="1"/>
  <c r="F53" i="41" s="1"/>
  <c r="F147" i="42"/>
  <c r="F46" i="42" s="1"/>
  <c r="F48" i="42" s="1"/>
  <c r="G147" i="42"/>
  <c r="G46" i="42" s="1"/>
  <c r="G48" i="42" s="1"/>
  <c r="F147" i="43"/>
  <c r="F46" i="43" s="1"/>
  <c r="F7" i="43"/>
  <c r="E17" i="43"/>
  <c r="H89" i="35"/>
  <c r="H87" i="35" s="1"/>
  <c r="H10" i="35" s="1"/>
  <c r="G147" i="40"/>
  <c r="G46" i="40" s="1"/>
  <c r="G48" i="40" s="1"/>
  <c r="H152" i="41"/>
  <c r="H51" i="41" s="1"/>
  <c r="H53" i="41" s="1"/>
  <c r="H147" i="42"/>
  <c r="H46" i="42" s="1"/>
  <c r="H48" i="42" s="1"/>
  <c r="F97" i="42"/>
  <c r="E95" i="42"/>
  <c r="E15" i="42" s="1"/>
  <c r="E7" i="42"/>
  <c r="G89" i="42"/>
  <c r="G87" i="42" s="1"/>
  <c r="G10" i="42" s="1"/>
  <c r="G12" i="42" s="1"/>
  <c r="F89" i="42"/>
  <c r="F87" i="42" s="1"/>
  <c r="F10" i="42" s="1"/>
  <c r="F12" i="42" s="1"/>
  <c r="H89" i="42"/>
  <c r="H87" i="42" s="1"/>
  <c r="H10" i="42" s="1"/>
  <c r="H12" i="42" s="1"/>
  <c r="E89" i="42"/>
  <c r="E87" i="42" s="1"/>
  <c r="E10" i="42" s="1"/>
  <c r="G69" i="42"/>
  <c r="F67" i="42"/>
  <c r="F6" i="42" s="1"/>
  <c r="F7" i="41"/>
  <c r="G94" i="41"/>
  <c r="G92" i="41" s="1"/>
  <c r="G10" i="41" s="1"/>
  <c r="H94" i="41"/>
  <c r="H92" i="41" s="1"/>
  <c r="H10" i="41" s="1"/>
  <c r="H12" i="41" s="1"/>
  <c r="F94" i="41"/>
  <c r="F92" i="41" s="1"/>
  <c r="F10" i="41" s="1"/>
  <c r="F12" i="41" s="1"/>
  <c r="E94" i="41"/>
  <c r="E92" i="41" s="1"/>
  <c r="E10" i="41" s="1"/>
  <c r="G72" i="41"/>
  <c r="G6" i="41" s="1"/>
  <c r="H74" i="41"/>
  <c r="H72" i="41" s="1"/>
  <c r="H6" i="41" s="1"/>
  <c r="G152" i="41"/>
  <c r="G51" i="41" s="1"/>
  <c r="G53" i="41" s="1"/>
  <c r="E17" i="41"/>
  <c r="F97" i="40"/>
  <c r="E95" i="40"/>
  <c r="E15" i="40" s="1"/>
  <c r="G89" i="40"/>
  <c r="G87" i="40" s="1"/>
  <c r="G10" i="40" s="1"/>
  <c r="G12" i="40" s="1"/>
  <c r="F89" i="40"/>
  <c r="F87" i="40" s="1"/>
  <c r="F10" i="40" s="1"/>
  <c r="F12" i="40" s="1"/>
  <c r="E89" i="40"/>
  <c r="E87" i="40" s="1"/>
  <c r="E10" i="40" s="1"/>
  <c r="H89" i="40"/>
  <c r="H87" i="40" s="1"/>
  <c r="H10" i="40" s="1"/>
  <c r="H12" i="40" s="1"/>
  <c r="E7" i="40"/>
  <c r="G69" i="40"/>
  <c r="F67" i="40"/>
  <c r="F6" i="40" s="1"/>
  <c r="E17" i="39"/>
  <c r="F7" i="39"/>
  <c r="G89" i="39"/>
  <c r="G87" i="39" s="1"/>
  <c r="G10" i="39" s="1"/>
  <c r="G12" i="39" s="1"/>
  <c r="F89" i="39"/>
  <c r="F87" i="39" s="1"/>
  <c r="F10" i="39" s="1"/>
  <c r="F12" i="39" s="1"/>
  <c r="H89" i="39"/>
  <c r="H87" i="39" s="1"/>
  <c r="H10" i="39" s="1"/>
  <c r="H12" i="39" s="1"/>
  <c r="E89" i="39"/>
  <c r="E87" i="39" s="1"/>
  <c r="E10" i="39" s="1"/>
  <c r="E89" i="35"/>
  <c r="E87" i="35" s="1"/>
  <c r="E10" i="35" s="1"/>
  <c r="F89" i="35"/>
  <c r="F87" i="35" s="1"/>
  <c r="F10" i="35" s="1"/>
  <c r="G89" i="35"/>
  <c r="G87" i="35" s="1"/>
  <c r="G10" i="35" s="1"/>
  <c r="E7" i="35"/>
  <c r="G69" i="35"/>
  <c r="F67" i="35"/>
  <c r="F6" i="35" s="1"/>
  <c r="D46" i="35"/>
  <c r="D48" i="35" s="1"/>
  <c r="G97" i="35"/>
  <c r="F95" i="35"/>
  <c r="F15" i="35" s="1"/>
  <c r="F17" i="35" s="1"/>
  <c r="E55" i="67" l="1"/>
  <c r="D46" i="38" s="1"/>
  <c r="F54" i="91"/>
  <c r="D50" i="91"/>
  <c r="D52" i="91" s="1"/>
  <c r="G73" i="85"/>
  <c r="G6" i="85" s="1"/>
  <c r="D6" i="85" s="1"/>
  <c r="H109" i="87"/>
  <c r="H108" i="87" s="1"/>
  <c r="H20" i="87" s="1"/>
  <c r="H22" i="87" s="1"/>
  <c r="H101" i="91"/>
  <c r="H99" i="91" s="1"/>
  <c r="H15" i="91" s="1"/>
  <c r="H17" i="91" s="1"/>
  <c r="G99" i="91"/>
  <c r="G15" i="91" s="1"/>
  <c r="G17" i="91" s="1"/>
  <c r="D10" i="91"/>
  <c r="D12" i="91" s="1"/>
  <c r="E12" i="91"/>
  <c r="E54" i="91" s="1"/>
  <c r="G7" i="91"/>
  <c r="D6" i="91"/>
  <c r="D20" i="91"/>
  <c r="D22" i="91" s="1"/>
  <c r="H7" i="91"/>
  <c r="F98" i="86"/>
  <c r="F21" i="86" s="1"/>
  <c r="F23" i="86" s="1"/>
  <c r="F95" i="89"/>
  <c r="F15" i="89" s="1"/>
  <c r="F17" i="89" s="1"/>
  <c r="D10" i="64"/>
  <c r="D12" i="64" s="1"/>
  <c r="D10" i="73"/>
  <c r="D13" i="73" s="1"/>
  <c r="D10" i="87"/>
  <c r="D12" i="87" s="1"/>
  <c r="D10" i="81"/>
  <c r="D12" i="81" s="1"/>
  <c r="G12" i="41"/>
  <c r="D10" i="62"/>
  <c r="D12" i="62" s="1"/>
  <c r="D10" i="75"/>
  <c r="D14" i="75" s="1"/>
  <c r="E12" i="87"/>
  <c r="E59" i="87" s="1"/>
  <c r="D10" i="77"/>
  <c r="D12" i="77" s="1"/>
  <c r="D46" i="90"/>
  <c r="D48" i="90" s="1"/>
  <c r="D10" i="90"/>
  <c r="D12" i="90" s="1"/>
  <c r="E12" i="90"/>
  <c r="F7" i="90"/>
  <c r="D11" i="67"/>
  <c r="D13" i="67" s="1"/>
  <c r="D11" i="86"/>
  <c r="D13" i="86" s="1"/>
  <c r="G98" i="90"/>
  <c r="F96" i="90"/>
  <c r="F15" i="90" s="1"/>
  <c r="F17" i="90" s="1"/>
  <c r="D10" i="68"/>
  <c r="D12" i="68" s="1"/>
  <c r="D10" i="83"/>
  <c r="D12" i="83" s="1"/>
  <c r="H70" i="90"/>
  <c r="H68" i="90" s="1"/>
  <c r="H6" i="90" s="1"/>
  <c r="G68" i="90"/>
  <c r="G6" i="90" s="1"/>
  <c r="E17" i="90"/>
  <c r="G7" i="89"/>
  <c r="D6" i="89"/>
  <c r="D10" i="59"/>
  <c r="D12" i="59" s="1"/>
  <c r="D10" i="71"/>
  <c r="D12" i="71" s="1"/>
  <c r="E12" i="77"/>
  <c r="E12" i="83"/>
  <c r="E54" i="83" s="1"/>
  <c r="H7" i="89"/>
  <c r="E12" i="68"/>
  <c r="E12" i="81"/>
  <c r="D10" i="88"/>
  <c r="D12" i="88" s="1"/>
  <c r="H97" i="89"/>
  <c r="H95" i="89" s="1"/>
  <c r="H15" i="89" s="1"/>
  <c r="H17" i="89" s="1"/>
  <c r="G95" i="89"/>
  <c r="G15" i="89" s="1"/>
  <c r="D46" i="89"/>
  <c r="D48" i="89" s="1"/>
  <c r="D10" i="70"/>
  <c r="D12" i="70" s="1"/>
  <c r="D10" i="61"/>
  <c r="D12" i="61" s="1"/>
  <c r="D10" i="76"/>
  <c r="D12" i="76" s="1"/>
  <c r="D10" i="89"/>
  <c r="D12" i="89" s="1"/>
  <c r="E12" i="89"/>
  <c r="E50" i="89" s="1"/>
  <c r="G103" i="85"/>
  <c r="G101" i="85" s="1"/>
  <c r="G15" i="85" s="1"/>
  <c r="G17" i="85" s="1"/>
  <c r="D10" i="63"/>
  <c r="D12" i="63" s="1"/>
  <c r="D10" i="65"/>
  <c r="D12" i="65" s="1"/>
  <c r="D10" i="66"/>
  <c r="D12" i="66" s="1"/>
  <c r="D10" i="78"/>
  <c r="D12" i="78" s="1"/>
  <c r="G101" i="83"/>
  <c r="H101" i="83" s="1"/>
  <c r="H99" i="83" s="1"/>
  <c r="H15" i="83" s="1"/>
  <c r="H17" i="83" s="1"/>
  <c r="D10" i="85"/>
  <c r="D12" i="85" s="1"/>
  <c r="D10" i="72"/>
  <c r="D12" i="72" s="1"/>
  <c r="D10" i="80"/>
  <c r="D12" i="80" s="1"/>
  <c r="D10" i="84"/>
  <c r="D12" i="84" s="1"/>
  <c r="D10" i="74"/>
  <c r="D12" i="74" s="1"/>
  <c r="D10" i="79"/>
  <c r="D12" i="79" s="1"/>
  <c r="H105" i="86"/>
  <c r="H104" i="86" s="1"/>
  <c r="G104" i="86"/>
  <c r="H102" i="86"/>
  <c r="H101" i="86" s="1"/>
  <c r="G101" i="86"/>
  <c r="G101" i="78"/>
  <c r="G99" i="78" s="1"/>
  <c r="G15" i="78" s="1"/>
  <c r="G17" i="78" s="1"/>
  <c r="D50" i="88"/>
  <c r="D52" i="88" s="1"/>
  <c r="H73" i="88"/>
  <c r="H71" i="88" s="1"/>
  <c r="H6" i="88" s="1"/>
  <c r="G71" i="88"/>
  <c r="G6" i="88" s="1"/>
  <c r="E17" i="88"/>
  <c r="E54" i="88" s="1"/>
  <c r="F7" i="88"/>
  <c r="G101" i="88"/>
  <c r="F99" i="88"/>
  <c r="F15" i="88" s="1"/>
  <c r="F17" i="88" s="1"/>
  <c r="G103" i="88"/>
  <c r="G20" i="88" s="1"/>
  <c r="H104" i="88"/>
  <c r="H103" i="88" s="1"/>
  <c r="H20" i="88" s="1"/>
  <c r="H22" i="88" s="1"/>
  <c r="H7" i="87"/>
  <c r="D6" i="87"/>
  <c r="F57" i="87"/>
  <c r="F59" i="87" s="1"/>
  <c r="D55" i="87"/>
  <c r="D57" i="87" s="1"/>
  <c r="H106" i="87"/>
  <c r="H104" i="87" s="1"/>
  <c r="H15" i="87" s="1"/>
  <c r="H17" i="87" s="1"/>
  <c r="G104" i="87"/>
  <c r="G15" i="87" s="1"/>
  <c r="H73" i="72"/>
  <c r="H71" i="72" s="1"/>
  <c r="H6" i="72" s="1"/>
  <c r="D6" i="72" s="1"/>
  <c r="D7" i="72" s="1"/>
  <c r="G7" i="87"/>
  <c r="G22" i="87"/>
  <c r="D46" i="84"/>
  <c r="D48" i="84" s="1"/>
  <c r="H99" i="86"/>
  <c r="G76" i="86"/>
  <c r="G6" i="86" s="1"/>
  <c r="G8" i="86" s="1"/>
  <c r="H78" i="86"/>
  <c r="H76" i="86" s="1"/>
  <c r="H6" i="86" s="1"/>
  <c r="H8" i="86" s="1"/>
  <c r="E56" i="85"/>
  <c r="E18" i="86"/>
  <c r="E59" i="86" s="1"/>
  <c r="F94" i="86"/>
  <c r="F16" i="86" s="1"/>
  <c r="F18" i="86" s="1"/>
  <c r="G96" i="86"/>
  <c r="D55" i="86"/>
  <c r="D57" i="86" s="1"/>
  <c r="H7" i="85"/>
  <c r="F54" i="85"/>
  <c r="F56" i="85" s="1"/>
  <c r="D52" i="85"/>
  <c r="D54" i="85" s="1"/>
  <c r="G71" i="83"/>
  <c r="G6" i="83" s="1"/>
  <c r="D6" i="83" s="1"/>
  <c r="G7" i="85"/>
  <c r="D20" i="85"/>
  <c r="D22" i="85" s="1"/>
  <c r="G63" i="61"/>
  <c r="G6" i="61" s="1"/>
  <c r="G7" i="61" s="1"/>
  <c r="D50" i="81"/>
  <c r="D52" i="81" s="1"/>
  <c r="D50" i="83"/>
  <c r="D52" i="83" s="1"/>
  <c r="H69" i="84"/>
  <c r="H67" i="84" s="1"/>
  <c r="H6" i="84" s="1"/>
  <c r="G67" i="84"/>
  <c r="G6" i="84" s="1"/>
  <c r="G97" i="84"/>
  <c r="F95" i="84"/>
  <c r="F15" i="84" s="1"/>
  <c r="F17" i="84" s="1"/>
  <c r="D6" i="80"/>
  <c r="D7" i="80" s="1"/>
  <c r="F7" i="84"/>
  <c r="E17" i="84"/>
  <c r="E50" i="84" s="1"/>
  <c r="F54" i="83"/>
  <c r="H7" i="83"/>
  <c r="H104" i="83"/>
  <c r="H103" i="83" s="1"/>
  <c r="H20" i="83" s="1"/>
  <c r="H22" i="83" s="1"/>
  <c r="G103" i="83"/>
  <c r="G20" i="83" s="1"/>
  <c r="E17" i="81"/>
  <c r="G101" i="81"/>
  <c r="F99" i="81"/>
  <c r="F15" i="81" s="1"/>
  <c r="F17" i="81" s="1"/>
  <c r="D20" i="79"/>
  <c r="D22" i="79" s="1"/>
  <c r="E54" i="80"/>
  <c r="H73" i="81"/>
  <c r="H71" i="81" s="1"/>
  <c r="H6" i="81" s="1"/>
  <c r="G71" i="81"/>
  <c r="G6" i="81" s="1"/>
  <c r="G22" i="81"/>
  <c r="D20" i="81"/>
  <c r="D22" i="81" s="1"/>
  <c r="F7" i="81"/>
  <c r="G105" i="76"/>
  <c r="H105" i="76" s="1"/>
  <c r="H103" i="76" s="1"/>
  <c r="H15" i="76" s="1"/>
  <c r="H17" i="76" s="1"/>
  <c r="D50" i="79"/>
  <c r="D52" i="79" s="1"/>
  <c r="G99" i="80"/>
  <c r="G15" i="80" s="1"/>
  <c r="G17" i="80" s="1"/>
  <c r="H101" i="80"/>
  <c r="H99" i="80" s="1"/>
  <c r="H15" i="80" s="1"/>
  <c r="H17" i="80" s="1"/>
  <c r="H7" i="80"/>
  <c r="F52" i="80"/>
  <c r="F54" i="80" s="1"/>
  <c r="D50" i="80"/>
  <c r="D52" i="80" s="1"/>
  <c r="G103" i="80"/>
  <c r="G20" i="80" s="1"/>
  <c r="H104" i="80"/>
  <c r="H103" i="80" s="1"/>
  <c r="H20" i="80" s="1"/>
  <c r="H22" i="80" s="1"/>
  <c r="G7" i="80"/>
  <c r="H73" i="79"/>
  <c r="H71" i="79" s="1"/>
  <c r="H6" i="79" s="1"/>
  <c r="G71" i="79"/>
  <c r="G6" i="79" s="1"/>
  <c r="E17" i="79"/>
  <c r="E54" i="79" s="1"/>
  <c r="D6" i="78"/>
  <c r="D7" i="78" s="1"/>
  <c r="G101" i="79"/>
  <c r="F99" i="79"/>
  <c r="F15" i="79" s="1"/>
  <c r="F17" i="79" s="1"/>
  <c r="F7" i="79"/>
  <c r="F54" i="78"/>
  <c r="D50" i="78"/>
  <c r="D52" i="78" s="1"/>
  <c r="G7" i="78"/>
  <c r="H104" i="78"/>
  <c r="G20" i="78"/>
  <c r="H7" i="78"/>
  <c r="E54" i="78"/>
  <c r="G107" i="77"/>
  <c r="F105" i="77"/>
  <c r="F15" i="77" s="1"/>
  <c r="F17" i="77" s="1"/>
  <c r="F7" i="77"/>
  <c r="E17" i="77"/>
  <c r="H74" i="77"/>
  <c r="H72" i="77" s="1"/>
  <c r="H6" i="77" s="1"/>
  <c r="G72" i="77"/>
  <c r="G6" i="77" s="1"/>
  <c r="G22" i="77"/>
  <c r="D20" i="77"/>
  <c r="D22" i="77" s="1"/>
  <c r="D51" i="77"/>
  <c r="D53" i="77" s="1"/>
  <c r="F58" i="76"/>
  <c r="E58" i="76"/>
  <c r="G103" i="71"/>
  <c r="G20" i="71" s="1"/>
  <c r="G22" i="71" s="1"/>
  <c r="G7" i="76"/>
  <c r="D6" i="76"/>
  <c r="D54" i="76"/>
  <c r="D56" i="76" s="1"/>
  <c r="E54" i="72"/>
  <c r="H7" i="76"/>
  <c r="G107" i="76"/>
  <c r="G20" i="76" s="1"/>
  <c r="H108" i="76"/>
  <c r="H107" i="76" s="1"/>
  <c r="H20" i="76" s="1"/>
  <c r="H22" i="76" s="1"/>
  <c r="D22" i="75"/>
  <c r="D24" i="75" s="1"/>
  <c r="G118" i="75"/>
  <c r="F116" i="75"/>
  <c r="F17" i="75" s="1"/>
  <c r="F19" i="75" s="1"/>
  <c r="E19" i="75"/>
  <c r="E57" i="75" s="1"/>
  <c r="H76" i="75"/>
  <c r="H74" i="75" s="1"/>
  <c r="H6" i="75" s="1"/>
  <c r="G74" i="75"/>
  <c r="G6" i="75" s="1"/>
  <c r="F55" i="75"/>
  <c r="D53" i="75"/>
  <c r="D55" i="75" s="1"/>
  <c r="D6" i="74"/>
  <c r="D7" i="74" s="1"/>
  <c r="F7" i="75"/>
  <c r="E54" i="74"/>
  <c r="F52" i="74"/>
  <c r="F54" i="74" s="1"/>
  <c r="D50" i="74"/>
  <c r="D52" i="74" s="1"/>
  <c r="D6" i="70"/>
  <c r="D7" i="70" s="1"/>
  <c r="G103" i="74"/>
  <c r="G20" i="74" s="1"/>
  <c r="G22" i="74" s="1"/>
  <c r="H104" i="74"/>
  <c r="H103" i="74" s="1"/>
  <c r="H20" i="74" s="1"/>
  <c r="H22" i="74" s="1"/>
  <c r="H7" i="74"/>
  <c r="D51" i="73"/>
  <c r="D53" i="73" s="1"/>
  <c r="G99" i="74"/>
  <c r="G15" i="74" s="1"/>
  <c r="G17" i="74" s="1"/>
  <c r="H101" i="74"/>
  <c r="H99" i="74" s="1"/>
  <c r="H15" i="74" s="1"/>
  <c r="H17" i="74" s="1"/>
  <c r="G7" i="74"/>
  <c r="H74" i="73"/>
  <c r="H72" i="73" s="1"/>
  <c r="H6" i="73" s="1"/>
  <c r="G72" i="73"/>
  <c r="G6" i="73" s="1"/>
  <c r="E18" i="73"/>
  <c r="E55" i="73" s="1"/>
  <c r="F7" i="73"/>
  <c r="F105" i="73"/>
  <c r="F16" i="73" s="1"/>
  <c r="F18" i="73" s="1"/>
  <c r="G107" i="73"/>
  <c r="G23" i="73"/>
  <c r="D21" i="73"/>
  <c r="D23" i="73" s="1"/>
  <c r="F95" i="43"/>
  <c r="F15" i="43" s="1"/>
  <c r="F17" i="43" s="1"/>
  <c r="E54" i="70"/>
  <c r="H104" i="72"/>
  <c r="H103" i="72" s="1"/>
  <c r="H20" i="72" s="1"/>
  <c r="H22" i="72" s="1"/>
  <c r="G103" i="72"/>
  <c r="G20" i="72" s="1"/>
  <c r="F52" i="72"/>
  <c r="F54" i="72" s="1"/>
  <c r="D50" i="72"/>
  <c r="D52" i="72" s="1"/>
  <c r="H101" i="72"/>
  <c r="H99" i="72" s="1"/>
  <c r="H15" i="72" s="1"/>
  <c r="H17" i="72" s="1"/>
  <c r="G99" i="72"/>
  <c r="G15" i="72" s="1"/>
  <c r="G17" i="72" s="1"/>
  <c r="G7" i="72"/>
  <c r="F54" i="70"/>
  <c r="D50" i="71"/>
  <c r="D52" i="71" s="1"/>
  <c r="F7" i="71"/>
  <c r="G101" i="71"/>
  <c r="F99" i="71"/>
  <c r="F15" i="71" s="1"/>
  <c r="F17" i="71" s="1"/>
  <c r="F100" i="67"/>
  <c r="F16" i="67" s="1"/>
  <c r="F18" i="67" s="1"/>
  <c r="E17" i="71"/>
  <c r="E54" i="71" s="1"/>
  <c r="F91" i="61"/>
  <c r="F15" i="61" s="1"/>
  <c r="F17" i="61" s="1"/>
  <c r="G71" i="71"/>
  <c r="G6" i="71" s="1"/>
  <c r="H73" i="71"/>
  <c r="H71" i="71" s="1"/>
  <c r="H6" i="71" s="1"/>
  <c r="D50" i="70"/>
  <c r="D52" i="70" s="1"/>
  <c r="H104" i="70"/>
  <c r="H103" i="70" s="1"/>
  <c r="H20" i="70" s="1"/>
  <c r="H22" i="70" s="1"/>
  <c r="G103" i="70"/>
  <c r="G20" i="70" s="1"/>
  <c r="G22" i="70" s="1"/>
  <c r="G7" i="70"/>
  <c r="H101" i="70"/>
  <c r="H99" i="70" s="1"/>
  <c r="H15" i="70" s="1"/>
  <c r="H17" i="70" s="1"/>
  <c r="G99" i="70"/>
  <c r="G15" i="70" s="1"/>
  <c r="G17" i="70" s="1"/>
  <c r="H7" i="70"/>
  <c r="H69" i="39"/>
  <c r="H67" i="39" s="1"/>
  <c r="H6" i="39" s="1"/>
  <c r="H7" i="39" s="1"/>
  <c r="H74" i="68"/>
  <c r="H72" i="68" s="1"/>
  <c r="H6" i="68" s="1"/>
  <c r="G72" i="68"/>
  <c r="G6" i="68" s="1"/>
  <c r="F7" i="68"/>
  <c r="D50" i="68"/>
  <c r="D52" i="68" s="1"/>
  <c r="E17" i="68"/>
  <c r="D50" i="65"/>
  <c r="D52" i="65" s="1"/>
  <c r="G22" i="68"/>
  <c r="D20" i="68"/>
  <c r="D22" i="68" s="1"/>
  <c r="G102" i="68"/>
  <c r="F100" i="68"/>
  <c r="F15" i="68" s="1"/>
  <c r="F17" i="68" s="1"/>
  <c r="D6" i="67"/>
  <c r="D8" i="67" s="1"/>
  <c r="H102" i="67"/>
  <c r="H100" i="67" s="1"/>
  <c r="H16" i="67" s="1"/>
  <c r="H18" i="67" s="1"/>
  <c r="G100" i="67"/>
  <c r="G16" i="67" s="1"/>
  <c r="G18" i="67" s="1"/>
  <c r="D51" i="67"/>
  <c r="D53" i="67" s="1"/>
  <c r="H105" i="67"/>
  <c r="H104" i="67" s="1"/>
  <c r="H21" i="67" s="1"/>
  <c r="H23" i="67" s="1"/>
  <c r="G104" i="67"/>
  <c r="G21" i="67" s="1"/>
  <c r="D46" i="62"/>
  <c r="D48" i="62" s="1"/>
  <c r="G98" i="63"/>
  <c r="H98" i="63" s="1"/>
  <c r="H96" i="63" s="1"/>
  <c r="H15" i="63" s="1"/>
  <c r="H17" i="63" s="1"/>
  <c r="D6" i="63"/>
  <c r="G101" i="66"/>
  <c r="F99" i="66"/>
  <c r="F15" i="66" s="1"/>
  <c r="F17" i="66" s="1"/>
  <c r="D20" i="66"/>
  <c r="D22" i="66" s="1"/>
  <c r="F52" i="66"/>
  <c r="D50" i="66"/>
  <c r="D52" i="66" s="1"/>
  <c r="H73" i="66"/>
  <c r="H71" i="66" s="1"/>
  <c r="H6" i="66" s="1"/>
  <c r="G71" i="66"/>
  <c r="G6" i="66" s="1"/>
  <c r="F7" i="66"/>
  <c r="E17" i="66"/>
  <c r="E54" i="66" s="1"/>
  <c r="E54" i="65"/>
  <c r="F54" i="65"/>
  <c r="H7" i="65"/>
  <c r="D20" i="64"/>
  <c r="D22" i="64" s="1"/>
  <c r="H104" i="65"/>
  <c r="H103" i="65" s="1"/>
  <c r="H20" i="65" s="1"/>
  <c r="H22" i="65" s="1"/>
  <c r="G103" i="65"/>
  <c r="G20" i="65" s="1"/>
  <c r="H101" i="65"/>
  <c r="H99" i="65" s="1"/>
  <c r="H15" i="65" s="1"/>
  <c r="H17" i="65" s="1"/>
  <c r="G99" i="65"/>
  <c r="G15" i="65" s="1"/>
  <c r="G17" i="65" s="1"/>
  <c r="G7" i="65"/>
  <c r="D6" i="65"/>
  <c r="D50" i="64"/>
  <c r="D52" i="64" s="1"/>
  <c r="G97" i="39"/>
  <c r="G95" i="39" s="1"/>
  <c r="G15" i="39" s="1"/>
  <c r="E17" i="64"/>
  <c r="E54" i="64" s="1"/>
  <c r="G71" i="64"/>
  <c r="G6" i="64" s="1"/>
  <c r="H73" i="64"/>
  <c r="H71" i="64" s="1"/>
  <c r="H6" i="64" s="1"/>
  <c r="E51" i="63"/>
  <c r="F99" i="64"/>
  <c r="F15" i="64" s="1"/>
  <c r="F17" i="64" s="1"/>
  <c r="G101" i="64"/>
  <c r="F7" i="64"/>
  <c r="F49" i="63"/>
  <c r="F51" i="63" s="1"/>
  <c r="D47" i="63"/>
  <c r="D49" i="63" s="1"/>
  <c r="G7" i="63"/>
  <c r="D7" i="63"/>
  <c r="H7" i="63"/>
  <c r="H69" i="62"/>
  <c r="H67" i="62" s="1"/>
  <c r="H6" i="62" s="1"/>
  <c r="G67" i="62"/>
  <c r="G6" i="62" s="1"/>
  <c r="E17" i="62"/>
  <c r="E50" i="62" s="1"/>
  <c r="F7" i="62"/>
  <c r="F95" i="62"/>
  <c r="F15" i="62" s="1"/>
  <c r="F17" i="62" s="1"/>
  <c r="G97" i="62"/>
  <c r="H7" i="61"/>
  <c r="H93" i="61"/>
  <c r="H91" i="61" s="1"/>
  <c r="H15" i="61" s="1"/>
  <c r="H17" i="61" s="1"/>
  <c r="G91" i="61"/>
  <c r="G15" i="61" s="1"/>
  <c r="D50" i="59"/>
  <c r="D52" i="59" s="1"/>
  <c r="E46" i="61"/>
  <c r="F44" i="61"/>
  <c r="D42" i="61"/>
  <c r="D44" i="61" s="1"/>
  <c r="G67" i="43"/>
  <c r="G6" i="43" s="1"/>
  <c r="G7" i="43" s="1"/>
  <c r="D46" i="58"/>
  <c r="D48" i="58" s="1"/>
  <c r="H104" i="59"/>
  <c r="H103" i="59" s="1"/>
  <c r="H20" i="59" s="1"/>
  <c r="H22" i="59" s="1"/>
  <c r="G103" i="59"/>
  <c r="G20" i="59" s="1"/>
  <c r="G22" i="59" s="1"/>
  <c r="H7" i="59"/>
  <c r="G101" i="59"/>
  <c r="F99" i="59"/>
  <c r="F15" i="59" s="1"/>
  <c r="F17" i="59" s="1"/>
  <c r="G7" i="59"/>
  <c r="D6" i="59"/>
  <c r="E17" i="59"/>
  <c r="E54" i="59" s="1"/>
  <c r="D10" i="58"/>
  <c r="D12" i="58" s="1"/>
  <c r="E12" i="58"/>
  <c r="E17" i="58"/>
  <c r="G97" i="58"/>
  <c r="F95" i="58"/>
  <c r="F15" i="58" s="1"/>
  <c r="F17" i="58" s="1"/>
  <c r="F7" i="58"/>
  <c r="H69" i="58"/>
  <c r="H67" i="58" s="1"/>
  <c r="H6" i="58" s="1"/>
  <c r="G67" i="58"/>
  <c r="G6" i="58" s="1"/>
  <c r="D56" i="57"/>
  <c r="D58" i="57" s="1"/>
  <c r="F60" i="57"/>
  <c r="G105" i="57"/>
  <c r="G15" i="57" s="1"/>
  <c r="H107" i="57"/>
  <c r="H105" i="57" s="1"/>
  <c r="H15" i="57" s="1"/>
  <c r="H17" i="57" s="1"/>
  <c r="F99" i="50"/>
  <c r="F15" i="50" s="1"/>
  <c r="F17" i="50" s="1"/>
  <c r="D50" i="52"/>
  <c r="D52" i="52" s="1"/>
  <c r="G7" i="57"/>
  <c r="D6" i="57"/>
  <c r="G102" i="41"/>
  <c r="H102" i="41" s="1"/>
  <c r="H100" i="41" s="1"/>
  <c r="H15" i="41" s="1"/>
  <c r="H17" i="41" s="1"/>
  <c r="D10" i="57"/>
  <c r="D12" i="57" s="1"/>
  <c r="E12" i="57"/>
  <c r="E60" i="57" s="1"/>
  <c r="H7" i="57"/>
  <c r="G109" i="57"/>
  <c r="G20" i="57" s="1"/>
  <c r="H110" i="57"/>
  <c r="H109" i="57" s="1"/>
  <c r="H20" i="57" s="1"/>
  <c r="H22" i="57" s="1"/>
  <c r="D20" i="56"/>
  <c r="D22" i="56" s="1"/>
  <c r="D51" i="56"/>
  <c r="D53" i="56" s="1"/>
  <c r="H74" i="56"/>
  <c r="H72" i="56" s="1"/>
  <c r="H6" i="56" s="1"/>
  <c r="G72" i="56"/>
  <c r="G6" i="56" s="1"/>
  <c r="E17" i="56"/>
  <c r="F7" i="56"/>
  <c r="E12" i="56"/>
  <c r="D10" i="56"/>
  <c r="D12" i="56" s="1"/>
  <c r="F100" i="56"/>
  <c r="F15" i="56" s="1"/>
  <c r="F17" i="56" s="1"/>
  <c r="G102" i="56"/>
  <c r="G103" i="54"/>
  <c r="G20" i="54" s="1"/>
  <c r="H104" i="54"/>
  <c r="H103" i="54" s="1"/>
  <c r="H20" i="54" s="1"/>
  <c r="H22" i="54" s="1"/>
  <c r="F95" i="47"/>
  <c r="F15" i="47" s="1"/>
  <c r="F17" i="47" s="1"/>
  <c r="H101" i="54"/>
  <c r="H99" i="54" s="1"/>
  <c r="H15" i="54" s="1"/>
  <c r="H17" i="54" s="1"/>
  <c r="G99" i="54"/>
  <c r="G15" i="54" s="1"/>
  <c r="G7" i="54"/>
  <c r="F52" i="54"/>
  <c r="F54" i="54" s="1"/>
  <c r="D50" i="54"/>
  <c r="D52" i="54" s="1"/>
  <c r="D6" i="54"/>
  <c r="H7" i="54"/>
  <c r="D10" i="54"/>
  <c r="D12" i="54" s="1"/>
  <c r="E12" i="54"/>
  <c r="E54" i="54" s="1"/>
  <c r="D20" i="53"/>
  <c r="D22" i="53" s="1"/>
  <c r="F7" i="53"/>
  <c r="E12" i="53"/>
  <c r="D10" i="53"/>
  <c r="D12" i="53" s="1"/>
  <c r="D50" i="50"/>
  <c r="D52" i="50" s="1"/>
  <c r="E17" i="53"/>
  <c r="D50" i="53"/>
  <c r="D52" i="53" s="1"/>
  <c r="G101" i="53"/>
  <c r="F99" i="53"/>
  <c r="F15" i="53" s="1"/>
  <c r="F17" i="53" s="1"/>
  <c r="H73" i="53"/>
  <c r="H71" i="53" s="1"/>
  <c r="H6" i="53" s="1"/>
  <c r="G71" i="53"/>
  <c r="G6" i="53" s="1"/>
  <c r="H101" i="52"/>
  <c r="H99" i="52" s="1"/>
  <c r="H15" i="52" s="1"/>
  <c r="H17" i="52" s="1"/>
  <c r="G99" i="52"/>
  <c r="G15" i="52" s="1"/>
  <c r="G17" i="52" s="1"/>
  <c r="H104" i="52"/>
  <c r="H103" i="52" s="1"/>
  <c r="H20" i="52" s="1"/>
  <c r="H22" i="52" s="1"/>
  <c r="G103" i="52"/>
  <c r="G20" i="52" s="1"/>
  <c r="G22" i="52" s="1"/>
  <c r="E12" i="52"/>
  <c r="E54" i="52" s="1"/>
  <c r="H7" i="52"/>
  <c r="G7" i="52"/>
  <c r="D6" i="52"/>
  <c r="G101" i="51"/>
  <c r="F99" i="51"/>
  <c r="F15" i="51" s="1"/>
  <c r="F17" i="51" s="1"/>
  <c r="F7" i="51"/>
  <c r="D10" i="51"/>
  <c r="D12" i="51" s="1"/>
  <c r="E12" i="51"/>
  <c r="H73" i="51"/>
  <c r="H71" i="51" s="1"/>
  <c r="H6" i="51" s="1"/>
  <c r="G71" i="51"/>
  <c r="G6" i="51" s="1"/>
  <c r="E17" i="51"/>
  <c r="F52" i="51"/>
  <c r="D50" i="51"/>
  <c r="D52" i="51" s="1"/>
  <c r="D20" i="51"/>
  <c r="D22" i="51" s="1"/>
  <c r="G7" i="50"/>
  <c r="D6" i="50"/>
  <c r="G99" i="50"/>
  <c r="G15" i="50" s="1"/>
  <c r="G17" i="50" s="1"/>
  <c r="H101" i="50"/>
  <c r="H99" i="50" s="1"/>
  <c r="H15" i="50" s="1"/>
  <c r="H17" i="50" s="1"/>
  <c r="H7" i="50"/>
  <c r="H104" i="48"/>
  <c r="H103" i="48" s="1"/>
  <c r="H20" i="48" s="1"/>
  <c r="H22" i="48" s="1"/>
  <c r="G103" i="48"/>
  <c r="G20" i="48" s="1"/>
  <c r="D10" i="50"/>
  <c r="D12" i="50" s="1"/>
  <c r="E12" i="50"/>
  <c r="E54" i="50" s="1"/>
  <c r="H104" i="50"/>
  <c r="H103" i="50" s="1"/>
  <c r="H20" i="50" s="1"/>
  <c r="H22" i="50" s="1"/>
  <c r="G103" i="50"/>
  <c r="G20" i="50" s="1"/>
  <c r="F52" i="48"/>
  <c r="D50" i="48"/>
  <c r="D52" i="48" s="1"/>
  <c r="F7" i="48"/>
  <c r="D46" i="46"/>
  <c r="D48" i="46" s="1"/>
  <c r="E17" i="48"/>
  <c r="E12" i="48"/>
  <c r="D10" i="48"/>
  <c r="D12" i="48" s="1"/>
  <c r="F99" i="48"/>
  <c r="F15" i="48" s="1"/>
  <c r="F17" i="48" s="1"/>
  <c r="G101" i="48"/>
  <c r="H73" i="48"/>
  <c r="H71" i="48" s="1"/>
  <c r="H6" i="48" s="1"/>
  <c r="G71" i="48"/>
  <c r="G6" i="48" s="1"/>
  <c r="H7" i="47"/>
  <c r="F48" i="47"/>
  <c r="D46" i="47"/>
  <c r="D48" i="47" s="1"/>
  <c r="G7" i="47"/>
  <c r="D6" i="47"/>
  <c r="G95" i="47"/>
  <c r="G15" i="47" s="1"/>
  <c r="G17" i="47" s="1"/>
  <c r="H97" i="47"/>
  <c r="H95" i="47" s="1"/>
  <c r="H15" i="47" s="1"/>
  <c r="H17" i="47" s="1"/>
  <c r="E12" i="47"/>
  <c r="E50" i="47" s="1"/>
  <c r="D10" i="47"/>
  <c r="D12" i="47" s="1"/>
  <c r="G67" i="46"/>
  <c r="G6" i="46" s="1"/>
  <c r="H69" i="46"/>
  <c r="H67" i="46" s="1"/>
  <c r="H6" i="46" s="1"/>
  <c r="G97" i="46"/>
  <c r="F95" i="46"/>
  <c r="F15" i="46" s="1"/>
  <c r="F17" i="46" s="1"/>
  <c r="F7" i="46"/>
  <c r="E17" i="46"/>
  <c r="D10" i="46"/>
  <c r="D12" i="46" s="1"/>
  <c r="E12" i="46"/>
  <c r="D46" i="40"/>
  <c r="D48" i="40" s="1"/>
  <c r="D6" i="41"/>
  <c r="D7" i="41" s="1"/>
  <c r="E17" i="44"/>
  <c r="F7" i="44"/>
  <c r="G97" i="44"/>
  <c r="F95" i="44"/>
  <c r="F15" i="44" s="1"/>
  <c r="F17" i="44" s="1"/>
  <c r="G67" i="44"/>
  <c r="G6" i="44" s="1"/>
  <c r="H69" i="44"/>
  <c r="H67" i="44" s="1"/>
  <c r="H6" i="44" s="1"/>
  <c r="D46" i="44"/>
  <c r="D48" i="44" s="1"/>
  <c r="D10" i="44"/>
  <c r="D12" i="44" s="1"/>
  <c r="E12" i="44"/>
  <c r="D46" i="39"/>
  <c r="D48" i="39" s="1"/>
  <c r="F48" i="43"/>
  <c r="D46" i="43"/>
  <c r="D48" i="43" s="1"/>
  <c r="G95" i="43"/>
  <c r="G15" i="43" s="1"/>
  <c r="G17" i="43" s="1"/>
  <c r="H97" i="43"/>
  <c r="H95" i="43" s="1"/>
  <c r="H15" i="43" s="1"/>
  <c r="H17" i="43" s="1"/>
  <c r="D10" i="43"/>
  <c r="D12" i="43" s="1"/>
  <c r="E12" i="43"/>
  <c r="E50" i="43" s="1"/>
  <c r="D46" i="42"/>
  <c r="D48" i="42" s="1"/>
  <c r="H7" i="43"/>
  <c r="D10" i="42"/>
  <c r="D12" i="42" s="1"/>
  <c r="E12" i="42"/>
  <c r="G97" i="42"/>
  <c r="F95" i="42"/>
  <c r="F15" i="42" s="1"/>
  <c r="F17" i="42" s="1"/>
  <c r="E17" i="42"/>
  <c r="F55" i="41"/>
  <c r="G67" i="42"/>
  <c r="G6" i="42" s="1"/>
  <c r="H69" i="42"/>
  <c r="H67" i="42" s="1"/>
  <c r="H6" i="42" s="1"/>
  <c r="F7" i="42"/>
  <c r="H7" i="41"/>
  <c r="G7" i="41"/>
  <c r="F50" i="39"/>
  <c r="E12" i="41"/>
  <c r="D10" i="41"/>
  <c r="D51" i="41"/>
  <c r="D53" i="41" s="1"/>
  <c r="E17" i="40"/>
  <c r="F7" i="40"/>
  <c r="G67" i="40"/>
  <c r="G6" i="40" s="1"/>
  <c r="H69" i="40"/>
  <c r="H67" i="40" s="1"/>
  <c r="H6" i="40" s="1"/>
  <c r="D10" i="40"/>
  <c r="D12" i="40" s="1"/>
  <c r="E12" i="40"/>
  <c r="G97" i="40"/>
  <c r="F95" i="40"/>
  <c r="F15" i="40" s="1"/>
  <c r="F17" i="40" s="1"/>
  <c r="G7" i="39"/>
  <c r="E12" i="39"/>
  <c r="E50" i="39" s="1"/>
  <c r="D10" i="39"/>
  <c r="D12" i="39" s="1"/>
  <c r="E12" i="35"/>
  <c r="E50" i="35" s="1"/>
  <c r="D10" i="35"/>
  <c r="G67" i="35"/>
  <c r="G6" i="35" s="1"/>
  <c r="H69" i="35"/>
  <c r="H67" i="35" s="1"/>
  <c r="H6" i="35" s="1"/>
  <c r="G95" i="35"/>
  <c r="G15" i="35" s="1"/>
  <c r="G17" i="35" s="1"/>
  <c r="H97" i="35"/>
  <c r="H95" i="35" s="1"/>
  <c r="H15" i="35" s="1"/>
  <c r="H17" i="35" s="1"/>
  <c r="F7" i="35"/>
  <c r="F12" i="35" s="1"/>
  <c r="F50" i="35" s="1"/>
  <c r="E10" i="38" l="1"/>
  <c r="D12" i="38"/>
  <c r="D22" i="38"/>
  <c r="E21" i="38"/>
  <c r="D19" i="38"/>
  <c r="E48" i="38"/>
  <c r="E32" i="38"/>
  <c r="D32" i="38"/>
  <c r="D41" i="38"/>
  <c r="E33" i="38"/>
  <c r="E51" i="38"/>
  <c r="E53" i="38"/>
  <c r="D23" i="38"/>
  <c r="D50" i="38"/>
  <c r="E49" i="38"/>
  <c r="D15" i="38"/>
  <c r="E7" i="38"/>
  <c r="D8" i="38"/>
  <c r="E19" i="38"/>
  <c r="D56" i="38"/>
  <c r="D48" i="38"/>
  <c r="E38" i="38"/>
  <c r="D52" i="38"/>
  <c r="D47" i="38"/>
  <c r="D18" i="38"/>
  <c r="D54" i="38"/>
  <c r="D49" i="38"/>
  <c r="E8" i="38"/>
  <c r="E29" i="38"/>
  <c r="D29" i="38"/>
  <c r="D45" i="38"/>
  <c r="D37" i="38"/>
  <c r="D38" i="38"/>
  <c r="D51" i="38"/>
  <c r="G54" i="91"/>
  <c r="E60" i="38"/>
  <c r="E61" i="38" s="1"/>
  <c r="D7" i="38"/>
  <c r="D26" i="38"/>
  <c r="D36" i="38"/>
  <c r="D21" i="38"/>
  <c r="D14" i="38"/>
  <c r="D27" i="38"/>
  <c r="D28" i="38"/>
  <c r="D39" i="38"/>
  <c r="E41" i="38"/>
  <c r="D17" i="38"/>
  <c r="D33" i="38"/>
  <c r="D53" i="38"/>
  <c r="E54" i="38"/>
  <c r="E47" i="38"/>
  <c r="D60" i="38"/>
  <c r="D61" i="38" s="1"/>
  <c r="H54" i="91"/>
  <c r="D7" i="91"/>
  <c r="D15" i="91"/>
  <c r="D17" i="91" s="1"/>
  <c r="D20" i="87"/>
  <c r="D22" i="87" s="1"/>
  <c r="F50" i="89"/>
  <c r="E55" i="77"/>
  <c r="E54" i="81"/>
  <c r="G99" i="83"/>
  <c r="G15" i="83" s="1"/>
  <c r="G17" i="83" s="1"/>
  <c r="E55" i="41"/>
  <c r="F50" i="90"/>
  <c r="D12" i="41"/>
  <c r="E50" i="90"/>
  <c r="H7" i="90"/>
  <c r="H98" i="90"/>
  <c r="H96" i="90" s="1"/>
  <c r="H15" i="90" s="1"/>
  <c r="H17" i="90" s="1"/>
  <c r="G96" i="90"/>
  <c r="G15" i="90" s="1"/>
  <c r="G17" i="90" s="1"/>
  <c r="E54" i="68"/>
  <c r="G98" i="86"/>
  <c r="G21" i="86" s="1"/>
  <c r="G23" i="86" s="1"/>
  <c r="G7" i="90"/>
  <c r="D6" i="90"/>
  <c r="H50" i="89"/>
  <c r="D7" i="89"/>
  <c r="G17" i="89"/>
  <c r="G50" i="89" s="1"/>
  <c r="D15" i="89"/>
  <c r="D17" i="89" s="1"/>
  <c r="H103" i="85"/>
  <c r="H101" i="85" s="1"/>
  <c r="H15" i="85" s="1"/>
  <c r="H17" i="85" s="1"/>
  <c r="H101" i="78"/>
  <c r="H99" i="78" s="1"/>
  <c r="H15" i="78" s="1"/>
  <c r="H17" i="78" s="1"/>
  <c r="F54" i="88"/>
  <c r="H7" i="72"/>
  <c r="H54" i="72" s="1"/>
  <c r="G99" i="88"/>
  <c r="G15" i="88" s="1"/>
  <c r="G17" i="88" s="1"/>
  <c r="H101" i="88"/>
  <c r="H99" i="88" s="1"/>
  <c r="H15" i="88" s="1"/>
  <c r="H17" i="88" s="1"/>
  <c r="G7" i="88"/>
  <c r="D6" i="88"/>
  <c r="G22" i="88"/>
  <c r="D20" i="88"/>
  <c r="D22" i="88" s="1"/>
  <c r="H7" i="88"/>
  <c r="H59" i="87"/>
  <c r="G17" i="87"/>
  <c r="G59" i="87" s="1"/>
  <c r="D15" i="87"/>
  <c r="D17" i="87" s="1"/>
  <c r="D7" i="87"/>
  <c r="H98" i="86"/>
  <c r="H21" i="86" s="1"/>
  <c r="H23" i="86" s="1"/>
  <c r="F59" i="86"/>
  <c r="H96" i="86"/>
  <c r="H94" i="86" s="1"/>
  <c r="H16" i="86" s="1"/>
  <c r="H18" i="86" s="1"/>
  <c r="G94" i="86"/>
  <c r="G16" i="86" s="1"/>
  <c r="G7" i="83"/>
  <c r="D6" i="61"/>
  <c r="D7" i="61" s="1"/>
  <c r="G56" i="85"/>
  <c r="D6" i="86"/>
  <c r="D8" i="86" s="1"/>
  <c r="D7" i="85"/>
  <c r="F50" i="84"/>
  <c r="H7" i="84"/>
  <c r="F54" i="81"/>
  <c r="H97" i="84"/>
  <c r="H95" i="84" s="1"/>
  <c r="H15" i="84" s="1"/>
  <c r="H17" i="84" s="1"/>
  <c r="G95" i="84"/>
  <c r="G15" i="84" s="1"/>
  <c r="F54" i="79"/>
  <c r="G7" i="84"/>
  <c r="D6" i="84"/>
  <c r="H54" i="83"/>
  <c r="D7" i="83"/>
  <c r="G22" i="83"/>
  <c r="D20" i="83"/>
  <c r="D22" i="83" s="1"/>
  <c r="F55" i="77"/>
  <c r="H7" i="81"/>
  <c r="H101" i="81"/>
  <c r="H99" i="81" s="1"/>
  <c r="H15" i="81" s="1"/>
  <c r="H17" i="81" s="1"/>
  <c r="G99" i="81"/>
  <c r="G15" i="81" s="1"/>
  <c r="H54" i="80"/>
  <c r="G103" i="76"/>
  <c r="G15" i="76" s="1"/>
  <c r="D15" i="76" s="1"/>
  <c r="D17" i="76" s="1"/>
  <c r="G7" i="81"/>
  <c r="D6" i="81"/>
  <c r="G22" i="80"/>
  <c r="G54" i="80" s="1"/>
  <c r="D20" i="80"/>
  <c r="D22" i="80" s="1"/>
  <c r="D15" i="80"/>
  <c r="D17" i="80" s="1"/>
  <c r="H103" i="78"/>
  <c r="H20" i="78" s="1"/>
  <c r="H101" i="79"/>
  <c r="H99" i="79" s="1"/>
  <c r="H15" i="79" s="1"/>
  <c r="H17" i="79" s="1"/>
  <c r="G99" i="79"/>
  <c r="G15" i="79" s="1"/>
  <c r="G17" i="79" s="1"/>
  <c r="G7" i="79"/>
  <c r="D6" i="79"/>
  <c r="H7" i="79"/>
  <c r="G22" i="78"/>
  <c r="G54" i="78" s="1"/>
  <c r="H7" i="77"/>
  <c r="F46" i="61"/>
  <c r="F55" i="67"/>
  <c r="D20" i="71"/>
  <c r="D22" i="71" s="1"/>
  <c r="F55" i="73"/>
  <c r="H107" i="77"/>
  <c r="H105" i="77" s="1"/>
  <c r="H15" i="77" s="1"/>
  <c r="H17" i="77" s="1"/>
  <c r="G105" i="77"/>
  <c r="G15" i="77" s="1"/>
  <c r="G17" i="77" s="1"/>
  <c r="G7" i="77"/>
  <c r="D6" i="77"/>
  <c r="H58" i="76"/>
  <c r="D7" i="76"/>
  <c r="G22" i="76"/>
  <c r="D20" i="76"/>
  <c r="D22" i="76" s="1"/>
  <c r="F57" i="75"/>
  <c r="G7" i="75"/>
  <c r="H7" i="75"/>
  <c r="H118" i="75"/>
  <c r="H116" i="75" s="1"/>
  <c r="H17" i="75" s="1"/>
  <c r="H19" i="75" s="1"/>
  <c r="G116" i="75"/>
  <c r="G17" i="75" s="1"/>
  <c r="G19" i="75" s="1"/>
  <c r="D6" i="75"/>
  <c r="G54" i="74"/>
  <c r="H54" i="74"/>
  <c r="D15" i="74"/>
  <c r="D17" i="74" s="1"/>
  <c r="D20" i="74"/>
  <c r="D22" i="74" s="1"/>
  <c r="H107" i="73"/>
  <c r="H105" i="73" s="1"/>
  <c r="H16" i="73" s="1"/>
  <c r="H18" i="73" s="1"/>
  <c r="G105" i="73"/>
  <c r="G16" i="73" s="1"/>
  <c r="G18" i="73" s="1"/>
  <c r="G7" i="73"/>
  <c r="D6" i="73"/>
  <c r="D6" i="39"/>
  <c r="D7" i="39" s="1"/>
  <c r="F50" i="43"/>
  <c r="H7" i="73"/>
  <c r="D15" i="72"/>
  <c r="D17" i="72" s="1"/>
  <c r="G22" i="72"/>
  <c r="G54" i="72" s="1"/>
  <c r="D20" i="72"/>
  <c r="D22" i="72" s="1"/>
  <c r="F54" i="71"/>
  <c r="G7" i="71"/>
  <c r="H101" i="71"/>
  <c r="H99" i="71" s="1"/>
  <c r="H15" i="71" s="1"/>
  <c r="H17" i="71" s="1"/>
  <c r="G99" i="71"/>
  <c r="G15" i="71" s="1"/>
  <c r="D6" i="71"/>
  <c r="H54" i="70"/>
  <c r="H7" i="71"/>
  <c r="H54" i="71" s="1"/>
  <c r="D15" i="70"/>
  <c r="D17" i="70" s="1"/>
  <c r="D20" i="70"/>
  <c r="D22" i="70" s="1"/>
  <c r="G54" i="70"/>
  <c r="F54" i="68"/>
  <c r="G7" i="68"/>
  <c r="H7" i="68"/>
  <c r="H102" i="68"/>
  <c r="H100" i="68" s="1"/>
  <c r="H15" i="68" s="1"/>
  <c r="H17" i="68" s="1"/>
  <c r="G100" i="68"/>
  <c r="G15" i="68" s="1"/>
  <c r="G17" i="68" s="1"/>
  <c r="D6" i="68"/>
  <c r="H55" i="67"/>
  <c r="G23" i="67"/>
  <c r="G55" i="67" s="1"/>
  <c r="D21" i="67"/>
  <c r="D23" i="67" s="1"/>
  <c r="D16" i="67"/>
  <c r="D18" i="67" s="1"/>
  <c r="H97" i="39"/>
  <c r="H95" i="39" s="1"/>
  <c r="H15" i="39" s="1"/>
  <c r="H17" i="39" s="1"/>
  <c r="F54" i="66"/>
  <c r="G96" i="63"/>
  <c r="G15" i="63" s="1"/>
  <c r="G17" i="63" s="1"/>
  <c r="H7" i="66"/>
  <c r="G7" i="66"/>
  <c r="G99" i="66"/>
  <c r="G15" i="66" s="1"/>
  <c r="H101" i="66"/>
  <c r="H99" i="66" s="1"/>
  <c r="H15" i="66" s="1"/>
  <c r="H17" i="66" s="1"/>
  <c r="D6" i="66"/>
  <c r="D7" i="65"/>
  <c r="G22" i="65"/>
  <c r="G54" i="65" s="1"/>
  <c r="D20" i="65"/>
  <c r="D22" i="65" s="1"/>
  <c r="H54" i="65"/>
  <c r="F50" i="62"/>
  <c r="F54" i="64"/>
  <c r="D6" i="62"/>
  <c r="D7" i="62" s="1"/>
  <c r="D15" i="65"/>
  <c r="D17" i="65" s="1"/>
  <c r="H7" i="64"/>
  <c r="G99" i="64"/>
  <c r="G15" i="64" s="1"/>
  <c r="H101" i="64"/>
  <c r="H99" i="64" s="1"/>
  <c r="H15" i="64" s="1"/>
  <c r="H17" i="64" s="1"/>
  <c r="G7" i="64"/>
  <c r="D6" i="64"/>
  <c r="H51" i="63"/>
  <c r="D15" i="63"/>
  <c r="D17" i="63" s="1"/>
  <c r="H7" i="62"/>
  <c r="G7" i="62"/>
  <c r="H97" i="62"/>
  <c r="H95" i="62" s="1"/>
  <c r="H15" i="62" s="1"/>
  <c r="H17" i="62" s="1"/>
  <c r="G95" i="62"/>
  <c r="G15" i="62" s="1"/>
  <c r="G17" i="62" s="1"/>
  <c r="D6" i="43"/>
  <c r="D7" i="43" s="1"/>
  <c r="H46" i="61"/>
  <c r="G17" i="61"/>
  <c r="G46" i="61" s="1"/>
  <c r="D15" i="61"/>
  <c r="D17" i="61" s="1"/>
  <c r="D20" i="59"/>
  <c r="D22" i="59" s="1"/>
  <c r="D7" i="59"/>
  <c r="H101" i="59"/>
  <c r="H99" i="59" s="1"/>
  <c r="H15" i="59" s="1"/>
  <c r="H17" i="59" s="1"/>
  <c r="G99" i="59"/>
  <c r="G15" i="59" s="1"/>
  <c r="F54" i="59"/>
  <c r="F50" i="58"/>
  <c r="E50" i="58"/>
  <c r="G100" i="41"/>
  <c r="G15" i="41" s="1"/>
  <c r="F54" i="50"/>
  <c r="G7" i="58"/>
  <c r="D6" i="58"/>
  <c r="H54" i="54"/>
  <c r="H7" i="58"/>
  <c r="H97" i="58"/>
  <c r="H95" i="58" s="1"/>
  <c r="H15" i="58" s="1"/>
  <c r="H17" i="58" s="1"/>
  <c r="G95" i="58"/>
  <c r="G15" i="58" s="1"/>
  <c r="H60" i="57"/>
  <c r="D7" i="57"/>
  <c r="G22" i="57"/>
  <c r="D20" i="57"/>
  <c r="D22" i="57" s="1"/>
  <c r="G17" i="57"/>
  <c r="D15" i="57"/>
  <c r="D17" i="57" s="1"/>
  <c r="F55" i="56"/>
  <c r="E55" i="56"/>
  <c r="G100" i="56"/>
  <c r="G15" i="56" s="1"/>
  <c r="G17" i="56" s="1"/>
  <c r="H102" i="56"/>
  <c r="H100" i="56" s="1"/>
  <c r="H15" i="56" s="1"/>
  <c r="H17" i="56" s="1"/>
  <c r="H7" i="56"/>
  <c r="G7" i="56"/>
  <c r="D6" i="56"/>
  <c r="F50" i="47"/>
  <c r="D6" i="53"/>
  <c r="D7" i="53" s="1"/>
  <c r="E54" i="53"/>
  <c r="G17" i="54"/>
  <c r="D15" i="54"/>
  <c r="D17" i="54" s="1"/>
  <c r="G22" i="54"/>
  <c r="D20" i="54"/>
  <c r="D22" i="54" s="1"/>
  <c r="F54" i="53"/>
  <c r="D7" i="54"/>
  <c r="E54" i="48"/>
  <c r="H7" i="53"/>
  <c r="G54" i="52"/>
  <c r="H101" i="53"/>
  <c r="H99" i="53" s="1"/>
  <c r="H15" i="53" s="1"/>
  <c r="H17" i="53" s="1"/>
  <c r="G99" i="53"/>
  <c r="G15" i="53" s="1"/>
  <c r="G7" i="53"/>
  <c r="D20" i="52"/>
  <c r="D22" i="52" s="1"/>
  <c r="H54" i="52"/>
  <c r="F50" i="46"/>
  <c r="F54" i="51"/>
  <c r="D7" i="52"/>
  <c r="D15" i="52"/>
  <c r="D17" i="52" s="1"/>
  <c r="G7" i="51"/>
  <c r="H7" i="51"/>
  <c r="E54" i="51"/>
  <c r="D15" i="50"/>
  <c r="D17" i="50" s="1"/>
  <c r="D6" i="51"/>
  <c r="H101" i="51"/>
  <c r="H99" i="51" s="1"/>
  <c r="H15" i="51" s="1"/>
  <c r="H17" i="51" s="1"/>
  <c r="G99" i="51"/>
  <c r="G15" i="51" s="1"/>
  <c r="H54" i="50"/>
  <c r="G22" i="50"/>
  <c r="G54" i="50" s="1"/>
  <c r="D20" i="50"/>
  <c r="D22" i="50" s="1"/>
  <c r="D7" i="50"/>
  <c r="G22" i="48"/>
  <c r="D20" i="48"/>
  <c r="D22" i="48" s="1"/>
  <c r="D6" i="48"/>
  <c r="F54" i="48"/>
  <c r="H7" i="48"/>
  <c r="G7" i="48"/>
  <c r="D6" i="42"/>
  <c r="D7" i="42" s="1"/>
  <c r="H101" i="48"/>
  <c r="H99" i="48" s="1"/>
  <c r="H15" i="48" s="1"/>
  <c r="H17" i="48" s="1"/>
  <c r="G99" i="48"/>
  <c r="G15" i="48" s="1"/>
  <c r="G17" i="48" s="1"/>
  <c r="G50" i="47"/>
  <c r="H50" i="47"/>
  <c r="D7" i="47"/>
  <c r="D15" i="47"/>
  <c r="D17" i="47" s="1"/>
  <c r="H50" i="43"/>
  <c r="E50" i="46"/>
  <c r="H7" i="46"/>
  <c r="G7" i="46"/>
  <c r="D6" i="46"/>
  <c r="E50" i="40"/>
  <c r="H97" i="46"/>
  <c r="H95" i="46" s="1"/>
  <c r="H15" i="46" s="1"/>
  <c r="H17" i="46" s="1"/>
  <c r="G95" i="46"/>
  <c r="G15" i="46" s="1"/>
  <c r="F50" i="44"/>
  <c r="H7" i="44"/>
  <c r="E50" i="44"/>
  <c r="G7" i="44"/>
  <c r="D6" i="44"/>
  <c r="F50" i="42"/>
  <c r="G50" i="43"/>
  <c r="G95" i="44"/>
  <c r="G15" i="44" s="1"/>
  <c r="G17" i="44" s="1"/>
  <c r="H97" i="44"/>
  <c r="H95" i="44" s="1"/>
  <c r="H15" i="44" s="1"/>
  <c r="H17" i="44" s="1"/>
  <c r="D15" i="43"/>
  <c r="D17" i="43" s="1"/>
  <c r="E50" i="42"/>
  <c r="G95" i="42"/>
  <c r="G15" i="42" s="1"/>
  <c r="G17" i="42" s="1"/>
  <c r="H97" i="42"/>
  <c r="H95" i="42" s="1"/>
  <c r="H15" i="42" s="1"/>
  <c r="H17" i="42" s="1"/>
  <c r="H7" i="42"/>
  <c r="F50" i="40"/>
  <c r="G7" i="42"/>
  <c r="H55" i="41"/>
  <c r="H7" i="40"/>
  <c r="G95" i="40"/>
  <c r="G15" i="40" s="1"/>
  <c r="G17" i="40" s="1"/>
  <c r="H97" i="40"/>
  <c r="H95" i="40" s="1"/>
  <c r="H15" i="40" s="1"/>
  <c r="H17" i="40" s="1"/>
  <c r="G7" i="40"/>
  <c r="D6" i="40"/>
  <c r="G17" i="39"/>
  <c r="G50" i="39" s="1"/>
  <c r="H7" i="35"/>
  <c r="H12" i="35" s="1"/>
  <c r="G7" i="35"/>
  <c r="D6" i="35"/>
  <c r="D15" i="35"/>
  <c r="D17" i="35" s="1"/>
  <c r="H54" i="79" l="1"/>
  <c r="G10" i="38"/>
  <c r="E13" i="38"/>
  <c r="G12" i="38"/>
  <c r="F26" i="38"/>
  <c r="F22" i="38"/>
  <c r="E25" i="38"/>
  <c r="D20" i="38"/>
  <c r="E16" i="38"/>
  <c r="E30" i="38"/>
  <c r="G27" i="38"/>
  <c r="E28" i="38"/>
  <c r="G46" i="38"/>
  <c r="E37" i="38"/>
  <c r="E17" i="38"/>
  <c r="G33" i="38"/>
  <c r="E27" i="38"/>
  <c r="G49" i="38"/>
  <c r="G38" i="38"/>
  <c r="D55" i="38"/>
  <c r="G22" i="38"/>
  <c r="G36" i="38"/>
  <c r="E26" i="38"/>
  <c r="E22" i="38"/>
  <c r="E14" i="38"/>
  <c r="G48" i="38"/>
  <c r="E12" i="38"/>
  <c r="G41" i="38"/>
  <c r="E39" i="38"/>
  <c r="E55" i="38"/>
  <c r="E15" i="38"/>
  <c r="F18" i="38"/>
  <c r="E24" i="38"/>
  <c r="D34" i="38"/>
  <c r="F8" i="38"/>
  <c r="E9" i="38"/>
  <c r="D11" i="38"/>
  <c r="F12" i="38"/>
  <c r="D13" i="38"/>
  <c r="E20" i="38"/>
  <c r="D35" i="38"/>
  <c r="F36" i="38"/>
  <c r="E40" i="38"/>
  <c r="G19" i="38"/>
  <c r="G21" i="38"/>
  <c r="E31" i="38"/>
  <c r="G37" i="38"/>
  <c r="F38" i="38"/>
  <c r="F41" i="38"/>
  <c r="F51" i="38"/>
  <c r="E52" i="38"/>
  <c r="F47" i="38"/>
  <c r="D10" i="38"/>
  <c r="E18" i="38"/>
  <c r="G60" i="38"/>
  <c r="G61" i="38" s="1"/>
  <c r="E11" i="38"/>
  <c r="D9" i="38"/>
  <c r="D25" i="38"/>
  <c r="G26" i="38"/>
  <c r="E35" i="38"/>
  <c r="D40" i="38"/>
  <c r="D16" i="38"/>
  <c r="D30" i="38"/>
  <c r="F27" i="38"/>
  <c r="G29" i="38"/>
  <c r="E56" i="38"/>
  <c r="F48" i="38"/>
  <c r="E45" i="38"/>
  <c r="F46" i="38"/>
  <c r="G32" i="38"/>
  <c r="E46" i="38"/>
  <c r="G52" i="38"/>
  <c r="F53" i="38"/>
  <c r="G53" i="38"/>
  <c r="E34" i="38"/>
  <c r="G54" i="38"/>
  <c r="E23" i="38"/>
  <c r="E50" i="38"/>
  <c r="F49" i="38"/>
  <c r="C49" i="38" s="1"/>
  <c r="G18" i="38"/>
  <c r="D31" i="38"/>
  <c r="D24" i="38"/>
  <c r="F60" i="38"/>
  <c r="D54" i="91"/>
  <c r="F32" i="38"/>
  <c r="D15" i="83"/>
  <c r="D17" i="83" s="1"/>
  <c r="G50" i="90"/>
  <c r="G17" i="76"/>
  <c r="G58" i="76" s="1"/>
  <c r="D15" i="90"/>
  <c r="D17" i="90" s="1"/>
  <c r="G17" i="41"/>
  <c r="G55" i="41" s="1"/>
  <c r="H50" i="90"/>
  <c r="D7" i="90"/>
  <c r="D15" i="78"/>
  <c r="D17" i="78" s="1"/>
  <c r="D50" i="89"/>
  <c r="H56" i="85"/>
  <c r="D15" i="85"/>
  <c r="D17" i="85" s="1"/>
  <c r="H54" i="88"/>
  <c r="D15" i="88"/>
  <c r="D17" i="88" s="1"/>
  <c r="D7" i="88"/>
  <c r="G54" i="88"/>
  <c r="D59" i="87"/>
  <c r="D21" i="86"/>
  <c r="D23" i="86" s="1"/>
  <c r="H59" i="86"/>
  <c r="G18" i="86"/>
  <c r="G59" i="86" s="1"/>
  <c r="D16" i="86"/>
  <c r="D18" i="86" s="1"/>
  <c r="H54" i="81"/>
  <c r="G54" i="83"/>
  <c r="H50" i="84"/>
  <c r="D7" i="84"/>
  <c r="G17" i="84"/>
  <c r="G50" i="84" s="1"/>
  <c r="D15" i="84"/>
  <c r="D17" i="84" s="1"/>
  <c r="G17" i="81"/>
  <c r="G54" i="81" s="1"/>
  <c r="D15" i="81"/>
  <c r="D17" i="81" s="1"/>
  <c r="D7" i="81"/>
  <c r="H55" i="77"/>
  <c r="G54" i="79"/>
  <c r="D54" i="80"/>
  <c r="H22" i="78"/>
  <c r="H54" i="78" s="1"/>
  <c r="D20" i="78"/>
  <c r="D22" i="78" s="1"/>
  <c r="D15" i="77"/>
  <c r="D17" i="77" s="1"/>
  <c r="D15" i="79"/>
  <c r="D17" i="79" s="1"/>
  <c r="G55" i="77"/>
  <c r="D7" i="79"/>
  <c r="D7" i="77"/>
  <c r="D58" i="76"/>
  <c r="G57" i="75"/>
  <c r="H57" i="75"/>
  <c r="D7" i="75"/>
  <c r="H55" i="73"/>
  <c r="D17" i="75"/>
  <c r="D19" i="75" s="1"/>
  <c r="D54" i="74"/>
  <c r="G55" i="73"/>
  <c r="D16" i="73"/>
  <c r="D18" i="73" s="1"/>
  <c r="D7" i="73"/>
  <c r="D54" i="72"/>
  <c r="G17" i="71"/>
  <c r="G54" i="71" s="1"/>
  <c r="D15" i="71"/>
  <c r="D17" i="71" s="1"/>
  <c r="D7" i="71"/>
  <c r="D54" i="70"/>
  <c r="H54" i="68"/>
  <c r="G54" i="68"/>
  <c r="D7" i="68"/>
  <c r="H54" i="64"/>
  <c r="H54" i="66"/>
  <c r="D15" i="68"/>
  <c r="D17" i="68" s="1"/>
  <c r="D15" i="39"/>
  <c r="D17" i="39" s="1"/>
  <c r="H50" i="39"/>
  <c r="D55" i="67"/>
  <c r="D7" i="66"/>
  <c r="G51" i="63"/>
  <c r="G17" i="66"/>
  <c r="G54" i="66" s="1"/>
  <c r="D15" i="66"/>
  <c r="D17" i="66" s="1"/>
  <c r="D54" i="65"/>
  <c r="G50" i="62"/>
  <c r="D7" i="64"/>
  <c r="G17" i="64"/>
  <c r="G54" i="64" s="1"/>
  <c r="D15" i="64"/>
  <c r="D17" i="64" s="1"/>
  <c r="H50" i="62"/>
  <c r="D51" i="63"/>
  <c r="D15" i="62"/>
  <c r="D17" i="62" s="1"/>
  <c r="D46" i="61"/>
  <c r="G60" i="57"/>
  <c r="G17" i="59"/>
  <c r="G54" i="59" s="1"/>
  <c r="D15" i="59"/>
  <c r="D17" i="59" s="1"/>
  <c r="H54" i="59"/>
  <c r="D15" i="41"/>
  <c r="D17" i="41" s="1"/>
  <c r="H50" i="58"/>
  <c r="G17" i="58"/>
  <c r="G50" i="58" s="1"/>
  <c r="D15" i="58"/>
  <c r="D17" i="58" s="1"/>
  <c r="D7" i="58"/>
  <c r="D60" i="57"/>
  <c r="G55" i="56"/>
  <c r="H55" i="56"/>
  <c r="D7" i="56"/>
  <c r="D15" i="56"/>
  <c r="D17" i="56" s="1"/>
  <c r="G54" i="54"/>
  <c r="D54" i="54"/>
  <c r="H54" i="53"/>
  <c r="G17" i="53"/>
  <c r="G54" i="53" s="1"/>
  <c r="D15" i="53"/>
  <c r="D17" i="53" s="1"/>
  <c r="H54" i="51"/>
  <c r="D7" i="51"/>
  <c r="G17" i="51"/>
  <c r="G54" i="51" s="1"/>
  <c r="D15" i="51"/>
  <c r="D17" i="51" s="1"/>
  <c r="D54" i="50"/>
  <c r="D7" i="48"/>
  <c r="G54" i="48"/>
  <c r="H54" i="48"/>
  <c r="D15" i="48"/>
  <c r="D50" i="47"/>
  <c r="H50" i="46"/>
  <c r="G17" i="46"/>
  <c r="G50" i="46" s="1"/>
  <c r="D15" i="46"/>
  <c r="D17" i="46" s="1"/>
  <c r="D7" i="46"/>
  <c r="G50" i="44"/>
  <c r="D15" i="44"/>
  <c r="D17" i="44" s="1"/>
  <c r="D7" i="44"/>
  <c r="H50" i="44"/>
  <c r="G50" i="42"/>
  <c r="D50" i="43"/>
  <c r="H50" i="42"/>
  <c r="D15" i="42"/>
  <c r="D17" i="42" s="1"/>
  <c r="H50" i="40"/>
  <c r="G50" i="40"/>
  <c r="D7" i="40"/>
  <c r="D15" i="40"/>
  <c r="D17" i="40" s="1"/>
  <c r="D7" i="35"/>
  <c r="H50" i="35"/>
  <c r="G12" i="35"/>
  <c r="G50" i="35" s="1"/>
  <c r="D11" i="35"/>
  <c r="D12" i="35" s="1"/>
  <c r="C60" i="38" l="1"/>
  <c r="C61" i="38" s="1"/>
  <c r="F61" i="38"/>
  <c r="E57" i="38"/>
  <c r="C27" i="38"/>
  <c r="C26" i="38"/>
  <c r="D57" i="38"/>
  <c r="C22" i="38"/>
  <c r="C38" i="38"/>
  <c r="C32" i="38"/>
  <c r="C53" i="38"/>
  <c r="C41" i="38"/>
  <c r="D42" i="38"/>
  <c r="G7" i="38"/>
  <c r="G9" i="38"/>
  <c r="F11" i="38"/>
  <c r="F13" i="38"/>
  <c r="G25" i="38"/>
  <c r="F20" i="38"/>
  <c r="F35" i="38"/>
  <c r="F40" i="38"/>
  <c r="G30" i="38"/>
  <c r="F14" i="38"/>
  <c r="F45" i="38"/>
  <c r="G56" i="38"/>
  <c r="G17" i="38"/>
  <c r="G34" i="38"/>
  <c r="F23" i="38"/>
  <c r="G55" i="38"/>
  <c r="F10" i="38"/>
  <c r="C10" i="38" s="1"/>
  <c r="G13" i="38"/>
  <c r="G40" i="38"/>
  <c r="F19" i="38"/>
  <c r="C19" i="38" s="1"/>
  <c r="G28" i="38"/>
  <c r="F28" i="38"/>
  <c r="F17" i="38"/>
  <c r="F34" i="38"/>
  <c r="G51" i="38"/>
  <c r="C51" i="38" s="1"/>
  <c r="F55" i="38"/>
  <c r="G15" i="38"/>
  <c r="G11" i="38"/>
  <c r="G35" i="38"/>
  <c r="G16" i="38"/>
  <c r="G14" i="38"/>
  <c r="F31" i="38"/>
  <c r="G39" i="38"/>
  <c r="D54" i="83"/>
  <c r="G23" i="38"/>
  <c r="F50" i="38"/>
  <c r="F15" i="38"/>
  <c r="C46" i="38"/>
  <c r="F7" i="38"/>
  <c r="F9" i="38"/>
  <c r="F25" i="38"/>
  <c r="C25" i="38" s="1"/>
  <c r="G20" i="38"/>
  <c r="F21" i="38"/>
  <c r="C21" i="38" s="1"/>
  <c r="F16" i="38"/>
  <c r="F30" i="38"/>
  <c r="F56" i="38"/>
  <c r="G45" i="38"/>
  <c r="G31" i="38"/>
  <c r="C31" i="38" s="1"/>
  <c r="F37" i="38"/>
  <c r="C37" i="38" s="1"/>
  <c r="F39" i="38"/>
  <c r="F52" i="38"/>
  <c r="C52" i="38" s="1"/>
  <c r="F54" i="38"/>
  <c r="C54" i="38" s="1"/>
  <c r="G50" i="38"/>
  <c r="G47" i="38"/>
  <c r="C47" i="38" s="1"/>
  <c r="G24" i="38"/>
  <c r="F24" i="38"/>
  <c r="C48" i="38"/>
  <c r="F33" i="38"/>
  <c r="C33" i="38" s="1"/>
  <c r="F29" i="38"/>
  <c r="C29" i="38" s="1"/>
  <c r="G8" i="38"/>
  <c r="D50" i="39"/>
  <c r="D50" i="90"/>
  <c r="D55" i="41"/>
  <c r="D56" i="85"/>
  <c r="D54" i="88"/>
  <c r="D59" i="86"/>
  <c r="D50" i="84"/>
  <c r="D54" i="81"/>
  <c r="C30" i="38"/>
  <c r="D54" i="78"/>
  <c r="D54" i="79"/>
  <c r="D55" i="77"/>
  <c r="D57" i="75"/>
  <c r="D55" i="73"/>
  <c r="D54" i="71"/>
  <c r="D54" i="68"/>
  <c r="D54" i="66"/>
  <c r="D54" i="64"/>
  <c r="D50" i="62"/>
  <c r="D54" i="59"/>
  <c r="D50" i="58"/>
  <c r="D55" i="56"/>
  <c r="D54" i="53"/>
  <c r="D54" i="51"/>
  <c r="D17" i="48"/>
  <c r="D54" i="48" s="1"/>
  <c r="D50" i="46"/>
  <c r="D50" i="44"/>
  <c r="D50" i="42"/>
  <c r="D50" i="40"/>
  <c r="C18" i="38"/>
  <c r="C12" i="38"/>
  <c r="D50" i="35"/>
  <c r="D63" i="38" l="1"/>
  <c r="G57" i="38"/>
  <c r="F57" i="38"/>
  <c r="C50" i="38"/>
  <c r="C7" i="38"/>
  <c r="C17" i="38"/>
  <c r="C11" i="38"/>
  <c r="C39" i="38"/>
  <c r="C56" i="38"/>
  <c r="C16" i="38"/>
  <c r="C55" i="38"/>
  <c r="C13" i="38"/>
  <c r="C45" i="38"/>
  <c r="C15" i="38"/>
  <c r="C14" i="38"/>
  <c r="C35" i="38"/>
  <c r="C24" i="38"/>
  <c r="C9" i="38"/>
  <c r="C34" i="38"/>
  <c r="C40" i="38"/>
  <c r="C23" i="38"/>
  <c r="G42" i="38"/>
  <c r="G63" i="38" s="1"/>
  <c r="C28" i="38"/>
  <c r="C8" i="38"/>
  <c r="C20" i="38"/>
  <c r="F42" i="38"/>
  <c r="C57" i="38" l="1"/>
  <c r="F63" i="38"/>
  <c r="F91" i="52" l="1"/>
  <c r="F10" i="52" s="1"/>
  <c r="F12" i="52" s="1"/>
  <c r="F54" i="52" s="1"/>
  <c r="E36" i="38" l="1"/>
  <c r="C36" i="38" s="1"/>
  <c r="D10" i="52"/>
  <c r="D12" i="52" s="1"/>
  <c r="D54" i="52" s="1"/>
  <c r="E42" i="38" l="1"/>
  <c r="E63" i="38" s="1"/>
  <c r="C42" i="38"/>
  <c r="C63" i="38" s="1"/>
</calcChain>
</file>

<file path=xl/sharedStrings.xml><?xml version="1.0" encoding="utf-8"?>
<sst xmlns="http://schemas.openxmlformats.org/spreadsheetml/2006/main" count="8134" uniqueCount="622">
  <si>
    <t>Աշխատավարձ</t>
  </si>
  <si>
    <t>Մասնագետների աշխատավարձ</t>
  </si>
  <si>
    <t>Հիմնական փորձագետների աշխատավարձ</t>
  </si>
  <si>
    <t>Վարչական անձնակազմի աշխատավարձ</t>
  </si>
  <si>
    <t>Օժանդակ անձնակազմի աշխատավարձ</t>
  </si>
  <si>
    <t>Ընդամենը աշխատավարձ</t>
  </si>
  <si>
    <t>Համախառն աշխատավարձ</t>
  </si>
  <si>
    <t>Կապիտալ ծախսեր</t>
  </si>
  <si>
    <t>Կահույք</t>
  </si>
  <si>
    <t>Այլ</t>
  </si>
  <si>
    <t>Գործուղումներ</t>
  </si>
  <si>
    <t>Անձնակազմի ծախսեր</t>
  </si>
  <si>
    <t>Ներկայացուցչական ծախսեր</t>
  </si>
  <si>
    <t>Տրանսպորտային ծախսեր</t>
  </si>
  <si>
    <t>Լուսա/տեսա նկարահանում</t>
  </si>
  <si>
    <t>Առաջխաղացում սոց. ցանցերով</t>
  </si>
  <si>
    <t>Գրասենյակային և վարչական ծախսեր</t>
  </si>
  <si>
    <t>Կոմունալ վճարներ, կապ, վարձակալություն և տարածքի պահպանման ծախսեր</t>
  </si>
  <si>
    <t>Գրենական պիտույքներ, տնտեսական ապրանքներ</t>
  </si>
  <si>
    <t>Համակարգչային պարագաներ, սարքավորումների սպասարկում և ծրագրային ապահովում</t>
  </si>
  <si>
    <t>Հանրային իրազեկում, հասարակայնության հետ կապեր</t>
  </si>
  <si>
    <t>Հանրային միջոցառումներ</t>
  </si>
  <si>
    <t>Այլ գրասենյակային ծախսեր</t>
  </si>
  <si>
    <t>Ներգրավված տեղական փորձագետների վարձատրություն</t>
  </si>
  <si>
    <t>Նյութերի թարգմանություն</t>
  </si>
  <si>
    <t>Ուսումնական և մեթոդական նյութեր, տեխնոլոգիաներ</t>
  </si>
  <si>
    <t>Սարքավորումներ և տեխնոլոգիաներ</t>
  </si>
  <si>
    <t>Հաշվարկներ</t>
  </si>
  <si>
    <t>Ընդամենը</t>
  </si>
  <si>
    <t>Ծրագրի առաջին տարի</t>
  </si>
  <si>
    <t>Փոխարժեքներ</t>
  </si>
  <si>
    <t>USD/AMD</t>
  </si>
  <si>
    <t>EUR/AMD</t>
  </si>
  <si>
    <t>Գործուղումների հիմնական վայրեր</t>
  </si>
  <si>
    <t>Գիշերակաց</t>
  </si>
  <si>
    <t>Օրապահիկ</t>
  </si>
  <si>
    <t>Հիմնական փորձագետների ընդհանուր քանակ</t>
  </si>
  <si>
    <t>Ներգրավվածության տոկոս</t>
  </si>
  <si>
    <t>Միջին ամսական համախառն աշխատավարձ</t>
  </si>
  <si>
    <t>Ամիսների քանակ</t>
  </si>
  <si>
    <t>Միջին օրական համախառն աշխատավարձ</t>
  </si>
  <si>
    <t>Ավագ մասնագետների ընդհանուր քանակ</t>
  </si>
  <si>
    <t>Ավագ մասնագետների միջին ամսական համախառն աշխատավարձ</t>
  </si>
  <si>
    <t>Կրտսեր մասնագետների ընդհանուր քանակ</t>
  </si>
  <si>
    <t>Կրտսեր մասնագետների միջին ամսական համախառն աշխատավարձ</t>
  </si>
  <si>
    <t>Վարչական աշխատողների ընդհանուր քանակ</t>
  </si>
  <si>
    <t>Վարչական աշխատողների միջին ամսական համախառն աշխատավարձ</t>
  </si>
  <si>
    <t>Օժանդակ աշխատողների ընդհանուր քանակ</t>
  </si>
  <si>
    <t>Օժանդակ անձնակազմի միջին ամսական համախառն աշխատավարձ</t>
  </si>
  <si>
    <t>Արտասահմանյան գործուղումների միջին կանխատեսվող տարեկան քանակ</t>
  </si>
  <si>
    <t>Արտասահմանյան մեկ գործուղման միջին գնահատվող ծախս մեկ անձի համար</t>
  </si>
  <si>
    <t>Տեղական գործուղումների միջին կանխատեսվող տարեկան քանակ</t>
  </si>
  <si>
    <t>Տեղական մեկ գործուղման միջին գնահատվող ծախս մեկ անձի համար</t>
  </si>
  <si>
    <t>Թարգմանվող նյութի կանխատեսվող էջեր</t>
  </si>
  <si>
    <t>Մեկ էջի թարգմանության կանխատեսվող արժեք</t>
  </si>
  <si>
    <t>ք.մ.</t>
  </si>
  <si>
    <t>Աշխատողների ընդհանուր քանակ</t>
  </si>
  <si>
    <t>Շենքեր, շինություններ</t>
  </si>
  <si>
    <t>Մեկ աշխատողի հաշվարկային տարածք</t>
  </si>
  <si>
    <t>1 ք.մ. շինության արժեք</t>
  </si>
  <si>
    <t>Համակարգիչներ</t>
  </si>
  <si>
    <t>Միավորների քանակ</t>
  </si>
  <si>
    <t>Միավոր</t>
  </si>
  <si>
    <t>Միավորի միջին գին</t>
  </si>
  <si>
    <t>Նշումներ</t>
  </si>
  <si>
    <t>Հոդված</t>
  </si>
  <si>
    <t>Ընդամենը անձնակազմի ծախսեր</t>
  </si>
  <si>
    <t>Ընդամենը կապիտալ ծախսեր</t>
  </si>
  <si>
    <t>Ընդամենը գրասենյակային և վարչական ծախսեր</t>
  </si>
  <si>
    <t>Ընդամենը հանրային իրազեկում և հասարակայնության հետ կապեր</t>
  </si>
  <si>
    <t>Արտասահմանյան փորձագետների ընդունում</t>
  </si>
  <si>
    <t>Այլ ներկայացուցչական ծախսեր</t>
  </si>
  <si>
    <t>Նյութեր</t>
  </si>
  <si>
    <t>Ընդամենը նյութեր</t>
  </si>
  <si>
    <t>Ընդամենը ներկայացուցչական ծախսեր</t>
  </si>
  <si>
    <t>Միավորների պայմանական դրույքներ, հազար ՀՀ դրամ</t>
  </si>
  <si>
    <t>Միջին արտասահմանյան գործուղում</t>
  </si>
  <si>
    <t>Ներգրավված տեղական փորձագետ</t>
  </si>
  <si>
    <t>հատ</t>
  </si>
  <si>
    <t>Գրասենյակի ներկայացուցչական ծախսեր</t>
  </si>
  <si>
    <t>բաժին ծախսերից, տոկոս</t>
  </si>
  <si>
    <t>Թարգմանություն</t>
  </si>
  <si>
    <t>էջ</t>
  </si>
  <si>
    <t>Համակարգիչ</t>
  </si>
  <si>
    <t>Միջին գրասենյակային սարքավորում</t>
  </si>
  <si>
    <t>Միջին գրասենյակային կահույք</t>
  </si>
  <si>
    <t>կտոր</t>
  </si>
  <si>
    <t>Միջին կայքի դոմեն և հոքթինգ</t>
  </si>
  <si>
    <t>ամիս</t>
  </si>
  <si>
    <t>Հանրային միջոցառում</t>
  </si>
  <si>
    <t>100 մասնակից</t>
  </si>
  <si>
    <t>Չամման միավոր</t>
  </si>
  <si>
    <t>Քանակ</t>
  </si>
  <si>
    <t>Դրույք, հազար ՀՀ դրամ</t>
  </si>
  <si>
    <t>Դրույք այլ միավորով</t>
  </si>
  <si>
    <t>Միջին տեղական գործուղում</t>
  </si>
  <si>
    <t>նիշ</t>
  </si>
  <si>
    <t>օր</t>
  </si>
  <si>
    <t>Հասարակայնության հետ կապեր, հանրային իրազեկում</t>
  </si>
  <si>
    <t>պատվեր, միջոցառում</t>
  </si>
  <si>
    <t>Արտապատվիրակում</t>
  </si>
  <si>
    <t>Տարեկան ինդեքսավորման դրույք</t>
  </si>
  <si>
    <t>տոկոս</t>
  </si>
  <si>
    <t>5 օր, 4 գիշեր գործուղման վճար</t>
  </si>
  <si>
    <t>Այլ ծախսեր</t>
  </si>
  <si>
    <t>3 օր, 2 գիշեր գործուղման վճար</t>
  </si>
  <si>
    <t>Տրանսպորտ</t>
  </si>
  <si>
    <t>Սնունդ</t>
  </si>
  <si>
    <t>Տեղական տրանսպորտ</t>
  </si>
  <si>
    <t>Ավիատոմս</t>
  </si>
  <si>
    <t>1 օր</t>
  </si>
  <si>
    <t>Դիմավորում-ճանապարհում</t>
  </si>
  <si>
    <t>միջին այց</t>
  </si>
  <si>
    <t>մարդ-օր</t>
  </si>
  <si>
    <t>Տեղական փորձագետների միջին ներգրավման ծավալ</t>
  </si>
  <si>
    <t>Անձնակազմի մոտիվացիոն ֆոնդ</t>
  </si>
  <si>
    <t>Միջին այցի տևողություն, օր</t>
  </si>
  <si>
    <t>Բազային աշխատավարձ</t>
  </si>
  <si>
    <t>Դասընթացավարի վարձատրություն</t>
  </si>
  <si>
    <t>ժամ</t>
  </si>
  <si>
    <t>Լսարան</t>
  </si>
  <si>
    <t>Տպագիր նյութեր</t>
  </si>
  <si>
    <t>Մեթոդական նյութեր</t>
  </si>
  <si>
    <t>Սարքավորումներ</t>
  </si>
  <si>
    <t>Սուրճի ընդմիջումներ/սնունդ</t>
  </si>
  <si>
    <t>Միջին տիպային դասընթաց</t>
  </si>
  <si>
    <t>Տևողություն</t>
  </si>
  <si>
    <t>Օրական ժամեր</t>
  </si>
  <si>
    <t>Օրեր</t>
  </si>
  <si>
    <t>Դասընթացավարի հոնորար</t>
  </si>
  <si>
    <t>Դասընթացներ</t>
  </si>
  <si>
    <t>Արտասահմանում դասընթացին մասնակցելու վճար</t>
  </si>
  <si>
    <t>1 անձի համար</t>
  </si>
  <si>
    <t>Մասնակիցնրի քանակ</t>
  </si>
  <si>
    <t>Տեղական դասընացի արժեք</t>
  </si>
  <si>
    <t>Դասընթացների քանակ</t>
  </si>
  <si>
    <t>Դասընթաց արտասահմանում</t>
  </si>
  <si>
    <t>1 անձ</t>
  </si>
  <si>
    <t>Դասընթացներ և միջոցառումներ</t>
  </si>
  <si>
    <t>Միջոցառումներ</t>
  </si>
  <si>
    <t>Ընդամենը դասընթացներ և միջոցառումներ</t>
  </si>
  <si>
    <t>Մեկ օրվա կանխատեսվող միջին ծախս</t>
  </si>
  <si>
    <t>Ընդամենը գործողության ֆինանսավորման կարիք</t>
  </si>
  <si>
    <t>Գործուղումների վճարներ</t>
  </si>
  <si>
    <t>Միջազգային փորձագետների միջին այցերի կանխատեսվող քանակ</t>
  </si>
  <si>
    <t>այց</t>
  </si>
  <si>
    <t>Միջին կանխատեսվող քանակ</t>
  </si>
  <si>
    <t>Միավորի միջին կանխատեսվող գին</t>
  </si>
  <si>
    <t>Մոտ 100-200 մասնակցով ներկայացուցչական հանրային միջոցառումների քանակ</t>
  </si>
  <si>
    <t>Մոտ 100-200 մասնակցով ներկայացուցչական հանրային միջոցառման միջին արժեք</t>
  </si>
  <si>
    <t>1000 մասնակցից ավելի հրապարակային միջոցառումների քանակ</t>
  </si>
  <si>
    <t>1000 մասնակցից ավելի հրապարակային միջոցառման միջին արժեք</t>
  </si>
  <si>
    <t>Միջոցառում</t>
  </si>
  <si>
    <t>Դիզայներական աշխատանք</t>
  </si>
  <si>
    <t>Տպագրություն</t>
  </si>
  <si>
    <t>մեծ նախագիծ</t>
  </si>
  <si>
    <t>փոքր նախագիծ</t>
  </si>
  <si>
    <t>Տպագրություն, բարձրորակ</t>
  </si>
  <si>
    <t>Տպագրություն, սովորական</t>
  </si>
  <si>
    <t>Տպագրություն, էջի արժեք</t>
  </si>
  <si>
    <t>Տպագրություն, էջերի քանակ</t>
  </si>
  <si>
    <t>Մոտ 50-100 մասնակցով որոշակի ներկայացուցչական բնույթ կրող հանրային միջոցառման միջին արժեք</t>
  </si>
  <si>
    <t>Մոտ 50-100 մասնակցով որոշակի ներկայացուցչական բնույթ կրող հանրային միջոցառումների քանակ</t>
  </si>
  <si>
    <t>Հոլովակի տարածում, գովազգի տեղադրման քանակ</t>
  </si>
  <si>
    <t>Հոլովակի տարածում, գովազդի տեղադրման միավորի արժեք</t>
  </si>
  <si>
    <t>տեղադրում</t>
  </si>
  <si>
    <t>Ներգրավված միջազգային փորձագետ</t>
  </si>
  <si>
    <t>Միջազգային փորձագետի այցի ծախսեր</t>
  </si>
  <si>
    <t>Ներգրավված միջազգային փորձագետների վարձատրություն</t>
  </si>
  <si>
    <t>Միջազգային փորձագետների ընդունում</t>
  </si>
  <si>
    <t>Միջազգային փորձագետների միջին ներգրավման ծավալ</t>
  </si>
  <si>
    <t>Միջազգային փորձագետների ընդունում և այլ ներկայացուցչական ծախսեր</t>
  </si>
  <si>
    <t>Հանրային իրազեկման տպագիր նյութեր</t>
  </si>
  <si>
    <t>Առաջխաղացում սոց. ցանցերով և ԶԼՄ-ներով</t>
  </si>
  <si>
    <t>Սոց. ցանցեր</t>
  </si>
  <si>
    <t>ԶԼՄ</t>
  </si>
  <si>
    <t>Գովազդի ընդհանուր տևողություն</t>
  </si>
  <si>
    <t>րոպե</t>
  </si>
  <si>
    <t>1 րոպեի միջին արժեք</t>
  </si>
  <si>
    <t>Արտաքին գովազդ, գովազդի այլ եղանակներ</t>
  </si>
  <si>
    <t>Արտաքին գովազդ</t>
  </si>
  <si>
    <t>ամիս, միջոց</t>
  </si>
  <si>
    <t>Գովազդի տեղադրում հեռոստատեսությամբ</t>
  </si>
  <si>
    <t>Գովազդի տեղադրում ռադիոյով</t>
  </si>
  <si>
    <t>Տեսահոլովակների ստեղծում</t>
  </si>
  <si>
    <t>Ձայնագրում և մոնտաժ</t>
  </si>
  <si>
    <t>նախագիծ</t>
  </si>
  <si>
    <t>Ձայնային հոլովակներ</t>
  </si>
  <si>
    <t>Տեսաֆիլմի նկարահանում</t>
  </si>
  <si>
    <t>Գովազդ հեռուստատեսությամբ</t>
  </si>
  <si>
    <t>Գովազդ ռադիոյով</t>
  </si>
  <si>
    <t>Արտաքին գովազդի արժեք</t>
  </si>
  <si>
    <t>Արտաքին գովազդի միջոցներ</t>
  </si>
  <si>
    <t>Ամիսներ</t>
  </si>
  <si>
    <t>Իրազեկման արշավ</t>
  </si>
  <si>
    <t>Դիզայներական ծառայություններ, մոնտաժ, խմբագրում</t>
  </si>
  <si>
    <t>Դիզայներական աշխատանք, խմբագրում</t>
  </si>
  <si>
    <t>Մեքենաների քանակ</t>
  </si>
  <si>
    <t>2000 լ. վառելիք, յուղ, սպասարկում և այլն</t>
  </si>
  <si>
    <t>Գրասենյակային և տրանսպորտային ծախսեր</t>
  </si>
  <si>
    <t>Գործողության համար</t>
  </si>
  <si>
    <t>Գրենական պիտույքներ</t>
  </si>
  <si>
    <t>Դրույքաչափեր</t>
  </si>
  <si>
    <t>Արտապատվիրակված դասընթացի արժեք</t>
  </si>
  <si>
    <t>Գրասենյակային ծախսեր</t>
  </si>
  <si>
    <t>Տվյալների բազա, առցանց հարցման ծրագրեր</t>
  </si>
  <si>
    <t xml:space="preserve">Գործողության անվանում </t>
  </si>
  <si>
    <t>Գործողության ֆինանսավորման կարիք ըստ տարիների</t>
  </si>
  <si>
    <t>Հազար ՀՀ դրամ</t>
  </si>
  <si>
    <t>Տրանսպորտային միջոցների ձեռքբերում</t>
  </si>
  <si>
    <t>Լսարանային ժամի գործակից 1</t>
  </si>
  <si>
    <t>Լսարանային ժամի գործակից 2</t>
  </si>
  <si>
    <t>Ինտերակտիվ դասընթացի համար</t>
  </si>
  <si>
    <t>Դասախոսության համար</t>
  </si>
  <si>
    <t>Մոտ 100-200 մասնակցով սովորական հանրային միջոցառման միջին արժեք</t>
  </si>
  <si>
    <t>1000 մասնակցից ավելի բաց հրապարակային միջոցառման միջին արժեք</t>
  </si>
  <si>
    <t>Մանրամասները առանձին էջում</t>
  </si>
  <si>
    <t>Մոտ 100-200 մասնակցով սովորական հանրային միջոցառումների քանակ</t>
  </si>
  <si>
    <t>Միջոցառումների ֆինանսավորման կարիքների ամփոփաթերթ</t>
  </si>
  <si>
    <t>ԸՆԴԱՄԵՆԸ ՖԻՆԱՆՍԱՎՈՐՄԱՆ ԿԱՐԻՔՆԵՐԻ ԳՆԱՀԱՏՈՒՄ</t>
  </si>
  <si>
    <t>Դասընթացի միջին տիպային ծախսերի հաշվարկ, դրույքաչափեր և սակագներ</t>
  </si>
  <si>
    <t>Չափման միավոր</t>
  </si>
  <si>
    <t>Գումար</t>
  </si>
  <si>
    <t>Նշում</t>
  </si>
  <si>
    <t>Ավտոմեքենա 3, միկրոավտոբուս</t>
  </si>
  <si>
    <t>Ավտոմեքենա 2, ամենագնաց կամ պիկապ</t>
  </si>
  <si>
    <t>Ավտոմեքենա 1, սեդան</t>
  </si>
  <si>
    <t>Տեղական գործուղում*</t>
  </si>
  <si>
    <t>Արտասահմանյան գործուղումներ*</t>
  </si>
  <si>
    <t>*Աղբյուր՝ 2335-Ն ՀՀ Կառավարության որոշում</t>
  </si>
  <si>
    <t>**https://www.expedia.com</t>
  </si>
  <si>
    <t>Փորձագետների աշխատանքի վարձատրություն/հոնորար</t>
  </si>
  <si>
    <t>սեդան մեքենա, 1 տարի</t>
  </si>
  <si>
    <t>էլեկտրոնային ռեսուրսների ստեղծում կամ արդիականացում</t>
  </si>
  <si>
    <t>«Հայաստանի Հանրապետության կառավարության 2006 թվականի օգոստոսի 3-ի թիվ 1543-Ն որոշման մեջ փոփոխություններ և լրացումներ կատարելու մասին» ՀՀ կառավարության որոշման նախագծի մշակում և ներկայացնում ՀՀ վարչապետի աշխատակազմ</t>
  </si>
  <si>
    <t>Կալանավորված անձանց և դատապարտյալների հետ սոցիալական, հոգեբանական և իրավական աշխատանքներ իրականացնող կառուցվածքային ստորաբաժանումների գործունեության կարգի արդյունավետության բարձրացում</t>
  </si>
  <si>
    <t>Քրեակատարողական համակարգում կոռուպցիայի դեմ պայքար</t>
  </si>
  <si>
    <t>Պատիժը կրելուց պայմանական վաղաժամկետ ազատման ինստիտուտի արդյունավետության ապահովում</t>
  </si>
  <si>
    <t>Քրեակատարողական ծառայության  և քրեակատարողական հիմնարկների կառավարման և գնահատման մոդելի արդիականացում</t>
  </si>
  <si>
    <t>Քրեակատարողական հիմնարկներում տնտեսվարման արդյունավետ մեխանիզմների ապահովում</t>
  </si>
  <si>
    <t xml:space="preserve">«Իրավախախտում կատարած անձանց գեղագիտական դաստիարակություն և կրթություն» ծրագրի շրջանակների ընդլայնում </t>
  </si>
  <si>
    <t>1000 մասնակցից ավելի հրապարակային միջոցառումների քանակ*</t>
  </si>
  <si>
    <t>Միջին կազմակերպվող տիպային դասընթաց</t>
  </si>
  <si>
    <t>մարդ</t>
  </si>
  <si>
    <t>Մասնակցության ցուցանիշ</t>
  </si>
  <si>
    <t>Արտապատվիրակված դասընթացներ</t>
  </si>
  <si>
    <t>Դատապարտյալների, այդ թվում՝ պատժի կրումից պայմանական վաղաժամկետ ազատման համար  դիմած դատապարտյալների համար ազատազրկման ժամկետը (կամ պատժի կրումից պայմանական վաղաժամկետ ազատման համար նախատեսված ժամկետը) լրանալուց առնվազն վեց ամիս առաջ մասնագիտական ուսուցման դասընթացների անցկացում</t>
  </si>
  <si>
    <t>Հեռավար արտապատվիրակված դասընթացներ</t>
  </si>
  <si>
    <t>Ուսումնական և մեթոդական նյութեր</t>
  </si>
  <si>
    <t>Ուսումնական և մեթոդական նյութեր 1 անձի համար</t>
  </si>
  <si>
    <t>Մասնակիցներ</t>
  </si>
  <si>
    <t>Ազատությունից զրկված անձանց ռիսկերի և կարիքների գնահատման գործիքի ներդնում</t>
  </si>
  <si>
    <t>Արտապատվիրակված էլեկտրոնային ռեսուրսների ստեղծման կամ արդիականացման նախագծեր</t>
  </si>
  <si>
    <t>Ընդհանուր նախագծի ամիսների քանակ</t>
  </si>
  <si>
    <t>Նախագծի ընդհանուր արժեք</t>
  </si>
  <si>
    <t>Բաշխում ըստ տարիների</t>
  </si>
  <si>
    <t>Ընդամենը արտապատվիրակված էլեկտրոնային ռեսուրսների ստեղծման կամ արդիականացման նախագծեր</t>
  </si>
  <si>
    <t>Ազատությունից զրկված անչափահասների կրթություն ստանալու իրավունքի շարունակականության ապահովում</t>
  </si>
  <si>
    <t>Առանց ժամանակի կորստի ազատությունից զրկված անձանց ըստ անհրաժեշտության դեղերի տրամադրման գործընթացի արդյունավետության բարձրացում</t>
  </si>
  <si>
    <t>Ազատությունից զրկված անձանց դիետիկ սննդով ապահովում</t>
  </si>
  <si>
    <t>Քրեակատարողական հիմնարկներում երկրորդային (հիվանդանոցային) բժշկական օգնության և սպասարկման տրամադրման պայմանների բարելավում</t>
  </si>
  <si>
    <t>Ազատությունից զրկված անչափահաս անձանց ռիսկերի և կարիքների գնահատման գործիքի ներդնում</t>
  </si>
  <si>
    <t>ՀՀ քրեակատարողական հիմնարկներում  արդի ինժեներատեխնիկական և անվտանգության ապահովման միջոցներով վերազինում</t>
  </si>
  <si>
    <t>«Արմավիր» ՔԿՀ-ում արդի ինժեներատեխնիկական և անվտանգության համակարգի ներդրման նախագծի մշակում և արժեքի հաշվարկման աշխատանքներ</t>
  </si>
  <si>
    <t>«Արմավիր» ՔԿՀ-ում արդի ինժեներատեխնիկական և անվտանգության համակարգի ներդրման աշխատանքներ, նախագծի արժեքի նախնական գնահատական</t>
  </si>
  <si>
    <t>Արտապատվիրակված անվտանգության և տեսահսկման համակարգերի ստեղծման կամ արդիականացման նախագծեր</t>
  </si>
  <si>
    <t>Բոլոր քրեակատարողական հիմնարկների համար արդի ինժեներա-տեխնիկական  միջոցների ձեռքբերում</t>
  </si>
  <si>
    <t>Քրեակատարողական համակարգում էլեկտրոնային կառավարման գործիքների կիրառման խթանում</t>
  </si>
  <si>
    <t xml:space="preserve"> E-penitentiary էլեկտրոնային կառավարման համակարգի փորձարկում</t>
  </si>
  <si>
    <t>E-penitentiary էլեկտրոնային կառավարման համակարգի կատարելագործում և արդիականացում</t>
  </si>
  <si>
    <t>E-penitentiary գործարկման համար անհրաժեշտ տեխնիկական սարքավորումները</t>
  </si>
  <si>
    <t>E-penitentiary համակարգի համակցում այլ գերատեսչությունների էլեկտրոնային կառավարման համակարգերի հետ</t>
  </si>
  <si>
    <t>1 հիմնարկի միջին աուդիտի գին, ներառյալ ԱԱՀ</t>
  </si>
  <si>
    <t>Հիմնարկների քանակ</t>
  </si>
  <si>
    <t>Կանխատեսվող քանակ</t>
  </si>
  <si>
    <t>Ֆիզիկական անձանց ստուգման սարքի գինը՝ 3-5մլն. ՀՀ դրամ</t>
  </si>
  <si>
    <t>Հանձնուքների ստուգման սարքի գինը՝ 13-16 մլն. ՀՀ դրամ</t>
  </si>
  <si>
    <t>Միավորի կանխատեսվող գին</t>
  </si>
  <si>
    <t xml:space="preserve">Ընտանիքում բռնության գործադրման համար դատապարտված անձանց հետ վերականգնողական աշխատանքների իրականացում </t>
  </si>
  <si>
    <t>Դանիա</t>
  </si>
  <si>
    <t>Շվեդիա, Ստոկհոլմ</t>
  </si>
  <si>
    <t>Շվեդիա, տարածք</t>
  </si>
  <si>
    <t>Նորվեգիա</t>
  </si>
  <si>
    <t>Մեծ Բրիտանիա, Լոնդոն</t>
  </si>
  <si>
    <t>Մեծ Բրիտանիա, տարածք</t>
  </si>
  <si>
    <t>Հոլանդիա</t>
  </si>
  <si>
    <t>ԱՄՆ, Վաշինգտոն</t>
  </si>
  <si>
    <t>ԱՄՆ, Նյու-Յորք</t>
  </si>
  <si>
    <t>ԱՄՆ, Լոս-Անջելես</t>
  </si>
  <si>
    <t>ԱՄՆ, տարածք</t>
  </si>
  <si>
    <t>Գերմանիա, Բերլին</t>
  </si>
  <si>
    <t>Գերմանիա, տարածք</t>
  </si>
  <si>
    <t>Լատվիա, Ռիգա</t>
  </si>
  <si>
    <t>Լատվիա, տարածք</t>
  </si>
  <si>
    <t>Վրաստան, Թբիլիսի</t>
  </si>
  <si>
    <t>Վրաստան, տարածք</t>
  </si>
  <si>
    <t>Ավիատոմս/գնացք**</t>
  </si>
  <si>
    <t>Վրաստանի համար ավիատոմսի փոխարեն հաշվարկվել է գնացքի տոմսի արժեքը, ոչ մայրաքաղաների («տարածք»)՝ ավիատումս + գնացքի համար հավելյալ գումար</t>
  </si>
  <si>
    <t>Քրեակատարողական հիմնարկների օպտիմալացում, շենքային պայմանների բարելավում</t>
  </si>
  <si>
    <t>Ազատությունից զրկված անձանց (դատապարտյալների և /կամ կալանավորված անձանց) համար առցանց-հեռավար կրթական հարթակի պատրաստում, որի միջոցով հնարավոր կլինի այդ անձանց համար իրականացնել ֆորմալ և ոչ ֆորմալ կրթություն</t>
  </si>
  <si>
    <t>Համակարգչային պարագաներ</t>
  </si>
  <si>
    <t>Միջին համակարգչային պարագա</t>
  </si>
  <si>
    <t>Պահպանման ծախսեր</t>
  </si>
  <si>
    <t>Ինտերներ կապ</t>
  </si>
  <si>
    <t>Ամսական միջին կանխատեսվող գին</t>
  </si>
  <si>
    <t>Սպիչների լիցքավորում</t>
  </si>
  <si>
    <t>Համակարգիչների սպասարկում</t>
  </si>
  <si>
    <t>Լսարանների պահպանման ծախսեր</t>
  </si>
  <si>
    <t>Հարթակի ստեղծման համար պարագաներ</t>
  </si>
  <si>
    <t>Համապատասխան առցանց-հեռավար կրթական հարթակի մոդելավորման (նախագծի) պատրաստում</t>
  </si>
  <si>
    <t>Առցանց-հեռավար կրթական հարթակի ստեղծում, նախնական առնվազն ոչ ֆորմալ կրթության երեք համապատասխան ուսումնական և թեստային նյութերի պատրաստում և հարթակի գործարկում (ներառյալ մեկ տարվա սպասարկումը)</t>
  </si>
  <si>
    <t>Ազատությունից զրկված անձանց (դատապարտյալների և /կամ  կալանավորված անձանց) համար հանրակրթության իրականացում՝ անկախ տարիքից</t>
  </si>
  <si>
    <t>Ազատությունից զրկված անձանց (դատապարտյալների և /կամ  կալանավորված անձանց) ազատազրկման ժամկետը լրանալուց  հետո սոցիալական-իրավական հարցերով աջակցության տրամադրում (Երևանում և այլ համայնքներում վերականգնողական կենտրոնների գործունեության մոդելով)</t>
  </si>
  <si>
    <t>Սոցիալական-իրավական հարցերով աջակցություն</t>
  </si>
  <si>
    <t>Ընդհանուր աջակցության գնահատված արժեք</t>
  </si>
  <si>
    <t>Պրոբացիայի շահառուների վերասոցիալականացմանն ուղղված թիրախավորված միջոցառումների և ծրագրերի իրականացում և մեթոդաբանության փոփոխություն</t>
  </si>
  <si>
    <t>Պրոբացիայի ծառայողների համար գործնական ուղեցույցների, ինչպես նաև Պրոբացիայի ծառայության անձնակազմի վերապատրաստման դասընթացների անցկացման մեթոդաբանության փոփոխություն և մեթոդական ձեռնարկի կիրառում</t>
  </si>
  <si>
    <t>Պրոբացիայի ծառայության գործունեության արդյունավետության բարձրացման համար օրենսդրական հիմքերի ամրագրում</t>
  </si>
  <si>
    <t>Պրոբացիայի ծառայության կարգավիճակի վերանայում, սոցիալական երաշխիքների նախատեսում</t>
  </si>
  <si>
    <t>Քրեակատարողական հիմնարկներում ազատությունից զրկված հաշմանդամություն ունեցող անձանց  պահման  մատչելի պայմանների ապահովմանն ուղղված միջոցառումների իրականացում</t>
  </si>
  <si>
    <t xml:space="preserve">ՔՀԿ-ներում հաշմանդամություն ունեցող ազատությունից զրկված անձանց համար մատչելի պայմանների ապահովում </t>
  </si>
  <si>
    <t>Թեքահարթակներ</t>
  </si>
  <si>
    <t>«Դատ.-ների հիվանդանոց»  ՔԿՀ</t>
  </si>
  <si>
    <t>«Երևան - Կենտրոն»   ՔԿՀ</t>
  </si>
  <si>
    <t>«Նուբարաշեն» ՔԿՀ</t>
  </si>
  <si>
    <t>«Վարդաշեն» ՔԿՀ</t>
  </si>
  <si>
    <t>«Աբովյան» ՔԿՀ</t>
  </si>
  <si>
    <t>«Հրազդան» ՔԿՀ</t>
  </si>
  <si>
    <t>«Սևան» ՔԿՀ</t>
  </si>
  <si>
    <t>«Կոշ» ՔԿՀ</t>
  </si>
  <si>
    <t>«Արթիկ»  ՔԿՀ</t>
  </si>
  <si>
    <t>«Վանաձոր» ՔԿՀ</t>
  </si>
  <si>
    <t>«Գորիս» ՔԿՀ</t>
  </si>
  <si>
    <t>«Արմավիր» ՔԿՀ</t>
  </si>
  <si>
    <t>Բազրիքներ</t>
  </si>
  <si>
    <t>Համապատասխան սանհանգույցներ</t>
  </si>
  <si>
    <t>Շին. աշխատանքներ</t>
  </si>
  <si>
    <t>Նախագիծ</t>
  </si>
  <si>
    <t>Նուբարաշեն</t>
  </si>
  <si>
    <t>Վանաձոր</t>
  </si>
  <si>
    <t>Վարդաշեն</t>
  </si>
  <si>
    <t>Գորիս</t>
  </si>
  <si>
    <t>Սևան</t>
  </si>
  <si>
    <t>Կոշ</t>
  </si>
  <si>
    <t>Արթիկ</t>
  </si>
  <si>
    <t>Դատապարտյալների հիվանդանոց</t>
  </si>
  <si>
    <t>Աբովյան</t>
  </si>
  <si>
    <t>Երևան-Կենտրոն</t>
  </si>
  <si>
    <t>Արմավիր</t>
  </si>
  <si>
    <t>Հրազդան</t>
  </si>
  <si>
    <t>Հաստիքների ընդհանուր թիվը</t>
  </si>
  <si>
    <t>Որից՝  ՍՀԻԱ բաժնի հաստիքների թիվը</t>
  </si>
  <si>
    <t>ՔԿԾ կենտրոնական մարմին</t>
  </si>
  <si>
    <t>Հաստիքների թիվը</t>
  </si>
  <si>
    <t>Շենքեր, շինություններ, շին. աշխատանքներ, նախագծում, նորոգում</t>
  </si>
  <si>
    <t>Ազատությունից զրկված և հատուկ պաշտպանության կարիք ունեցող անձանց իրավունքների երաշխավորում</t>
  </si>
  <si>
    <t>Քրեակատարողական հիմնարկներում մահվան, ինքնավնասման և ինքնասպանության դեպքերի կանխարգելում</t>
  </si>
  <si>
    <t>Ազատությունից զրկված անձանց տրամադրվող հոգեբանական ծառայության որակի բարձրացում</t>
  </si>
  <si>
    <t>Պրոբացիա</t>
  </si>
  <si>
    <t>Քրեակատարողական և Պրոբացիայի ծառայությունների արդյունավետ համագործակցության մեխանիզմների ներդնում</t>
  </si>
  <si>
    <t>Համակարգիչների լրակազմ</t>
  </si>
  <si>
    <t>Նույնականացման քարտ ընթերցող սարքեր</t>
  </si>
  <si>
    <t>12 ՔԿՀ և ՔԾ կենտրոնական մարմնի 5 ստորաբաժանումների համար անհրաժեշտ քանակ</t>
  </si>
  <si>
    <t>Մատնահետք վերցնելու սարքավորում</t>
  </si>
  <si>
    <t>2-ը՝ պահեստային</t>
  </si>
  <si>
    <t>12 ՔԿՀ համար անհրաժեշտ քանակ</t>
  </si>
  <si>
    <t>Շարժական տեսախցիկ՝ թվային լուսանկարահանման և տեսաձայնագրման հնարավորությամբ</t>
  </si>
  <si>
    <t xml:space="preserve">Սկաներ, տպիչ (բազմաֆունկցիոնալ տպիչ սարք MFP սերիայի) </t>
  </si>
  <si>
    <t>Տվյալների հավաքագրման կենտրոն (Data center)</t>
  </si>
  <si>
    <t xml:space="preserve">1-ը՝ պահուտային հավաքագրումն </t>
  </si>
  <si>
    <t>ապահովելու համար</t>
  </si>
  <si>
    <t>Անհրաժեշտ քանակ</t>
  </si>
  <si>
    <t>Համապատասխան ծավալի հիշողություն (storage)</t>
  </si>
  <si>
    <t>Անխափան սնուցման սարք (UPS) 5 կվ հզորությամբ, սերվերային սենյակում տեղադրված տեխնիկական միջոցների անխափան աշխատանքն ապահովելու համար</t>
  </si>
  <si>
    <t>Սերվերային պահարան (Rack)</t>
  </si>
  <si>
    <t>Օդորակիչներ՝ սերվերային սենյակում անհրաժեշտ ջերմաստիճան ապահովելու համար</t>
  </si>
  <si>
    <t>Սերվերային սենյակը կահավորելու համար*</t>
  </si>
  <si>
    <t>Կորպորատիվ ցանցի ստեղծում</t>
  </si>
  <si>
    <t>Քրեակատարողական ծառայողների սոցիալական պայմանների բարելավում</t>
  </si>
  <si>
    <t>Աշխատավարձային ֆոնդի աճ</t>
  </si>
  <si>
    <t>Հիմնական աշխատավարձի և լրավճարների ֆոնդի ավելացում 30%-ով</t>
  </si>
  <si>
    <t>ՀՀ ԱՆ ՔԿԾ Զինվորական ծառայողներ</t>
  </si>
  <si>
    <t>Պետության բեռը 28.5մլն դրամ արժեքով բնակարանների համար (յուրաքանչյուր տարում 40 բնակարանով ծրագրի կրկնման դեպքում)</t>
  </si>
  <si>
    <t>Սուբսիդիաներ՝ վարկի 3% չափով</t>
  </si>
  <si>
    <t>Եկամտային հարկի վերադարձ</t>
  </si>
  <si>
    <t>Կանխավճարի սուբսիդավորում</t>
  </si>
  <si>
    <t>«Մատչելի բնակարան» ծրագիր</t>
  </si>
  <si>
    <t>Երևան քաղաքի տարածքում, Սիլիկյան թաղամասում շուրջ 1200 լրակազմ ունեցող քրեակատարողական նոր հիմնարկի կառուցում</t>
  </si>
  <si>
    <t xml:space="preserve"> շինարարության համար</t>
  </si>
  <si>
    <t>նախագծանախահաշվային աշխատանքների համար</t>
  </si>
  <si>
    <t>ծախսերի բաշխում ըստ տարիների</t>
  </si>
  <si>
    <t xml:space="preserve"> «Երևան-Կենտրոն» քրեակատարողական հիմնարկի նոր համալիր հիմնարկի կառուցում</t>
  </si>
  <si>
    <t>«Հրազդան» քրեակատարողական հիմնարկի նոր համալիր հիմնարկի կառուցում «Սևան» քրեակատարողական հիմնարկի տարածքում</t>
  </si>
  <si>
    <t>նախահաշվային վերահաշվարկ</t>
  </si>
  <si>
    <t xml:space="preserve"> շինարարություն</t>
  </si>
  <si>
    <t>ՀՀ ԱՆ «Արմավիր» քրեակատարողական հիմնարկ</t>
  </si>
  <si>
    <t>«Արմավիր» քրեակատարողական հիմնարկում կիսաբաց ուղղիչ հիմնարկի կառուցում</t>
  </si>
  <si>
    <t xml:space="preserve"> «Գորիս» քրեակատարողական հիմնարկի նոր համալիրի կառուցում</t>
  </si>
  <si>
    <t>Ազատությունից զրկված անձանց արտաքին աշխարհի հետ կապի իրավունքի պատշաճ իրացման ապահովում</t>
  </si>
  <si>
    <t>Տրանսպորտային միջոցի ձեռքբերում</t>
  </si>
  <si>
    <t>Միկրոավտոբուսի կանխատեսվող գին</t>
  </si>
  <si>
    <t>Վարորդի տարեկան համախառն աշխատավարձ</t>
  </si>
  <si>
    <t>Ամսական համախառն աշխատավարձ</t>
  </si>
  <si>
    <t>Վառելիք և մեքենայի սպասարկում</t>
  </si>
  <si>
    <t>Մեքենայի սպասարկում</t>
  </si>
  <si>
    <t>Տարեկան ուղևորների քանակ</t>
  </si>
  <si>
    <t>2 ուղղությամբ վճարվող ուղևորավճար</t>
  </si>
  <si>
    <t>Պարտադիր վճարումներ</t>
  </si>
  <si>
    <t>100 կմ.-ի համար վառելիքի միջին ծախսի նորմ</t>
  </si>
  <si>
    <t>Վառելիքի միջին գին</t>
  </si>
  <si>
    <t>Օրական 2 ուղղությամբ երթերի քանակ</t>
  </si>
  <si>
    <t>Տարեկան 2 ուղղությամբ երթերի քանակ</t>
  </si>
  <si>
    <t>2 ուղղությամբ երթի երկարություն</t>
  </si>
  <si>
    <t>կմ.</t>
  </si>
  <si>
    <t>լ.</t>
  </si>
  <si>
    <t>Վառելիքի ծախս</t>
  </si>
  <si>
    <t>Ուղևորներից ստացված ուղևորավճարներ (տարեկան հասույթ)</t>
  </si>
  <si>
    <t>Սպասարկող կազմակերպության վարչական ծախսեր</t>
  </si>
  <si>
    <t>Ուղևորափոխադրում</t>
  </si>
  <si>
    <t>Արտապատվիրակված ողևորափոխադրում</t>
  </si>
  <si>
    <t>Արտապատվիրակված տրանսպորտային ծառայություն</t>
  </si>
  <si>
    <t>Ընդամենը արտապատվիրակված ուղևորափոխադրում</t>
  </si>
  <si>
    <t>Քրեակատարողական հիմնարկներում բժշկական ծառայության արդիականացում</t>
  </si>
  <si>
    <t>Պրոբացիայի շահառուի ռիսկի նախնական գնահատման գործիքի (proxy tool) ներդնում</t>
  </si>
  <si>
    <t>3 գործողությունների միջև ծախսի բաշխման բաժին</t>
  </si>
  <si>
    <t>Պրոբացիայի շահառուների ռիսկերի և կարիքների գնահատման գործիքի ներդնում</t>
  </si>
  <si>
    <t>Պրոբացիայի անչափահաս շահառուների ռիսկերի և կարիքների գնահատման գործիքի ներդնում</t>
  </si>
  <si>
    <t>Պրոբացիայի ծառայողներին պատիժը կրելուց պայմանական վաղաժամկետ ազատման վերաբերյալ զեկույցների կազմման համար (պրոբացիայի շահառուների բնակության վայր այցելություն, տուժողի հետ հանդիպում, այլ հաստատություններ այցելություններ և այլն) փոխհատուցման տրամադրման նախատեսում</t>
  </si>
  <si>
    <t>Պատիժը կրելուց պայմանական վաղաժամկետ ազատման վերաբերյալ զեկույցի տրամադրման համար գնահատման գործիքի ներդնում</t>
  </si>
  <si>
    <t>Միջազգային</t>
  </si>
  <si>
    <t>Տեղական 1</t>
  </si>
  <si>
    <t>Տեղական 2</t>
  </si>
  <si>
    <t>Դեղորայքի ֆոնդ</t>
  </si>
  <si>
    <t>Գրավոր նյութերի թարգմանություն</t>
  </si>
  <si>
    <t>Պահանջվող քանակ</t>
  </si>
  <si>
    <t>Սոնոգրաֆիա ստացիոնար</t>
  </si>
  <si>
    <t>Սոնոգրաֆիա շարժական</t>
  </si>
  <si>
    <t>Ռենտգեն թվային</t>
  </si>
  <si>
    <t>Վիրահատական սեղան</t>
  </si>
  <si>
    <t>LED լուսատու 2 սատելիտով</t>
  </si>
  <si>
    <t>Դեֆիբրիլիատոր</t>
  </si>
  <si>
    <t>Ազատությունից զրկված անձանց մասնագիտական կրթության նոր ծրագրերի ներդնում</t>
  </si>
  <si>
    <t>Դասընթաց 4. Մասնագիտական կրթության նոր ծրագրեր</t>
  </si>
  <si>
    <t>Գործողություն 22</t>
  </si>
  <si>
    <t>Գործողություն 34</t>
  </si>
  <si>
    <t>Գործողություն 24</t>
  </si>
  <si>
    <t>Գործողություն 25</t>
  </si>
  <si>
    <t>Գործողություն 27</t>
  </si>
  <si>
    <t>Գործողություն 21</t>
  </si>
  <si>
    <t>Օրական ուղևորների միջին քանակ</t>
  </si>
  <si>
    <t>Պրոբացիայի ծառայության գործունեության արդյունավետության բարձրացման համար տեխնիկական միջոցներով վերազինում</t>
  </si>
  <si>
    <t>Պրոբացիայի ծառայության կողմից էլեկտրոնային հսկողության համակարգի գործարկումմեթոդաբանության փոփոխություն և մեթոդական ձեռնարկի կիրառում</t>
  </si>
  <si>
    <t>Միավորի գին</t>
  </si>
  <si>
    <t>Էլ․ հսկողության սարքավորումներ, ձեռքբերում</t>
  </si>
  <si>
    <t>Սերվեր</t>
  </si>
  <si>
    <t>Ծրագիր</t>
  </si>
  <si>
    <t>Հսկողության կենտրոնի կահավորման համար անհրաժեշտ տեխնիկայի համալիր</t>
  </si>
  <si>
    <t>Սերվերն համացանցին կցելու ամսական գին</t>
  </si>
  <si>
    <t>Հսկողության կենտրոնը համացանցին կցելու գին</t>
  </si>
  <si>
    <t>Համակարգիչների և ծրագրի տեխնիկական սպասարկման ամսական գին</t>
  </si>
  <si>
    <t>Ամսական սպասարկման ծախսեր</t>
  </si>
  <si>
    <t>500 շահառու սպասարկող էլեկտրոնային հսկողության համակարգի ներդրում</t>
  </si>
  <si>
    <t>Սարքավորումներ և տեխնոլոգիաներ` 500 շահառու սպասարկող էլեկտրոնային հսկողության համակարգի ներդրում</t>
  </si>
  <si>
    <t xml:space="preserve"> 500 շահառու սպասարկող էլեկտրոնային հսկողության համակարգի սպասարկման ծախսեր</t>
  </si>
  <si>
    <t>Սերվերի ամսական սպասարկում</t>
  </si>
  <si>
    <t>Համակարգի սպասարկման ծախսեր</t>
  </si>
  <si>
    <t>Ընդամենը hամակարգի սպասարկման ծախսեր</t>
  </si>
  <si>
    <t>Էլեկտրոնային հսկողության համակարգը սպասարկող աշխատողների աշխատավարձ</t>
  </si>
  <si>
    <t>Աշխատողների քանակ</t>
  </si>
  <si>
    <t>Դասընթացների պրոբացիայի աշխատողների համար</t>
  </si>
  <si>
    <t>Վերապատրաստումներ դատավորների, դատախազների, փաստաբանների համար</t>
  </si>
  <si>
    <t>խումբ</t>
  </si>
  <si>
    <t>Համակարգի սպասարկում և պահպանում</t>
  </si>
  <si>
    <t>Ընդամենը համակարգի սպասարկում և պահպանում</t>
  </si>
  <si>
    <t>Համակարգի պահպանում և սպասարկում</t>
  </si>
  <si>
    <t>Ամսական ծախս</t>
  </si>
  <si>
    <t>*Համապատասխան շինարարական նորմերին համահունչ վերանորոգելու, ավտոմատ բաշխիչ համակարգով, հակահրդեհային և հրդեհաշիջման համակարգեր տեղադրելու, կահավորելու, և այլ անհրաժեշտ սարքավորումներով կահավորելու համար</t>
  </si>
  <si>
    <t>Կահավորում, վերանորոգում</t>
  </si>
  <si>
    <t>Ծառայողների տրանսպորտային ծախսերի փոխհատուցում</t>
  </si>
  <si>
    <t>միջին հաշվարկային փոխհատուցում</t>
  </si>
  <si>
    <t>փոխհատուցում ստացող ծառայողների քանակ</t>
  </si>
  <si>
    <t>Սայլակներ հաշմանդամների համար</t>
  </si>
  <si>
    <t>Լսողական սարքեր</t>
  </si>
  <si>
    <t xml:space="preserve">Բրայլյան </t>
  </si>
  <si>
    <t>Սարք աուդիոգիրք լսելու համար</t>
  </si>
  <si>
    <t>Ականջակալներ</t>
  </si>
  <si>
    <t>Սուրդոթարգմանչի ծառայություններ</t>
  </si>
  <si>
    <t>Մեկ օրվա թարգմանության կանխատեսվող արժեք</t>
  </si>
  <si>
    <t>Սոց. Փաթեթ</t>
  </si>
  <si>
    <t>Բժշկական ապահովագրության 1 օրվա արժեք 1 աշխատողի համար</t>
  </si>
  <si>
    <t>Ներառած աշխատողների քանակ</t>
  </si>
  <si>
    <t>Օրերի քանակ</t>
  </si>
  <si>
    <t>ՀՀ ԱՆ ՔԿՀ-ներում հոգեբանների աշխատավարձի ավելացում</t>
  </si>
  <si>
    <t>Աշխատավարձի ֆոնդի ավելացում 10%-ով</t>
  </si>
  <si>
    <t>Պրոբացիայի համակարգում էլեկտրոնային  կառավարման գործիքների կիրառման խթանում</t>
  </si>
  <si>
    <t>Հիմնական սերվեր</t>
  </si>
  <si>
    <t>Պահեստային/պահպանման սերվեր</t>
  </si>
  <si>
    <t>Համակարգիչներ (ներառյալ բոլոր պարագաները)</t>
  </si>
  <si>
    <t>Սկաներ (flatbed, ADF 10-ով)</t>
  </si>
  <si>
    <t>Ցանցային/անվտանգության սարքեր</t>
  </si>
  <si>
    <t>Անխափան սնուցման սարք UPS 5KW smart</t>
  </si>
  <si>
    <t>E-probation էլեկտրոնային կառավարման համակարգի գործարկման համար անհրաժեշտ տեխնիկական սարքավորումներ</t>
  </si>
  <si>
    <t>E-probation էլեկտրոնային կառավարման համակարգի ծրագրային ապահովման մշակում, իրականացում, փորձարկում և կատարելագործում</t>
  </si>
  <si>
    <t>Անչափահաս դատապարտյալների պահման պայմանների բարելավում</t>
  </si>
  <si>
    <t>Ավտոմեքենա 4, մարդատար ավտոմեքենա 2</t>
  </si>
  <si>
    <t>Տարածքների վարձակալություն</t>
  </si>
  <si>
    <t>Մարզկենտրոններում տեղակայված գրասենյակների քանակ</t>
  </si>
  <si>
    <t>Մարզկենտրոններում տեղակայված գրասենյակներ</t>
  </si>
  <si>
    <t>Գրասենյակների վարձակալության արժեք</t>
  </si>
  <si>
    <t>Մյուս գրասենյակներ (բացի Երևանից)</t>
  </si>
  <si>
    <t>Մարզկենտրոններում տեղակայված գրասենյակների ամսական վարձակալության արժեք</t>
  </si>
  <si>
    <t>Գրասենյակների քանակ</t>
  </si>
  <si>
    <t>մոտ 80-100 ք. մ.</t>
  </si>
  <si>
    <t>մոտ 30-40 ք. մ.</t>
  </si>
  <si>
    <t>1 մեքենայի տարեկան ծախսեր</t>
  </si>
  <si>
    <t>Նոր մեքենաների ծախսեր</t>
  </si>
  <si>
    <t>Տրանսպորտային ծախսեր, մեքենաների ծախսեր</t>
  </si>
  <si>
    <t>Ծառայության կենտրոնական մարմին մուտք գործելու անցագրային էլեկտրոնային սարք</t>
  </si>
  <si>
    <t>Սկաներ, տպիչ, պատճենահանող սարք (3-ը 1 ում), Canon MF 232</t>
  </si>
  <si>
    <t>Հեռախոս, Panasonic</t>
  </si>
  <si>
    <t>Արխիվի սենյակի կահավորում</t>
  </si>
  <si>
    <t>«Աբովյան» ՔԿՀ-ում անչափահաս դատապարտյալների կարիքներին  համապատասխանեցված ոչ բանտանման միջավայր ստեղծելու նպատակով  անչափահասների մասնաշենքի վերանորոգման, վերազինման և արդիականացման գնահատված խոշորացված արժեք</t>
  </si>
  <si>
    <t>Չհրկիզվող պահարաններ</t>
  </si>
  <si>
    <t>Ամսական արժեք</t>
  </si>
  <si>
    <t>Համացանց</t>
  </si>
  <si>
    <t>Գրասենյակներ</t>
  </si>
  <si>
    <t>Կոմունալ վճարներ, կապ</t>
  </si>
  <si>
    <t>Համազգեստ</t>
  </si>
  <si>
    <t>Արխիվացման ենթակա փաստաթղթերի ծավալ</t>
  </si>
  <si>
    <t>Զեկույցներ</t>
  </si>
  <si>
    <t>1 զեկույցի միջին ծավալ</t>
  </si>
  <si>
    <t>Զեկույցների կանխատեսվող տարեկան ծավալ</t>
  </si>
  <si>
    <t>Այլ փաստաթղթեր</t>
  </si>
  <si>
    <t>Օգտագործվող միջին թղթի խտություն</t>
  </si>
  <si>
    <t>գ/ք.մ.</t>
  </si>
  <si>
    <t>կգ</t>
  </si>
  <si>
    <t>Անհրաժեշտ պահպանման քաշ</t>
  </si>
  <si>
    <t>Անհրաժեշտ արկղերի տարեկան քանակ</t>
  </si>
  <si>
    <t xml:space="preserve">4 տարվա համար անհրաժեշտ պահարանների մակերես </t>
  </si>
  <si>
    <t>Պահուստային մակերես</t>
  </si>
  <si>
    <t xml:space="preserve">Պահարանի արժեք </t>
  </si>
  <si>
    <t>300 մմ х 220 մմ x 300 մմ արկղի տարողություն</t>
  </si>
  <si>
    <t>Արխիվացում</t>
  </si>
  <si>
    <t>Փաստաթղթերի նախաարխիվային մշակում և թղթապանակների կարում</t>
  </si>
  <si>
    <t>1 թղթապանակի մշակման կանխատեսվող գին</t>
  </si>
  <si>
    <t>«Քրեակատարողական գործ»  նախնական մասնագիտական (արհեստագործական) կրթության կազմակերպում</t>
  </si>
  <si>
    <t>Դասընթաց 8.  «Իրավագիտություն», միջին մասնագիտական կրթություն, 2 տարի, տարեկան վճար</t>
  </si>
  <si>
    <t>Գործողություն 17</t>
  </si>
  <si>
    <t>Դասընթաց 9.  Նախնական մասնագիտական (արհեստագործական) կրթության «քրեակատարողական գործ» մասնագիտությամբ, 6 ամիս, 900 ակ ժամ</t>
  </si>
  <si>
    <t>Դասընթացի արժեք 1 տարվա համար</t>
  </si>
  <si>
    <t>2 տարվա դաընթաց</t>
  </si>
  <si>
    <t>«Իրավագիտություն» միջին մասնագիտական կրթության կազմակերպում</t>
  </si>
  <si>
    <t xml:space="preserve">Նախնական մասնագիտական (արհեստագործական) կրթության «քրեակատարողական գործ» մասնագիտության կազմակերպում </t>
  </si>
  <si>
    <t>6 ամիս, 900 ակ ժամ</t>
  </si>
  <si>
    <t>Տեղական մեկ գործուղման միջին գնահատվող ծախս մեկ անձի համար*</t>
  </si>
  <si>
    <t>*Միայան տրանսպորտային ծախսեր, քանի որ գտնվում է ք. Աբովյանում</t>
  </si>
  <si>
    <t>ՔԿՀ-ներում ընդհանուր հաշմանդամների թիվը</t>
  </si>
  <si>
    <t>1 արկղի պարունակության միջին քաշ</t>
  </si>
  <si>
    <t>Արխիվային մետաղյա պահարաններ</t>
  </si>
  <si>
    <t>200 էջանոց</t>
  </si>
  <si>
    <t>Արխիվային թղթապանակների քանակ</t>
  </si>
  <si>
    <t>Ֆիզիկական անձանց ստուգման սարք</t>
  </si>
  <si>
    <t>Հանձնուքների ստուգման սարք</t>
  </si>
  <si>
    <t>Ազատությունից զրկված անձանց զբաղվածության ապահովում</t>
  </si>
  <si>
    <t>Ներգրավված տեղական փորձագետների վարձատրություն*</t>
  </si>
  <si>
    <t>Աշխատավարձ և պարգևատրումներ</t>
  </si>
  <si>
    <t>Գնումներ</t>
  </si>
  <si>
    <t>Կոմունալ ծախսեր</t>
  </si>
  <si>
    <t>Մոտավոր միջին տարեկան շրջանառություն, այդ թվում</t>
  </si>
  <si>
    <t>Քրեակատարողական համակարգի նախորդ 3 տարվա գործունեության ֆինանսական հաշվետովությունների արտաքին անկախ աուդիտ</t>
  </si>
  <si>
    <t>Քրեակատարողական համակարգի նախորդ 3 տարվա գնումների գործընթացների արտաքին անկախ աուդիտ</t>
  </si>
  <si>
    <t>Արտապատվիրակված ծառայություններ</t>
  </si>
  <si>
    <t>ՀՀ ԿԲ 2019 թ. հունվար-սեպտեմբեր միջին փոխարժեք</t>
  </si>
  <si>
    <t>2019 թվականի ապրիլի 1-ի դրությամբ</t>
  </si>
  <si>
    <t>ՔԿՀ-ներում պահվող անձանց քանակ</t>
  </si>
  <si>
    <t>Այլ նախագծեր</t>
  </si>
  <si>
    <t>Տվյալները յուրաքանչյուր էջում առանձին</t>
  </si>
  <si>
    <t>Միջազգային պարտավորությունների, Մարդու իրավունքների եվրոպական դատարանի վճիռների, Խոշտանգումների և անմարդկային կամ նվաստացնող վերաբերմունքի կամ պատժի կանխարգելման եվրոպական կոմիտեի (ԽԿԿ), ՀՀ Մարդու իրավունքների պաշտպանի զեկույցների, ՀՀ արդարադատության նախարարության քրեակատարողական հիմնարկներում և մարմիններում հասարակական վերահսկողություն իրականացնող հասարակական դիտորդների խմբի հաշվետվությունների,  հաշվառմամբ Քրեակատարողական նոր օրենսգրքի նախագծի մշակում</t>
  </si>
  <si>
    <t>ՊՐՈԲԱՑԻԱՅԻ ՈԼՈՐՏ</t>
  </si>
  <si>
    <t>ՔՐԵԱԿԱՏԱՐՈՂԱԿԱՆ ՈԼՈՐՏ</t>
  </si>
  <si>
    <t>ԸՆԴԱՄԵՆԸ ՊՐՈԲԱՑԻԱՅԻ ՈԼՈՐՏ</t>
  </si>
  <si>
    <t>«Արմավիր» քրեակատարողական հիմնարկի օդափոխության և օդորակման համակարգերի ներդնում</t>
  </si>
  <si>
    <t>Նախագծա-նախահաշվային աշխատանքներ</t>
  </si>
  <si>
    <t>«Արմավիր» քրեակատարողական հիմնարկում ստացիոնար հիվանդանոցի  կառուցում</t>
  </si>
  <si>
    <t>Հանրային իրազեկման բարձրացում, արդարադատության շղթայում ընդգրկված մարմինների միջև արդյունավետ համագործակցության ապահովում</t>
  </si>
  <si>
    <t>Տեսաֆիլմի ստեղծում</t>
  </si>
  <si>
    <t>Պրոբացիայի ոլորտի աշխատակազմի համալրում</t>
  </si>
  <si>
    <t>Գլխավոր մասնագետների ավելացող քանակ</t>
  </si>
  <si>
    <t>Գլխավոր մասնագետի տարեկան համախառն աշխատավարձ</t>
  </si>
  <si>
    <t>Առաջատար մասնագետների ավելացող քանակ</t>
  </si>
  <si>
    <t>Առաջատար մասնագետի տարեկան համախառն աշխատավարձ</t>
  </si>
  <si>
    <t>Աշխատակազմի համալրում</t>
  </si>
  <si>
    <t>Թրծավառարան</t>
  </si>
  <si>
    <t>լրակազմ</t>
  </si>
  <si>
    <t>Բրուտի անիվ</t>
  </si>
  <si>
    <t>Դասընթաց 7. Բժշկական անձնակազմի վերապատրաստում</t>
  </si>
  <si>
    <t>Դասընթաց 6. Հանրակրթության ապահովում</t>
  </si>
  <si>
    <t>Դասընթաց 5. Հանրակրթություն անկախ տարիքից</t>
  </si>
  <si>
    <t>Դասընթաց 3. Մասնագիտական կրթություն</t>
  </si>
  <si>
    <t>Դասընթաց 2. «գեղագիտական դաստիարակության  և կրթական ծրագրեր», 220 մասնակցի դեպքում</t>
  </si>
  <si>
    <t>Դասընթաց 1. «գեղագիտական դաստիարակության  և կրթական ծրագրեր», 110 մասնակցի դեպքում</t>
  </si>
  <si>
    <t>Դասավանդման ընդհանուր արժեք</t>
  </si>
  <si>
    <t>1 ակադեմիական ժամի արժեք</t>
  </si>
  <si>
    <t>Դասախոսների քանակ</t>
  </si>
  <si>
    <t>Ակադեմիական ժամեր</t>
  </si>
  <si>
    <t>Դասընթացի տևողություն</t>
  </si>
  <si>
    <t>Մասնակիցենրի քանակ</t>
  </si>
  <si>
    <t>Ունկնդիրների վերապատրաստաման ժամանակ կատարված ընթացիկ ծախսեր</t>
  </si>
  <si>
    <t>Ուսուցման համար անհրաժեշտ նյութեր և պարագաներ</t>
  </si>
  <si>
    <t>Հիգիենիկ պարագաներ</t>
  </si>
  <si>
    <t>Մասնակիցների սննդի ծախսեր</t>
  </si>
  <si>
    <t>Դասընթացավարների ուսուցման ծախսեր</t>
  </si>
  <si>
    <t>Էներգետիկ և կոմունալ ծախսեր (այդ թվում դասընթացի ժամանակ իրականացված)</t>
  </si>
  <si>
    <t>Դասընթացավարների ուսուցում</t>
  </si>
  <si>
    <t>Մասնակիցների քանակ</t>
  </si>
  <si>
    <t>ՀԱՆՐԱՅԻՆ ԻՐԱԶԵԿՈՒՄ</t>
  </si>
  <si>
    <t>ԸՆԴԱՄԵՆԸ ՀԱՆՐԱՅԻՆ ԻՐԱԶԵԿՈՒՄ</t>
  </si>
  <si>
    <t>ԸՆԴԱՄԵՆԸ ՔՐԵԱԿԱՏԱՐՈՂԱԿԱՆ ՈԼՈՐՏ</t>
  </si>
  <si>
    <t>Տեղական փորձագետների միջին ներգրավման ծավալ*</t>
  </si>
  <si>
    <t>*Ֆոնդահայթայթման և գործարար կապերի կառուցման մասնագետ</t>
  </si>
  <si>
    <t>*Առաջարկվում է կազմակերպել 1 ցուցահանդես դասընթացներին մասնակցած անձանց ստեղծագործությունների ցուցադրման համար, որը կխթանի մասնակցությունը</t>
  </si>
  <si>
    <t>Համապատասխան առցանց-հեռավար կրթական հարթակի պատրաստման և համապատասխան սարքավորումների ու անհրաժեշտ այլ պարագաների ձեռք բերման (տեսախցիկներ, համապատասխան մալուխներ, սերվերներ (սերվերային տարածքներ) և այլ պարագաներ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</si>
</sst>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 #,##0.00_-;_-* &quot;-&quot;??_-;_-@_-"/>
    <numFmt numFmtId="164" formatCode="yyyy"/>
    <numFmt numFmtId="165" formatCode="_-* #,##0.0_-;\-* #,##0.0_-;_-* &quot;-&quot;??_-;_-@_-"/>
    <numFmt numFmtId="166" formatCode="0.0000"/>
    <numFmt numFmtId="167" formatCode="0.0%"/>
    <numFmt numFmtId="168" formatCode="_-* #,##0.000_-;\-* #,##0.000_-;_-* &quot;-&quot;??_-;_-@_-"/>
    <numFmt numFmtId="169" formatCode="_(* #,##0.00_);_(* \(#,##0.00\);_(* &quot;-&quot;??_);_(@_)"/>
    <numFmt numFmtId="170" formatCode="_-* #,##0_-;\-* #,##0_-;_-* &quot;-&quot;??_-;_-@_-"/>
    <numFmt numFmtId="171" formatCode="_-* #,##0.0_-;\-* #,##0.0_-;_-* &quot;-&quot;?_-;_-@_-"/>
    <numFmt numFmtId="172" formatCode="_-* #,##0.00000000_-;\-* #,##0.00000000_-;_-* &quot;-&quot;??_-;_-@_-"/>
    <numFmt numFmtId="173" formatCode="_-* #,##0.00000_-;\-* #,##0.00000_-;_-* &quot;-&quot;??_-;_-@_-"/>
  </numFmts>
  <fonts count="26" x14ac:knownFonts="1">
    <font>
      <sz val="11"/>
      <color theme="1"/>
      <name val="Calibri"/>
      <family val="2"/>
      <scheme val="minor"/>
    </font>
    <font>
      <sz val="11"/>
      <color theme="1"/>
      <name val="Calibri"/>
      <family val="2"/>
      <scheme val="minor"/>
    </font>
    <font>
      <sz val="9"/>
      <color theme="1"/>
      <name val="GHEA Grapalat"/>
      <family val="3"/>
    </font>
    <font>
      <b/>
      <sz val="9"/>
      <name val="GHEA Grapalat"/>
      <family val="3"/>
    </font>
    <font>
      <sz val="9"/>
      <name val="GHEA Grapalat"/>
      <family val="3"/>
    </font>
    <font>
      <b/>
      <sz val="9"/>
      <color theme="1"/>
      <name val="GHEA Grapalat"/>
      <family val="3"/>
    </font>
    <font>
      <i/>
      <sz val="9"/>
      <color theme="1"/>
      <name val="GHEA Grapalat"/>
      <family val="3"/>
    </font>
    <font>
      <sz val="9"/>
      <color rgb="FFFF0000"/>
      <name val="GHEA Grapalat"/>
      <family val="3"/>
    </font>
    <font>
      <b/>
      <sz val="9"/>
      <color rgb="FFFF0000"/>
      <name val="GHEA Grapalat"/>
      <family val="3"/>
    </font>
    <font>
      <i/>
      <sz val="9"/>
      <name val="GHEA Grapalat"/>
      <family val="3"/>
    </font>
    <font>
      <i/>
      <sz val="9"/>
      <color rgb="FFFF0000"/>
      <name val="GHEA Grapalat"/>
      <family val="3"/>
    </font>
    <font>
      <b/>
      <sz val="12"/>
      <color theme="1"/>
      <name val="GHEA Grapalat"/>
      <family val="3"/>
    </font>
    <font>
      <sz val="14"/>
      <color theme="1"/>
      <name val="GHEA Grapalat"/>
      <family val="3"/>
    </font>
    <font>
      <sz val="12"/>
      <color theme="1"/>
      <name val="GHEA Grapalat"/>
      <family val="3"/>
    </font>
    <font>
      <b/>
      <i/>
      <sz val="10"/>
      <name val="GHEA Grapalat"/>
      <family val="3"/>
    </font>
    <font>
      <sz val="11"/>
      <color theme="1"/>
      <name val="Calibri"/>
      <family val="2"/>
      <charset val="1"/>
      <scheme val="minor"/>
    </font>
    <font>
      <b/>
      <sz val="14"/>
      <name val="GHEA Grapalat"/>
      <family val="3"/>
    </font>
    <font>
      <sz val="11"/>
      <color theme="1"/>
      <name val="GHEA Grapalat"/>
      <family val="3"/>
    </font>
    <font>
      <b/>
      <sz val="11"/>
      <color theme="1"/>
      <name val="GHEA Grapalat"/>
      <family val="3"/>
    </font>
    <font>
      <sz val="11"/>
      <name val="GHEA Grapalat"/>
      <family val="3"/>
    </font>
    <font>
      <b/>
      <sz val="11"/>
      <name val="GHEA Grapalat"/>
      <family val="3"/>
    </font>
    <font>
      <sz val="12"/>
      <color rgb="FFFF0000"/>
      <name val="GHEA Grapalat"/>
      <family val="3"/>
    </font>
    <font>
      <b/>
      <sz val="12"/>
      <name val="GHEA Grapalat"/>
      <family val="3"/>
    </font>
    <font>
      <sz val="9"/>
      <color rgb="FF0070C0"/>
      <name val="GHEA Grapalat"/>
      <family val="3"/>
    </font>
    <font>
      <sz val="9"/>
      <color theme="1"/>
      <name val="Calibri"/>
      <family val="2"/>
      <scheme val="minor"/>
    </font>
    <font>
      <sz val="12"/>
      <color theme="1"/>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C000"/>
        <bgColor indexed="64"/>
      </patternFill>
    </fill>
  </fills>
  <borders count="8">
    <border>
      <left/>
      <right/>
      <top/>
      <bottom/>
      <diagonal/>
    </border>
    <border>
      <left/>
      <right/>
      <top style="thin">
        <color indexed="64"/>
      </top>
      <bottom style="medium">
        <color indexed="64"/>
      </bottom>
      <diagonal/>
    </border>
    <border>
      <left/>
      <right/>
      <top style="thin">
        <color indexed="64"/>
      </top>
      <bottom/>
      <diagonal/>
    </border>
    <border>
      <left style="thin">
        <color auto="1"/>
      </left>
      <right style="thin">
        <color auto="1"/>
      </right>
      <top style="thin">
        <color auto="1"/>
      </top>
      <bottom style="thin">
        <color auto="1"/>
      </bottom>
      <diagonal/>
    </border>
    <border>
      <left/>
      <right/>
      <top style="thick">
        <color rgb="FFF6BB00"/>
      </top>
      <bottom/>
      <diagonal/>
    </border>
    <border>
      <left style="thin">
        <color auto="1"/>
      </left>
      <right style="thin">
        <color auto="1"/>
      </right>
      <top style="thin">
        <color indexed="64"/>
      </top>
      <bottom style="medium">
        <color indexed="64"/>
      </bottom>
      <diagonal/>
    </border>
    <border>
      <left style="thin">
        <color auto="1"/>
      </left>
      <right style="thin">
        <color auto="1"/>
      </right>
      <top/>
      <bottom style="thin">
        <color auto="1"/>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15" fillId="0" borderId="0"/>
    <xf numFmtId="169" fontId="1" fillId="0" borderId="0" applyFont="0" applyFill="0" applyBorder="0" applyAlignment="0" applyProtection="0"/>
  </cellStyleXfs>
  <cellXfs count="243">
    <xf numFmtId="0" fontId="0" fillId="0" borderId="0" xfId="0"/>
    <xf numFmtId="0" fontId="4" fillId="0" borderId="0" xfId="0" applyFont="1" applyBorder="1" applyAlignment="1">
      <alignment horizontal="left" vertical="center" indent="2"/>
    </xf>
    <xf numFmtId="0" fontId="2" fillId="0" borderId="0" xfId="0" applyFont="1" applyBorder="1" applyAlignment="1">
      <alignment horizontal="left" vertical="center" indent="2"/>
    </xf>
    <xf numFmtId="0" fontId="2" fillId="0" borderId="0" xfId="0" applyFont="1" applyFill="1" applyBorder="1" applyAlignment="1">
      <alignment horizontal="left" vertical="center" indent="2"/>
    </xf>
    <xf numFmtId="0" fontId="4" fillId="0" borderId="0" xfId="0" applyFont="1" applyBorder="1" applyAlignment="1">
      <alignment horizontal="center" vertical="center"/>
    </xf>
    <xf numFmtId="0" fontId="2" fillId="0" borderId="0" xfId="0" applyFont="1" applyBorder="1"/>
    <xf numFmtId="0" fontId="2" fillId="0" borderId="0" xfId="0" applyFont="1"/>
    <xf numFmtId="165" fontId="2" fillId="0" borderId="0" xfId="1" applyNumberFormat="1" applyFont="1" applyBorder="1"/>
    <xf numFmtId="165" fontId="2" fillId="0" borderId="0" xfId="1" applyNumberFormat="1" applyFont="1"/>
    <xf numFmtId="0" fontId="6" fillId="0" borderId="0" xfId="0" applyFont="1" applyBorder="1" applyAlignment="1">
      <alignment horizontal="right"/>
    </xf>
    <xf numFmtId="0" fontId="2" fillId="0" borderId="0" xfId="0" applyFont="1" applyFill="1" applyBorder="1"/>
    <xf numFmtId="165" fontId="2" fillId="0" borderId="0" xfId="1" applyNumberFormat="1" applyFont="1" applyAlignment="1">
      <alignment horizontal="centerContinuous"/>
    </xf>
    <xf numFmtId="0" fontId="2" fillId="0" borderId="0" xfId="0" applyFont="1" applyFill="1"/>
    <xf numFmtId="0" fontId="5" fillId="0" borderId="1" xfId="0" applyFont="1" applyBorder="1"/>
    <xf numFmtId="0" fontId="2" fillId="0" borderId="0" xfId="0" applyFont="1" applyAlignment="1">
      <alignment horizontal="center"/>
    </xf>
    <xf numFmtId="0" fontId="5" fillId="2" borderId="0" xfId="0" applyFont="1" applyFill="1" applyBorder="1"/>
    <xf numFmtId="0" fontId="2" fillId="0" borderId="0" xfId="0" applyFont="1" applyBorder="1" applyAlignment="1">
      <alignment horizontal="left" indent="1"/>
    </xf>
    <xf numFmtId="0" fontId="5" fillId="0" borderId="0" xfId="0" applyFont="1" applyBorder="1" applyAlignment="1">
      <alignment horizontal="left" indent="1"/>
    </xf>
    <xf numFmtId="0" fontId="2" fillId="0" borderId="0" xfId="0" applyFont="1" applyFill="1" applyBorder="1" applyAlignment="1">
      <alignment horizontal="left" indent="1"/>
    </xf>
    <xf numFmtId="0" fontId="7" fillId="0" borderId="0" xfId="0" applyFont="1" applyBorder="1" applyAlignment="1">
      <alignment horizontal="left" indent="1"/>
    </xf>
    <xf numFmtId="0" fontId="5" fillId="0" borderId="0" xfId="0" applyFont="1" applyBorder="1" applyAlignment="1">
      <alignment horizontal="centerContinuous"/>
    </xf>
    <xf numFmtId="164" fontId="2" fillId="0" borderId="0" xfId="0" applyNumberFormat="1" applyFont="1" applyAlignment="1">
      <alignment horizontal="centerContinuous"/>
    </xf>
    <xf numFmtId="0" fontId="5" fillId="0" borderId="0" xfId="0" applyFont="1" applyBorder="1" applyAlignment="1">
      <alignment horizontal="left" wrapText="1" indent="1"/>
    </xf>
    <xf numFmtId="0" fontId="5" fillId="3" borderId="0" xfId="0" applyFont="1" applyFill="1" applyBorder="1" applyAlignment="1">
      <alignment horizontal="left" wrapText="1" indent="1"/>
    </xf>
    <xf numFmtId="0" fontId="5" fillId="2" borderId="0" xfId="0" applyFont="1" applyFill="1" applyBorder="1" applyAlignment="1">
      <alignment horizontal="left" indent="1"/>
    </xf>
    <xf numFmtId="0" fontId="2" fillId="0" borderId="0" xfId="0" applyFont="1" applyBorder="1" applyAlignment="1">
      <alignment horizontal="left" vertical="center" wrapText="1" indent="2"/>
    </xf>
    <xf numFmtId="0" fontId="2" fillId="0" borderId="0" xfId="0" applyFont="1" applyFill="1" applyBorder="1" applyAlignment="1">
      <alignment horizontal="left" vertical="center" wrapText="1" indent="2"/>
    </xf>
    <xf numFmtId="165" fontId="7" fillId="0" borderId="0" xfId="1" applyNumberFormat="1" applyFont="1" applyAlignment="1">
      <alignment horizontal="centerContinuous"/>
    </xf>
    <xf numFmtId="165" fontId="7" fillId="0" borderId="0" xfId="1" applyNumberFormat="1" applyFont="1"/>
    <xf numFmtId="165" fontId="7" fillId="2" borderId="0" xfId="1" applyNumberFormat="1" applyFont="1" applyFill="1"/>
    <xf numFmtId="166" fontId="2" fillId="0" borderId="0" xfId="0" applyNumberFormat="1" applyFont="1"/>
    <xf numFmtId="165" fontId="5" fillId="0" borderId="0" xfId="1" applyNumberFormat="1" applyFont="1" applyBorder="1" applyAlignment="1">
      <alignment horizontal="left" indent="1"/>
    </xf>
    <xf numFmtId="167" fontId="2" fillId="0" borderId="0" xfId="2" applyNumberFormat="1" applyFont="1"/>
    <xf numFmtId="165" fontId="7" fillId="0" borderId="0" xfId="1" applyNumberFormat="1" applyFont="1" applyBorder="1"/>
    <xf numFmtId="9" fontId="7" fillId="0" borderId="0" xfId="2" applyFont="1" applyBorder="1"/>
    <xf numFmtId="0" fontId="7" fillId="0" borderId="0" xfId="0" applyFont="1"/>
    <xf numFmtId="0" fontId="2" fillId="2" borderId="0" xfId="0" applyFont="1" applyFill="1"/>
    <xf numFmtId="9" fontId="4" fillId="0" borderId="0" xfId="2" applyFont="1"/>
    <xf numFmtId="165" fontId="4" fillId="0" borderId="0" xfId="1" applyNumberFormat="1" applyFont="1"/>
    <xf numFmtId="0" fontId="6" fillId="0" borderId="0" xfId="0" applyFont="1" applyFill="1" applyBorder="1" applyAlignment="1">
      <alignment horizontal="right"/>
    </xf>
    <xf numFmtId="0" fontId="6" fillId="0" borderId="0" xfId="0" applyFont="1" applyBorder="1"/>
    <xf numFmtId="0" fontId="9" fillId="0" borderId="0" xfId="0" applyFont="1" applyBorder="1" applyAlignment="1">
      <alignment horizontal="right" vertical="center" indent="2"/>
    </xf>
    <xf numFmtId="0" fontId="6" fillId="0" borderId="0" xfId="0" applyFont="1"/>
    <xf numFmtId="165" fontId="6" fillId="0" borderId="0" xfId="1" applyNumberFormat="1" applyFont="1" applyBorder="1"/>
    <xf numFmtId="165" fontId="4" fillId="0" borderId="0" xfId="1" applyNumberFormat="1" applyFont="1" applyBorder="1"/>
    <xf numFmtId="9" fontId="4" fillId="0" borderId="0" xfId="2" applyFont="1" applyBorder="1"/>
    <xf numFmtId="165" fontId="4" fillId="0" borderId="0" xfId="1" applyNumberFormat="1" applyFont="1" applyFill="1" applyBorder="1"/>
    <xf numFmtId="165" fontId="3" fillId="0" borderId="1" xfId="1" applyNumberFormat="1" applyFont="1" applyBorder="1"/>
    <xf numFmtId="0" fontId="5" fillId="3" borderId="1" xfId="0" applyFont="1" applyFill="1" applyBorder="1"/>
    <xf numFmtId="165" fontId="3" fillId="3" borderId="1" xfId="1" applyNumberFormat="1" applyFont="1" applyFill="1" applyBorder="1"/>
    <xf numFmtId="0" fontId="2" fillId="0" borderId="2" xfId="0" applyFont="1" applyBorder="1"/>
    <xf numFmtId="165" fontId="7" fillId="0" borderId="2" xfId="1" applyNumberFormat="1" applyFont="1" applyBorder="1"/>
    <xf numFmtId="165" fontId="4" fillId="0" borderId="2" xfId="1" applyNumberFormat="1" applyFont="1" applyBorder="1"/>
    <xf numFmtId="165" fontId="3" fillId="2" borderId="0" xfId="1" applyNumberFormat="1" applyFont="1" applyFill="1" applyBorder="1"/>
    <xf numFmtId="165" fontId="3" fillId="2" borderId="0" xfId="1" applyNumberFormat="1" applyFont="1" applyFill="1"/>
    <xf numFmtId="0" fontId="9" fillId="0" borderId="0" xfId="0" applyFont="1" applyBorder="1" applyAlignment="1">
      <alignment horizontal="left" vertical="center" indent="2"/>
    </xf>
    <xf numFmtId="0" fontId="6" fillId="0" borderId="0" xfId="0" applyFont="1" applyBorder="1" applyAlignment="1">
      <alignment horizontal="right" indent="1"/>
    </xf>
    <xf numFmtId="164" fontId="6" fillId="0" borderId="0" xfId="0" applyNumberFormat="1" applyFont="1" applyAlignment="1">
      <alignment horizontal="left"/>
    </xf>
    <xf numFmtId="0" fontId="6" fillId="0" borderId="0" xfId="0" applyFont="1" applyFill="1" applyBorder="1" applyAlignment="1">
      <alignment horizontal="right" vertical="center" indent="2"/>
    </xf>
    <xf numFmtId="0" fontId="6" fillId="0" borderId="0" xfId="0" applyFont="1" applyFill="1" applyBorder="1" applyAlignment="1">
      <alignment horizontal="right" vertical="center" wrapText="1" indent="2"/>
    </xf>
    <xf numFmtId="168" fontId="4" fillId="0" borderId="0" xfId="1" applyNumberFormat="1" applyFont="1" applyBorder="1"/>
    <xf numFmtId="0" fontId="4" fillId="0" borderId="0" xfId="0" applyFont="1" applyFill="1"/>
    <xf numFmtId="0" fontId="4" fillId="0" borderId="0" xfId="0" applyFont="1"/>
    <xf numFmtId="0" fontId="9" fillId="0" borderId="0" xfId="0" applyFont="1" applyBorder="1" applyAlignment="1">
      <alignment horizontal="right" vertical="center" wrapText="1" indent="2"/>
    </xf>
    <xf numFmtId="168" fontId="7" fillId="0" borderId="0" xfId="1" applyNumberFormat="1" applyFont="1" applyBorder="1"/>
    <xf numFmtId="43" fontId="4" fillId="0" borderId="0" xfId="1" applyNumberFormat="1" applyFont="1" applyBorder="1"/>
    <xf numFmtId="0" fontId="2" fillId="0" borderId="0" xfId="0" applyFont="1" applyBorder="1" applyAlignment="1">
      <alignment wrapText="1"/>
    </xf>
    <xf numFmtId="0" fontId="2" fillId="0" borderId="0" xfId="0" applyFont="1" applyAlignment="1">
      <alignment wrapText="1"/>
    </xf>
    <xf numFmtId="0" fontId="5" fillId="3" borderId="0" xfId="0" applyFont="1" applyFill="1" applyAlignment="1">
      <alignment horizontal="center" vertical="top" wrapText="1"/>
    </xf>
    <xf numFmtId="165" fontId="5" fillId="3" borderId="0" xfId="1" applyNumberFormat="1" applyFont="1" applyFill="1" applyAlignment="1">
      <alignment horizontal="center" vertical="top" wrapText="1"/>
    </xf>
    <xf numFmtId="0" fontId="2" fillId="0" borderId="0" xfId="0" applyFont="1" applyAlignment="1">
      <alignment horizontal="centerContinuous"/>
    </xf>
    <xf numFmtId="165" fontId="9" fillId="0" borderId="0" xfId="1" applyNumberFormat="1" applyFont="1" applyBorder="1"/>
    <xf numFmtId="165" fontId="9" fillId="0" borderId="0" xfId="1" applyNumberFormat="1" applyFont="1"/>
    <xf numFmtId="0" fontId="4" fillId="0" borderId="0" xfId="0" applyFont="1" applyBorder="1"/>
    <xf numFmtId="0" fontId="4" fillId="0" borderId="0" xfId="0" applyFont="1" applyAlignment="1">
      <alignment horizontal="center"/>
    </xf>
    <xf numFmtId="0" fontId="9" fillId="0" borderId="0" xfId="0" applyFont="1"/>
    <xf numFmtId="0" fontId="2" fillId="0" borderId="0" xfId="0" applyFont="1" applyBorder="1" applyAlignment="1">
      <alignment horizontal="left" wrapText="1"/>
    </xf>
    <xf numFmtId="0" fontId="7" fillId="0" borderId="0" xfId="0" applyFont="1" applyBorder="1"/>
    <xf numFmtId="0" fontId="4" fillId="0" borderId="0" xfId="0" applyFont="1" applyFill="1" applyBorder="1" applyAlignment="1">
      <alignment horizontal="left" indent="1"/>
    </xf>
    <xf numFmtId="0" fontId="3" fillId="2" borderId="0" xfId="0" applyFont="1" applyFill="1" applyBorder="1" applyAlignment="1">
      <alignment horizontal="left" indent="1"/>
    </xf>
    <xf numFmtId="0" fontId="2" fillId="4" borderId="0" xfId="0" applyFont="1" applyFill="1" applyBorder="1" applyAlignment="1">
      <alignment horizontal="center"/>
    </xf>
    <xf numFmtId="0" fontId="5" fillId="4" borderId="0" xfId="0" applyFont="1" applyFill="1" applyBorder="1" applyAlignment="1">
      <alignment horizontal="center"/>
    </xf>
    <xf numFmtId="165" fontId="3" fillId="4" borderId="0" xfId="1" applyNumberFormat="1" applyFont="1" applyFill="1" applyBorder="1" applyAlignment="1">
      <alignment horizontal="center"/>
    </xf>
    <xf numFmtId="164" fontId="3" fillId="4" borderId="0" xfId="0" applyNumberFormat="1" applyFont="1" applyFill="1" applyAlignment="1">
      <alignment horizontal="center"/>
    </xf>
    <xf numFmtId="165" fontId="2" fillId="0" borderId="0" xfId="1" applyNumberFormat="1" applyFont="1" applyAlignment="1">
      <alignment horizontal="center"/>
    </xf>
    <xf numFmtId="0" fontId="11" fillId="0" borderId="0" xfId="0" applyFont="1" applyBorder="1" applyAlignment="1">
      <alignment horizontal="left" vertical="center" wrapText="1"/>
    </xf>
    <xf numFmtId="0" fontId="13" fillId="0" borderId="0" xfId="0" applyFont="1"/>
    <xf numFmtId="165" fontId="12" fillId="0" borderId="0" xfId="1" applyNumberFormat="1" applyFont="1" applyAlignment="1">
      <alignment horizontal="centerContinuous"/>
    </xf>
    <xf numFmtId="0" fontId="14" fillId="0" borderId="0" xfId="0" applyFont="1" applyBorder="1" applyAlignment="1">
      <alignment horizontal="centerContinuous" wrapText="1"/>
    </xf>
    <xf numFmtId="0" fontId="5" fillId="0" borderId="0" xfId="0" applyFont="1" applyAlignment="1">
      <alignment horizontal="centerContinuous"/>
    </xf>
    <xf numFmtId="0" fontId="5" fillId="0" borderId="0" xfId="0" applyFont="1" applyAlignment="1">
      <alignment horizontal="center" vertical="center" wrapText="1"/>
    </xf>
    <xf numFmtId="0" fontId="5" fillId="0" borderId="3" xfId="0" applyFont="1" applyBorder="1" applyAlignment="1">
      <alignment horizontal="center" vertical="center" wrapText="1"/>
    </xf>
    <xf numFmtId="0" fontId="5" fillId="3" borderId="3" xfId="0" applyFont="1" applyFill="1" applyBorder="1" applyAlignment="1">
      <alignment horizontal="center"/>
    </xf>
    <xf numFmtId="0" fontId="2" fillId="3" borderId="3" xfId="0" applyFont="1" applyFill="1" applyBorder="1"/>
    <xf numFmtId="0" fontId="2" fillId="0" borderId="3" xfId="0" applyFont="1" applyBorder="1"/>
    <xf numFmtId="0" fontId="2" fillId="0" borderId="3" xfId="0" applyFont="1" applyFill="1" applyBorder="1"/>
    <xf numFmtId="0" fontId="6" fillId="0" borderId="3" xfId="0" applyFont="1" applyBorder="1" applyAlignment="1">
      <alignment horizontal="right"/>
    </xf>
    <xf numFmtId="0" fontId="6" fillId="0" borderId="3" xfId="0" applyFont="1" applyBorder="1"/>
    <xf numFmtId="165" fontId="9" fillId="0" borderId="3" xfId="1" applyNumberFormat="1" applyFont="1" applyBorder="1"/>
    <xf numFmtId="165" fontId="2" fillId="0" borderId="3" xfId="1" applyNumberFormat="1" applyFont="1" applyBorder="1"/>
    <xf numFmtId="165" fontId="6" fillId="0" borderId="3" xfId="1" applyNumberFormat="1" applyFont="1" applyBorder="1"/>
    <xf numFmtId="0" fontId="9" fillId="0" borderId="3" xfId="0" applyFont="1" applyBorder="1"/>
    <xf numFmtId="0" fontId="4" fillId="0" borderId="3" xfId="0" applyFont="1" applyBorder="1"/>
    <xf numFmtId="0" fontId="5" fillId="5" borderId="0" xfId="0" applyFont="1" applyFill="1"/>
    <xf numFmtId="165" fontId="5" fillId="5" borderId="0" xfId="0" applyNumberFormat="1" applyFont="1" applyFill="1"/>
    <xf numFmtId="165" fontId="4" fillId="0" borderId="0" xfId="1" applyNumberFormat="1" applyFont="1" applyFill="1"/>
    <xf numFmtId="165" fontId="9" fillId="0" borderId="0" xfId="1" applyNumberFormat="1" applyFont="1" applyFill="1"/>
    <xf numFmtId="165" fontId="3" fillId="0" borderId="0" xfId="1" applyNumberFormat="1" applyFont="1" applyBorder="1" applyAlignment="1">
      <alignment horizontal="left" indent="1"/>
    </xf>
    <xf numFmtId="0" fontId="5" fillId="5" borderId="0" xfId="0" applyFont="1" applyFill="1" applyBorder="1" applyAlignment="1">
      <alignment horizontal="left" indent="1"/>
    </xf>
    <xf numFmtId="0" fontId="5" fillId="5" borderId="0" xfId="0" applyFont="1" applyFill="1" applyBorder="1" applyAlignment="1">
      <alignment horizontal="centerContinuous"/>
    </xf>
    <xf numFmtId="0" fontId="5" fillId="5" borderId="0" xfId="0" applyFont="1" applyFill="1" applyBorder="1" applyAlignment="1">
      <alignment horizontal="left" wrapText="1" indent="1"/>
    </xf>
    <xf numFmtId="165" fontId="5" fillId="4" borderId="0" xfId="1" applyNumberFormat="1" applyFont="1" applyFill="1" applyBorder="1" applyAlignment="1">
      <alignment horizontal="left" indent="1"/>
    </xf>
    <xf numFmtId="165" fontId="5" fillId="4" borderId="0" xfId="0" applyNumberFormat="1" applyFont="1" applyFill="1"/>
    <xf numFmtId="167" fontId="4" fillId="0" borderId="0" xfId="2" applyNumberFormat="1" applyFont="1"/>
    <xf numFmtId="165" fontId="4" fillId="2" borderId="0" xfId="1" applyNumberFormat="1" applyFont="1" applyFill="1"/>
    <xf numFmtId="43" fontId="4" fillId="0" borderId="0" xfId="1" applyNumberFormat="1" applyFont="1"/>
    <xf numFmtId="0" fontId="12" fillId="0" borderId="0" xfId="0" applyFont="1" applyAlignment="1">
      <alignment horizontal="centerContinuous" wrapText="1"/>
    </xf>
    <xf numFmtId="0" fontId="16" fillId="0" borderId="0" xfId="0" applyFont="1" applyBorder="1" applyAlignment="1">
      <alignment horizontal="centerContinuous" wrapText="1"/>
    </xf>
    <xf numFmtId="164" fontId="19" fillId="0" borderId="0" xfId="0" applyNumberFormat="1" applyFont="1" applyAlignment="1">
      <alignment horizontal="center"/>
    </xf>
    <xf numFmtId="0" fontId="17" fillId="0" borderId="0" xfId="0" applyFont="1"/>
    <xf numFmtId="0" fontId="11" fillId="0" borderId="4" xfId="0" applyFont="1" applyFill="1" applyBorder="1" applyAlignment="1">
      <alignment horizontal="center"/>
    </xf>
    <xf numFmtId="0" fontId="11" fillId="0" borderId="4" xfId="0" applyFont="1" applyFill="1" applyBorder="1" applyAlignment="1">
      <alignment horizontal="centerContinuous"/>
    </xf>
    <xf numFmtId="165" fontId="21" fillId="0" borderId="4" xfId="1" applyNumberFormat="1" applyFont="1" applyFill="1" applyBorder="1" applyAlignment="1">
      <alignment horizontal="centerContinuous"/>
    </xf>
    <xf numFmtId="0" fontId="13" fillId="0" borderId="0" xfId="0" applyFont="1" applyBorder="1" applyAlignment="1">
      <alignment horizontal="centerContinuous" wrapText="1"/>
    </xf>
    <xf numFmtId="165" fontId="13" fillId="0" borderId="0" xfId="1" applyNumberFormat="1" applyFont="1" applyBorder="1" applyAlignment="1">
      <alignment horizontal="centerContinuous"/>
    </xf>
    <xf numFmtId="165" fontId="13" fillId="0" borderId="0" xfId="1" applyNumberFormat="1" applyFont="1" applyAlignment="1">
      <alignment horizontal="centerContinuous"/>
    </xf>
    <xf numFmtId="0" fontId="22" fillId="0" borderId="0" xfId="0" applyFont="1" applyBorder="1" applyAlignment="1">
      <alignment horizontal="centerContinuous" wrapText="1"/>
    </xf>
    <xf numFmtId="0" fontId="7" fillId="0" borderId="2" xfId="0" applyFont="1" applyBorder="1" applyAlignment="1">
      <alignment wrapText="1"/>
    </xf>
    <xf numFmtId="0" fontId="7" fillId="0" borderId="3" xfId="0" applyFont="1" applyBorder="1"/>
    <xf numFmtId="0" fontId="10" fillId="0" borderId="3" xfId="0" applyFont="1" applyBorder="1" applyAlignment="1">
      <alignment wrapText="1"/>
    </xf>
    <xf numFmtId="0" fontId="2" fillId="0" borderId="0" xfId="0" applyFont="1" applyFill="1" applyBorder="1" applyAlignment="1">
      <alignment horizontal="left"/>
    </xf>
    <xf numFmtId="165" fontId="2" fillId="3" borderId="3" xfId="0" applyNumberFormat="1" applyFont="1" applyFill="1" applyBorder="1"/>
    <xf numFmtId="0" fontId="2" fillId="0" borderId="2" xfId="0" applyFont="1" applyBorder="1" applyAlignment="1">
      <alignment wrapText="1"/>
    </xf>
    <xf numFmtId="0" fontId="4" fillId="0" borderId="2" xfId="0" applyFont="1" applyBorder="1"/>
    <xf numFmtId="165" fontId="4" fillId="0" borderId="0" xfId="0" applyNumberFormat="1" applyFont="1" applyFill="1" applyBorder="1"/>
    <xf numFmtId="0" fontId="3" fillId="2" borderId="0" xfId="0" applyFont="1" applyFill="1" applyBorder="1"/>
    <xf numFmtId="0" fontId="3" fillId="0" borderId="1" xfId="0" applyFont="1" applyBorder="1"/>
    <xf numFmtId="0" fontId="9" fillId="0" borderId="3" xfId="0" applyFont="1" applyBorder="1" applyAlignment="1">
      <alignment wrapText="1"/>
    </xf>
    <xf numFmtId="0" fontId="2" fillId="0" borderId="2" xfId="0" applyFont="1" applyBorder="1" applyAlignment="1">
      <alignment horizontal="left" vertical="top" wrapText="1"/>
    </xf>
    <xf numFmtId="0" fontId="7" fillId="0" borderId="0" xfId="0" applyFont="1" applyBorder="1" applyAlignment="1">
      <alignment wrapText="1"/>
    </xf>
    <xf numFmtId="0" fontId="10" fillId="0" borderId="0" xfId="0" applyFont="1" applyFill="1" applyBorder="1" applyAlignment="1">
      <alignment horizontal="right"/>
    </xf>
    <xf numFmtId="165" fontId="7" fillId="0" borderId="0" xfId="0" applyNumberFormat="1" applyFont="1" applyFill="1" applyBorder="1"/>
    <xf numFmtId="0" fontId="4" fillId="0" borderId="0" xfId="0" applyFont="1" applyBorder="1" applyAlignment="1">
      <alignment wrapText="1"/>
    </xf>
    <xf numFmtId="0" fontId="23" fillId="0" borderId="0" xfId="0" applyFont="1" applyBorder="1" applyAlignment="1">
      <alignment wrapText="1"/>
    </xf>
    <xf numFmtId="0" fontId="9" fillId="0" borderId="0" xfId="0" applyFont="1" applyFill="1" applyBorder="1" applyAlignment="1">
      <alignment horizontal="right"/>
    </xf>
    <xf numFmtId="0" fontId="7" fillId="0" borderId="2" xfId="0" applyFont="1" applyBorder="1"/>
    <xf numFmtId="0" fontId="9" fillId="0" borderId="0" xfId="0" applyFont="1" applyBorder="1" applyAlignment="1">
      <alignment horizontal="left" vertical="center" wrapText="1" indent="2"/>
    </xf>
    <xf numFmtId="165" fontId="4" fillId="0" borderId="2" xfId="1" applyNumberFormat="1" applyFont="1" applyFill="1" applyBorder="1"/>
    <xf numFmtId="171" fontId="2" fillId="0" borderId="0" xfId="0" applyNumberFormat="1" applyFont="1" applyBorder="1"/>
    <xf numFmtId="0" fontId="4" fillId="0" borderId="3" xfId="0" applyFont="1" applyBorder="1" applyAlignment="1">
      <alignment wrapText="1"/>
    </xf>
    <xf numFmtId="2" fontId="4" fillId="0" borderId="3" xfId="0" applyNumberFormat="1" applyFont="1" applyBorder="1"/>
    <xf numFmtId="165" fontId="3" fillId="0" borderId="0" xfId="1" applyNumberFormat="1" applyFont="1" applyBorder="1"/>
    <xf numFmtId="165" fontId="8" fillId="0" borderId="0" xfId="1" applyNumberFormat="1" applyFont="1" applyBorder="1"/>
    <xf numFmtId="0" fontId="24" fillId="0" borderId="0" xfId="0" applyFont="1" applyBorder="1"/>
    <xf numFmtId="170" fontId="4" fillId="0" borderId="0" xfId="1" applyNumberFormat="1" applyFont="1" applyBorder="1"/>
    <xf numFmtId="0" fontId="5" fillId="0" borderId="0" xfId="0" applyFont="1" applyAlignment="1">
      <alignment vertical="top" wrapText="1"/>
    </xf>
    <xf numFmtId="172" fontId="24" fillId="0" borderId="0" xfId="0" applyNumberFormat="1" applyFont="1" applyBorder="1"/>
    <xf numFmtId="0" fontId="4" fillId="0" borderId="0" xfId="0" applyFont="1" applyBorder="1" applyAlignment="1">
      <alignment horizontal="left" vertical="center" wrapText="1" indent="2"/>
    </xf>
    <xf numFmtId="0" fontId="4" fillId="0" borderId="0" xfId="0" applyFont="1" applyBorder="1" applyAlignment="1">
      <alignment horizontal="left" vertical="center"/>
    </xf>
    <xf numFmtId="165" fontId="6" fillId="0" borderId="0" xfId="1" applyNumberFormat="1" applyFont="1" applyBorder="1" applyAlignment="1">
      <alignment horizontal="right" wrapText="1"/>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9" fillId="0" borderId="0" xfId="0" applyFont="1" applyBorder="1" applyAlignment="1">
      <alignment horizontal="right" vertical="center" wrapText="1"/>
    </xf>
    <xf numFmtId="9" fontId="4" fillId="0" borderId="0" xfId="2" applyFont="1" applyFill="1" applyBorder="1"/>
    <xf numFmtId="9" fontId="4" fillId="0" borderId="0" xfId="2" applyFont="1" applyFill="1"/>
    <xf numFmtId="0" fontId="3" fillId="0" borderId="0" xfId="0" applyFont="1" applyBorder="1" applyAlignment="1">
      <alignment horizontal="center" vertical="center"/>
    </xf>
    <xf numFmtId="0" fontId="4" fillId="0" borderId="2" xfId="0" applyFont="1" applyFill="1" applyBorder="1"/>
    <xf numFmtId="0" fontId="5" fillId="0" borderId="0" xfId="0" applyFont="1" applyBorder="1"/>
    <xf numFmtId="0" fontId="3" fillId="0" borderId="0" xfId="0" applyFont="1" applyBorder="1"/>
    <xf numFmtId="165" fontId="7" fillId="0" borderId="0" xfId="1" applyNumberFormat="1" applyFont="1" applyFill="1" applyBorder="1"/>
    <xf numFmtId="165" fontId="9" fillId="0" borderId="0" xfId="1" applyNumberFormat="1" applyFont="1" applyFill="1" applyBorder="1"/>
    <xf numFmtId="0" fontId="2" fillId="0" borderId="0" xfId="0" applyFont="1" applyBorder="1" applyAlignment="1">
      <alignment horizontal="left" wrapText="1" indent="1"/>
    </xf>
    <xf numFmtId="0" fontId="4" fillId="0" borderId="0" xfId="0" applyFont="1" applyBorder="1" applyAlignment="1">
      <alignment horizontal="left" indent="1"/>
    </xf>
    <xf numFmtId="173" fontId="4" fillId="0" borderId="0" xfId="1" applyNumberFormat="1" applyFont="1" applyBorder="1"/>
    <xf numFmtId="0" fontId="2" fillId="0" borderId="0" xfId="0" applyFont="1" applyBorder="1" applyAlignment="1">
      <alignment horizontal="left" vertical="top" wrapText="1"/>
    </xf>
    <xf numFmtId="0" fontId="10" fillId="0" borderId="0" xfId="0" applyFont="1" applyBorder="1" applyAlignment="1">
      <alignment horizontal="right" vertical="center" indent="2"/>
    </xf>
    <xf numFmtId="0" fontId="7" fillId="0" borderId="0" xfId="0" applyFont="1" applyFill="1" applyBorder="1"/>
    <xf numFmtId="0" fontId="4" fillId="0" borderId="2" xfId="0" applyFont="1" applyBorder="1" applyAlignment="1">
      <alignment wrapText="1"/>
    </xf>
    <xf numFmtId="0" fontId="25" fillId="0" borderId="0" xfId="0" applyFont="1" applyAlignment="1">
      <alignment vertical="center"/>
    </xf>
    <xf numFmtId="0" fontId="4" fillId="0" borderId="2" xfId="0" applyFont="1" applyBorder="1" applyAlignment="1">
      <alignment horizontal="left" vertical="top" wrapText="1"/>
    </xf>
    <xf numFmtId="166" fontId="4" fillId="0" borderId="0" xfId="0" applyNumberFormat="1" applyFont="1"/>
    <xf numFmtId="170" fontId="4" fillId="0" borderId="0" xfId="1" applyNumberFormat="1" applyFont="1"/>
    <xf numFmtId="0" fontId="11" fillId="3" borderId="3" xfId="0" applyFont="1" applyFill="1" applyBorder="1" applyAlignment="1">
      <alignment horizontal="center" vertical="center" wrapText="1"/>
    </xf>
    <xf numFmtId="165" fontId="11" fillId="3" borderId="3" xfId="1" applyNumberFormat="1" applyFont="1" applyFill="1" applyBorder="1" applyAlignment="1">
      <alignment horizontal="center" vertical="center" wrapText="1"/>
    </xf>
    <xf numFmtId="165" fontId="11" fillId="3" borderId="3" xfId="1" applyNumberFormat="1" applyFont="1" applyFill="1" applyBorder="1" applyAlignment="1">
      <alignment horizontal="centerContinuous" vertical="center" wrapText="1"/>
    </xf>
    <xf numFmtId="0" fontId="18" fillId="0" borderId="3" xfId="0" applyFont="1" applyBorder="1" applyAlignment="1">
      <alignment horizontal="left" wrapText="1"/>
    </xf>
    <xf numFmtId="164" fontId="19" fillId="0" borderId="3" xfId="0" applyNumberFormat="1" applyFont="1" applyBorder="1" applyAlignment="1">
      <alignment horizontal="center"/>
    </xf>
    <xf numFmtId="164" fontId="20" fillId="0" borderId="3" xfId="0" applyNumberFormat="1" applyFont="1" applyBorder="1" applyAlignment="1">
      <alignment horizontal="center"/>
    </xf>
    <xf numFmtId="0" fontId="18" fillId="2" borderId="3" xfId="0" applyFont="1" applyFill="1" applyBorder="1" applyAlignment="1">
      <alignment horizontal="left" wrapText="1"/>
    </xf>
    <xf numFmtId="165" fontId="17" fillId="2" borderId="3" xfId="1" applyNumberFormat="1" applyFont="1" applyFill="1" applyBorder="1" applyAlignment="1">
      <alignment horizontal="center"/>
    </xf>
    <xf numFmtId="165" fontId="17" fillId="2" borderId="3" xfId="1" applyNumberFormat="1" applyFont="1" applyFill="1" applyBorder="1"/>
    <xf numFmtId="0" fontId="17" fillId="0" borderId="3" xfId="0" applyFont="1" applyBorder="1" applyAlignment="1">
      <alignment horizontal="left" wrapText="1"/>
    </xf>
    <xf numFmtId="165" fontId="17" fillId="0" borderId="3" xfId="1" applyNumberFormat="1" applyFont="1" applyBorder="1" applyAlignment="1">
      <alignment horizontal="center"/>
    </xf>
    <xf numFmtId="165" fontId="17" fillId="0" borderId="3" xfId="1" applyNumberFormat="1" applyFont="1" applyBorder="1" applyAlignment="1">
      <alignment horizontal="left" indent="1"/>
    </xf>
    <xf numFmtId="165" fontId="19" fillId="0" borderId="3" xfId="1" applyNumberFormat="1" applyFont="1" applyBorder="1" applyAlignment="1">
      <alignment horizontal="left" indent="1"/>
    </xf>
    <xf numFmtId="1" fontId="17" fillId="0" borderId="3" xfId="0" applyNumberFormat="1" applyFont="1" applyBorder="1" applyAlignment="1">
      <alignment horizontal="left" wrapText="1"/>
    </xf>
    <xf numFmtId="1" fontId="17" fillId="0" borderId="3" xfId="0" applyNumberFormat="1" applyFont="1" applyBorder="1" applyAlignment="1">
      <alignment horizontal="center"/>
    </xf>
    <xf numFmtId="0" fontId="11" fillId="3" borderId="5" xfId="0" applyFont="1" applyFill="1" applyBorder="1" applyAlignment="1">
      <alignment horizontal="left" wrapText="1"/>
    </xf>
    <xf numFmtId="165" fontId="11" fillId="3" borderId="5" xfId="1" applyNumberFormat="1" applyFont="1" applyFill="1" applyBorder="1" applyAlignment="1">
      <alignment horizontal="center"/>
    </xf>
    <xf numFmtId="165" fontId="11" fillId="3" borderId="5" xfId="1" applyNumberFormat="1" applyFont="1" applyFill="1" applyBorder="1" applyAlignment="1">
      <alignment horizontal="left" indent="1"/>
    </xf>
    <xf numFmtId="0" fontId="17" fillId="0" borderId="3" xfId="0" applyFont="1" applyBorder="1" applyAlignment="1">
      <alignment horizontal="center"/>
    </xf>
    <xf numFmtId="0" fontId="17" fillId="2" borderId="3" xfId="0" applyFont="1" applyFill="1" applyBorder="1" applyAlignment="1">
      <alignment horizontal="center"/>
    </xf>
    <xf numFmtId="0" fontId="17" fillId="0" borderId="3" xfId="0" applyFont="1" applyBorder="1" applyAlignment="1">
      <alignment horizontal="center" wrapText="1"/>
    </xf>
    <xf numFmtId="0" fontId="11" fillId="3" borderId="5" xfId="0" applyFont="1" applyFill="1" applyBorder="1" applyAlignment="1">
      <alignment horizontal="center"/>
    </xf>
    <xf numFmtId="43" fontId="2" fillId="0" borderId="0" xfId="0" applyNumberFormat="1" applyFont="1"/>
    <xf numFmtId="0" fontId="3" fillId="0" borderId="3" xfId="0" applyFont="1" applyBorder="1"/>
    <xf numFmtId="0" fontId="4" fillId="0" borderId="3" xfId="0" applyFont="1" applyBorder="1" applyAlignment="1">
      <alignment horizontal="right" wrapText="1"/>
    </xf>
    <xf numFmtId="165" fontId="4" fillId="0" borderId="3" xfId="1" applyNumberFormat="1" applyFont="1" applyBorder="1"/>
    <xf numFmtId="165" fontId="7" fillId="0" borderId="3" xfId="1" applyNumberFormat="1" applyFont="1" applyBorder="1"/>
    <xf numFmtId="0" fontId="3" fillId="0" borderId="3" xfId="0" applyFont="1" applyBorder="1" applyAlignment="1">
      <alignment wrapText="1"/>
    </xf>
    <xf numFmtId="170" fontId="4" fillId="0" borderId="3" xfId="1" applyNumberFormat="1" applyFont="1" applyBorder="1"/>
    <xf numFmtId="171" fontId="5" fillId="3" borderId="3" xfId="0" applyNumberFormat="1" applyFont="1" applyFill="1" applyBorder="1"/>
    <xf numFmtId="0" fontId="11" fillId="0" borderId="0" xfId="0" applyFont="1"/>
    <xf numFmtId="0" fontId="18" fillId="0" borderId="6" xfId="0" applyFont="1" applyBorder="1" applyAlignment="1">
      <alignment horizontal="center"/>
    </xf>
    <xf numFmtId="0" fontId="18" fillId="0" borderId="6" xfId="0" applyFont="1" applyBorder="1" applyAlignment="1">
      <alignment horizontal="left" wrapText="1"/>
    </xf>
    <xf numFmtId="165" fontId="18" fillId="0" borderId="6" xfId="1" applyNumberFormat="1" applyFont="1" applyBorder="1" applyAlignment="1">
      <alignment horizontal="left" indent="1"/>
    </xf>
    <xf numFmtId="0" fontId="18" fillId="0" borderId="5" xfId="0" applyFont="1" applyBorder="1" applyAlignment="1">
      <alignment horizontal="center"/>
    </xf>
    <xf numFmtId="0" fontId="18" fillId="0" borderId="5" xfId="0" applyFont="1" applyBorder="1" applyAlignment="1">
      <alignment horizontal="left" wrapText="1"/>
    </xf>
    <xf numFmtId="165" fontId="18" fillId="0" borderId="5" xfId="1" applyNumberFormat="1" applyFont="1" applyBorder="1" applyAlignment="1">
      <alignment horizontal="left" indent="1"/>
    </xf>
    <xf numFmtId="0" fontId="17" fillId="0" borderId="6" xfId="0" applyFont="1" applyBorder="1" applyAlignment="1">
      <alignment horizontal="center"/>
    </xf>
    <xf numFmtId="0" fontId="17" fillId="0" borderId="6" xfId="0" applyFont="1" applyBorder="1" applyAlignment="1">
      <alignment horizontal="left" wrapText="1"/>
    </xf>
    <xf numFmtId="165" fontId="17" fillId="0" borderId="6" xfId="1" applyNumberFormat="1" applyFont="1" applyBorder="1" applyAlignment="1">
      <alignment horizontal="center"/>
    </xf>
    <xf numFmtId="165" fontId="17" fillId="0" borderId="6" xfId="1" applyNumberFormat="1" applyFont="1" applyBorder="1" applyAlignment="1">
      <alignment horizontal="left" indent="1"/>
    </xf>
    <xf numFmtId="165" fontId="18" fillId="0" borderId="5" xfId="1" applyNumberFormat="1" applyFont="1" applyBorder="1" applyAlignment="1">
      <alignment horizontal="center"/>
    </xf>
    <xf numFmtId="0" fontId="2" fillId="0" borderId="6" xfId="0" applyFont="1" applyBorder="1" applyAlignment="1">
      <alignment horizontal="center"/>
    </xf>
    <xf numFmtId="0" fontId="2" fillId="0" borderId="6" xfId="0" applyFont="1" applyBorder="1" applyAlignment="1">
      <alignment horizontal="left" wrapText="1"/>
    </xf>
    <xf numFmtId="165" fontId="2" fillId="0" borderId="6" xfId="1" applyNumberFormat="1" applyFont="1" applyBorder="1" applyAlignment="1">
      <alignment horizontal="center"/>
    </xf>
    <xf numFmtId="165" fontId="2" fillId="0" borderId="6" xfId="1" applyNumberFormat="1" applyFont="1" applyBorder="1" applyAlignment="1">
      <alignment horizontal="left" indent="1"/>
    </xf>
    <xf numFmtId="0" fontId="2" fillId="0" borderId="7" xfId="0" applyFont="1" applyBorder="1"/>
    <xf numFmtId="0" fontId="9" fillId="0" borderId="7" xfId="0" applyFont="1" applyBorder="1" applyAlignment="1">
      <alignment horizontal="right" vertical="center" wrapText="1" indent="2"/>
    </xf>
    <xf numFmtId="165" fontId="4" fillId="0" borderId="7" xfId="1" applyNumberFormat="1" applyFont="1" applyBorder="1"/>
    <xf numFmtId="0" fontId="9" fillId="0" borderId="7" xfId="0" applyFont="1" applyBorder="1" applyAlignment="1">
      <alignment horizontal="right" vertical="center" indent="2"/>
    </xf>
    <xf numFmtId="0" fontId="9" fillId="0" borderId="7" xfId="0" applyFont="1" applyBorder="1" applyAlignment="1">
      <alignment horizontal="right" vertical="center" wrapText="1"/>
    </xf>
    <xf numFmtId="165" fontId="4" fillId="0" borderId="7" xfId="1" applyNumberFormat="1" applyFont="1" applyFill="1" applyBorder="1"/>
    <xf numFmtId="9" fontId="4" fillId="0" borderId="7" xfId="2" applyFont="1" applyFill="1" applyBorder="1"/>
    <xf numFmtId="0" fontId="7" fillId="0" borderId="7" xfId="0" applyFont="1" applyBorder="1" applyAlignment="1">
      <alignment wrapText="1"/>
    </xf>
    <xf numFmtId="0" fontId="7" fillId="0" borderId="7" xfId="0" applyFont="1" applyBorder="1"/>
    <xf numFmtId="165" fontId="7" fillId="0" borderId="7" xfId="1" applyNumberFormat="1" applyFont="1" applyBorder="1"/>
    <xf numFmtId="0" fontId="2" fillId="0" borderId="7" xfId="0" applyFont="1" applyBorder="1" applyAlignment="1">
      <alignment wrapText="1"/>
    </xf>
    <xf numFmtId="0" fontId="6" fillId="0" borderId="7" xfId="0" applyFont="1" applyFill="1" applyBorder="1" applyAlignment="1">
      <alignment horizontal="right"/>
    </xf>
    <xf numFmtId="0" fontId="4" fillId="0" borderId="7" xfId="0" applyFont="1" applyBorder="1"/>
    <xf numFmtId="0" fontId="6" fillId="0" borderId="0" xfId="0" applyFont="1" applyBorder="1" applyAlignment="1">
      <alignment horizontal="left"/>
    </xf>
    <xf numFmtId="0" fontId="6" fillId="0" borderId="7" xfId="0" applyFont="1" applyBorder="1" applyAlignment="1">
      <alignment horizontal="right"/>
    </xf>
  </cellXfs>
  <cellStyles count="5">
    <cellStyle name="Comma" xfId="1" builtinId="3"/>
    <cellStyle name="Comma 2" xfId="4"/>
    <cellStyle name="Normal" xfId="0" builtinId="0"/>
    <cellStyle name="Normal 2" xfId="3"/>
    <cellStyle name="Percent" xfId="2" builtinId="5"/>
  </cellStyles>
  <dxfs count="0"/>
  <tableStyles count="0" defaultTableStyle="TableStyleMedium2" defaultPivotStyle="PivotStyleLight16"/>
  <colors>
    <mruColors>
      <color rgb="FFF6BB00"/>
      <color rgb="FFD8A6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3"/>
  <sheetViews>
    <sheetView tabSelected="1" topLeftCell="A46" zoomScale="70" zoomScaleNormal="70" workbookViewId="0">
      <selection activeCell="J61" sqref="J61"/>
    </sheetView>
  </sheetViews>
  <sheetFormatPr defaultRowHeight="13.5" x14ac:dyDescent="0.25"/>
  <cols>
    <col min="1" max="1" width="21.5703125" style="14" customWidth="1"/>
    <col min="2" max="2" width="95" style="67" customWidth="1"/>
    <col min="3" max="3" width="35.42578125" style="84" customWidth="1"/>
    <col min="4" max="4" width="19.28515625" style="8" bestFit="1" customWidth="1"/>
    <col min="5" max="5" width="19.5703125" style="8" bestFit="1" customWidth="1"/>
    <col min="6" max="6" width="19.140625" style="8" bestFit="1" customWidth="1"/>
    <col min="7" max="7" width="17.5703125" style="8" bestFit="1" customWidth="1"/>
    <col min="8" max="9" width="9.140625" style="6"/>
    <col min="10" max="10" width="15.5703125" style="6" bestFit="1" customWidth="1"/>
    <col min="11" max="16384" width="9.140625" style="6"/>
  </cols>
  <sheetData>
    <row r="1" spans="1:8" ht="20.25" x14ac:dyDescent="0.35">
      <c r="A1" s="117" t="s">
        <v>218</v>
      </c>
      <c r="B1" s="116"/>
      <c r="C1" s="87"/>
      <c r="D1" s="87"/>
      <c r="E1" s="87"/>
      <c r="F1" s="87"/>
      <c r="G1" s="87"/>
    </row>
    <row r="2" spans="1:8" ht="14.25" x14ac:dyDescent="0.25">
      <c r="D2" s="11"/>
      <c r="E2" s="11"/>
      <c r="F2" s="11"/>
      <c r="G2" s="88" t="s">
        <v>208</v>
      </c>
    </row>
    <row r="3" spans="1:8" ht="9" customHeight="1" x14ac:dyDescent="0.25">
      <c r="B3" s="76"/>
    </row>
    <row r="4" spans="1:8" s="85" customFormat="1" ht="34.5" customHeight="1" x14ac:dyDescent="0.25">
      <c r="A4" s="182" t="s">
        <v>200</v>
      </c>
      <c r="B4" s="182" t="s">
        <v>206</v>
      </c>
      <c r="C4" s="183" t="s">
        <v>142</v>
      </c>
      <c r="D4" s="184" t="s">
        <v>207</v>
      </c>
      <c r="E4" s="184"/>
      <c r="F4" s="184"/>
      <c r="G4" s="184"/>
    </row>
    <row r="5" spans="1:8" s="119" customFormat="1" ht="17.25" customHeight="1" x14ac:dyDescent="0.3">
      <c r="A5" s="200"/>
      <c r="B5" s="185"/>
      <c r="C5" s="186"/>
      <c r="D5" s="187">
        <f>start</f>
        <v>43831</v>
      </c>
      <c r="E5" s="187">
        <f>EOMONTH(D5,11)+1</f>
        <v>44197</v>
      </c>
      <c r="F5" s="187">
        <f>EOMONTH(E5,11)+1</f>
        <v>44562</v>
      </c>
      <c r="G5" s="187">
        <f>EOMONTH(F5,11)+1</f>
        <v>44927</v>
      </c>
      <c r="H5" s="118"/>
    </row>
    <row r="6" spans="1:8" s="119" customFormat="1" ht="16.5" x14ac:dyDescent="0.3">
      <c r="A6" s="201"/>
      <c r="B6" s="188" t="s">
        <v>579</v>
      </c>
      <c r="C6" s="189"/>
      <c r="D6" s="190"/>
      <c r="E6" s="190"/>
      <c r="F6" s="190"/>
      <c r="G6" s="190"/>
    </row>
    <row r="7" spans="1:8" s="119" customFormat="1" ht="115.5" x14ac:dyDescent="0.3">
      <c r="A7" s="200">
        <f>'a1'!A1</f>
        <v>1</v>
      </c>
      <c r="B7" s="191" t="str">
        <f>'a1'!B1</f>
        <v>Միջազգային պարտավորությունների, Մարդու իրավունքների եվրոպական դատարանի վճիռների, Խոշտանգումների և անմարդկային կամ նվաստացնող վերաբերմունքի կամ պատժի կանխարգելման եվրոպական կոմիտեի (ԽԿԿ), ՀՀ Մարդու իրավունքների պաշտպանի զեկույցների, ՀՀ արդարադատության նախարարության քրեակատարողական հիմնարկներում և մարմիններում հասարակական վերահսկողություն իրականացնող հասարակական դիտորդների խմբի հաշվետվությունների,  հաշվառմամբ Քրեակատարողական նոր օրենսգրքի նախագծի մշակում</v>
      </c>
      <c r="C7" s="192">
        <f>SUM(D7:G7)</f>
        <v>3600</v>
      </c>
      <c r="D7" s="193">
        <f>'a1'!E50</f>
        <v>3600</v>
      </c>
      <c r="E7" s="193">
        <f>'a1'!F50</f>
        <v>0</v>
      </c>
      <c r="F7" s="193">
        <f>'a1'!G50</f>
        <v>0</v>
      </c>
      <c r="G7" s="193">
        <f>'a1'!H50</f>
        <v>0</v>
      </c>
    </row>
    <row r="8" spans="1:8" s="119" customFormat="1" ht="49.5" x14ac:dyDescent="0.3">
      <c r="A8" s="200">
        <f>'a2'!A1</f>
        <v>2</v>
      </c>
      <c r="B8" s="191" t="str">
        <f>'a2'!B1</f>
        <v>«Հայաստանի Հանրապետության կառավարության 2006 թվականի օգոստոսի 3-ի թիվ 1543-Ն որոշման մեջ փոփոխություններ և լրացումներ կատարելու մասին» ՀՀ կառավարության որոշման նախագծի մշակում և ներկայացնում ՀՀ վարչապետի աշխատակազմ</v>
      </c>
      <c r="C8" s="192">
        <f t="shared" ref="C8:C41" si="0">SUM(D8:G8)</f>
        <v>7600</v>
      </c>
      <c r="D8" s="193">
        <f>'a2'!E50</f>
        <v>7600</v>
      </c>
      <c r="E8" s="193">
        <f>'a2'!F50</f>
        <v>0</v>
      </c>
      <c r="F8" s="193">
        <f>'a2'!G50</f>
        <v>0</v>
      </c>
      <c r="G8" s="193">
        <f>'a2'!H50</f>
        <v>0</v>
      </c>
    </row>
    <row r="9" spans="1:8" s="119" customFormat="1" ht="49.5" x14ac:dyDescent="0.3">
      <c r="A9" s="200">
        <f>'a3'!A1</f>
        <v>3</v>
      </c>
      <c r="B9" s="191" t="str">
        <f>'a3'!B1</f>
        <v>Կալանավորված անձանց և դատապարտյալների հետ սոցիալական, հոգեբանական և իրավական աշխատանքներ իրականացնող կառուցվածքային ստորաբաժանումների գործունեության կարգի արդյունավետության բարձրացում</v>
      </c>
      <c r="C9" s="192">
        <f t="shared" si="0"/>
        <v>1400</v>
      </c>
      <c r="D9" s="194">
        <f>'a3'!E50</f>
        <v>1400</v>
      </c>
      <c r="E9" s="194">
        <f>'a3'!F50</f>
        <v>0</v>
      </c>
      <c r="F9" s="194">
        <f>'a3'!G50</f>
        <v>0</v>
      </c>
      <c r="G9" s="194">
        <f>'a3'!H50</f>
        <v>0</v>
      </c>
    </row>
    <row r="10" spans="1:8" s="119" customFormat="1" ht="16.5" x14ac:dyDescent="0.3">
      <c r="A10" s="202">
        <f>'a7'!A1</f>
        <v>7</v>
      </c>
      <c r="B10" s="191" t="str">
        <f>'a7'!B1</f>
        <v>Քրեակատարողական համակարգում կոռուպցիայի դեմ պայքար</v>
      </c>
      <c r="C10" s="192">
        <f t="shared" si="0"/>
        <v>111098.87565882353</v>
      </c>
      <c r="D10" s="193">
        <f>'a7'!E55</f>
        <v>111098.87565882353</v>
      </c>
      <c r="E10" s="193">
        <f>'a7'!F55</f>
        <v>0</v>
      </c>
      <c r="F10" s="193">
        <f>'a7'!G55</f>
        <v>0</v>
      </c>
      <c r="G10" s="193">
        <f>'a7'!H55</f>
        <v>0</v>
      </c>
    </row>
    <row r="11" spans="1:8" s="119" customFormat="1" ht="33" x14ac:dyDescent="0.3">
      <c r="A11" s="200">
        <f>'a8'!A1</f>
        <v>8</v>
      </c>
      <c r="B11" s="191" t="str">
        <f>'a8'!B1</f>
        <v>Պատիժը կրելուց պայմանական վաղաժամկետ ազատման ինստիտուտի արդյունավետության ապահովում</v>
      </c>
      <c r="C11" s="192">
        <f t="shared" si="0"/>
        <v>6820.0609999999997</v>
      </c>
      <c r="D11" s="193">
        <f>'a8'!E50</f>
        <v>6820.0609999999997</v>
      </c>
      <c r="E11" s="193">
        <f>'a8'!F50</f>
        <v>0</v>
      </c>
      <c r="F11" s="193">
        <f>'a8'!G50</f>
        <v>0</v>
      </c>
      <c r="G11" s="193">
        <f>'a8'!H50</f>
        <v>0</v>
      </c>
    </row>
    <row r="12" spans="1:8" s="119" customFormat="1" ht="33" x14ac:dyDescent="0.3">
      <c r="A12" s="200">
        <f>'a9'!A1</f>
        <v>9</v>
      </c>
      <c r="B12" s="191" t="str">
        <f>'a9'!B1</f>
        <v>Քրեակատարողական ծառայության  և քրեակատարողական հիմնարկների կառավարման և գնահատման մոդելի արդիականացում</v>
      </c>
      <c r="C12" s="192">
        <f t="shared" si="0"/>
        <v>18057.629317647057</v>
      </c>
      <c r="D12" s="193">
        <f>'a9'!E50</f>
        <v>18057.629317647057</v>
      </c>
      <c r="E12" s="193">
        <f>'a9'!F50</f>
        <v>0</v>
      </c>
      <c r="F12" s="193">
        <f>'a9'!G50</f>
        <v>0</v>
      </c>
      <c r="G12" s="193">
        <f>'a9'!H50</f>
        <v>0</v>
      </c>
    </row>
    <row r="13" spans="1:8" s="119" customFormat="1" ht="33" x14ac:dyDescent="0.3">
      <c r="A13" s="200">
        <f>'a10'!A1</f>
        <v>10</v>
      </c>
      <c r="B13" s="191" t="str">
        <f>'a10'!B1</f>
        <v>Քրեակատարողական հիմնարկներում տնտեսվարման արդյունավետ մեխանիզմների ապահովում</v>
      </c>
      <c r="C13" s="192">
        <f t="shared" si="0"/>
        <v>2327.0500000000002</v>
      </c>
      <c r="D13" s="193">
        <f>'a10'!E50</f>
        <v>2327.0500000000002</v>
      </c>
      <c r="E13" s="193">
        <f>'a10'!F50</f>
        <v>0</v>
      </c>
      <c r="F13" s="193">
        <f>'a10'!G50</f>
        <v>0</v>
      </c>
      <c r="G13" s="193">
        <f>'a10'!H50</f>
        <v>0</v>
      </c>
    </row>
    <row r="14" spans="1:8" s="119" customFormat="1" ht="16.5" x14ac:dyDescent="0.3">
      <c r="A14" s="200">
        <f>'a11'!A1</f>
        <v>11</v>
      </c>
      <c r="B14" s="191" t="str">
        <f>'a11'!B1</f>
        <v>Քրեակատարողական հիմնարկների օպտիմալացում, շենքային պայմանների բարելավում</v>
      </c>
      <c r="C14" s="192">
        <f t="shared" si="0"/>
        <v>35233334</v>
      </c>
      <c r="D14" s="193">
        <f>'a11'!E54</f>
        <v>10142648</v>
      </c>
      <c r="E14" s="193">
        <f>'a11'!F54</f>
        <v>12461972</v>
      </c>
      <c r="F14" s="193">
        <f>'a11'!G54</f>
        <v>10000872</v>
      </c>
      <c r="G14" s="193">
        <f>'a11'!H54</f>
        <v>2627842</v>
      </c>
    </row>
    <row r="15" spans="1:8" s="119" customFormat="1" ht="16.5" x14ac:dyDescent="0.3">
      <c r="A15" s="200">
        <f>'a12'!A1</f>
        <v>12</v>
      </c>
      <c r="B15" s="191" t="str">
        <f>'a12'!B1</f>
        <v>Անչափահաս դատապարտյալների պահման պայմանների բարելավում</v>
      </c>
      <c r="C15" s="192">
        <f t="shared" si="0"/>
        <v>972727.1425422529</v>
      </c>
      <c r="D15" s="193">
        <f>'a12'!E54</f>
        <v>46029.436000000002</v>
      </c>
      <c r="E15" s="193">
        <f>'a12'!F54</f>
        <v>370058.9957065059</v>
      </c>
      <c r="F15" s="193">
        <f>'a12'!G54</f>
        <v>369648.11846551695</v>
      </c>
      <c r="G15" s="193">
        <f>'a12'!H54</f>
        <v>186990.59237023012</v>
      </c>
    </row>
    <row r="16" spans="1:8" s="119" customFormat="1" ht="35.25" customHeight="1" x14ac:dyDescent="0.3">
      <c r="A16" s="196">
        <f>'a14'!A1</f>
        <v>14</v>
      </c>
      <c r="B16" s="195" t="str">
        <f>'a14'!B1</f>
        <v>ՀՀ քրեակատարողական հիմնարկներում  արդի ինժեներատեխնիկական և անվտանգության ապահովման միջոցներով վերազինում</v>
      </c>
      <c r="C16" s="192">
        <f t="shared" si="0"/>
        <v>1188000</v>
      </c>
      <c r="D16" s="193">
        <f>'a14'!E55</f>
        <v>36000</v>
      </c>
      <c r="E16" s="193">
        <f>'a14'!F55</f>
        <v>1152000</v>
      </c>
      <c r="F16" s="193">
        <f>'a14'!G55</f>
        <v>0</v>
      </c>
      <c r="G16" s="193">
        <f>'a14'!H55</f>
        <v>0</v>
      </c>
    </row>
    <row r="17" spans="1:7" s="119" customFormat="1" ht="16.5" x14ac:dyDescent="0.3">
      <c r="A17" s="196">
        <f>'a15'!A1</f>
        <v>15</v>
      </c>
      <c r="B17" s="195" t="str">
        <f>'a15'!B1</f>
        <v>Քրեակատարողական ծառայողների սոցիալական պայմանների բարելավում</v>
      </c>
      <c r="C17" s="192">
        <f t="shared" si="0"/>
        <v>7325579.4631500002</v>
      </c>
      <c r="D17" s="193">
        <f>'a15'!E57</f>
        <v>1746275.45</v>
      </c>
      <c r="E17" s="193">
        <f>'a15'!F57</f>
        <v>1805192.21315</v>
      </c>
      <c r="F17" s="193">
        <f>'a15'!G57</f>
        <v>1859682.4</v>
      </c>
      <c r="G17" s="193">
        <f>'a15'!H57</f>
        <v>1914429.4</v>
      </c>
    </row>
    <row r="18" spans="1:7" s="119" customFormat="1" ht="33" x14ac:dyDescent="0.3">
      <c r="A18" s="196">
        <f>'a17'!A1</f>
        <v>17</v>
      </c>
      <c r="B18" s="195" t="str">
        <f>'a17'!B1</f>
        <v>«Քրեակատարողական գործ»  նախնական մասնագիտական (արհեստագործական) կրթության կազմակերպում</v>
      </c>
      <c r="C18" s="192">
        <f t="shared" si="0"/>
        <v>202620</v>
      </c>
      <c r="D18" s="193">
        <f>'a17'!E50</f>
        <v>81030</v>
      </c>
      <c r="E18" s="193">
        <f>'a17'!F50</f>
        <v>40530</v>
      </c>
      <c r="F18" s="193">
        <f>'a17'!G50</f>
        <v>40530</v>
      </c>
      <c r="G18" s="193">
        <f>'a17'!H50</f>
        <v>40530</v>
      </c>
    </row>
    <row r="19" spans="1:7" s="119" customFormat="1" ht="33" x14ac:dyDescent="0.3">
      <c r="A19" s="196">
        <f>'a18'!A1</f>
        <v>18</v>
      </c>
      <c r="B19" s="195" t="str">
        <f>'a18'!B1</f>
        <v>Քրեակատարողական համակարգում էլեկտրոնային կառավարման գործիքների կիրառման խթանում</v>
      </c>
      <c r="C19" s="192">
        <f t="shared" si="0"/>
        <v>173856.5</v>
      </c>
      <c r="D19" s="193">
        <f>'a18'!E60</f>
        <v>137856.5</v>
      </c>
      <c r="E19" s="193">
        <f>'a18'!F60</f>
        <v>12000</v>
      </c>
      <c r="F19" s="193">
        <f>'a18'!G60</f>
        <v>12000</v>
      </c>
      <c r="G19" s="193">
        <f>'a18'!H60</f>
        <v>12000</v>
      </c>
    </row>
    <row r="20" spans="1:7" s="119" customFormat="1" ht="16.5" x14ac:dyDescent="0.3">
      <c r="A20" s="196">
        <f>'a19'!A1</f>
        <v>19</v>
      </c>
      <c r="B20" s="195" t="str">
        <f>'a19'!B1</f>
        <v>Ազատությունից զրկված անձանց ռիսկերի և կարիքների գնահատման գործիքի ներդնում</v>
      </c>
      <c r="C20" s="192">
        <f>SUM(D20:G20)</f>
        <v>42371.825658823531</v>
      </c>
      <c r="D20" s="193">
        <f>'a19'!E54</f>
        <v>42371.825658823531</v>
      </c>
      <c r="E20" s="193">
        <f>'a19'!F54</f>
        <v>0</v>
      </c>
      <c r="F20" s="193">
        <f>'a19'!G54</f>
        <v>0</v>
      </c>
      <c r="G20" s="193">
        <f>'a19'!H54</f>
        <v>0</v>
      </c>
    </row>
    <row r="21" spans="1:7" s="119" customFormat="1" ht="33" x14ac:dyDescent="0.3">
      <c r="A21" s="196">
        <f>'a20'!A1</f>
        <v>20</v>
      </c>
      <c r="B21" s="195" t="str">
        <f>'a20'!B1</f>
        <v>Ազատությունից զրկված անչափահաս անձանց ռիսկերի և կարիքների գնահատման գործիքի ներդնում</v>
      </c>
      <c r="C21" s="192">
        <f t="shared" si="0"/>
        <v>8311.1</v>
      </c>
      <c r="D21" s="193">
        <f>'a20'!E54</f>
        <v>8311.1</v>
      </c>
      <c r="E21" s="193">
        <f>'a20'!F54</f>
        <v>0</v>
      </c>
      <c r="F21" s="193">
        <f>'a20'!G54</f>
        <v>0</v>
      </c>
      <c r="G21" s="193">
        <f>'a20'!H54</f>
        <v>0</v>
      </c>
    </row>
    <row r="22" spans="1:7" s="119" customFormat="1" ht="33" x14ac:dyDescent="0.3">
      <c r="A22" s="196">
        <f>'a21'!A1</f>
        <v>21</v>
      </c>
      <c r="B22" s="195" t="str">
        <f>'a21'!B1</f>
        <v>Ազատությունից զրկված անչափահասների կրթություն ստանալու իրավունքի շարունակականության ապահովում</v>
      </c>
      <c r="C22" s="192">
        <f t="shared" si="0"/>
        <v>63641.74765954139</v>
      </c>
      <c r="D22" s="193">
        <f>'a21'!E54</f>
        <v>14920.199999999999</v>
      </c>
      <c r="E22" s="193">
        <f>'a21'!F54</f>
        <v>15561.768599999998</v>
      </c>
      <c r="F22" s="193">
        <f>'a21'!G54</f>
        <v>16230.924649799997</v>
      </c>
      <c r="G22" s="193">
        <f>'a21'!H54</f>
        <v>16928.854409741394</v>
      </c>
    </row>
    <row r="23" spans="1:7" s="119" customFormat="1" ht="16.5" x14ac:dyDescent="0.3">
      <c r="A23" s="196">
        <f>'a22'!A1</f>
        <v>22</v>
      </c>
      <c r="B23" s="195" t="str">
        <f>'a22'!B1</f>
        <v>Ազատությունից զրկված անձանց մասնագիտական կրթության նոր ծրագրերի ներդնում</v>
      </c>
      <c r="C23" s="192">
        <f t="shared" si="0"/>
        <v>954396.20443698345</v>
      </c>
      <c r="D23" s="193">
        <f>'a22'!E50</f>
        <v>138343.82565882354</v>
      </c>
      <c r="E23" s="193">
        <f>'a22'!F50</f>
        <v>194457.10399999999</v>
      </c>
      <c r="F23" s="193">
        <f>'a22'!G50</f>
        <v>269971.83929599996</v>
      </c>
      <c r="G23" s="193">
        <f>'a22'!H50</f>
        <v>351623.4354821599</v>
      </c>
    </row>
    <row r="24" spans="1:7" s="119" customFormat="1" ht="16.5" x14ac:dyDescent="0.3">
      <c r="A24" s="196">
        <f>'a23'!A1</f>
        <v>23</v>
      </c>
      <c r="B24" s="195" t="str">
        <f>'a23'!B1</f>
        <v>Ազատությունից զրկված անձանց զբաղվածության ապահովում</v>
      </c>
      <c r="C24" s="192">
        <f t="shared" si="0"/>
        <v>3711.75</v>
      </c>
      <c r="D24" s="193">
        <f>'a23'!E50</f>
        <v>3711.75</v>
      </c>
      <c r="E24" s="193">
        <f>'a23'!F50</f>
        <v>0</v>
      </c>
      <c r="F24" s="193">
        <f>'a23'!G50</f>
        <v>0</v>
      </c>
      <c r="G24" s="193">
        <f>'a23'!H50</f>
        <v>0</v>
      </c>
    </row>
    <row r="25" spans="1:7" s="119" customFormat="1" ht="33" x14ac:dyDescent="0.3">
      <c r="A25" s="196">
        <f>'a24'!A1</f>
        <v>24</v>
      </c>
      <c r="B25" s="195" t="str">
        <f>'a24'!B1</f>
        <v xml:space="preserve">«Իրավախախտում կատարած անձանց գեղագիտական դաստիարակություն և կրթություն» ծրագրի շրջանակների ընդլայնում </v>
      </c>
      <c r="C25" s="192">
        <f t="shared" si="0"/>
        <v>742.35</v>
      </c>
      <c r="D25" s="193">
        <f>'a24'!E50</f>
        <v>742.35</v>
      </c>
      <c r="E25" s="193">
        <f>'a24'!F50</f>
        <v>0</v>
      </c>
      <c r="F25" s="193">
        <f>'a24'!G50</f>
        <v>0</v>
      </c>
      <c r="G25" s="193">
        <f>'a24'!H50</f>
        <v>0</v>
      </c>
    </row>
    <row r="26" spans="1:7" s="119" customFormat="1" ht="82.5" x14ac:dyDescent="0.3">
      <c r="A26" s="196">
        <f>'a25'!A1</f>
        <v>25</v>
      </c>
      <c r="B26" s="195" t="str">
        <f>'a25'!B1</f>
        <v>Դատապարտյալների, այդ թվում՝ պատժի կրումից պայմանական վաղաժամկետ ազատման համար  դիմած դատապարտյալների համար ազատազրկման ժամկետը (կամ պատժի կրումից պայմանական վաղաժամկետ ազատման համար նախատեսված ժամկետը) լրանալուց առնվազն վեց ամիս առաջ մասնագիտական ուսուցման դասընթացների անցկացում</v>
      </c>
      <c r="C26" s="192">
        <f t="shared" si="0"/>
        <v>77725.180167312472</v>
      </c>
      <c r="D26" s="193">
        <f>'a25'!E50</f>
        <v>20749.16352117647</v>
      </c>
      <c r="E26" s="193">
        <f>'a25'!F50</f>
        <v>18198.263999999999</v>
      </c>
      <c r="F26" s="193">
        <f>'a25'!G50</f>
        <v>18980.789351999996</v>
      </c>
      <c r="G26" s="193">
        <f>'a25'!H50</f>
        <v>19796.963294135996</v>
      </c>
    </row>
    <row r="27" spans="1:7" s="119" customFormat="1" ht="49.5" x14ac:dyDescent="0.3">
      <c r="A27" s="196">
        <f>'a26'!A1</f>
        <v>26</v>
      </c>
      <c r="B27" s="195" t="str">
        <f>'a26'!B1</f>
        <v>Ազատությունից զրկված անձանց (դատապարտյալների և /կամ կալանավորված անձանց) համար առցանց-հեռավար կրթական հարթակի պատրաստում, որի միջոցով հնարավոր կլինի այդ անձանց համար իրականացնել ֆորմալ և ոչ ֆորմալ կրթություն</v>
      </c>
      <c r="C27" s="192">
        <f t="shared" si="0"/>
        <v>97942.349999999991</v>
      </c>
      <c r="D27" s="193">
        <f>'a26'!E46</f>
        <v>86199.492857142861</v>
      </c>
      <c r="E27" s="193">
        <f>'a26'!F46</f>
        <v>5271.4285714285716</v>
      </c>
      <c r="F27" s="193">
        <f>'a26'!G46</f>
        <v>5271.4285714285716</v>
      </c>
      <c r="G27" s="193">
        <f>'a26'!H46</f>
        <v>1200</v>
      </c>
    </row>
    <row r="28" spans="1:7" s="119" customFormat="1" ht="33" x14ac:dyDescent="0.3">
      <c r="A28" s="196">
        <f>'a27'!A1</f>
        <v>27</v>
      </c>
      <c r="B28" s="195" t="str">
        <f>'a27'!B1</f>
        <v>Ազատությունից զրկված անձանց (դատապարտյալների և /կամ  կալանավորված անձանց) համար հանրակրթության իրականացում՝ անկախ տարիքից</v>
      </c>
      <c r="C28" s="192">
        <f t="shared" si="0"/>
        <v>127180.09573839998</v>
      </c>
      <c r="D28" s="193">
        <f>'a27'!E50</f>
        <v>0</v>
      </c>
      <c r="E28" s="193">
        <f>'a27'!F50</f>
        <v>40621.599999999999</v>
      </c>
      <c r="F28" s="193">
        <f>'a27'!G50</f>
        <v>42368.328799999996</v>
      </c>
      <c r="G28" s="193">
        <f>'a27'!H50</f>
        <v>44190.166938399991</v>
      </c>
    </row>
    <row r="29" spans="1:7" s="119" customFormat="1" ht="66" x14ac:dyDescent="0.3">
      <c r="A29" s="196">
        <f>'a28'!A1</f>
        <v>28</v>
      </c>
      <c r="B29" s="195" t="str">
        <f>'a28'!B1</f>
        <v>Ազատությունից զրկված անձանց (դատապարտյալների և /կամ  կալանավորված անձանց) ազատազրկման ժամկետը լրանալուց  հետո սոցիալական-իրավական հարցերով աջակցության տրամադրում (Երևանում և այլ համայնքներում վերականգնողական կենտրոնների գործունեության մոդելով)</v>
      </c>
      <c r="C29" s="192">
        <f t="shared" si="0"/>
        <v>129780.72873117647</v>
      </c>
      <c r="D29" s="193">
        <f>'a28'!E51</f>
        <v>31816.463521176469</v>
      </c>
      <c r="E29" s="193">
        <f>'a28'!F51</f>
        <v>31290</v>
      </c>
      <c r="F29" s="193">
        <f>'a28'!G51</f>
        <v>32635.469999999998</v>
      </c>
      <c r="G29" s="193">
        <f>'a28'!H51</f>
        <v>34038.795209999997</v>
      </c>
    </row>
    <row r="30" spans="1:7" s="119" customFormat="1" ht="33" x14ac:dyDescent="0.3">
      <c r="A30" s="196">
        <f>'a29'!A1</f>
        <v>29</v>
      </c>
      <c r="B30" s="195" t="str">
        <f>'a29'!B1</f>
        <v xml:space="preserve">Ընտանիքում բռնության գործադրման համար դատապարտված անձանց հետ վերականգնողական աշխատանքների իրականացում </v>
      </c>
      <c r="C30" s="192">
        <f t="shared" si="0"/>
        <v>28491.963618890622</v>
      </c>
      <c r="D30" s="193">
        <f>'a29'!E50</f>
        <v>16744.730179999999</v>
      </c>
      <c r="E30" s="193">
        <f>'a29'!F50</f>
        <v>3754.390625</v>
      </c>
      <c r="F30" s="193">
        <f>'a29'!G50</f>
        <v>3913.464421875</v>
      </c>
      <c r="G30" s="193">
        <f>'a29'!H50</f>
        <v>4079.3783920156243</v>
      </c>
    </row>
    <row r="31" spans="1:7" s="119" customFormat="1" ht="49.5" x14ac:dyDescent="0.3">
      <c r="A31" s="196">
        <f>'a31'!A1</f>
        <v>31</v>
      </c>
      <c r="B31" s="195" t="str">
        <f>'a31'!B1</f>
        <v>Քրեակատարողական հիմնարկներում ազատությունից զրկված հաշմանդամություն ունեցող անձանց  պահման  մատչելի պայմանների ապահովմանն ուղղված միջոցառումների իրականացում</v>
      </c>
      <c r="C31" s="192">
        <f t="shared" si="0"/>
        <v>61413.613282397651</v>
      </c>
      <c r="D31" s="193">
        <f>'a31'!E54</f>
        <v>52907.832344000002</v>
      </c>
      <c r="E31" s="193">
        <f>'a31'!F54</f>
        <v>2716.7649855989998</v>
      </c>
      <c r="F31" s="193">
        <f>'a31'!G54</f>
        <v>2833.585879979757</v>
      </c>
      <c r="G31" s="193">
        <f>'a31'!H54</f>
        <v>2955.4300728188864</v>
      </c>
    </row>
    <row r="32" spans="1:7" s="119" customFormat="1" ht="33" x14ac:dyDescent="0.3">
      <c r="A32" s="196">
        <f>'a32'!A1</f>
        <v>32</v>
      </c>
      <c r="B32" s="195" t="str">
        <f>'a32'!B1</f>
        <v>Ազատությունից զրկված և հատուկ պաշտպանության կարիք ունեցող անձանց իրավունքների երաշխավորում</v>
      </c>
      <c r="C32" s="192">
        <f t="shared" si="0"/>
        <v>41795.38700421041</v>
      </c>
      <c r="D32" s="193">
        <f>'a32'!E54</f>
        <v>8556.1156249999985</v>
      </c>
      <c r="E32" s="193">
        <f>'a32'!F54</f>
        <v>11143.662971874997</v>
      </c>
      <c r="F32" s="193">
        <f>'a32'!G54</f>
        <v>10815.275774515623</v>
      </c>
      <c r="G32" s="193">
        <f>'a32'!H54</f>
        <v>11280.332632819795</v>
      </c>
    </row>
    <row r="33" spans="1:7" s="119" customFormat="1" ht="33" x14ac:dyDescent="0.3">
      <c r="A33" s="196">
        <f>'a33'!A1</f>
        <v>33</v>
      </c>
      <c r="B33" s="195" t="str">
        <f>'a33'!B1</f>
        <v>Ազատությունից զրկված անձանց արտաքին աշխարհի հետ կապի իրավունքի պատշաճ իրացման ապահովում</v>
      </c>
      <c r="C33" s="192">
        <f t="shared" si="0"/>
        <v>27629.469999989655</v>
      </c>
      <c r="D33" s="193">
        <f>'a33'!E58</f>
        <v>17022.219250000002</v>
      </c>
      <c r="E33" s="193">
        <f>'a33'!F58</f>
        <v>3257.7843980000002</v>
      </c>
      <c r="F33" s="193">
        <f>'a33'!G58</f>
        <v>3531.8223723639999</v>
      </c>
      <c r="G33" s="193">
        <f>'a33'!H58</f>
        <v>3817.6439796256514</v>
      </c>
    </row>
    <row r="34" spans="1:7" s="119" customFormat="1" ht="16.5" x14ac:dyDescent="0.3">
      <c r="A34" s="196">
        <f>'a34'!A1</f>
        <v>34</v>
      </c>
      <c r="B34" s="195" t="str">
        <f>'a34'!B1</f>
        <v>Քրեակատարողական հիմնարկներում բժշկական ծառայության արդիականացում</v>
      </c>
      <c r="C34" s="192">
        <f t="shared" si="0"/>
        <v>736427.27176072239</v>
      </c>
      <c r="D34" s="193">
        <f>'a34'!E55</f>
        <v>256174.01235153846</v>
      </c>
      <c r="E34" s="193">
        <f>'a34'!F55</f>
        <v>159936.12320526</v>
      </c>
      <c r="F34" s="193">
        <f>'a34'!G55</f>
        <v>160082.32425468619</v>
      </c>
      <c r="G34" s="193">
        <f>'a34'!H55</f>
        <v>160234.81194923769</v>
      </c>
    </row>
    <row r="35" spans="1:7" s="119" customFormat="1" ht="33" x14ac:dyDescent="0.3">
      <c r="A35" s="196">
        <f>'a38'!A1</f>
        <v>38</v>
      </c>
      <c r="B35" s="195" t="str">
        <f>'a38'!B1</f>
        <v>Առանց ժամանակի կորստի ազատությունից զրկված անձանց ըստ անհրաժեշտության դեղերի տրամադրման գործընթացի արդյունավետության բարձրացում</v>
      </c>
      <c r="C35" s="192">
        <f t="shared" si="0"/>
        <v>3506.7</v>
      </c>
      <c r="D35" s="193">
        <f>'a38'!E54</f>
        <v>3506.7</v>
      </c>
      <c r="E35" s="193">
        <f>'a38'!F54</f>
        <v>0</v>
      </c>
      <c r="F35" s="193">
        <f>'a38'!G54</f>
        <v>0</v>
      </c>
      <c r="G35" s="193">
        <f>'a38'!H54</f>
        <v>0</v>
      </c>
    </row>
    <row r="36" spans="1:7" s="119" customFormat="1" ht="16.5" x14ac:dyDescent="0.3">
      <c r="A36" s="196">
        <f>'a39'!A1</f>
        <v>39</v>
      </c>
      <c r="B36" s="195" t="str">
        <f>'a39'!B1</f>
        <v>Ազատությունից զրկված անձանց դիետիկ սննդով ապահովում</v>
      </c>
      <c r="C36" s="192">
        <f t="shared" si="0"/>
        <v>35131.970730728703</v>
      </c>
      <c r="D36" s="193">
        <f>'a39'!E54</f>
        <v>11284.525000000001</v>
      </c>
      <c r="E36" s="193">
        <f>'a39'!F54</f>
        <v>11452.317574999999</v>
      </c>
      <c r="F36" s="193">
        <f>'a39'!G54</f>
        <v>6093.3882308999991</v>
      </c>
      <c r="G36" s="193">
        <f>'a39'!H54</f>
        <v>6301.7399248286993</v>
      </c>
    </row>
    <row r="37" spans="1:7" s="119" customFormat="1" ht="33" x14ac:dyDescent="0.3">
      <c r="A37" s="196">
        <f>'a40'!A1</f>
        <v>40</v>
      </c>
      <c r="B37" s="195" t="str">
        <f>'a40'!B1</f>
        <v>Քրեակատարողական հիմնարկներում մահվան, ինքնավնասման և ինքնասպանության դեպքերի կանխարգելում</v>
      </c>
      <c r="C37" s="192">
        <f t="shared" si="0"/>
        <v>55439.411019897962</v>
      </c>
      <c r="D37" s="193">
        <f>'a40'!E54</f>
        <v>17037.064908823526</v>
      </c>
      <c r="E37" s="193">
        <f>'a40'!F54</f>
        <v>12284.514243749998</v>
      </c>
      <c r="F37" s="193">
        <f>'a40'!G54</f>
        <v>12793.486764231247</v>
      </c>
      <c r="G37" s="193">
        <f>'a40'!H54</f>
        <v>13324.34510309319</v>
      </c>
    </row>
    <row r="38" spans="1:7" s="119" customFormat="1" ht="33" x14ac:dyDescent="0.3">
      <c r="A38" s="196">
        <f>'a41'!A1</f>
        <v>41</v>
      </c>
      <c r="B38" s="195" t="str">
        <f>'a41'!B1</f>
        <v>Քրեակատարողական հիմնարկներում մահվան, ինքնավնասման և ինքնասպանության դեպքերի կանխարգելում</v>
      </c>
      <c r="C38" s="192">
        <f t="shared" si="0"/>
        <v>10261.043521176471</v>
      </c>
      <c r="D38" s="193">
        <f>'a41'!E54</f>
        <v>10261.043521176471</v>
      </c>
      <c r="E38" s="193">
        <f>'a41'!F54</f>
        <v>0</v>
      </c>
      <c r="F38" s="193">
        <f>'a41'!G54</f>
        <v>0</v>
      </c>
      <c r="G38" s="193">
        <f>'a41'!H54</f>
        <v>0</v>
      </c>
    </row>
    <row r="39" spans="1:7" s="119" customFormat="1" ht="33" x14ac:dyDescent="0.3">
      <c r="A39" s="196">
        <f>'a42'!A1</f>
        <v>42</v>
      </c>
      <c r="B39" s="195" t="str">
        <f>'a42'!B1</f>
        <v>Ազատությունից զրկված անձանց տրամադրվող հոգեբանական ծառայության որակի բարձրացում</v>
      </c>
      <c r="C39" s="192">
        <f t="shared" si="0"/>
        <v>18042.250105687315</v>
      </c>
      <c r="D39" s="193">
        <f>'a42'!E55</f>
        <v>9168.0665423529408</v>
      </c>
      <c r="E39" s="193">
        <f>'a42'!F55</f>
        <v>3161.2488749999998</v>
      </c>
      <c r="F39" s="193">
        <f>'a42'!G55</f>
        <v>2806.6931531249998</v>
      </c>
      <c r="G39" s="193">
        <f>'a42'!H55</f>
        <v>2906.2415352093749</v>
      </c>
    </row>
    <row r="40" spans="1:7" s="119" customFormat="1" ht="33" x14ac:dyDescent="0.3">
      <c r="A40" s="196">
        <f>'a43'!A1</f>
        <v>43</v>
      </c>
      <c r="B40" s="195" t="str">
        <f>'a43'!B1</f>
        <v>Քրեակատարողական հիմնարկներում երկրորդային (հիվանդանոցային) բժշկական օգնության և սպասարկման տրամադրման պայմանների բարելավում</v>
      </c>
      <c r="C40" s="192">
        <f t="shared" si="0"/>
        <v>17010.919289010115</v>
      </c>
      <c r="D40" s="193">
        <f>'a43'!E54</f>
        <v>3625.05</v>
      </c>
      <c r="E40" s="193">
        <f>'a43'!F54</f>
        <v>5387.2766711764707</v>
      </c>
      <c r="F40" s="193">
        <f>'a43'!G54</f>
        <v>5487.1576366264708</v>
      </c>
      <c r="G40" s="193">
        <f>'a43'!H54</f>
        <v>2511.434981207175</v>
      </c>
    </row>
    <row r="41" spans="1:7" s="119" customFormat="1" ht="33" x14ac:dyDescent="0.3">
      <c r="A41" s="200">
        <f>'a44'!A1</f>
        <v>44</v>
      </c>
      <c r="B41" s="191" t="str">
        <f>'a44'!B1</f>
        <v>Քրեակատարողական և Պրոբացիայի ծառայությունների արդյունավետ համագործակցության մեխանիզմների ներդնում</v>
      </c>
      <c r="C41" s="192">
        <f t="shared" si="0"/>
        <v>9777.6603961764704</v>
      </c>
      <c r="D41" s="193">
        <f>'a44'!E54</f>
        <v>4193.5135211764709</v>
      </c>
      <c r="E41" s="193">
        <f>'a44'!F54</f>
        <v>5584.1468749999995</v>
      </c>
      <c r="F41" s="193">
        <f>'a44'!G54</f>
        <v>0</v>
      </c>
      <c r="G41" s="193">
        <f>'a44'!H54</f>
        <v>0</v>
      </c>
    </row>
    <row r="42" spans="1:7" s="119" customFormat="1" ht="17.25" thickBot="1" x14ac:dyDescent="0.35">
      <c r="A42" s="216"/>
      <c r="B42" s="217" t="s">
        <v>617</v>
      </c>
      <c r="C42" s="223">
        <f>SUBTOTAL(9,C7:C41)</f>
        <v>47797751.714789845</v>
      </c>
      <c r="D42" s="223">
        <f t="shared" ref="D42:G42" si="1">SUBTOTAL(9,D7:D41)</f>
        <v>13098390.046437683</v>
      </c>
      <c r="E42" s="223">
        <f t="shared" si="1"/>
        <v>16365831.604453595</v>
      </c>
      <c r="F42" s="223">
        <f t="shared" si="1"/>
        <v>12876548.497623049</v>
      </c>
      <c r="G42" s="223">
        <f t="shared" si="1"/>
        <v>5456981.566275524</v>
      </c>
    </row>
    <row r="43" spans="1:7" s="119" customFormat="1" ht="8.25" customHeight="1" x14ac:dyDescent="0.3">
      <c r="A43" s="219"/>
      <c r="B43" s="220"/>
      <c r="C43" s="221"/>
      <c r="D43" s="222"/>
      <c r="E43" s="222"/>
      <c r="F43" s="222"/>
      <c r="G43" s="222"/>
    </row>
    <row r="44" spans="1:7" s="119" customFormat="1" ht="16.5" x14ac:dyDescent="0.3">
      <c r="A44" s="201"/>
      <c r="B44" s="188" t="s">
        <v>578</v>
      </c>
      <c r="C44" s="189"/>
      <c r="D44" s="190"/>
      <c r="E44" s="190"/>
      <c r="F44" s="190"/>
      <c r="G44" s="190"/>
    </row>
    <row r="45" spans="1:7" s="119" customFormat="1" ht="33" x14ac:dyDescent="0.3">
      <c r="A45" s="196">
        <f>'a45'!A1</f>
        <v>45</v>
      </c>
      <c r="B45" s="195" t="str">
        <f>'a45'!B1</f>
        <v>Պրոբացիայի ծառայության գործունեության արդյունավետության բարձրացման համար օրենսդրական հիմքերի ամրագրում</v>
      </c>
      <c r="C45" s="192">
        <f>SUM(D45:G45)</f>
        <v>12582.472</v>
      </c>
      <c r="D45" s="193">
        <f>'a45'!E54</f>
        <v>12582.472</v>
      </c>
      <c r="E45" s="193">
        <f>'a45'!F54</f>
        <v>0</v>
      </c>
      <c r="F45" s="193">
        <f>'a45'!G54</f>
        <v>0</v>
      </c>
      <c r="G45" s="193">
        <f>'a45'!H54</f>
        <v>0</v>
      </c>
    </row>
    <row r="46" spans="1:7" s="119" customFormat="1" ht="33" x14ac:dyDescent="0.3">
      <c r="A46" s="200">
        <f>'a47'!A1</f>
        <v>47</v>
      </c>
      <c r="B46" s="195" t="str">
        <f>'a47'!B1</f>
        <v>Պրոբացիայի ծառայության կարգավիճակի վերանայում, սոցիալական երաշխիքների նախատեսում</v>
      </c>
      <c r="C46" s="192">
        <f t="shared" ref="C46:C60" si="2">SUM(D46:G46)</f>
        <v>324337.20600000001</v>
      </c>
      <c r="D46" s="193">
        <f>'a47'!E55</f>
        <v>79938.350000000006</v>
      </c>
      <c r="E46" s="193">
        <f>'a47'!F55</f>
        <v>79196</v>
      </c>
      <c r="F46" s="193">
        <f>'a47'!G55</f>
        <v>82601.427999999985</v>
      </c>
      <c r="G46" s="193">
        <f>'a47'!H55</f>
        <v>82601.427999999985</v>
      </c>
    </row>
    <row r="47" spans="1:7" s="119" customFormat="1" ht="33" x14ac:dyDescent="0.3">
      <c r="A47" s="200">
        <f>'a48'!A1</f>
        <v>48</v>
      </c>
      <c r="B47" s="195" t="str">
        <f>'a48'!B1</f>
        <v>Պրոբացիայի ծառայության գործունեության արդյունավետության բարձրացման համար տեխնիկական միջոցներով վերազինում</v>
      </c>
      <c r="C47" s="192">
        <f t="shared" si="2"/>
        <v>557951.50526806212</v>
      </c>
      <c r="D47" s="193">
        <f>'a48'!E56</f>
        <v>224878.495</v>
      </c>
      <c r="E47" s="193">
        <f>'a48'!F56</f>
        <v>107245.49</v>
      </c>
      <c r="F47" s="193">
        <f>'a48'!G56</f>
        <v>110963.408477</v>
      </c>
      <c r="G47" s="193">
        <f>'a48'!H56</f>
        <v>114864.1117910621</v>
      </c>
    </row>
    <row r="48" spans="1:7" s="119" customFormat="1" ht="49.5" x14ac:dyDescent="0.3">
      <c r="A48" s="200">
        <f>'a49'!A1</f>
        <v>49</v>
      </c>
      <c r="B48" s="195" t="str">
        <f>'a49'!B1</f>
        <v>Պրոբացիայի ծառայողների համար գործնական ուղեցույցների, ինչպես նաև Պրոբացիայի ծառայության անձնակազմի վերապատրաստման դասընթացների անցկացման մեթոդաբանության փոփոխություն և մեթոդական ձեռնարկի կիրառում</v>
      </c>
      <c r="C48" s="192">
        <f t="shared" si="2"/>
        <v>3026.2249999999999</v>
      </c>
      <c r="D48" s="193">
        <f>'a49'!E54</f>
        <v>3026.2249999999999</v>
      </c>
      <c r="E48" s="193">
        <f>'a49'!F54</f>
        <v>0</v>
      </c>
      <c r="F48" s="193">
        <f>'a49'!G54</f>
        <v>0</v>
      </c>
      <c r="G48" s="193">
        <f>'a49'!H54</f>
        <v>0</v>
      </c>
    </row>
    <row r="49" spans="1:7" s="119" customFormat="1" ht="16.5" x14ac:dyDescent="0.3">
      <c r="A49" s="200">
        <f>'a50'!A1</f>
        <v>50</v>
      </c>
      <c r="B49" s="195" t="str">
        <f>'a50'!B1</f>
        <v>Պրոբացիայի համակարգում էլեկտրոնային  կառավարման գործիքների կիրառման խթանում</v>
      </c>
      <c r="C49" s="192">
        <f t="shared" si="2"/>
        <v>146372.90399999998</v>
      </c>
      <c r="D49" s="193">
        <f>'a50'!E59</f>
        <v>112397.66399999999</v>
      </c>
      <c r="E49" s="193">
        <f>'a50'!F59</f>
        <v>33975.24</v>
      </c>
      <c r="F49" s="193">
        <f>'a50'!G59</f>
        <v>0</v>
      </c>
      <c r="G49" s="193">
        <f>'a50'!H59</f>
        <v>0</v>
      </c>
    </row>
    <row r="50" spans="1:7" s="119" customFormat="1" ht="33" x14ac:dyDescent="0.3">
      <c r="A50" s="200">
        <f>'a51'!A1</f>
        <v>51</v>
      </c>
      <c r="B50" s="195" t="str">
        <f>'a51'!B1</f>
        <v>Պրոբացիայի ծառայության կողմից էլեկտրոնային հսկողության համակարգի գործարկումմեթոդաբանության փոփոխություն և մեթոդական ձեռնարկի կիրառում</v>
      </c>
      <c r="C50" s="192">
        <f t="shared" si="2"/>
        <v>478779.96381365741</v>
      </c>
      <c r="D50" s="193">
        <f>'a51'!E59</f>
        <v>339855.97499999998</v>
      </c>
      <c r="E50" s="193">
        <f>'a51'!F59</f>
        <v>51157.590100000001</v>
      </c>
      <c r="F50" s="193">
        <f>'a51'!G59</f>
        <v>43333.371861799998</v>
      </c>
      <c r="G50" s="193">
        <f>'a51'!H59</f>
        <v>44433.026851857401</v>
      </c>
    </row>
    <row r="51" spans="1:7" s="119" customFormat="1" ht="16.5" x14ac:dyDescent="0.3">
      <c r="A51" s="200">
        <f>'a52'!A1</f>
        <v>52</v>
      </c>
      <c r="B51" s="195" t="str">
        <f>'a52'!B1</f>
        <v>Պրոբացիայի շահառուի ռիսկի նախնական գնահատման գործիքի (proxy tool) ներդնում</v>
      </c>
      <c r="C51" s="192">
        <f t="shared" si="2"/>
        <v>1418.75</v>
      </c>
      <c r="D51" s="193">
        <f>'a52'!E54</f>
        <v>1418.75</v>
      </c>
      <c r="E51" s="193">
        <f>'a52'!F54</f>
        <v>0</v>
      </c>
      <c r="F51" s="193">
        <f>'a52'!G54</f>
        <v>0</v>
      </c>
      <c r="G51" s="193">
        <f>'a52'!H54</f>
        <v>0</v>
      </c>
    </row>
    <row r="52" spans="1:7" s="119" customFormat="1" ht="16.5" x14ac:dyDescent="0.3">
      <c r="A52" s="200">
        <f>'a53'!A1</f>
        <v>53</v>
      </c>
      <c r="B52" s="195" t="str">
        <f>'a53'!B1</f>
        <v>Պրոբացիայի շահառուների ռիսկերի և կարիքների գնահատման գործիքի ներդնում</v>
      </c>
      <c r="C52" s="192">
        <f t="shared" si="2"/>
        <v>2837.5</v>
      </c>
      <c r="D52" s="193">
        <f>'a53'!E54</f>
        <v>2837.5</v>
      </c>
      <c r="E52" s="193">
        <f>'a53'!F54</f>
        <v>0</v>
      </c>
      <c r="F52" s="193">
        <f>'a53'!G54</f>
        <v>0</v>
      </c>
      <c r="G52" s="193">
        <f>'a53'!H54</f>
        <v>0</v>
      </c>
    </row>
    <row r="53" spans="1:7" s="119" customFormat="1" ht="33" x14ac:dyDescent="0.3">
      <c r="A53" s="200">
        <f>'a54'!A1</f>
        <v>54</v>
      </c>
      <c r="B53" s="195" t="str">
        <f>'a54'!B1</f>
        <v>Պրոբացիայի անչափահաս շահառուների ռիսկերի և կարիքների գնահատման գործիքի ներդնում</v>
      </c>
      <c r="C53" s="192">
        <f t="shared" si="2"/>
        <v>4322.2</v>
      </c>
      <c r="D53" s="193">
        <f>'a54'!E54</f>
        <v>4322.2</v>
      </c>
      <c r="E53" s="193">
        <f>'a54'!F54</f>
        <v>0</v>
      </c>
      <c r="F53" s="193">
        <f>'a54'!G54</f>
        <v>0</v>
      </c>
      <c r="G53" s="193">
        <f>'a54'!H54</f>
        <v>0</v>
      </c>
    </row>
    <row r="54" spans="1:7" s="119" customFormat="1" ht="33" x14ac:dyDescent="0.3">
      <c r="A54" s="200">
        <f>'a55'!A1</f>
        <v>55</v>
      </c>
      <c r="B54" s="195" t="str">
        <f>'a55'!B1</f>
        <v>Պատիժը կրելուց պայմանական վաղաժամկետ ազատման վերաբերյալ զեկույցի տրամադրման համար գնահատման գործիքի ներդնում</v>
      </c>
      <c r="C54" s="192">
        <f t="shared" si="2"/>
        <v>9490.1219999999994</v>
      </c>
      <c r="D54" s="193">
        <f>'a55'!E54</f>
        <v>9490.1219999999994</v>
      </c>
      <c r="E54" s="193">
        <f>'a55'!F54</f>
        <v>0</v>
      </c>
      <c r="F54" s="193">
        <f>'a55'!G54</f>
        <v>0</v>
      </c>
      <c r="G54" s="193">
        <f>'a55'!H54</f>
        <v>0</v>
      </c>
    </row>
    <row r="55" spans="1:7" s="119" customFormat="1" ht="66" x14ac:dyDescent="0.3">
      <c r="A55" s="200">
        <f>'a56'!A1</f>
        <v>56</v>
      </c>
      <c r="B55" s="195" t="str">
        <f>'a56'!B1</f>
        <v>Պրոբացիայի ծառայողներին պատիժը կրելուց պայմանական վաղաժամկետ ազատման վերաբերյալ զեկույցների կազմման համար (պրոբացիայի շահառուների բնակության վայր այցելություն, տուժողի հետ հանդիպում, այլ հաստատություններ այցելություններ և այլն) փոխհատուցման տրամադրման նախատեսում</v>
      </c>
      <c r="C55" s="192">
        <f t="shared" si="2"/>
        <v>8203.3686999999991</v>
      </c>
      <c r="D55" s="193">
        <f>'a56'!E54</f>
        <v>1825.528</v>
      </c>
      <c r="E55" s="193">
        <f>'a56'!F54</f>
        <v>2016.9221099999997</v>
      </c>
      <c r="F55" s="193">
        <f>'a56'!G54</f>
        <v>2126.9189759999995</v>
      </c>
      <c r="G55" s="193">
        <f>'a56'!H54</f>
        <v>2233.9996139999998</v>
      </c>
    </row>
    <row r="56" spans="1:7" s="119" customFormat="1" ht="33" x14ac:dyDescent="0.3">
      <c r="A56" s="200">
        <f>'a57'!A1</f>
        <v>57</v>
      </c>
      <c r="B56" s="195" t="str">
        <f>'a57'!B1</f>
        <v>Պրոբացիայի շահառուների վերասոցիալականացմանն ուղղված թիրախավորված միջոցառումների և ծրագրերի իրականացում և մեթոդաբանության փոփոխություն</v>
      </c>
      <c r="C56" s="192">
        <f t="shared" si="2"/>
        <v>12746.657999999999</v>
      </c>
      <c r="D56" s="193">
        <f>'a57'!E54</f>
        <v>12746.657999999999</v>
      </c>
      <c r="E56" s="193">
        <f>'a57'!F54</f>
        <v>0</v>
      </c>
      <c r="F56" s="193">
        <f>'a57'!G54</f>
        <v>0</v>
      </c>
      <c r="G56" s="193">
        <f>'a57'!H54</f>
        <v>0</v>
      </c>
    </row>
    <row r="57" spans="1:7" s="119" customFormat="1" ht="17.25" thickBot="1" x14ac:dyDescent="0.35">
      <c r="A57" s="216"/>
      <c r="B57" s="217" t="s">
        <v>580</v>
      </c>
      <c r="C57" s="218">
        <f>SUBTOTAL(9,C45:C56)</f>
        <v>1562068.8747817194</v>
      </c>
      <c r="D57" s="218">
        <f t="shared" ref="D57:G57" si="3">SUBTOTAL(9,D45:D56)</f>
        <v>805319.9389999999</v>
      </c>
      <c r="E57" s="218">
        <f t="shared" si="3"/>
        <v>273591.24221</v>
      </c>
      <c r="F57" s="218">
        <f t="shared" si="3"/>
        <v>239025.12731479996</v>
      </c>
      <c r="G57" s="218">
        <f t="shared" si="3"/>
        <v>244132.56625691947</v>
      </c>
    </row>
    <row r="58" spans="1:7" s="119" customFormat="1" ht="8.25" customHeight="1" x14ac:dyDescent="0.3">
      <c r="A58" s="213"/>
      <c r="B58" s="214"/>
      <c r="C58" s="215"/>
      <c r="D58" s="215"/>
      <c r="E58" s="215"/>
      <c r="F58" s="215"/>
      <c r="G58" s="215"/>
    </row>
    <row r="59" spans="1:7" s="119" customFormat="1" ht="16.5" x14ac:dyDescent="0.3">
      <c r="A59" s="201"/>
      <c r="B59" s="188" t="s">
        <v>615</v>
      </c>
      <c r="C59" s="189"/>
      <c r="D59" s="190"/>
      <c r="E59" s="190"/>
      <c r="F59" s="190"/>
      <c r="G59" s="190"/>
    </row>
    <row r="60" spans="1:7" s="119" customFormat="1" ht="33" x14ac:dyDescent="0.3">
      <c r="A60" s="202">
        <f>'a58'!A1</f>
        <v>58</v>
      </c>
      <c r="B60" s="195" t="str">
        <f>'a58'!B1</f>
        <v>Հանրային իրազեկման բարձրացում, արդարադատության շղթայում ընդգրկված մարմինների միջև արդյունավետ համագործակցության ապահովում</v>
      </c>
      <c r="C60" s="192">
        <f t="shared" si="2"/>
        <v>189392.5029704858</v>
      </c>
      <c r="D60" s="193">
        <f>'a58'!E54</f>
        <v>44226.05</v>
      </c>
      <c r="E60" s="193">
        <f>'a58'!F54</f>
        <v>57203.734199999999</v>
      </c>
      <c r="F60" s="193">
        <f>'a58'!G54</f>
        <v>44486.908820600001</v>
      </c>
      <c r="G60" s="193">
        <f>'a58'!H54</f>
        <v>43475.809949885799</v>
      </c>
    </row>
    <row r="61" spans="1:7" s="119" customFormat="1" ht="17.25" thickBot="1" x14ac:dyDescent="0.35">
      <c r="A61" s="216"/>
      <c r="B61" s="217" t="s">
        <v>616</v>
      </c>
      <c r="C61" s="218">
        <f>SUBTOTAL(9,C60)</f>
        <v>189392.5029704858</v>
      </c>
      <c r="D61" s="218">
        <f t="shared" ref="D61:G61" si="4">SUBTOTAL(9,D60)</f>
        <v>44226.05</v>
      </c>
      <c r="E61" s="218">
        <f t="shared" si="4"/>
        <v>57203.734199999999</v>
      </c>
      <c r="F61" s="218">
        <f t="shared" si="4"/>
        <v>44486.908820600001</v>
      </c>
      <c r="G61" s="218">
        <f t="shared" si="4"/>
        <v>43475.809949885799</v>
      </c>
    </row>
    <row r="62" spans="1:7" ht="6.75" customHeight="1" x14ac:dyDescent="0.25">
      <c r="A62" s="224"/>
      <c r="B62" s="225"/>
      <c r="C62" s="226"/>
      <c r="D62" s="227"/>
      <c r="E62" s="227"/>
      <c r="F62" s="227"/>
      <c r="G62" s="227"/>
    </row>
    <row r="63" spans="1:7" s="212" customFormat="1" ht="18" thickBot="1" x14ac:dyDescent="0.35">
      <c r="A63" s="203"/>
      <c r="B63" s="197" t="s">
        <v>219</v>
      </c>
      <c r="C63" s="198">
        <f>SUBTOTAL(9,C7:C62)</f>
        <v>49549213.092542052</v>
      </c>
      <c r="D63" s="199">
        <f>SUBTOTAL(9,D7:D62)</f>
        <v>13947936.035437681</v>
      </c>
      <c r="E63" s="199">
        <f>SUBTOTAL(9,E7:E62)</f>
        <v>16696626.580863597</v>
      </c>
      <c r="F63" s="199">
        <f>SUBTOTAL(9,F7:F62)</f>
        <v>13160060.533758448</v>
      </c>
      <c r="G63" s="199">
        <f>SUBTOTAL(9,G7:G62)</f>
        <v>5744589.9424823299</v>
      </c>
    </row>
  </sheetData>
  <pageMargins left="0.70866141732283472" right="0.70866141732283472" top="0.74803149606299213" bottom="0.74803149606299213" header="0.31496062992125984" footer="0.31496062992125984"/>
  <pageSetup paperSize="9" scale="61" fitToHeight="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5"/>
  <sheetViews>
    <sheetView workbookViewId="0">
      <selection activeCell="J3" sqref="J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02.75" customHeight="1" x14ac:dyDescent="0.3">
      <c r="A1" s="123">
        <v>1</v>
      </c>
      <c r="B1" s="126" t="s">
        <v>577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E63</f>
        <v>0</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E107</f>
        <v>0</v>
      </c>
      <c r="F25" s="44">
        <f t="shared" ref="F25:H25" si="13">F107</f>
        <v>0</v>
      </c>
      <c r="G25" s="44">
        <f t="shared" si="13"/>
        <v>0</v>
      </c>
      <c r="H25" s="44">
        <f t="shared" si="13"/>
        <v>0</v>
      </c>
    </row>
    <row r="26" spans="1:12" x14ac:dyDescent="0.25">
      <c r="B26" s="16" t="s">
        <v>25</v>
      </c>
      <c r="D26" s="44">
        <f t="shared" ref="D26" si="14">SUM(E26:H26)</f>
        <v>0</v>
      </c>
      <c r="E26" s="44">
        <f>E128</f>
        <v>0</v>
      </c>
      <c r="F26" s="44">
        <f t="shared" ref="F26:H26" si="15">F128</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E117</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E174</f>
        <v>0</v>
      </c>
      <c r="F40" s="44">
        <f t="shared" ref="F40:H40" si="20">F174</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E147</f>
        <v>0</v>
      </c>
      <c r="F46" s="44">
        <f t="shared" ref="F46:H46" si="23">F147</f>
        <v>0</v>
      </c>
      <c r="G46" s="44">
        <f t="shared" si="23"/>
        <v>0</v>
      </c>
      <c r="H46" s="44">
        <f t="shared" si="23"/>
        <v>0</v>
      </c>
    </row>
    <row r="47" spans="1:12" x14ac:dyDescent="0.25">
      <c r="A47" s="3"/>
      <c r="B47" s="3" t="s">
        <v>21</v>
      </c>
      <c r="C47" s="3"/>
      <c r="D47" s="44">
        <f t="shared" si="22"/>
        <v>3600</v>
      </c>
      <c r="E47" s="44">
        <f>E137</f>
        <v>3600</v>
      </c>
      <c r="F47" s="44">
        <f t="shared" ref="F47:H47" si="24">F137</f>
        <v>0</v>
      </c>
      <c r="G47" s="44">
        <f t="shared" si="24"/>
        <v>0</v>
      </c>
      <c r="H47" s="44">
        <f t="shared" si="24"/>
        <v>0</v>
      </c>
    </row>
    <row r="48" spans="1:12" ht="14.25" thickBot="1" x14ac:dyDescent="0.3">
      <c r="A48" s="13"/>
      <c r="B48" s="13" t="s">
        <v>69</v>
      </c>
      <c r="C48" s="13"/>
      <c r="D48" s="47">
        <f>SUBTOTAL(9,D46:D47)</f>
        <v>3600</v>
      </c>
      <c r="E48" s="47">
        <f>SUBTOTAL(9,E46:E47)</f>
        <v>3600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3600</v>
      </c>
      <c r="E50" s="49">
        <f>SUBTOTAL(9,E5:E48)</f>
        <v>3600</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hidden="1"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hidden="1" x14ac:dyDescent="0.25">
      <c r="A62" s="9"/>
      <c r="B62" s="9"/>
      <c r="C62" s="9"/>
    </row>
    <row r="63" spans="1:9" hidden="1" x14ac:dyDescent="0.25">
      <c r="B63" s="5" t="s">
        <v>23</v>
      </c>
      <c r="E63" s="44">
        <f>E64*E65</f>
        <v>0</v>
      </c>
      <c r="F63" s="44">
        <f t="shared" ref="F63:H63" si="25">F64*F65</f>
        <v>0</v>
      </c>
      <c r="G63" s="44">
        <f t="shared" si="25"/>
        <v>0</v>
      </c>
      <c r="H63" s="44">
        <f t="shared" si="25"/>
        <v>0</v>
      </c>
    </row>
    <row r="64" spans="1:9" hidden="1" x14ac:dyDescent="0.25">
      <c r="A64" s="9"/>
      <c r="B64" s="9" t="s">
        <v>114</v>
      </c>
      <c r="C64" s="9" t="s">
        <v>113</v>
      </c>
      <c r="E64" s="44">
        <v>0</v>
      </c>
      <c r="F64" s="44">
        <v>0</v>
      </c>
      <c r="G64" s="44">
        <v>0</v>
      </c>
      <c r="H64" s="44">
        <v>0</v>
      </c>
    </row>
    <row r="65" spans="1:12" hidden="1"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hidden="1" x14ac:dyDescent="0.25">
      <c r="A99" s="50"/>
      <c r="B99" s="50" t="s">
        <v>130</v>
      </c>
      <c r="C99" s="50"/>
      <c r="D99" s="52"/>
      <c r="E99" s="52">
        <f>E100*E101+E102*E103+E104*E105</f>
        <v>0</v>
      </c>
      <c r="F99" s="52">
        <f t="shared" ref="F99:H99" si="29">F100*F101+F102*F103+F104*F105</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f>E104*E105</f>
        <v>0</v>
      </c>
      <c r="F103" s="44">
        <v>0</v>
      </c>
      <c r="G103" s="44">
        <v>0</v>
      </c>
      <c r="H103" s="44">
        <v>0</v>
      </c>
    </row>
    <row r="104" spans="1:12" hidden="1" x14ac:dyDescent="0.25">
      <c r="B104" s="39" t="s">
        <v>203</v>
      </c>
      <c r="C104" s="5" t="s">
        <v>137</v>
      </c>
      <c r="G104" s="44"/>
      <c r="H104" s="44"/>
    </row>
    <row r="105" spans="1:12" hidden="1" x14ac:dyDescent="0.25">
      <c r="B105" s="39" t="s">
        <v>133</v>
      </c>
      <c r="E105" s="44">
        <v>0</v>
      </c>
      <c r="F105" s="44">
        <v>0</v>
      </c>
      <c r="G105" s="44">
        <v>0</v>
      </c>
      <c r="H105" s="44">
        <v>0</v>
      </c>
    </row>
    <row r="106" spans="1:12" hidden="1" x14ac:dyDescent="0.25">
      <c r="B106" s="39"/>
    </row>
    <row r="107" spans="1:12" hidden="1" x14ac:dyDescent="0.25">
      <c r="A107" s="50"/>
      <c r="B107" s="50" t="s">
        <v>24</v>
      </c>
      <c r="C107" s="50"/>
      <c r="D107" s="52"/>
      <c r="E107" s="52">
        <f>E108*E109</f>
        <v>0</v>
      </c>
      <c r="F107" s="52">
        <f t="shared" ref="F107:H107" si="31">F108*F109</f>
        <v>0</v>
      </c>
      <c r="G107" s="52">
        <f t="shared" si="31"/>
        <v>0</v>
      </c>
      <c r="H107" s="52">
        <f t="shared" si="31"/>
        <v>0</v>
      </c>
    </row>
    <row r="108" spans="1:12" s="7" customFormat="1" hidden="1" x14ac:dyDescent="0.25">
      <c r="A108" s="5"/>
      <c r="B108" s="39" t="s">
        <v>53</v>
      </c>
      <c r="C108" s="5"/>
      <c r="D108" s="44"/>
      <c r="E108" s="44">
        <v>0</v>
      </c>
      <c r="F108" s="44">
        <v>0</v>
      </c>
      <c r="G108" s="44"/>
      <c r="H108" s="44"/>
      <c r="I108" s="62"/>
      <c r="J108" s="6"/>
      <c r="K108" s="6"/>
      <c r="L108" s="6"/>
    </row>
    <row r="109" spans="1:12" s="7" customFormat="1" hidden="1" x14ac:dyDescent="0.25">
      <c r="A109" s="5"/>
      <c r="B109" s="39" t="s">
        <v>54</v>
      </c>
      <c r="C109" s="5"/>
      <c r="D109" s="44"/>
      <c r="E109" s="44">
        <f>'Rates and GI'!D25</f>
        <v>6</v>
      </c>
      <c r="F109" s="44">
        <f>E109*(1+index)</f>
        <v>6.2579999999999991</v>
      </c>
      <c r="G109" s="44">
        <f>F109*(1+index)</f>
        <v>6.5270939999999991</v>
      </c>
      <c r="H109" s="44">
        <f>G109*(1+index)</f>
        <v>6.8077590419999989</v>
      </c>
      <c r="I109" s="62"/>
      <c r="J109" s="6"/>
      <c r="K109" s="6"/>
      <c r="L109" s="6"/>
    </row>
    <row r="110" spans="1:12" hidden="1" x14ac:dyDescent="0.25"/>
    <row r="111" spans="1:12" hidden="1" x14ac:dyDescent="0.25">
      <c r="A111" s="50"/>
      <c r="B111" s="50" t="s">
        <v>7</v>
      </c>
      <c r="C111" s="50"/>
      <c r="D111" s="52"/>
      <c r="E111" s="52"/>
      <c r="F111" s="52"/>
      <c r="G111" s="52"/>
      <c r="H111" s="52"/>
    </row>
    <row r="112" spans="1:12" s="7" customFormat="1" hidden="1" x14ac:dyDescent="0.25">
      <c r="A112" s="5"/>
      <c r="B112" s="4" t="s">
        <v>57</v>
      </c>
      <c r="C112" s="5"/>
      <c r="D112" s="44"/>
      <c r="E112" s="44"/>
      <c r="F112" s="44"/>
      <c r="G112" s="38"/>
      <c r="H112" s="38"/>
      <c r="I112" s="62"/>
      <c r="J112" s="6"/>
      <c r="K112" s="6"/>
      <c r="L112" s="6"/>
    </row>
    <row r="113" spans="1:12" s="43" customFormat="1" hidden="1" x14ac:dyDescent="0.25">
      <c r="A113" s="40"/>
      <c r="B113" s="41" t="s">
        <v>58</v>
      </c>
      <c r="C113" s="40" t="s">
        <v>55</v>
      </c>
      <c r="D113" s="71"/>
      <c r="E113" s="71"/>
      <c r="F113" s="71"/>
      <c r="G113" s="72"/>
      <c r="H113" s="72"/>
      <c r="I113" s="75"/>
      <c r="J113" s="42"/>
      <c r="K113" s="42"/>
      <c r="L113" s="42"/>
    </row>
    <row r="114" spans="1:12" s="40" customFormat="1" hidden="1" x14ac:dyDescent="0.25">
      <c r="B114" s="41" t="s">
        <v>56</v>
      </c>
      <c r="D114" s="71"/>
      <c r="E114" s="71"/>
      <c r="F114" s="71"/>
      <c r="G114" s="72"/>
      <c r="H114" s="72"/>
      <c r="I114" s="75"/>
      <c r="J114" s="42"/>
      <c r="K114" s="42"/>
      <c r="L114" s="42"/>
    </row>
    <row r="115" spans="1:12" s="40" customFormat="1" hidden="1" x14ac:dyDescent="0.25">
      <c r="B115" s="41" t="s">
        <v>59</v>
      </c>
      <c r="D115" s="71"/>
      <c r="E115" s="71"/>
      <c r="F115" s="71"/>
      <c r="G115" s="72"/>
      <c r="H115" s="72"/>
      <c r="I115" s="75"/>
      <c r="J115" s="42"/>
      <c r="K115" s="42"/>
      <c r="L115" s="42"/>
    </row>
    <row r="116" spans="1:12" hidden="1" x14ac:dyDescent="0.25"/>
    <row r="117" spans="1:12" hidden="1" x14ac:dyDescent="0.25">
      <c r="A117" s="50"/>
      <c r="B117" s="50" t="s">
        <v>26</v>
      </c>
      <c r="C117" s="50"/>
      <c r="D117" s="52"/>
      <c r="E117" s="52">
        <f>E122*E123</f>
        <v>0</v>
      </c>
      <c r="F117" s="52">
        <f>F122*F123</f>
        <v>0</v>
      </c>
      <c r="G117" s="52"/>
      <c r="H117" s="52"/>
    </row>
    <row r="118" spans="1:12" s="5" customFormat="1" hidden="1" x14ac:dyDescent="0.25">
      <c r="B118" s="55" t="s">
        <v>60</v>
      </c>
      <c r="D118" s="44"/>
      <c r="E118" s="44"/>
      <c r="F118" s="44"/>
      <c r="G118" s="38"/>
      <c r="H118" s="38"/>
      <c r="I118" s="62"/>
      <c r="J118" s="6"/>
      <c r="K118" s="6"/>
      <c r="L118" s="6"/>
    </row>
    <row r="119" spans="1:12" s="5" customFormat="1" hidden="1" x14ac:dyDescent="0.25">
      <c r="B119" s="41" t="s">
        <v>147</v>
      </c>
      <c r="D119" s="44"/>
      <c r="E119" s="44"/>
      <c r="F119" s="44"/>
      <c r="G119" s="38"/>
      <c r="H119" s="38"/>
      <c r="I119" s="62"/>
      <c r="J119" s="6"/>
      <c r="K119" s="6"/>
      <c r="L119" s="6"/>
    </row>
    <row r="120" spans="1:12" s="5" customFormat="1" hidden="1" x14ac:dyDescent="0.25">
      <c r="B120" s="41" t="s">
        <v>146</v>
      </c>
      <c r="D120" s="44"/>
      <c r="E120" s="44"/>
      <c r="F120" s="44"/>
      <c r="G120" s="38"/>
      <c r="H120" s="38"/>
      <c r="I120" s="62"/>
      <c r="J120" s="6"/>
      <c r="K120" s="6"/>
      <c r="L120" s="6"/>
    </row>
    <row r="121" spans="1:12" s="5" customFormat="1" hidden="1" x14ac:dyDescent="0.25">
      <c r="B121" s="55" t="s">
        <v>123</v>
      </c>
      <c r="D121" s="44"/>
      <c r="E121" s="44"/>
      <c r="F121" s="44"/>
      <c r="G121" s="38"/>
      <c r="H121" s="38"/>
      <c r="I121" s="62"/>
      <c r="J121" s="6"/>
      <c r="K121" s="6"/>
      <c r="L121" s="6"/>
    </row>
    <row r="122" spans="1:12" s="5" customFormat="1" hidden="1" x14ac:dyDescent="0.25">
      <c r="B122" s="41" t="s">
        <v>147</v>
      </c>
      <c r="D122" s="44"/>
      <c r="E122" s="44">
        <f>'Rates and GI'!$D$31</f>
        <v>350</v>
      </c>
      <c r="F122" s="44">
        <f>'Rates and GI'!$D$31</f>
        <v>350</v>
      </c>
      <c r="G122" s="44">
        <f>'Rates and GI'!$D$31</f>
        <v>350</v>
      </c>
      <c r="H122" s="44">
        <f>'Rates and GI'!$D$31</f>
        <v>350</v>
      </c>
      <c r="I122" s="62"/>
      <c r="J122" s="6"/>
      <c r="K122" s="6"/>
      <c r="L122" s="6"/>
    </row>
    <row r="123" spans="1:12" s="5" customFormat="1" hidden="1" x14ac:dyDescent="0.25">
      <c r="B123" s="41" t="s">
        <v>146</v>
      </c>
      <c r="D123" s="44"/>
      <c r="E123" s="44">
        <v>0</v>
      </c>
      <c r="F123" s="44">
        <v>0</v>
      </c>
      <c r="G123" s="38"/>
      <c r="H123" s="38"/>
      <c r="I123" s="62"/>
      <c r="J123" s="6"/>
      <c r="K123" s="6"/>
      <c r="L123" s="6"/>
    </row>
    <row r="124" spans="1:12" s="5" customFormat="1" hidden="1" x14ac:dyDescent="0.25">
      <c r="B124" s="55" t="s">
        <v>8</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hidden="1" x14ac:dyDescent="0.25"/>
    <row r="128" spans="1:12" hidden="1" x14ac:dyDescent="0.25">
      <c r="A128" s="50"/>
      <c r="B128" s="50" t="s">
        <v>25</v>
      </c>
      <c r="C128" s="50"/>
      <c r="D128" s="52"/>
      <c r="E128" s="52">
        <f>E129+E132</f>
        <v>0</v>
      </c>
      <c r="F128" s="52">
        <f t="shared" ref="F128:H128" si="32">F129+F132</f>
        <v>0</v>
      </c>
      <c r="G128" s="52">
        <f t="shared" si="32"/>
        <v>0</v>
      </c>
      <c r="H128" s="52">
        <f t="shared" si="32"/>
        <v>0</v>
      </c>
    </row>
    <row r="129" spans="1:12" s="5" customFormat="1" hidden="1" x14ac:dyDescent="0.25">
      <c r="B129" s="5" t="s">
        <v>205</v>
      </c>
      <c r="D129" s="44"/>
      <c r="E129" s="44"/>
      <c r="F129" s="44">
        <v>0</v>
      </c>
      <c r="G129" s="38"/>
      <c r="H129" s="38"/>
      <c r="I129" s="62"/>
      <c r="J129" s="6"/>
      <c r="K129" s="6"/>
      <c r="L129" s="6"/>
    </row>
    <row r="130" spans="1:12" s="5" customFormat="1" hidden="1" x14ac:dyDescent="0.25">
      <c r="B130" s="41"/>
      <c r="D130" s="44"/>
      <c r="E130" s="44"/>
      <c r="F130" s="44"/>
      <c r="G130" s="38"/>
      <c r="H130" s="38"/>
      <c r="I130" s="62"/>
      <c r="J130" s="6"/>
      <c r="K130" s="6"/>
      <c r="L130" s="6"/>
    </row>
    <row r="131" spans="1:12" s="5" customFormat="1" hidden="1" x14ac:dyDescent="0.25">
      <c r="B131" s="41"/>
      <c r="D131" s="44"/>
      <c r="E131" s="44"/>
      <c r="F131" s="44"/>
      <c r="G131" s="38"/>
      <c r="H131" s="38"/>
      <c r="I131" s="62"/>
      <c r="J131" s="6"/>
      <c r="K131" s="6"/>
      <c r="L131" s="6"/>
    </row>
    <row r="132" spans="1:12" s="5" customFormat="1" hidden="1" x14ac:dyDescent="0.25">
      <c r="B132" s="5" t="s">
        <v>154</v>
      </c>
      <c r="D132" s="44"/>
      <c r="E132" s="44">
        <f>E133+E134*E135</f>
        <v>0</v>
      </c>
      <c r="F132" s="44">
        <f>F133+F134*F135</f>
        <v>0</v>
      </c>
      <c r="G132" s="44">
        <f t="shared" ref="G132:H132" si="33">G133+G134*G135</f>
        <v>0</v>
      </c>
      <c r="H132" s="44">
        <f t="shared" si="33"/>
        <v>0</v>
      </c>
      <c r="I132" s="73"/>
    </row>
    <row r="133" spans="1:12" hidden="1" x14ac:dyDescent="0.25">
      <c r="B133" s="41" t="s">
        <v>153</v>
      </c>
      <c r="F133" s="44">
        <f>'Rates and GI'!D46*0</f>
        <v>0</v>
      </c>
    </row>
    <row r="134" spans="1:12" hidden="1" x14ac:dyDescent="0.25">
      <c r="B134" s="41" t="s">
        <v>159</v>
      </c>
      <c r="E134" s="60">
        <f>'Rates and GI'!$D$48</f>
        <v>0.02</v>
      </c>
      <c r="F134" s="60">
        <f>'Rates and GI'!$D$48</f>
        <v>0.02</v>
      </c>
      <c r="G134" s="60">
        <f>'Rates and GI'!$D$48</f>
        <v>0.02</v>
      </c>
      <c r="H134" s="60">
        <f>'Rates and GI'!$D$48</f>
        <v>0.02</v>
      </c>
    </row>
    <row r="135" spans="1:12" hidden="1" x14ac:dyDescent="0.25">
      <c r="B135" s="41" t="s">
        <v>160</v>
      </c>
      <c r="E135" s="44">
        <v>0</v>
      </c>
      <c r="F135" s="44">
        <v>0</v>
      </c>
      <c r="G135" s="44">
        <v>0</v>
      </c>
      <c r="H135" s="44">
        <v>0</v>
      </c>
    </row>
    <row r="136" spans="1:12" s="5" customFormat="1" hidden="1" x14ac:dyDescent="0.25">
      <c r="B136" s="41"/>
      <c r="D136" s="44"/>
      <c r="E136" s="44"/>
      <c r="F136" s="44"/>
      <c r="G136" s="38"/>
      <c r="H136" s="38"/>
      <c r="I136" s="62"/>
      <c r="J136" s="6"/>
      <c r="K136" s="6"/>
      <c r="L136" s="6"/>
    </row>
    <row r="137" spans="1:12" x14ac:dyDescent="0.25">
      <c r="A137" s="50"/>
      <c r="B137" s="50" t="s">
        <v>21</v>
      </c>
      <c r="C137" s="50"/>
      <c r="D137" s="52"/>
      <c r="E137" s="52">
        <f>E138*E139+E140*E141++E142*E143+E144*E145</f>
        <v>3600</v>
      </c>
      <c r="F137" s="52">
        <f t="shared" ref="F137:H137" si="34">F138*F139+F140*F141++F142*F143+F144*F145</f>
        <v>0</v>
      </c>
      <c r="G137" s="52">
        <f t="shared" si="34"/>
        <v>0</v>
      </c>
      <c r="H137" s="52">
        <f t="shared" si="34"/>
        <v>0</v>
      </c>
    </row>
    <row r="138" spans="1:12" hidden="1" x14ac:dyDescent="0.25">
      <c r="B138" s="41" t="s">
        <v>150</v>
      </c>
      <c r="G138" s="44">
        <v>0</v>
      </c>
      <c r="H138" s="44"/>
    </row>
    <row r="139" spans="1:12" hidden="1" x14ac:dyDescent="0.25">
      <c r="B139" s="41" t="s">
        <v>151</v>
      </c>
      <c r="E139" s="44">
        <f>'Rates and GI'!$D$58</f>
        <v>5000</v>
      </c>
      <c r="F139" s="44">
        <f>'Rates and GI'!$D$58</f>
        <v>5000</v>
      </c>
      <c r="G139" s="44">
        <f>'Rates and GI'!$D$58</f>
        <v>5000</v>
      </c>
      <c r="H139" s="44">
        <f>'Rates and GI'!$D$58</f>
        <v>5000</v>
      </c>
    </row>
    <row r="140" spans="1:12" x14ac:dyDescent="0.25">
      <c r="B140" s="41" t="s">
        <v>148</v>
      </c>
      <c r="E140" s="44">
        <v>2</v>
      </c>
      <c r="F140" s="44">
        <v>0</v>
      </c>
      <c r="G140" s="44">
        <v>0</v>
      </c>
      <c r="H140" s="44">
        <v>0</v>
      </c>
    </row>
    <row r="141" spans="1:12" x14ac:dyDescent="0.25">
      <c r="B141" s="41" t="s">
        <v>149</v>
      </c>
      <c r="E141" s="44">
        <f>'Rates and GI'!$D$59</f>
        <v>1500</v>
      </c>
      <c r="F141" s="44">
        <f>'Rates and GI'!$D$59</f>
        <v>1500</v>
      </c>
      <c r="G141" s="44">
        <f>'Rates and GI'!$D$59</f>
        <v>1500</v>
      </c>
      <c r="H141" s="44">
        <f>'Rates and GI'!$D$59</f>
        <v>1500</v>
      </c>
    </row>
    <row r="142" spans="1:12" ht="27" x14ac:dyDescent="0.25">
      <c r="B142" s="63" t="s">
        <v>162</v>
      </c>
      <c r="E142" s="44">
        <v>3</v>
      </c>
      <c r="F142" s="44">
        <v>0</v>
      </c>
      <c r="G142" s="44">
        <v>0</v>
      </c>
      <c r="H142" s="44">
        <v>0</v>
      </c>
    </row>
    <row r="143" spans="1:12" ht="27" x14ac:dyDescent="0.25">
      <c r="A143" s="228"/>
      <c r="B143" s="229" t="s">
        <v>161</v>
      </c>
      <c r="C143" s="228"/>
      <c r="D143" s="230"/>
      <c r="E143" s="230">
        <f>'Rates and GI'!$D$60</f>
        <v>200</v>
      </c>
      <c r="F143" s="230">
        <f>'Rates and GI'!$D$60</f>
        <v>200</v>
      </c>
      <c r="G143" s="230">
        <f>'Rates and GI'!$D$60</f>
        <v>200</v>
      </c>
      <c r="H143" s="230">
        <f>'Rates and GI'!$D$60</f>
        <v>200</v>
      </c>
    </row>
    <row r="144" spans="1:12" s="5" customFormat="1" hidden="1" x14ac:dyDescent="0.25">
      <c r="B144" s="41" t="s">
        <v>217</v>
      </c>
      <c r="D144" s="44"/>
      <c r="E144" s="44">
        <v>0</v>
      </c>
      <c r="F144" s="44">
        <v>0</v>
      </c>
      <c r="G144" s="44">
        <v>0</v>
      </c>
      <c r="H144" s="44">
        <v>0</v>
      </c>
      <c r="I144" s="62"/>
      <c r="J144" s="6"/>
      <c r="K144" s="6"/>
      <c r="L144" s="6"/>
    </row>
    <row r="145" spans="1:12" s="5" customFormat="1" hidden="1" x14ac:dyDescent="0.25">
      <c r="B145" s="41" t="s">
        <v>214</v>
      </c>
      <c r="D145" s="44"/>
      <c r="E145" s="44">
        <f>'Rates and GI'!$D$61</f>
        <v>50</v>
      </c>
      <c r="F145" s="44">
        <f>'Rates and GI'!$D$61</f>
        <v>50</v>
      </c>
      <c r="G145" s="38">
        <f>'Rates and GI'!$D$61</f>
        <v>50</v>
      </c>
      <c r="H145" s="38">
        <f>'Rates and GI'!$D$61</f>
        <v>50</v>
      </c>
      <c r="I145" s="62"/>
      <c r="J145" s="6"/>
      <c r="K145" s="6"/>
      <c r="L145" s="6"/>
    </row>
    <row r="146" spans="1:12" hidden="1" x14ac:dyDescent="0.25">
      <c r="A146" s="50"/>
      <c r="B146" s="50"/>
      <c r="C146" s="50"/>
      <c r="D146" s="52"/>
      <c r="E146" s="52"/>
      <c r="F146" s="52"/>
      <c r="G146" s="52"/>
      <c r="H146" s="52"/>
    </row>
    <row r="147" spans="1:12" hidden="1" x14ac:dyDescent="0.25">
      <c r="A147" s="50"/>
      <c r="B147" s="50" t="s">
        <v>194</v>
      </c>
      <c r="C147" s="50"/>
      <c r="D147" s="52"/>
      <c r="E147" s="52">
        <f>E148+E151+E154+E163+E168</f>
        <v>0</v>
      </c>
      <c r="F147" s="52">
        <f t="shared" ref="F147:H147" si="35">F148+F151+F154+F163+F168</f>
        <v>0</v>
      </c>
      <c r="G147" s="52">
        <f t="shared" si="35"/>
        <v>0</v>
      </c>
      <c r="H147" s="52">
        <f t="shared" si="35"/>
        <v>0</v>
      </c>
    </row>
    <row r="148" spans="1:12" s="5" customFormat="1" hidden="1" x14ac:dyDescent="0.25">
      <c r="B148" s="5" t="s">
        <v>173</v>
      </c>
      <c r="D148" s="44"/>
      <c r="E148" s="44">
        <f>E149+E152*E153</f>
        <v>0</v>
      </c>
      <c r="F148" s="44">
        <f>F149+F152*F153</f>
        <v>0</v>
      </c>
      <c r="G148" s="44">
        <f>G149+G152*G153</f>
        <v>0</v>
      </c>
      <c r="H148" s="44">
        <f t="shared" ref="H148" si="36">H149+H152*H153</f>
        <v>0</v>
      </c>
      <c r="I148" s="73"/>
    </row>
    <row r="149" spans="1:12" hidden="1" x14ac:dyDescent="0.25">
      <c r="B149" s="41" t="s">
        <v>184</v>
      </c>
      <c r="F149" s="44">
        <f>('Rates and GI'!$D$45+'Rates and GI'!$D$49)*0</f>
        <v>0</v>
      </c>
      <c r="G149" s="44">
        <f>('Rates and GI'!$D$45+'Rates and GI'!$D$49)*0</f>
        <v>0</v>
      </c>
      <c r="H149" s="44"/>
    </row>
    <row r="150" spans="1:12" hidden="1" x14ac:dyDescent="0.25">
      <c r="B150" s="41" t="s">
        <v>187</v>
      </c>
      <c r="F150" s="44">
        <f>'Rates and GI'!$D$51*0</f>
        <v>0</v>
      </c>
      <c r="G150" s="44">
        <f>'Rates and GI'!$D$51*0</f>
        <v>0</v>
      </c>
      <c r="H150" s="44"/>
    </row>
    <row r="151" spans="1:12" hidden="1" x14ac:dyDescent="0.25">
      <c r="B151" s="5" t="s">
        <v>174</v>
      </c>
      <c r="E151" s="44">
        <f>E152*E153</f>
        <v>0</v>
      </c>
      <c r="F151" s="44">
        <f t="shared" ref="F151:H151" si="37">F152*F153</f>
        <v>0</v>
      </c>
      <c r="G151" s="44">
        <f t="shared" si="37"/>
        <v>0</v>
      </c>
      <c r="H151" s="44">
        <f t="shared" si="37"/>
        <v>0</v>
      </c>
    </row>
    <row r="152" spans="1:12" hidden="1" x14ac:dyDescent="0.25">
      <c r="B152" s="41" t="s">
        <v>164</v>
      </c>
      <c r="F152" s="44">
        <f>'Rates and GI'!$D$54</f>
        <v>24.066499999999998</v>
      </c>
      <c r="G152" s="44">
        <f>'Rates and GI'!$D$54</f>
        <v>24.066499999999998</v>
      </c>
      <c r="H152" s="44">
        <f>'Rates and GI'!$D$54</f>
        <v>24.066499999999998</v>
      </c>
    </row>
    <row r="153" spans="1:12" hidden="1" x14ac:dyDescent="0.25">
      <c r="B153" s="41" t="s">
        <v>163</v>
      </c>
      <c r="F153" s="44">
        <v>0</v>
      </c>
      <c r="G153" s="38">
        <v>0</v>
      </c>
      <c r="H153" s="38">
        <v>0</v>
      </c>
    </row>
    <row r="154" spans="1:12" hidden="1" x14ac:dyDescent="0.25">
      <c r="B154" s="5" t="s">
        <v>175</v>
      </c>
      <c r="E154" s="44">
        <f>E155+E159</f>
        <v>0</v>
      </c>
      <c r="F154" s="44">
        <f t="shared" ref="F154:H154" si="38">F155+F159</f>
        <v>0</v>
      </c>
      <c r="G154" s="44">
        <f t="shared" si="38"/>
        <v>0</v>
      </c>
      <c r="H154" s="44">
        <f t="shared" si="38"/>
        <v>0</v>
      </c>
    </row>
    <row r="155" spans="1:12" hidden="1" x14ac:dyDescent="0.25">
      <c r="B155" s="41" t="s">
        <v>189</v>
      </c>
      <c r="E155" s="44">
        <f>E156*E157</f>
        <v>0</v>
      </c>
      <c r="F155" s="44">
        <f t="shared" ref="F155:H155" si="39">F156*F157</f>
        <v>0</v>
      </c>
      <c r="G155" s="44">
        <f t="shared" si="39"/>
        <v>0</v>
      </c>
      <c r="H155" s="44">
        <f t="shared" si="39"/>
        <v>0</v>
      </c>
    </row>
    <row r="156" spans="1:12" hidden="1" x14ac:dyDescent="0.25">
      <c r="B156" s="41" t="s">
        <v>176</v>
      </c>
      <c r="C156" s="5" t="s">
        <v>177</v>
      </c>
      <c r="E156" s="44">
        <v>0</v>
      </c>
      <c r="F156" s="44">
        <v>0</v>
      </c>
      <c r="G156" s="38">
        <v>0</v>
      </c>
      <c r="H156" s="38">
        <v>0</v>
      </c>
    </row>
    <row r="157" spans="1:12" hidden="1" x14ac:dyDescent="0.25">
      <c r="B157" s="41" t="s">
        <v>178</v>
      </c>
      <c r="E157" s="44">
        <f>'Rates and GI'!$D$52</f>
        <v>150</v>
      </c>
      <c r="F157" s="44">
        <f>'Rates and GI'!$D$52</f>
        <v>150</v>
      </c>
      <c r="G157" s="44">
        <f>'Rates and GI'!$D$52</f>
        <v>150</v>
      </c>
      <c r="H157" s="44">
        <f>'Rates and GI'!$D$52</f>
        <v>150</v>
      </c>
    </row>
    <row r="158" spans="1:12" hidden="1" x14ac:dyDescent="0.25">
      <c r="B158" s="6"/>
    </row>
    <row r="159" spans="1:12" hidden="1" x14ac:dyDescent="0.25">
      <c r="B159" s="41" t="s">
        <v>190</v>
      </c>
      <c r="E159" s="44">
        <f>E160*E161</f>
        <v>0</v>
      </c>
      <c r="F159" s="44">
        <f t="shared" ref="F159:H159" si="40">F160*F161</f>
        <v>0</v>
      </c>
      <c r="G159" s="44">
        <f t="shared" si="40"/>
        <v>0</v>
      </c>
      <c r="H159" s="44">
        <f t="shared" si="40"/>
        <v>0</v>
      </c>
    </row>
    <row r="160" spans="1:12" hidden="1" x14ac:dyDescent="0.25">
      <c r="B160" s="41" t="s">
        <v>176</v>
      </c>
      <c r="C160" s="5" t="s">
        <v>177</v>
      </c>
      <c r="E160" s="44">
        <v>0</v>
      </c>
      <c r="F160" s="44">
        <v>0</v>
      </c>
      <c r="G160" s="38">
        <v>0</v>
      </c>
      <c r="H160" s="38">
        <v>0</v>
      </c>
    </row>
    <row r="161" spans="1:8" hidden="1" x14ac:dyDescent="0.25">
      <c r="B161" s="41" t="s">
        <v>178</v>
      </c>
      <c r="E161" s="44">
        <f>'Rates and GI'!$D$53</f>
        <v>20</v>
      </c>
      <c r="F161" s="44">
        <f>'Rates and GI'!$D$53</f>
        <v>20</v>
      </c>
      <c r="G161" s="44">
        <f>'Rates and GI'!$D$53</f>
        <v>20</v>
      </c>
      <c r="H161" s="44">
        <f>'Rates and GI'!$D$53</f>
        <v>20</v>
      </c>
    </row>
    <row r="162" spans="1:8" hidden="1" x14ac:dyDescent="0.25">
      <c r="B162" s="6"/>
    </row>
    <row r="163" spans="1:8" hidden="1" x14ac:dyDescent="0.25">
      <c r="B163" s="5" t="s">
        <v>179</v>
      </c>
      <c r="E163" s="44">
        <f>E164*E165*E166</f>
        <v>0</v>
      </c>
      <c r="F163" s="44">
        <f t="shared" ref="F163:H163" si="41">F164*F165*F166</f>
        <v>0</v>
      </c>
      <c r="G163" s="44">
        <f t="shared" si="41"/>
        <v>0</v>
      </c>
      <c r="H163" s="44">
        <f t="shared" si="41"/>
        <v>0</v>
      </c>
    </row>
    <row r="164" spans="1:8" hidden="1" x14ac:dyDescent="0.25">
      <c r="B164" s="41" t="s">
        <v>191</v>
      </c>
      <c r="F164" s="44">
        <f>'Rates and GI'!$D$55</f>
        <v>300</v>
      </c>
      <c r="G164" s="44">
        <f>'Rates and GI'!$D$55</f>
        <v>300</v>
      </c>
      <c r="H164" s="44">
        <f>'Rates and GI'!$D$55</f>
        <v>300</v>
      </c>
    </row>
    <row r="165" spans="1:8" hidden="1" x14ac:dyDescent="0.25">
      <c r="B165" s="41" t="s">
        <v>192</v>
      </c>
      <c r="F165" s="44">
        <v>3</v>
      </c>
      <c r="G165" s="44">
        <v>3</v>
      </c>
      <c r="H165" s="44">
        <v>3</v>
      </c>
    </row>
    <row r="166" spans="1:8" hidden="1" x14ac:dyDescent="0.25">
      <c r="B166" s="41" t="s">
        <v>193</v>
      </c>
      <c r="F166" s="44">
        <v>0</v>
      </c>
      <c r="G166" s="44">
        <v>0</v>
      </c>
      <c r="H166" s="44">
        <v>0</v>
      </c>
    </row>
    <row r="167" spans="1:8" hidden="1" x14ac:dyDescent="0.25"/>
    <row r="168" spans="1:8" hidden="1" x14ac:dyDescent="0.25">
      <c r="B168" s="5" t="s">
        <v>172</v>
      </c>
      <c r="E168" s="44">
        <f>E169+E170*E171</f>
        <v>0</v>
      </c>
      <c r="F168" s="44">
        <f>F169+F170*F171</f>
        <v>0</v>
      </c>
      <c r="G168" s="44">
        <f>G169+G170*G171</f>
        <v>0</v>
      </c>
      <c r="H168" s="44">
        <f>H169+H170*H171</f>
        <v>0</v>
      </c>
    </row>
    <row r="169" spans="1:8" hidden="1" x14ac:dyDescent="0.25">
      <c r="B169" s="41" t="s">
        <v>153</v>
      </c>
      <c r="F169" s="44">
        <f>'Rates and GI'!D46*0</f>
        <v>0</v>
      </c>
    </row>
    <row r="170" spans="1:8" hidden="1" x14ac:dyDescent="0.25">
      <c r="B170" s="41" t="s">
        <v>159</v>
      </c>
      <c r="F170" s="65">
        <f>'Rates and GI'!$D$47</f>
        <v>0.05</v>
      </c>
      <c r="G170" s="65">
        <f>'Rates and GI'!$D$47</f>
        <v>0.05</v>
      </c>
      <c r="H170" s="65">
        <f>'Rates and GI'!$D$47</f>
        <v>0.05</v>
      </c>
    </row>
    <row r="171" spans="1:8" hidden="1" x14ac:dyDescent="0.25">
      <c r="B171" s="41" t="s">
        <v>160</v>
      </c>
      <c r="F171" s="44">
        <v>0</v>
      </c>
      <c r="G171" s="38">
        <v>0</v>
      </c>
    </row>
    <row r="172" spans="1:8" hidden="1" x14ac:dyDescent="0.25"/>
    <row r="173" spans="1:8" hidden="1" x14ac:dyDescent="0.25"/>
    <row r="174" spans="1:8" hidden="1" x14ac:dyDescent="0.25">
      <c r="A174" s="50"/>
      <c r="B174" s="50" t="s">
        <v>19</v>
      </c>
      <c r="C174" s="50"/>
      <c r="D174" s="52"/>
      <c r="E174" s="52">
        <v>0</v>
      </c>
      <c r="F174" s="52">
        <v>0</v>
      </c>
      <c r="G174" s="52">
        <v>0</v>
      </c>
      <c r="H174" s="52">
        <v>0</v>
      </c>
    </row>
    <row r="175" spans="1:8" hidden="1" x14ac:dyDescent="0.25"/>
  </sheetData>
  <pageMargins left="0.7" right="0.7" top="0.75" bottom="0.75" header="0.3" footer="0.3"/>
  <pageSetup paperSize="9" scale="56"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5"/>
  <sheetViews>
    <sheetView topLeftCell="A49" workbookViewId="0">
      <selection activeCell="B182" sqref="B181:B182"/>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43.5" customHeight="1" x14ac:dyDescent="0.3">
      <c r="A1" s="123">
        <v>2</v>
      </c>
      <c r="B1" s="126" t="s">
        <v>234</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E63</f>
        <v>0</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E107</f>
        <v>0</v>
      </c>
      <c r="F25" s="44">
        <f t="shared" ref="F25:H25" si="13">F107</f>
        <v>0</v>
      </c>
      <c r="G25" s="44">
        <f t="shared" si="13"/>
        <v>0</v>
      </c>
      <c r="H25" s="44">
        <f t="shared" si="13"/>
        <v>0</v>
      </c>
    </row>
    <row r="26" spans="1:12" x14ac:dyDescent="0.25">
      <c r="B26" s="16" t="s">
        <v>25</v>
      </c>
      <c r="D26" s="44">
        <f t="shared" ref="D26" si="14">SUM(E26:H26)</f>
        <v>0</v>
      </c>
      <c r="E26" s="44">
        <f>E128</f>
        <v>0</v>
      </c>
      <c r="F26" s="44">
        <f t="shared" ref="F26:H26" si="15">F128</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E117</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E174</f>
        <v>0</v>
      </c>
      <c r="F40" s="44">
        <f t="shared" ref="F40:H40" si="20">F174</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E147</f>
        <v>0</v>
      </c>
      <c r="F46" s="44">
        <f t="shared" ref="F46:H46" si="23">F147</f>
        <v>0</v>
      </c>
      <c r="G46" s="44">
        <f t="shared" si="23"/>
        <v>0</v>
      </c>
      <c r="H46" s="44">
        <f t="shared" si="23"/>
        <v>0</v>
      </c>
    </row>
    <row r="47" spans="1:12" x14ac:dyDescent="0.25">
      <c r="A47" s="3"/>
      <c r="B47" s="3" t="s">
        <v>21</v>
      </c>
      <c r="C47" s="3"/>
      <c r="D47" s="44">
        <f t="shared" si="22"/>
        <v>7600</v>
      </c>
      <c r="E47" s="44">
        <f>E137</f>
        <v>7600</v>
      </c>
      <c r="F47" s="44">
        <f t="shared" ref="F47:H47" si="24">F137</f>
        <v>0</v>
      </c>
      <c r="G47" s="44">
        <f t="shared" si="24"/>
        <v>0</v>
      </c>
      <c r="H47" s="44">
        <f t="shared" si="24"/>
        <v>0</v>
      </c>
    </row>
    <row r="48" spans="1:12" ht="14.25" thickBot="1" x14ac:dyDescent="0.3">
      <c r="A48" s="13"/>
      <c r="B48" s="13" t="s">
        <v>69</v>
      </c>
      <c r="C48" s="13"/>
      <c r="D48" s="47">
        <f>SUBTOTAL(9,D46:D47)</f>
        <v>7600</v>
      </c>
      <c r="E48" s="47">
        <f>SUBTOTAL(9,E46:E47)</f>
        <v>7600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7600</v>
      </c>
      <c r="E50" s="49">
        <f>SUBTOTAL(9,E5:E48)</f>
        <v>7600</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hidden="1"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hidden="1" x14ac:dyDescent="0.25">
      <c r="A62" s="9"/>
      <c r="B62" s="9"/>
      <c r="C62" s="9"/>
    </row>
    <row r="63" spans="1:9" hidden="1" x14ac:dyDescent="0.25">
      <c r="B63" s="5" t="s">
        <v>23</v>
      </c>
      <c r="E63" s="44">
        <f>E64*E65</f>
        <v>0</v>
      </c>
      <c r="F63" s="44">
        <f t="shared" ref="F63:H63" si="25">F64*F65</f>
        <v>0</v>
      </c>
      <c r="G63" s="44">
        <f t="shared" si="25"/>
        <v>0</v>
      </c>
      <c r="H63" s="44">
        <f t="shared" si="25"/>
        <v>0</v>
      </c>
    </row>
    <row r="64" spans="1:9" hidden="1" x14ac:dyDescent="0.25">
      <c r="A64" s="9"/>
      <c r="B64" s="9" t="s">
        <v>114</v>
      </c>
      <c r="C64" s="9" t="s">
        <v>113</v>
      </c>
      <c r="E64" s="44">
        <v>0</v>
      </c>
      <c r="F64" s="44">
        <v>0</v>
      </c>
      <c r="G64" s="44">
        <v>0</v>
      </c>
      <c r="H64" s="44">
        <v>0</v>
      </c>
    </row>
    <row r="65" spans="1:12" hidden="1"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hidden="1" x14ac:dyDescent="0.25">
      <c r="A99" s="50"/>
      <c r="B99" s="50" t="s">
        <v>130</v>
      </c>
      <c r="C99" s="50"/>
      <c r="D99" s="52"/>
      <c r="E99" s="52">
        <f>E100*E101+E102*E103+E104*E105</f>
        <v>0</v>
      </c>
      <c r="F99" s="52">
        <f t="shared" ref="F99:H99" si="29">F100*F101+F102*F103+F104*F105</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f>E104*E105</f>
        <v>0</v>
      </c>
      <c r="F103" s="44">
        <v>0</v>
      </c>
      <c r="G103" s="44">
        <v>0</v>
      </c>
      <c r="H103" s="44">
        <v>0</v>
      </c>
    </row>
    <row r="104" spans="1:12" hidden="1" x14ac:dyDescent="0.25">
      <c r="B104" s="39" t="s">
        <v>203</v>
      </c>
      <c r="C104" s="5" t="s">
        <v>137</v>
      </c>
      <c r="G104" s="44"/>
      <c r="H104" s="44"/>
    </row>
    <row r="105" spans="1:12" hidden="1" x14ac:dyDescent="0.25">
      <c r="B105" s="39" t="s">
        <v>133</v>
      </c>
      <c r="E105" s="44">
        <v>0</v>
      </c>
      <c r="F105" s="44">
        <v>0</v>
      </c>
      <c r="G105" s="44">
        <v>0</v>
      </c>
      <c r="H105" s="44">
        <v>0</v>
      </c>
    </row>
    <row r="106" spans="1:12" hidden="1" x14ac:dyDescent="0.25">
      <c r="B106" s="39"/>
    </row>
    <row r="107" spans="1:12" hidden="1" x14ac:dyDescent="0.25">
      <c r="A107" s="50"/>
      <c r="B107" s="50" t="s">
        <v>24</v>
      </c>
      <c r="C107" s="50"/>
      <c r="D107" s="52"/>
      <c r="E107" s="52">
        <f>E108*E109</f>
        <v>0</v>
      </c>
      <c r="F107" s="52">
        <f t="shared" ref="F107:H107" si="31">F108*F109</f>
        <v>0</v>
      </c>
      <c r="G107" s="52">
        <f t="shared" si="31"/>
        <v>0</v>
      </c>
      <c r="H107" s="52">
        <f t="shared" si="31"/>
        <v>0</v>
      </c>
    </row>
    <row r="108" spans="1:12" s="7" customFormat="1" hidden="1" x14ac:dyDescent="0.25">
      <c r="A108" s="5"/>
      <c r="B108" s="39" t="s">
        <v>53</v>
      </c>
      <c r="C108" s="5"/>
      <c r="D108" s="44"/>
      <c r="E108" s="44">
        <v>0</v>
      </c>
      <c r="F108" s="44">
        <v>0</v>
      </c>
      <c r="G108" s="44"/>
      <c r="H108" s="44"/>
      <c r="I108" s="62"/>
      <c r="J108" s="6"/>
      <c r="K108" s="6"/>
      <c r="L108" s="6"/>
    </row>
    <row r="109" spans="1:12" s="7" customFormat="1" hidden="1" x14ac:dyDescent="0.25">
      <c r="A109" s="5"/>
      <c r="B109" s="39" t="s">
        <v>54</v>
      </c>
      <c r="C109" s="5"/>
      <c r="D109" s="44"/>
      <c r="E109" s="44">
        <f>'Rates and GI'!D25</f>
        <v>6</v>
      </c>
      <c r="F109" s="44">
        <f>E109*(1+index)</f>
        <v>6.2579999999999991</v>
      </c>
      <c r="G109" s="44">
        <f>F109*(1+index)</f>
        <v>6.5270939999999991</v>
      </c>
      <c r="H109" s="44">
        <f>G109*(1+index)</f>
        <v>6.8077590419999989</v>
      </c>
      <c r="I109" s="62"/>
      <c r="J109" s="6"/>
      <c r="K109" s="6"/>
      <c r="L109" s="6"/>
    </row>
    <row r="110" spans="1:12" hidden="1" x14ac:dyDescent="0.25"/>
    <row r="111" spans="1:12" hidden="1" x14ac:dyDescent="0.25">
      <c r="A111" s="50"/>
      <c r="B111" s="50" t="s">
        <v>7</v>
      </c>
      <c r="C111" s="50"/>
      <c r="D111" s="52"/>
      <c r="E111" s="52"/>
      <c r="F111" s="52"/>
      <c r="G111" s="52"/>
      <c r="H111" s="52"/>
    </row>
    <row r="112" spans="1:12" s="7" customFormat="1" hidden="1" x14ac:dyDescent="0.25">
      <c r="A112" s="5"/>
      <c r="B112" s="4" t="s">
        <v>57</v>
      </c>
      <c r="C112" s="5"/>
      <c r="D112" s="44"/>
      <c r="E112" s="44"/>
      <c r="F112" s="44"/>
      <c r="G112" s="38"/>
      <c r="H112" s="38"/>
      <c r="I112" s="62"/>
      <c r="J112" s="6"/>
      <c r="K112" s="6"/>
      <c r="L112" s="6"/>
    </row>
    <row r="113" spans="1:12" s="43" customFormat="1" hidden="1" x14ac:dyDescent="0.25">
      <c r="A113" s="40"/>
      <c r="B113" s="41" t="s">
        <v>58</v>
      </c>
      <c r="C113" s="40" t="s">
        <v>55</v>
      </c>
      <c r="D113" s="71"/>
      <c r="E113" s="71"/>
      <c r="F113" s="71"/>
      <c r="G113" s="72"/>
      <c r="H113" s="72"/>
      <c r="I113" s="75"/>
      <c r="J113" s="42"/>
      <c r="K113" s="42"/>
      <c r="L113" s="42"/>
    </row>
    <row r="114" spans="1:12" s="40" customFormat="1" hidden="1" x14ac:dyDescent="0.25">
      <c r="B114" s="41" t="s">
        <v>56</v>
      </c>
      <c r="D114" s="71"/>
      <c r="E114" s="71"/>
      <c r="F114" s="71"/>
      <c r="G114" s="72"/>
      <c r="H114" s="72"/>
      <c r="I114" s="75"/>
      <c r="J114" s="42"/>
      <c r="K114" s="42"/>
      <c r="L114" s="42"/>
    </row>
    <row r="115" spans="1:12" s="40" customFormat="1" hidden="1" x14ac:dyDescent="0.25">
      <c r="B115" s="41" t="s">
        <v>59</v>
      </c>
      <c r="D115" s="71"/>
      <c r="E115" s="71"/>
      <c r="F115" s="71"/>
      <c r="G115" s="72"/>
      <c r="H115" s="72"/>
      <c r="I115" s="75"/>
      <c r="J115" s="42"/>
      <c r="K115" s="42"/>
      <c r="L115" s="42"/>
    </row>
    <row r="116" spans="1:12" hidden="1" x14ac:dyDescent="0.25"/>
    <row r="117" spans="1:12" hidden="1" x14ac:dyDescent="0.25">
      <c r="A117" s="50"/>
      <c r="B117" s="50" t="s">
        <v>26</v>
      </c>
      <c r="C117" s="50"/>
      <c r="D117" s="52"/>
      <c r="E117" s="52">
        <f>E122*E123</f>
        <v>0</v>
      </c>
      <c r="F117" s="52">
        <f>F122*F123</f>
        <v>0</v>
      </c>
      <c r="G117" s="52"/>
      <c r="H117" s="52"/>
    </row>
    <row r="118" spans="1:12" s="5" customFormat="1" hidden="1" x14ac:dyDescent="0.25">
      <c r="B118" s="55" t="s">
        <v>60</v>
      </c>
      <c r="D118" s="44"/>
      <c r="E118" s="44"/>
      <c r="F118" s="44"/>
      <c r="G118" s="38"/>
      <c r="H118" s="38"/>
      <c r="I118" s="62"/>
      <c r="J118" s="6"/>
      <c r="K118" s="6"/>
      <c r="L118" s="6"/>
    </row>
    <row r="119" spans="1:12" s="5" customFormat="1" hidden="1" x14ac:dyDescent="0.25">
      <c r="B119" s="41" t="s">
        <v>147</v>
      </c>
      <c r="D119" s="44"/>
      <c r="E119" s="44"/>
      <c r="F119" s="44"/>
      <c r="G119" s="38"/>
      <c r="H119" s="38"/>
      <c r="I119" s="62"/>
      <c r="J119" s="6"/>
      <c r="K119" s="6"/>
      <c r="L119" s="6"/>
    </row>
    <row r="120" spans="1:12" s="5" customFormat="1" hidden="1" x14ac:dyDescent="0.25">
      <c r="B120" s="41" t="s">
        <v>146</v>
      </c>
      <c r="D120" s="44"/>
      <c r="E120" s="44"/>
      <c r="F120" s="44"/>
      <c r="G120" s="38"/>
      <c r="H120" s="38"/>
      <c r="I120" s="62"/>
      <c r="J120" s="6"/>
      <c r="K120" s="6"/>
      <c r="L120" s="6"/>
    </row>
    <row r="121" spans="1:12" s="5" customFormat="1" hidden="1" x14ac:dyDescent="0.25">
      <c r="B121" s="55" t="s">
        <v>123</v>
      </c>
      <c r="D121" s="44"/>
      <c r="E121" s="44"/>
      <c r="F121" s="44"/>
      <c r="G121" s="38"/>
      <c r="H121" s="38"/>
      <c r="I121" s="62"/>
      <c r="J121" s="6"/>
      <c r="K121" s="6"/>
      <c r="L121" s="6"/>
    </row>
    <row r="122" spans="1:12" s="5" customFormat="1" hidden="1" x14ac:dyDescent="0.25">
      <c r="B122" s="41" t="s">
        <v>147</v>
      </c>
      <c r="D122" s="44"/>
      <c r="E122" s="44">
        <f>'Rates and GI'!$D$31</f>
        <v>350</v>
      </c>
      <c r="F122" s="44">
        <f>'Rates and GI'!$D$31</f>
        <v>350</v>
      </c>
      <c r="G122" s="44">
        <f>'Rates and GI'!$D$31</f>
        <v>350</v>
      </c>
      <c r="H122" s="44">
        <f>'Rates and GI'!$D$31</f>
        <v>350</v>
      </c>
      <c r="I122" s="62"/>
      <c r="J122" s="6"/>
      <c r="K122" s="6"/>
      <c r="L122" s="6"/>
    </row>
    <row r="123" spans="1:12" s="5" customFormat="1" hidden="1" x14ac:dyDescent="0.25">
      <c r="B123" s="41" t="s">
        <v>146</v>
      </c>
      <c r="D123" s="44"/>
      <c r="E123" s="44">
        <v>0</v>
      </c>
      <c r="F123" s="44">
        <v>0</v>
      </c>
      <c r="G123" s="38"/>
      <c r="H123" s="38"/>
      <c r="I123" s="62"/>
      <c r="J123" s="6"/>
      <c r="K123" s="6"/>
      <c r="L123" s="6"/>
    </row>
    <row r="124" spans="1:12" s="5" customFormat="1" hidden="1" x14ac:dyDescent="0.25">
      <c r="B124" s="55" t="s">
        <v>8</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hidden="1" x14ac:dyDescent="0.25"/>
    <row r="128" spans="1:12" hidden="1" x14ac:dyDescent="0.25">
      <c r="A128" s="50"/>
      <c r="B128" s="50" t="s">
        <v>25</v>
      </c>
      <c r="C128" s="50"/>
      <c r="D128" s="52"/>
      <c r="E128" s="52">
        <f>E129+E132</f>
        <v>0</v>
      </c>
      <c r="F128" s="52">
        <f t="shared" ref="F128:H128" si="32">F129+F132</f>
        <v>0</v>
      </c>
      <c r="G128" s="52">
        <f t="shared" si="32"/>
        <v>0</v>
      </c>
      <c r="H128" s="52">
        <f t="shared" si="32"/>
        <v>0</v>
      </c>
    </row>
    <row r="129" spans="1:12" s="5" customFormat="1" hidden="1" x14ac:dyDescent="0.25">
      <c r="B129" s="5" t="s">
        <v>205</v>
      </c>
      <c r="D129" s="44"/>
      <c r="E129" s="44"/>
      <c r="F129" s="44">
        <v>0</v>
      </c>
      <c r="G129" s="38"/>
      <c r="H129" s="38"/>
      <c r="I129" s="62"/>
      <c r="J129" s="6"/>
      <c r="K129" s="6"/>
      <c r="L129" s="6"/>
    </row>
    <row r="130" spans="1:12" s="5" customFormat="1" hidden="1" x14ac:dyDescent="0.25">
      <c r="B130" s="41"/>
      <c r="D130" s="44"/>
      <c r="E130" s="44"/>
      <c r="F130" s="44"/>
      <c r="G130" s="38"/>
      <c r="H130" s="38"/>
      <c r="I130" s="62"/>
      <c r="J130" s="6"/>
      <c r="K130" s="6"/>
      <c r="L130" s="6"/>
    </row>
    <row r="131" spans="1:12" s="5" customFormat="1" hidden="1" x14ac:dyDescent="0.25">
      <c r="B131" s="41"/>
      <c r="D131" s="44"/>
      <c r="E131" s="44"/>
      <c r="F131" s="44"/>
      <c r="G131" s="38"/>
      <c r="H131" s="38"/>
      <c r="I131" s="62"/>
      <c r="J131" s="6"/>
      <c r="K131" s="6"/>
      <c r="L131" s="6"/>
    </row>
    <row r="132" spans="1:12" s="5" customFormat="1" hidden="1" x14ac:dyDescent="0.25">
      <c r="B132" s="5" t="s">
        <v>154</v>
      </c>
      <c r="D132" s="44"/>
      <c r="E132" s="44">
        <f>E133+E134*E135</f>
        <v>0</v>
      </c>
      <c r="F132" s="44">
        <f>F133+F134*F135</f>
        <v>0</v>
      </c>
      <c r="G132" s="44">
        <f t="shared" ref="G132:H132" si="33">G133+G134*G135</f>
        <v>0</v>
      </c>
      <c r="H132" s="44">
        <f t="shared" si="33"/>
        <v>0</v>
      </c>
      <c r="I132" s="73"/>
    </row>
    <row r="133" spans="1:12" hidden="1" x14ac:dyDescent="0.25">
      <c r="B133" s="41" t="s">
        <v>153</v>
      </c>
      <c r="F133" s="44">
        <f>'Rates and GI'!D46*0</f>
        <v>0</v>
      </c>
    </row>
    <row r="134" spans="1:12" hidden="1" x14ac:dyDescent="0.25">
      <c r="B134" s="41" t="s">
        <v>159</v>
      </c>
      <c r="E134" s="60">
        <f>'Rates and GI'!$D$48</f>
        <v>0.02</v>
      </c>
      <c r="F134" s="60">
        <f>'Rates and GI'!$D$48</f>
        <v>0.02</v>
      </c>
      <c r="G134" s="60">
        <f>'Rates and GI'!$D$48</f>
        <v>0.02</v>
      </c>
      <c r="H134" s="60">
        <f>'Rates and GI'!$D$48</f>
        <v>0.02</v>
      </c>
    </row>
    <row r="135" spans="1:12" hidden="1" x14ac:dyDescent="0.25">
      <c r="B135" s="41" t="s">
        <v>160</v>
      </c>
      <c r="E135" s="44">
        <v>0</v>
      </c>
      <c r="F135" s="44">
        <v>0</v>
      </c>
      <c r="G135" s="44">
        <v>0</v>
      </c>
      <c r="H135" s="44">
        <v>0</v>
      </c>
    </row>
    <row r="136" spans="1:12" s="5" customFormat="1" hidden="1" x14ac:dyDescent="0.25">
      <c r="B136" s="41"/>
      <c r="D136" s="44"/>
      <c r="E136" s="44"/>
      <c r="F136" s="44"/>
      <c r="G136" s="38"/>
      <c r="H136" s="38"/>
      <c r="I136" s="62"/>
      <c r="J136" s="6"/>
      <c r="K136" s="6"/>
      <c r="L136" s="6"/>
    </row>
    <row r="137" spans="1:12" x14ac:dyDescent="0.25">
      <c r="A137" s="50"/>
      <c r="B137" s="50" t="s">
        <v>21</v>
      </c>
      <c r="C137" s="50"/>
      <c r="D137" s="52"/>
      <c r="E137" s="52">
        <f>E138*E139+E140*E141++E142*E143+E144*E145</f>
        <v>7600</v>
      </c>
      <c r="F137" s="52">
        <f t="shared" ref="F137:H137" si="34">F138*F139+F140*F141++F142*F143+F144*F145</f>
        <v>0</v>
      </c>
      <c r="G137" s="52">
        <f t="shared" si="34"/>
        <v>0</v>
      </c>
      <c r="H137" s="52">
        <f t="shared" si="34"/>
        <v>0</v>
      </c>
    </row>
    <row r="138" spans="1:12" hidden="1" x14ac:dyDescent="0.25">
      <c r="B138" s="41" t="s">
        <v>150</v>
      </c>
      <c r="G138" s="44">
        <v>0</v>
      </c>
      <c r="H138" s="44"/>
    </row>
    <row r="139" spans="1:12" hidden="1" x14ac:dyDescent="0.25">
      <c r="B139" s="41" t="s">
        <v>151</v>
      </c>
      <c r="E139" s="44">
        <f>'Rates and GI'!$D$58</f>
        <v>5000</v>
      </c>
      <c r="F139" s="44">
        <f>'Rates and GI'!$D$58</f>
        <v>5000</v>
      </c>
      <c r="G139" s="44">
        <f>'Rates and GI'!$D$58</f>
        <v>5000</v>
      </c>
      <c r="H139" s="44">
        <f>'Rates and GI'!$D$58</f>
        <v>5000</v>
      </c>
    </row>
    <row r="140" spans="1:12" x14ac:dyDescent="0.25">
      <c r="B140" s="41" t="s">
        <v>148</v>
      </c>
      <c r="E140" s="44">
        <v>4</v>
      </c>
      <c r="F140" s="44">
        <v>0</v>
      </c>
      <c r="G140" s="44">
        <v>0</v>
      </c>
      <c r="H140" s="44">
        <v>0</v>
      </c>
    </row>
    <row r="141" spans="1:12" x14ac:dyDescent="0.25">
      <c r="B141" s="41" t="s">
        <v>149</v>
      </c>
      <c r="E141" s="44">
        <f>'Rates and GI'!$D$59</f>
        <v>1500</v>
      </c>
      <c r="F141" s="44">
        <f>'Rates and GI'!$D$59</f>
        <v>1500</v>
      </c>
      <c r="G141" s="44">
        <f>'Rates and GI'!$D$59</f>
        <v>1500</v>
      </c>
      <c r="H141" s="44">
        <f>'Rates and GI'!$D$59</f>
        <v>1500</v>
      </c>
    </row>
    <row r="142" spans="1:12" ht="27" x14ac:dyDescent="0.25">
      <c r="B142" s="63" t="s">
        <v>162</v>
      </c>
      <c r="E142" s="44">
        <v>8</v>
      </c>
      <c r="F142" s="44">
        <v>0</v>
      </c>
      <c r="G142" s="44">
        <v>0</v>
      </c>
      <c r="H142" s="44">
        <v>0</v>
      </c>
    </row>
    <row r="143" spans="1:12" ht="27" x14ac:dyDescent="0.25">
      <c r="A143" s="228"/>
      <c r="B143" s="229" t="s">
        <v>161</v>
      </c>
      <c r="C143" s="228"/>
      <c r="D143" s="230"/>
      <c r="E143" s="230">
        <f>'Rates and GI'!$D$60</f>
        <v>200</v>
      </c>
      <c r="F143" s="230">
        <f>'Rates and GI'!$D$60</f>
        <v>200</v>
      </c>
      <c r="G143" s="230">
        <f>'Rates and GI'!$D$60</f>
        <v>200</v>
      </c>
      <c r="H143" s="230">
        <f>'Rates and GI'!$D$60</f>
        <v>200</v>
      </c>
    </row>
    <row r="144" spans="1:12" s="5" customFormat="1" hidden="1" x14ac:dyDescent="0.25">
      <c r="B144" s="41" t="s">
        <v>217</v>
      </c>
      <c r="D144" s="44"/>
      <c r="E144" s="44">
        <v>0</v>
      </c>
      <c r="F144" s="44">
        <v>0</v>
      </c>
      <c r="G144" s="44">
        <v>0</v>
      </c>
      <c r="H144" s="44">
        <v>0</v>
      </c>
      <c r="I144" s="62"/>
      <c r="J144" s="6"/>
      <c r="K144" s="6"/>
      <c r="L144" s="6"/>
    </row>
    <row r="145" spans="1:12" s="5" customFormat="1" hidden="1" x14ac:dyDescent="0.25">
      <c r="B145" s="41" t="s">
        <v>214</v>
      </c>
      <c r="D145" s="44"/>
      <c r="E145" s="44">
        <f>'Rates and GI'!$D$61</f>
        <v>50</v>
      </c>
      <c r="F145" s="44">
        <f>'Rates and GI'!$D$61</f>
        <v>50</v>
      </c>
      <c r="G145" s="38">
        <f>'Rates and GI'!$D$61</f>
        <v>50</v>
      </c>
      <c r="H145" s="38">
        <f>'Rates and GI'!$D$61</f>
        <v>50</v>
      </c>
      <c r="I145" s="62"/>
      <c r="J145" s="6"/>
      <c r="K145" s="6"/>
      <c r="L145" s="6"/>
    </row>
    <row r="146" spans="1:12" hidden="1" x14ac:dyDescent="0.25">
      <c r="A146" s="50"/>
      <c r="B146" s="50"/>
      <c r="C146" s="50"/>
      <c r="D146" s="52"/>
      <c r="E146" s="52"/>
      <c r="F146" s="52"/>
      <c r="G146" s="52"/>
      <c r="H146" s="52"/>
    </row>
    <row r="147" spans="1:12" hidden="1" x14ac:dyDescent="0.25">
      <c r="A147" s="50"/>
      <c r="B147" s="50" t="s">
        <v>194</v>
      </c>
      <c r="C147" s="50"/>
      <c r="D147" s="52"/>
      <c r="E147" s="52">
        <f>E148+E151+E154+E163+E168</f>
        <v>0</v>
      </c>
      <c r="F147" s="52">
        <f t="shared" ref="F147:H147" si="35">F148+F151+F154+F163+F168</f>
        <v>0</v>
      </c>
      <c r="G147" s="52">
        <f t="shared" si="35"/>
        <v>0</v>
      </c>
      <c r="H147" s="52">
        <f t="shared" si="35"/>
        <v>0</v>
      </c>
    </row>
    <row r="148" spans="1:12" s="5" customFormat="1" hidden="1" x14ac:dyDescent="0.25">
      <c r="B148" s="5" t="s">
        <v>173</v>
      </c>
      <c r="D148" s="44"/>
      <c r="E148" s="44">
        <f>E149+E152*E153</f>
        <v>0</v>
      </c>
      <c r="F148" s="44">
        <f>F149+F152*F153</f>
        <v>0</v>
      </c>
      <c r="G148" s="44">
        <f>G149+G152*G153</f>
        <v>0</v>
      </c>
      <c r="H148" s="44">
        <f t="shared" ref="H148" si="36">H149+H152*H153</f>
        <v>0</v>
      </c>
      <c r="I148" s="73"/>
    </row>
    <row r="149" spans="1:12" hidden="1" x14ac:dyDescent="0.25">
      <c r="B149" s="41" t="s">
        <v>184</v>
      </c>
      <c r="F149" s="44">
        <f>('Rates and GI'!$D$45+'Rates and GI'!$D$49)*0</f>
        <v>0</v>
      </c>
      <c r="G149" s="44">
        <f>('Rates and GI'!$D$45+'Rates and GI'!$D$49)*0</f>
        <v>0</v>
      </c>
      <c r="H149" s="44"/>
    </row>
    <row r="150" spans="1:12" hidden="1" x14ac:dyDescent="0.25">
      <c r="B150" s="41" t="s">
        <v>187</v>
      </c>
      <c r="F150" s="44">
        <f>'Rates and GI'!$D$51*0</f>
        <v>0</v>
      </c>
      <c r="G150" s="44">
        <f>'Rates and GI'!$D$51*0</f>
        <v>0</v>
      </c>
      <c r="H150" s="44"/>
    </row>
    <row r="151" spans="1:12" hidden="1" x14ac:dyDescent="0.25">
      <c r="B151" s="5" t="s">
        <v>174</v>
      </c>
      <c r="E151" s="44">
        <f>E152*E153</f>
        <v>0</v>
      </c>
      <c r="F151" s="44">
        <f t="shared" ref="F151:H151" si="37">F152*F153</f>
        <v>0</v>
      </c>
      <c r="G151" s="44">
        <f t="shared" si="37"/>
        <v>0</v>
      </c>
      <c r="H151" s="44">
        <f t="shared" si="37"/>
        <v>0</v>
      </c>
    </row>
    <row r="152" spans="1:12" hidden="1" x14ac:dyDescent="0.25">
      <c r="B152" s="41" t="s">
        <v>164</v>
      </c>
      <c r="F152" s="44">
        <f>'Rates and GI'!$D$54</f>
        <v>24.066499999999998</v>
      </c>
      <c r="G152" s="44">
        <f>'Rates and GI'!$D$54</f>
        <v>24.066499999999998</v>
      </c>
      <c r="H152" s="44">
        <f>'Rates and GI'!$D$54</f>
        <v>24.066499999999998</v>
      </c>
    </row>
    <row r="153" spans="1:12" hidden="1" x14ac:dyDescent="0.25">
      <c r="B153" s="41" t="s">
        <v>163</v>
      </c>
      <c r="F153" s="44">
        <v>0</v>
      </c>
      <c r="G153" s="38">
        <v>0</v>
      </c>
      <c r="H153" s="38">
        <v>0</v>
      </c>
    </row>
    <row r="154" spans="1:12" hidden="1" x14ac:dyDescent="0.25">
      <c r="B154" s="5" t="s">
        <v>175</v>
      </c>
      <c r="E154" s="44">
        <f>E155+E159</f>
        <v>0</v>
      </c>
      <c r="F154" s="44">
        <f t="shared" ref="F154:H154" si="38">F155+F159</f>
        <v>0</v>
      </c>
      <c r="G154" s="44">
        <f t="shared" si="38"/>
        <v>0</v>
      </c>
      <c r="H154" s="44">
        <f t="shared" si="38"/>
        <v>0</v>
      </c>
    </row>
    <row r="155" spans="1:12" hidden="1" x14ac:dyDescent="0.25">
      <c r="B155" s="41" t="s">
        <v>189</v>
      </c>
      <c r="E155" s="44">
        <f>E156*E157</f>
        <v>0</v>
      </c>
      <c r="F155" s="44">
        <f t="shared" ref="F155:H155" si="39">F156*F157</f>
        <v>0</v>
      </c>
      <c r="G155" s="44">
        <f t="shared" si="39"/>
        <v>0</v>
      </c>
      <c r="H155" s="44">
        <f t="shared" si="39"/>
        <v>0</v>
      </c>
    </row>
    <row r="156" spans="1:12" hidden="1" x14ac:dyDescent="0.25">
      <c r="B156" s="41" t="s">
        <v>176</v>
      </c>
      <c r="C156" s="5" t="s">
        <v>177</v>
      </c>
      <c r="E156" s="44">
        <v>0</v>
      </c>
      <c r="F156" s="44">
        <v>0</v>
      </c>
      <c r="G156" s="38">
        <v>0</v>
      </c>
      <c r="H156" s="38">
        <v>0</v>
      </c>
    </row>
    <row r="157" spans="1:12" hidden="1" x14ac:dyDescent="0.25">
      <c r="B157" s="41" t="s">
        <v>178</v>
      </c>
      <c r="E157" s="44">
        <f>'Rates and GI'!$D$52</f>
        <v>150</v>
      </c>
      <c r="F157" s="44">
        <f>'Rates and GI'!$D$52</f>
        <v>150</v>
      </c>
      <c r="G157" s="44">
        <f>'Rates and GI'!$D$52</f>
        <v>150</v>
      </c>
      <c r="H157" s="44">
        <f>'Rates and GI'!$D$52</f>
        <v>150</v>
      </c>
    </row>
    <row r="158" spans="1:12" hidden="1" x14ac:dyDescent="0.25">
      <c r="B158" s="6"/>
    </row>
    <row r="159" spans="1:12" hidden="1" x14ac:dyDescent="0.25">
      <c r="B159" s="41" t="s">
        <v>190</v>
      </c>
      <c r="E159" s="44">
        <f>E160*E161</f>
        <v>0</v>
      </c>
      <c r="F159" s="44">
        <f t="shared" ref="F159:H159" si="40">F160*F161</f>
        <v>0</v>
      </c>
      <c r="G159" s="44">
        <f t="shared" si="40"/>
        <v>0</v>
      </c>
      <c r="H159" s="44">
        <f t="shared" si="40"/>
        <v>0</v>
      </c>
    </row>
    <row r="160" spans="1:12" hidden="1" x14ac:dyDescent="0.25">
      <c r="B160" s="41" t="s">
        <v>176</v>
      </c>
      <c r="C160" s="5" t="s">
        <v>177</v>
      </c>
      <c r="E160" s="44">
        <v>0</v>
      </c>
      <c r="F160" s="44">
        <v>0</v>
      </c>
      <c r="G160" s="38">
        <v>0</v>
      </c>
      <c r="H160" s="38">
        <v>0</v>
      </c>
    </row>
    <row r="161" spans="1:8" hidden="1" x14ac:dyDescent="0.25">
      <c r="B161" s="41" t="s">
        <v>178</v>
      </c>
      <c r="E161" s="44">
        <f>'Rates and GI'!$D$53</f>
        <v>20</v>
      </c>
      <c r="F161" s="44">
        <f>'Rates and GI'!$D$53</f>
        <v>20</v>
      </c>
      <c r="G161" s="44">
        <f>'Rates and GI'!$D$53</f>
        <v>20</v>
      </c>
      <c r="H161" s="44">
        <f>'Rates and GI'!$D$53</f>
        <v>20</v>
      </c>
    </row>
    <row r="162" spans="1:8" hidden="1" x14ac:dyDescent="0.25">
      <c r="B162" s="6"/>
    </row>
    <row r="163" spans="1:8" hidden="1" x14ac:dyDescent="0.25">
      <c r="B163" s="5" t="s">
        <v>179</v>
      </c>
      <c r="E163" s="44">
        <f>E164*E165*E166</f>
        <v>0</v>
      </c>
      <c r="F163" s="44">
        <f t="shared" ref="F163:H163" si="41">F164*F165*F166</f>
        <v>0</v>
      </c>
      <c r="G163" s="44">
        <f t="shared" si="41"/>
        <v>0</v>
      </c>
      <c r="H163" s="44">
        <f t="shared" si="41"/>
        <v>0</v>
      </c>
    </row>
    <row r="164" spans="1:8" hidden="1" x14ac:dyDescent="0.25">
      <c r="B164" s="41" t="s">
        <v>191</v>
      </c>
      <c r="F164" s="44">
        <f>'Rates and GI'!$D$55</f>
        <v>300</v>
      </c>
      <c r="G164" s="44">
        <f>'Rates and GI'!$D$55</f>
        <v>300</v>
      </c>
      <c r="H164" s="44">
        <f>'Rates and GI'!$D$55</f>
        <v>300</v>
      </c>
    </row>
    <row r="165" spans="1:8" hidden="1" x14ac:dyDescent="0.25">
      <c r="B165" s="41" t="s">
        <v>192</v>
      </c>
      <c r="F165" s="44">
        <v>3</v>
      </c>
      <c r="G165" s="44">
        <v>3</v>
      </c>
      <c r="H165" s="44">
        <v>3</v>
      </c>
    </row>
    <row r="166" spans="1:8" hidden="1" x14ac:dyDescent="0.25">
      <c r="B166" s="41" t="s">
        <v>193</v>
      </c>
      <c r="F166" s="44">
        <v>0</v>
      </c>
      <c r="G166" s="44">
        <v>0</v>
      </c>
      <c r="H166" s="44">
        <v>0</v>
      </c>
    </row>
    <row r="167" spans="1:8" hidden="1" x14ac:dyDescent="0.25"/>
    <row r="168" spans="1:8" hidden="1" x14ac:dyDescent="0.25">
      <c r="B168" s="5" t="s">
        <v>172</v>
      </c>
      <c r="E168" s="44">
        <f>E169+E170*E171</f>
        <v>0</v>
      </c>
      <c r="F168" s="44">
        <f>F169+F170*F171</f>
        <v>0</v>
      </c>
      <c r="G168" s="44">
        <f>G169+G170*G171</f>
        <v>0</v>
      </c>
      <c r="H168" s="44">
        <f>H169+H170*H171</f>
        <v>0</v>
      </c>
    </row>
    <row r="169" spans="1:8" hidden="1" x14ac:dyDescent="0.25">
      <c r="B169" s="41" t="s">
        <v>153</v>
      </c>
      <c r="F169" s="44">
        <f>'Rates and GI'!D46*0</f>
        <v>0</v>
      </c>
    </row>
    <row r="170" spans="1:8" hidden="1" x14ac:dyDescent="0.25">
      <c r="B170" s="41" t="s">
        <v>159</v>
      </c>
      <c r="F170" s="65">
        <f>'Rates and GI'!$D$47</f>
        <v>0.05</v>
      </c>
      <c r="G170" s="65">
        <f>'Rates and GI'!$D$47</f>
        <v>0.05</v>
      </c>
      <c r="H170" s="65">
        <f>'Rates and GI'!$D$47</f>
        <v>0.05</v>
      </c>
    </row>
    <row r="171" spans="1:8" hidden="1" x14ac:dyDescent="0.25">
      <c r="B171" s="41" t="s">
        <v>160</v>
      </c>
      <c r="F171" s="44">
        <v>0</v>
      </c>
      <c r="G171" s="38">
        <v>0</v>
      </c>
    </row>
    <row r="172" spans="1:8" hidden="1" x14ac:dyDescent="0.25"/>
    <row r="173" spans="1:8" hidden="1" x14ac:dyDescent="0.25"/>
    <row r="174" spans="1:8" hidden="1" x14ac:dyDescent="0.25">
      <c r="A174" s="50"/>
      <c r="B174" s="50" t="s">
        <v>19</v>
      </c>
      <c r="C174" s="50"/>
      <c r="D174" s="52"/>
      <c r="E174" s="52">
        <v>0</v>
      </c>
      <c r="F174" s="52">
        <v>0</v>
      </c>
      <c r="G174" s="52">
        <v>0</v>
      </c>
      <c r="H174" s="52">
        <v>0</v>
      </c>
    </row>
    <row r="175" spans="1:8" hidden="1" x14ac:dyDescent="0.25"/>
  </sheetData>
  <pageMargins left="0.7" right="0.7" top="0.75" bottom="0.75" header="0.3" footer="0.3"/>
  <pageSetup paperSize="9" scale="56" fitToHeight="0"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5"/>
  <sheetViews>
    <sheetView topLeftCell="A41" workbookViewId="0">
      <selection activeCell="B184" sqref="B184"/>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3</v>
      </c>
      <c r="B1" s="126" t="s">
        <v>235</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E63</f>
        <v>0</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E107</f>
        <v>0</v>
      </c>
      <c r="F25" s="44">
        <f t="shared" ref="F25:H25" si="13">F107</f>
        <v>0</v>
      </c>
      <c r="G25" s="44">
        <f t="shared" si="13"/>
        <v>0</v>
      </c>
      <c r="H25" s="44">
        <f t="shared" si="13"/>
        <v>0</v>
      </c>
    </row>
    <row r="26" spans="1:12" x14ac:dyDescent="0.25">
      <c r="B26" s="16" t="s">
        <v>25</v>
      </c>
      <c r="D26" s="44">
        <f t="shared" ref="D26" si="14">SUM(E26:H26)</f>
        <v>0</v>
      </c>
      <c r="E26" s="44">
        <f>E128</f>
        <v>0</v>
      </c>
      <c r="F26" s="44">
        <f t="shared" ref="F26:H26" si="15">F128</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E117</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E174</f>
        <v>0</v>
      </c>
      <c r="F40" s="44">
        <f t="shared" ref="F40:H40" si="20">F174</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E147</f>
        <v>0</v>
      </c>
      <c r="F46" s="44">
        <f t="shared" ref="F46:H46" si="23">F147</f>
        <v>0</v>
      </c>
      <c r="G46" s="44">
        <f t="shared" si="23"/>
        <v>0</v>
      </c>
      <c r="H46" s="44">
        <f t="shared" si="23"/>
        <v>0</v>
      </c>
    </row>
    <row r="47" spans="1:12" x14ac:dyDescent="0.25">
      <c r="A47" s="3"/>
      <c r="B47" s="3" t="s">
        <v>21</v>
      </c>
      <c r="C47" s="3"/>
      <c r="D47" s="44">
        <f t="shared" si="22"/>
        <v>1400</v>
      </c>
      <c r="E47" s="44">
        <f>E137</f>
        <v>1400</v>
      </c>
      <c r="F47" s="44">
        <f t="shared" ref="F47:H47" si="24">F137</f>
        <v>0</v>
      </c>
      <c r="G47" s="44">
        <f t="shared" si="24"/>
        <v>0</v>
      </c>
      <c r="H47" s="44">
        <f t="shared" si="24"/>
        <v>0</v>
      </c>
    </row>
    <row r="48" spans="1:12" ht="14.25" thickBot="1" x14ac:dyDescent="0.3">
      <c r="A48" s="13"/>
      <c r="B48" s="13" t="s">
        <v>69</v>
      </c>
      <c r="C48" s="13"/>
      <c r="D48" s="47">
        <f>SUBTOTAL(9,D46:D47)</f>
        <v>1400</v>
      </c>
      <c r="E48" s="47">
        <f>SUBTOTAL(9,E46:E47)</f>
        <v>1400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1400</v>
      </c>
      <c r="E50" s="49">
        <f>SUBTOTAL(9,E5:E48)</f>
        <v>1400</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hidden="1"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hidden="1" x14ac:dyDescent="0.25">
      <c r="A62" s="9"/>
      <c r="B62" s="9"/>
      <c r="C62" s="9"/>
    </row>
    <row r="63" spans="1:9" hidden="1" x14ac:dyDescent="0.25">
      <c r="B63" s="5" t="s">
        <v>23</v>
      </c>
      <c r="E63" s="44">
        <f>E64*E65</f>
        <v>0</v>
      </c>
      <c r="F63" s="44">
        <f t="shared" ref="F63:H63" si="25">F64*F65</f>
        <v>0</v>
      </c>
      <c r="G63" s="44">
        <f t="shared" si="25"/>
        <v>0</v>
      </c>
      <c r="H63" s="44">
        <f t="shared" si="25"/>
        <v>0</v>
      </c>
    </row>
    <row r="64" spans="1:9" hidden="1" x14ac:dyDescent="0.25">
      <c r="A64" s="9"/>
      <c r="B64" s="9" t="s">
        <v>114</v>
      </c>
      <c r="C64" s="9" t="s">
        <v>113</v>
      </c>
      <c r="E64" s="44">
        <v>0</v>
      </c>
      <c r="F64" s="44">
        <v>0</v>
      </c>
      <c r="G64" s="44">
        <v>0</v>
      </c>
      <c r="H64" s="44">
        <v>0</v>
      </c>
    </row>
    <row r="65" spans="1:12" hidden="1"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hidden="1" x14ac:dyDescent="0.25">
      <c r="A99" s="50"/>
      <c r="B99" s="50" t="s">
        <v>130</v>
      </c>
      <c r="C99" s="50"/>
      <c r="D99" s="52"/>
      <c r="E99" s="52">
        <f>E100*E101+E102*E103+E104*E105</f>
        <v>0</v>
      </c>
      <c r="F99" s="52">
        <f t="shared" ref="F99:H99" si="29">F100*F101+F102*F103+F104*F105</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f>E104*E105</f>
        <v>0</v>
      </c>
      <c r="F103" s="44">
        <v>0</v>
      </c>
      <c r="G103" s="44">
        <v>0</v>
      </c>
      <c r="H103" s="44">
        <v>0</v>
      </c>
    </row>
    <row r="104" spans="1:12" hidden="1" x14ac:dyDescent="0.25">
      <c r="B104" s="39" t="s">
        <v>203</v>
      </c>
      <c r="C104" s="5" t="s">
        <v>137</v>
      </c>
      <c r="G104" s="44"/>
      <c r="H104" s="44"/>
    </row>
    <row r="105" spans="1:12" hidden="1" x14ac:dyDescent="0.25">
      <c r="B105" s="39" t="s">
        <v>133</v>
      </c>
      <c r="E105" s="44">
        <v>0</v>
      </c>
      <c r="F105" s="44">
        <v>0</v>
      </c>
      <c r="G105" s="44">
        <v>0</v>
      </c>
      <c r="H105" s="44">
        <v>0</v>
      </c>
    </row>
    <row r="106" spans="1:12" hidden="1" x14ac:dyDescent="0.25">
      <c r="B106" s="39"/>
    </row>
    <row r="107" spans="1:12" hidden="1" x14ac:dyDescent="0.25">
      <c r="A107" s="50"/>
      <c r="B107" s="50" t="s">
        <v>24</v>
      </c>
      <c r="C107" s="50"/>
      <c r="D107" s="52"/>
      <c r="E107" s="52">
        <f>E108*E109</f>
        <v>0</v>
      </c>
      <c r="F107" s="52">
        <f t="shared" ref="F107:H107" si="31">F108*F109</f>
        <v>0</v>
      </c>
      <c r="G107" s="52">
        <f t="shared" si="31"/>
        <v>0</v>
      </c>
      <c r="H107" s="52">
        <f t="shared" si="31"/>
        <v>0</v>
      </c>
    </row>
    <row r="108" spans="1:12" s="7" customFormat="1" hidden="1" x14ac:dyDescent="0.25">
      <c r="A108" s="5"/>
      <c r="B108" s="39" t="s">
        <v>53</v>
      </c>
      <c r="C108" s="5"/>
      <c r="D108" s="44"/>
      <c r="E108" s="44">
        <v>0</v>
      </c>
      <c r="F108" s="44">
        <v>0</v>
      </c>
      <c r="G108" s="44"/>
      <c r="H108" s="44"/>
      <c r="I108" s="62"/>
      <c r="J108" s="6"/>
      <c r="K108" s="6"/>
      <c r="L108" s="6"/>
    </row>
    <row r="109" spans="1:12" s="7" customFormat="1" hidden="1" x14ac:dyDescent="0.25">
      <c r="A109" s="5"/>
      <c r="B109" s="39" t="s">
        <v>54</v>
      </c>
      <c r="C109" s="5"/>
      <c r="D109" s="44"/>
      <c r="E109" s="44">
        <f>'Rates and GI'!D25</f>
        <v>6</v>
      </c>
      <c r="F109" s="44">
        <f>E109*(1+index)</f>
        <v>6.2579999999999991</v>
      </c>
      <c r="G109" s="44">
        <f>F109*(1+index)</f>
        <v>6.5270939999999991</v>
      </c>
      <c r="H109" s="44">
        <f>G109*(1+index)</f>
        <v>6.8077590419999989</v>
      </c>
      <c r="I109" s="62"/>
      <c r="J109" s="6"/>
      <c r="K109" s="6"/>
      <c r="L109" s="6"/>
    </row>
    <row r="110" spans="1:12" hidden="1" x14ac:dyDescent="0.25"/>
    <row r="111" spans="1:12" hidden="1" x14ac:dyDescent="0.25">
      <c r="A111" s="50"/>
      <c r="B111" s="50" t="s">
        <v>7</v>
      </c>
      <c r="C111" s="50"/>
      <c r="D111" s="52"/>
      <c r="E111" s="52"/>
      <c r="F111" s="52"/>
      <c r="G111" s="52"/>
      <c r="H111" s="52"/>
    </row>
    <row r="112" spans="1:12" s="7" customFormat="1" hidden="1" x14ac:dyDescent="0.25">
      <c r="A112" s="5"/>
      <c r="B112" s="4" t="s">
        <v>57</v>
      </c>
      <c r="C112" s="5"/>
      <c r="D112" s="44"/>
      <c r="E112" s="44"/>
      <c r="F112" s="44"/>
      <c r="G112" s="38"/>
      <c r="H112" s="38"/>
      <c r="I112" s="62"/>
      <c r="J112" s="6"/>
      <c r="K112" s="6"/>
      <c r="L112" s="6"/>
    </row>
    <row r="113" spans="1:12" s="43" customFormat="1" hidden="1" x14ac:dyDescent="0.25">
      <c r="A113" s="40"/>
      <c r="B113" s="41" t="s">
        <v>58</v>
      </c>
      <c r="C113" s="40" t="s">
        <v>55</v>
      </c>
      <c r="D113" s="71"/>
      <c r="E113" s="71"/>
      <c r="F113" s="71"/>
      <c r="G113" s="72"/>
      <c r="H113" s="72"/>
      <c r="I113" s="75"/>
      <c r="J113" s="42"/>
      <c r="K113" s="42"/>
      <c r="L113" s="42"/>
    </row>
    <row r="114" spans="1:12" s="40" customFormat="1" hidden="1" x14ac:dyDescent="0.25">
      <c r="B114" s="41" t="s">
        <v>56</v>
      </c>
      <c r="D114" s="71"/>
      <c r="E114" s="71"/>
      <c r="F114" s="71"/>
      <c r="G114" s="72"/>
      <c r="H114" s="72"/>
      <c r="I114" s="75"/>
      <c r="J114" s="42"/>
      <c r="K114" s="42"/>
      <c r="L114" s="42"/>
    </row>
    <row r="115" spans="1:12" s="40" customFormat="1" hidden="1" x14ac:dyDescent="0.25">
      <c r="B115" s="41" t="s">
        <v>59</v>
      </c>
      <c r="D115" s="71"/>
      <c r="E115" s="71"/>
      <c r="F115" s="71"/>
      <c r="G115" s="72"/>
      <c r="H115" s="72"/>
      <c r="I115" s="75"/>
      <c r="J115" s="42"/>
      <c r="K115" s="42"/>
      <c r="L115" s="42"/>
    </row>
    <row r="116" spans="1:12" hidden="1" x14ac:dyDescent="0.25"/>
    <row r="117" spans="1:12" hidden="1" x14ac:dyDescent="0.25">
      <c r="A117" s="50"/>
      <c r="B117" s="50" t="s">
        <v>26</v>
      </c>
      <c r="C117" s="50"/>
      <c r="D117" s="52"/>
      <c r="E117" s="52">
        <f>E122*E123</f>
        <v>0</v>
      </c>
      <c r="F117" s="52">
        <f>F122*F123</f>
        <v>0</v>
      </c>
      <c r="G117" s="52"/>
      <c r="H117" s="52"/>
    </row>
    <row r="118" spans="1:12" s="5" customFormat="1" hidden="1" x14ac:dyDescent="0.25">
      <c r="B118" s="55" t="s">
        <v>60</v>
      </c>
      <c r="D118" s="44"/>
      <c r="E118" s="44"/>
      <c r="F118" s="44"/>
      <c r="G118" s="38"/>
      <c r="H118" s="38"/>
      <c r="I118" s="62"/>
      <c r="J118" s="6"/>
      <c r="K118" s="6"/>
      <c r="L118" s="6"/>
    </row>
    <row r="119" spans="1:12" s="5" customFormat="1" hidden="1" x14ac:dyDescent="0.25">
      <c r="B119" s="41" t="s">
        <v>147</v>
      </c>
      <c r="D119" s="44"/>
      <c r="E119" s="44"/>
      <c r="F119" s="44"/>
      <c r="G119" s="38"/>
      <c r="H119" s="38"/>
      <c r="I119" s="62"/>
      <c r="J119" s="6"/>
      <c r="K119" s="6"/>
      <c r="L119" s="6"/>
    </row>
    <row r="120" spans="1:12" s="5" customFormat="1" hidden="1" x14ac:dyDescent="0.25">
      <c r="B120" s="41" t="s">
        <v>146</v>
      </c>
      <c r="D120" s="44"/>
      <c r="E120" s="44"/>
      <c r="F120" s="44"/>
      <c r="G120" s="38"/>
      <c r="H120" s="38"/>
      <c r="I120" s="62"/>
      <c r="J120" s="6"/>
      <c r="K120" s="6"/>
      <c r="L120" s="6"/>
    </row>
    <row r="121" spans="1:12" s="5" customFormat="1" hidden="1" x14ac:dyDescent="0.25">
      <c r="B121" s="55" t="s">
        <v>123</v>
      </c>
      <c r="D121" s="44"/>
      <c r="E121" s="44"/>
      <c r="F121" s="44"/>
      <c r="G121" s="38"/>
      <c r="H121" s="38"/>
      <c r="I121" s="62"/>
      <c r="J121" s="6"/>
      <c r="K121" s="6"/>
      <c r="L121" s="6"/>
    </row>
    <row r="122" spans="1:12" s="5" customFormat="1" hidden="1" x14ac:dyDescent="0.25">
      <c r="B122" s="41" t="s">
        <v>147</v>
      </c>
      <c r="D122" s="44"/>
      <c r="E122" s="44">
        <f>'Rates and GI'!$D$31</f>
        <v>350</v>
      </c>
      <c r="F122" s="44">
        <f>'Rates and GI'!$D$31</f>
        <v>350</v>
      </c>
      <c r="G122" s="44">
        <f>'Rates and GI'!$D$31</f>
        <v>350</v>
      </c>
      <c r="H122" s="44">
        <f>'Rates and GI'!$D$31</f>
        <v>350</v>
      </c>
      <c r="I122" s="62"/>
      <c r="J122" s="6"/>
      <c r="K122" s="6"/>
      <c r="L122" s="6"/>
    </row>
    <row r="123" spans="1:12" s="5" customFormat="1" hidden="1" x14ac:dyDescent="0.25">
      <c r="B123" s="41" t="s">
        <v>146</v>
      </c>
      <c r="D123" s="44"/>
      <c r="E123" s="44">
        <v>0</v>
      </c>
      <c r="F123" s="44">
        <v>0</v>
      </c>
      <c r="G123" s="38"/>
      <c r="H123" s="38"/>
      <c r="I123" s="62"/>
      <c r="J123" s="6"/>
      <c r="K123" s="6"/>
      <c r="L123" s="6"/>
    </row>
    <row r="124" spans="1:12" s="5" customFormat="1" hidden="1" x14ac:dyDescent="0.25">
      <c r="B124" s="55" t="s">
        <v>8</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hidden="1" x14ac:dyDescent="0.25"/>
    <row r="128" spans="1:12" hidden="1" x14ac:dyDescent="0.25">
      <c r="A128" s="50"/>
      <c r="B128" s="50" t="s">
        <v>25</v>
      </c>
      <c r="C128" s="50"/>
      <c r="D128" s="52"/>
      <c r="E128" s="52">
        <f>E129+E132</f>
        <v>0</v>
      </c>
      <c r="F128" s="52">
        <f t="shared" ref="F128:H128" si="32">F129+F132</f>
        <v>0</v>
      </c>
      <c r="G128" s="52">
        <f t="shared" si="32"/>
        <v>0</v>
      </c>
      <c r="H128" s="52">
        <f t="shared" si="32"/>
        <v>0</v>
      </c>
    </row>
    <row r="129" spans="1:12" s="5" customFormat="1" hidden="1" x14ac:dyDescent="0.25">
      <c r="B129" s="5" t="s">
        <v>205</v>
      </c>
      <c r="D129" s="44"/>
      <c r="E129" s="44"/>
      <c r="F129" s="44">
        <v>0</v>
      </c>
      <c r="G129" s="38"/>
      <c r="H129" s="38"/>
      <c r="I129" s="62"/>
      <c r="J129" s="6"/>
      <c r="K129" s="6"/>
      <c r="L129" s="6"/>
    </row>
    <row r="130" spans="1:12" s="5" customFormat="1" hidden="1" x14ac:dyDescent="0.25">
      <c r="B130" s="41"/>
      <c r="D130" s="44"/>
      <c r="E130" s="44"/>
      <c r="F130" s="44"/>
      <c r="G130" s="38"/>
      <c r="H130" s="38"/>
      <c r="I130" s="62"/>
      <c r="J130" s="6"/>
      <c r="K130" s="6"/>
      <c r="L130" s="6"/>
    </row>
    <row r="131" spans="1:12" s="5" customFormat="1" hidden="1" x14ac:dyDescent="0.25">
      <c r="B131" s="41"/>
      <c r="D131" s="44"/>
      <c r="E131" s="44"/>
      <c r="F131" s="44"/>
      <c r="G131" s="38"/>
      <c r="H131" s="38"/>
      <c r="I131" s="62"/>
      <c r="J131" s="6"/>
      <c r="K131" s="6"/>
      <c r="L131" s="6"/>
    </row>
    <row r="132" spans="1:12" s="5" customFormat="1" hidden="1" x14ac:dyDescent="0.25">
      <c r="B132" s="5" t="s">
        <v>154</v>
      </c>
      <c r="D132" s="44"/>
      <c r="E132" s="44">
        <f>E133+E134*E135</f>
        <v>0</v>
      </c>
      <c r="F132" s="44">
        <f>F133+F134*F135</f>
        <v>0</v>
      </c>
      <c r="G132" s="44">
        <f t="shared" ref="G132:H132" si="33">G133+G134*G135</f>
        <v>0</v>
      </c>
      <c r="H132" s="44">
        <f t="shared" si="33"/>
        <v>0</v>
      </c>
      <c r="I132" s="73"/>
    </row>
    <row r="133" spans="1:12" hidden="1" x14ac:dyDescent="0.25">
      <c r="B133" s="41" t="s">
        <v>153</v>
      </c>
      <c r="F133" s="44">
        <f>'Rates and GI'!D46*0</f>
        <v>0</v>
      </c>
    </row>
    <row r="134" spans="1:12" hidden="1" x14ac:dyDescent="0.25">
      <c r="B134" s="41" t="s">
        <v>159</v>
      </c>
      <c r="E134" s="60">
        <f>'Rates and GI'!$D$48</f>
        <v>0.02</v>
      </c>
      <c r="F134" s="60">
        <f>'Rates and GI'!$D$48</f>
        <v>0.02</v>
      </c>
      <c r="G134" s="60">
        <f>'Rates and GI'!$D$48</f>
        <v>0.02</v>
      </c>
      <c r="H134" s="60">
        <f>'Rates and GI'!$D$48</f>
        <v>0.02</v>
      </c>
    </row>
    <row r="135" spans="1:12" hidden="1" x14ac:dyDescent="0.25">
      <c r="B135" s="41" t="s">
        <v>160</v>
      </c>
      <c r="E135" s="44">
        <v>0</v>
      </c>
      <c r="F135" s="44">
        <v>0</v>
      </c>
      <c r="G135" s="44">
        <v>0</v>
      </c>
      <c r="H135" s="44">
        <v>0</v>
      </c>
    </row>
    <row r="136" spans="1:12" s="5" customFormat="1" hidden="1" x14ac:dyDescent="0.25">
      <c r="B136" s="41"/>
      <c r="D136" s="44"/>
      <c r="E136" s="44"/>
      <c r="F136" s="44"/>
      <c r="G136" s="38"/>
      <c r="H136" s="38"/>
      <c r="I136" s="62"/>
      <c r="J136" s="6"/>
      <c r="K136" s="6"/>
      <c r="L136" s="6"/>
    </row>
    <row r="137" spans="1:12" x14ac:dyDescent="0.25">
      <c r="A137" s="50"/>
      <c r="B137" s="50" t="s">
        <v>21</v>
      </c>
      <c r="C137" s="50"/>
      <c r="D137" s="52"/>
      <c r="E137" s="52">
        <f>E138*E139+E140*E141++E142*E143+E144*E145</f>
        <v>1400</v>
      </c>
      <c r="F137" s="52">
        <f t="shared" ref="F137:H137" si="34">F138*F139+F140*F141++F142*F143+F144*F145</f>
        <v>0</v>
      </c>
      <c r="G137" s="52">
        <f t="shared" si="34"/>
        <v>0</v>
      </c>
      <c r="H137" s="52">
        <f t="shared" si="34"/>
        <v>0</v>
      </c>
    </row>
    <row r="138" spans="1:12" hidden="1" x14ac:dyDescent="0.25">
      <c r="B138" s="41" t="s">
        <v>150</v>
      </c>
      <c r="G138" s="44">
        <v>0</v>
      </c>
      <c r="H138" s="44"/>
    </row>
    <row r="139" spans="1:12" hidden="1" x14ac:dyDescent="0.25">
      <c r="B139" s="41" t="s">
        <v>151</v>
      </c>
      <c r="E139" s="44">
        <f>'Rates and GI'!$D$58</f>
        <v>5000</v>
      </c>
      <c r="F139" s="44">
        <f>'Rates and GI'!$D$58</f>
        <v>5000</v>
      </c>
      <c r="G139" s="44">
        <f>'Rates and GI'!$D$58</f>
        <v>5000</v>
      </c>
      <c r="H139" s="44">
        <f>'Rates and GI'!$D$58</f>
        <v>5000</v>
      </c>
    </row>
    <row r="140" spans="1:12" hidden="1" x14ac:dyDescent="0.25">
      <c r="B140" s="41" t="s">
        <v>148</v>
      </c>
      <c r="E140" s="44">
        <v>0</v>
      </c>
      <c r="F140" s="44">
        <v>0</v>
      </c>
      <c r="G140" s="44">
        <v>0</v>
      </c>
      <c r="H140" s="44">
        <v>0</v>
      </c>
    </row>
    <row r="141" spans="1:12" hidden="1" x14ac:dyDescent="0.25">
      <c r="B141" s="41" t="s">
        <v>149</v>
      </c>
      <c r="E141" s="44">
        <f>'Rates and GI'!$D$59</f>
        <v>1500</v>
      </c>
      <c r="F141" s="44">
        <f>'Rates and GI'!$D$59</f>
        <v>1500</v>
      </c>
      <c r="G141" s="44">
        <f>'Rates and GI'!$D$59</f>
        <v>1500</v>
      </c>
      <c r="H141" s="44">
        <f>'Rates and GI'!$D$59</f>
        <v>1500</v>
      </c>
    </row>
    <row r="142" spans="1:12" ht="27" x14ac:dyDescent="0.25">
      <c r="B142" s="63" t="s">
        <v>162</v>
      </c>
      <c r="E142" s="44">
        <v>7</v>
      </c>
      <c r="F142" s="44">
        <v>0</v>
      </c>
      <c r="G142" s="44">
        <v>0</v>
      </c>
      <c r="H142" s="44">
        <v>0</v>
      </c>
    </row>
    <row r="143" spans="1:12" ht="27" x14ac:dyDescent="0.25">
      <c r="A143" s="228"/>
      <c r="B143" s="229" t="s">
        <v>161</v>
      </c>
      <c r="C143" s="228"/>
      <c r="D143" s="230"/>
      <c r="E143" s="230">
        <f>'Rates and GI'!$D$60</f>
        <v>200</v>
      </c>
      <c r="F143" s="230">
        <f>'Rates and GI'!$D$60</f>
        <v>200</v>
      </c>
      <c r="G143" s="230">
        <f>'Rates and GI'!$D$60</f>
        <v>200</v>
      </c>
      <c r="H143" s="230">
        <f>'Rates and GI'!$D$60</f>
        <v>200</v>
      </c>
    </row>
    <row r="144" spans="1:12" s="5" customFormat="1" hidden="1" x14ac:dyDescent="0.25">
      <c r="B144" s="41" t="s">
        <v>217</v>
      </c>
      <c r="D144" s="44"/>
      <c r="E144" s="44">
        <v>0</v>
      </c>
      <c r="F144" s="44">
        <v>0</v>
      </c>
      <c r="G144" s="44">
        <v>0</v>
      </c>
      <c r="H144" s="44">
        <v>0</v>
      </c>
      <c r="I144" s="62"/>
      <c r="J144" s="6"/>
      <c r="K144" s="6"/>
      <c r="L144" s="6"/>
    </row>
    <row r="145" spans="1:12" s="5" customFormat="1" hidden="1" x14ac:dyDescent="0.25">
      <c r="B145" s="41" t="s">
        <v>214</v>
      </c>
      <c r="D145" s="44"/>
      <c r="E145" s="44">
        <f>'Rates and GI'!$D$61</f>
        <v>50</v>
      </c>
      <c r="F145" s="44">
        <f>'Rates and GI'!$D$61</f>
        <v>50</v>
      </c>
      <c r="G145" s="38">
        <f>'Rates and GI'!$D$61</f>
        <v>50</v>
      </c>
      <c r="H145" s="38">
        <f>'Rates and GI'!$D$61</f>
        <v>50</v>
      </c>
      <c r="I145" s="62"/>
      <c r="J145" s="6"/>
      <c r="K145" s="6"/>
      <c r="L145" s="6"/>
    </row>
    <row r="146" spans="1:12" hidden="1" x14ac:dyDescent="0.25">
      <c r="A146" s="50"/>
      <c r="B146" s="50"/>
      <c r="C146" s="50"/>
      <c r="D146" s="52"/>
      <c r="E146" s="52"/>
      <c r="F146" s="52"/>
      <c r="G146" s="52"/>
      <c r="H146" s="52"/>
    </row>
    <row r="147" spans="1:12" hidden="1" x14ac:dyDescent="0.25">
      <c r="A147" s="50"/>
      <c r="B147" s="50" t="s">
        <v>194</v>
      </c>
      <c r="C147" s="50"/>
      <c r="D147" s="52"/>
      <c r="E147" s="52">
        <f>E148+E151+E154+E163+E168</f>
        <v>0</v>
      </c>
      <c r="F147" s="52">
        <f t="shared" ref="F147:H147" si="35">F148+F151+F154+F163+F168</f>
        <v>0</v>
      </c>
      <c r="G147" s="52">
        <f t="shared" si="35"/>
        <v>0</v>
      </c>
      <c r="H147" s="52">
        <f t="shared" si="35"/>
        <v>0</v>
      </c>
    </row>
    <row r="148" spans="1:12" s="5" customFormat="1" hidden="1" x14ac:dyDescent="0.25">
      <c r="B148" s="5" t="s">
        <v>173</v>
      </c>
      <c r="D148" s="44"/>
      <c r="E148" s="44">
        <f>E149+E152*E153</f>
        <v>0</v>
      </c>
      <c r="F148" s="44">
        <f>F149+F152*F153</f>
        <v>0</v>
      </c>
      <c r="G148" s="44">
        <f>G149+G152*G153</f>
        <v>0</v>
      </c>
      <c r="H148" s="44">
        <f t="shared" ref="H148" si="36">H149+H152*H153</f>
        <v>0</v>
      </c>
      <c r="I148" s="73"/>
    </row>
    <row r="149" spans="1:12" hidden="1" x14ac:dyDescent="0.25">
      <c r="B149" s="41" t="s">
        <v>184</v>
      </c>
      <c r="F149" s="44">
        <f>('Rates and GI'!$D$45+'Rates and GI'!$D$49)*0</f>
        <v>0</v>
      </c>
      <c r="G149" s="44">
        <f>('Rates and GI'!$D$45+'Rates and GI'!$D$49)*0</f>
        <v>0</v>
      </c>
      <c r="H149" s="44"/>
    </row>
    <row r="150" spans="1:12" hidden="1" x14ac:dyDescent="0.25">
      <c r="B150" s="41" t="s">
        <v>187</v>
      </c>
      <c r="F150" s="44">
        <f>'Rates and GI'!$D$51*0</f>
        <v>0</v>
      </c>
      <c r="G150" s="44">
        <f>'Rates and GI'!$D$51*0</f>
        <v>0</v>
      </c>
      <c r="H150" s="44"/>
    </row>
    <row r="151" spans="1:12" hidden="1" x14ac:dyDescent="0.25">
      <c r="B151" s="5" t="s">
        <v>174</v>
      </c>
      <c r="E151" s="44">
        <f>E152*E153</f>
        <v>0</v>
      </c>
      <c r="F151" s="44">
        <f t="shared" ref="F151:H151" si="37">F152*F153</f>
        <v>0</v>
      </c>
      <c r="G151" s="44">
        <f t="shared" si="37"/>
        <v>0</v>
      </c>
      <c r="H151" s="44">
        <f t="shared" si="37"/>
        <v>0</v>
      </c>
    </row>
    <row r="152" spans="1:12" hidden="1" x14ac:dyDescent="0.25">
      <c r="B152" s="41" t="s">
        <v>164</v>
      </c>
      <c r="F152" s="44">
        <f>'Rates and GI'!$D$54</f>
        <v>24.066499999999998</v>
      </c>
      <c r="G152" s="44">
        <f>'Rates and GI'!$D$54</f>
        <v>24.066499999999998</v>
      </c>
      <c r="H152" s="44">
        <f>'Rates and GI'!$D$54</f>
        <v>24.066499999999998</v>
      </c>
    </row>
    <row r="153" spans="1:12" hidden="1" x14ac:dyDescent="0.25">
      <c r="B153" s="41" t="s">
        <v>163</v>
      </c>
      <c r="F153" s="44">
        <v>0</v>
      </c>
      <c r="G153" s="38">
        <v>0</v>
      </c>
      <c r="H153" s="38">
        <v>0</v>
      </c>
    </row>
    <row r="154" spans="1:12" hidden="1" x14ac:dyDescent="0.25">
      <c r="B154" s="5" t="s">
        <v>175</v>
      </c>
      <c r="E154" s="44">
        <f>E155+E159</f>
        <v>0</v>
      </c>
      <c r="F154" s="44">
        <f t="shared" ref="F154:H154" si="38">F155+F159</f>
        <v>0</v>
      </c>
      <c r="G154" s="44">
        <f t="shared" si="38"/>
        <v>0</v>
      </c>
      <c r="H154" s="44">
        <f t="shared" si="38"/>
        <v>0</v>
      </c>
    </row>
    <row r="155" spans="1:12" hidden="1" x14ac:dyDescent="0.25">
      <c r="B155" s="41" t="s">
        <v>189</v>
      </c>
      <c r="E155" s="44">
        <f>E156*E157</f>
        <v>0</v>
      </c>
      <c r="F155" s="44">
        <f t="shared" ref="F155:H155" si="39">F156*F157</f>
        <v>0</v>
      </c>
      <c r="G155" s="44">
        <f t="shared" si="39"/>
        <v>0</v>
      </c>
      <c r="H155" s="44">
        <f t="shared" si="39"/>
        <v>0</v>
      </c>
    </row>
    <row r="156" spans="1:12" hidden="1" x14ac:dyDescent="0.25">
      <c r="B156" s="41" t="s">
        <v>176</v>
      </c>
      <c r="C156" s="5" t="s">
        <v>177</v>
      </c>
      <c r="E156" s="44">
        <v>0</v>
      </c>
      <c r="F156" s="44">
        <v>0</v>
      </c>
      <c r="G156" s="38">
        <v>0</v>
      </c>
      <c r="H156" s="38">
        <v>0</v>
      </c>
    </row>
    <row r="157" spans="1:12" hidden="1" x14ac:dyDescent="0.25">
      <c r="B157" s="41" t="s">
        <v>178</v>
      </c>
      <c r="E157" s="44">
        <f>'Rates and GI'!$D$52</f>
        <v>150</v>
      </c>
      <c r="F157" s="44">
        <f>'Rates and GI'!$D$52</f>
        <v>150</v>
      </c>
      <c r="G157" s="44">
        <f>'Rates and GI'!$D$52</f>
        <v>150</v>
      </c>
      <c r="H157" s="44">
        <f>'Rates and GI'!$D$52</f>
        <v>150</v>
      </c>
    </row>
    <row r="158" spans="1:12" hidden="1" x14ac:dyDescent="0.25">
      <c r="B158" s="6"/>
    </row>
    <row r="159" spans="1:12" hidden="1" x14ac:dyDescent="0.25">
      <c r="B159" s="41" t="s">
        <v>190</v>
      </c>
      <c r="E159" s="44">
        <f>E160*E161</f>
        <v>0</v>
      </c>
      <c r="F159" s="44">
        <f t="shared" ref="F159:H159" si="40">F160*F161</f>
        <v>0</v>
      </c>
      <c r="G159" s="44">
        <f t="shared" si="40"/>
        <v>0</v>
      </c>
      <c r="H159" s="44">
        <f t="shared" si="40"/>
        <v>0</v>
      </c>
    </row>
    <row r="160" spans="1:12" hidden="1" x14ac:dyDescent="0.25">
      <c r="B160" s="41" t="s">
        <v>176</v>
      </c>
      <c r="C160" s="5" t="s">
        <v>177</v>
      </c>
      <c r="E160" s="44">
        <v>0</v>
      </c>
      <c r="F160" s="44">
        <v>0</v>
      </c>
      <c r="G160" s="38">
        <v>0</v>
      </c>
      <c r="H160" s="38">
        <v>0</v>
      </c>
    </row>
    <row r="161" spans="1:8" hidden="1" x14ac:dyDescent="0.25">
      <c r="B161" s="41" t="s">
        <v>178</v>
      </c>
      <c r="E161" s="44">
        <f>'Rates and GI'!$D$53</f>
        <v>20</v>
      </c>
      <c r="F161" s="44">
        <f>'Rates and GI'!$D$53</f>
        <v>20</v>
      </c>
      <c r="G161" s="44">
        <f>'Rates and GI'!$D$53</f>
        <v>20</v>
      </c>
      <c r="H161" s="44">
        <f>'Rates and GI'!$D$53</f>
        <v>20</v>
      </c>
    </row>
    <row r="162" spans="1:8" hidden="1" x14ac:dyDescent="0.25">
      <c r="B162" s="6"/>
    </row>
    <row r="163" spans="1:8" hidden="1" x14ac:dyDescent="0.25">
      <c r="B163" s="5" t="s">
        <v>179</v>
      </c>
      <c r="E163" s="44">
        <f>E164*E165*E166</f>
        <v>0</v>
      </c>
      <c r="F163" s="44">
        <f t="shared" ref="F163:H163" si="41">F164*F165*F166</f>
        <v>0</v>
      </c>
      <c r="G163" s="44">
        <f t="shared" si="41"/>
        <v>0</v>
      </c>
      <c r="H163" s="44">
        <f t="shared" si="41"/>
        <v>0</v>
      </c>
    </row>
    <row r="164" spans="1:8" hidden="1" x14ac:dyDescent="0.25">
      <c r="B164" s="41" t="s">
        <v>191</v>
      </c>
      <c r="F164" s="44">
        <f>'Rates and GI'!$D$55</f>
        <v>300</v>
      </c>
      <c r="G164" s="44">
        <f>'Rates and GI'!$D$55</f>
        <v>300</v>
      </c>
      <c r="H164" s="44">
        <f>'Rates and GI'!$D$55</f>
        <v>300</v>
      </c>
    </row>
    <row r="165" spans="1:8" hidden="1" x14ac:dyDescent="0.25">
      <c r="B165" s="41" t="s">
        <v>192</v>
      </c>
      <c r="F165" s="44">
        <v>3</v>
      </c>
      <c r="G165" s="44">
        <v>3</v>
      </c>
      <c r="H165" s="44">
        <v>3</v>
      </c>
    </row>
    <row r="166" spans="1:8" hidden="1" x14ac:dyDescent="0.25">
      <c r="B166" s="41" t="s">
        <v>193</v>
      </c>
      <c r="F166" s="44">
        <v>0</v>
      </c>
      <c r="G166" s="44">
        <v>0</v>
      </c>
      <c r="H166" s="44">
        <v>0</v>
      </c>
    </row>
    <row r="167" spans="1:8" hidden="1" x14ac:dyDescent="0.25"/>
    <row r="168" spans="1:8" hidden="1" x14ac:dyDescent="0.25">
      <c r="B168" s="5" t="s">
        <v>172</v>
      </c>
      <c r="E168" s="44">
        <f>E169+E170*E171</f>
        <v>0</v>
      </c>
      <c r="F168" s="44">
        <f>F169+F170*F171</f>
        <v>0</v>
      </c>
      <c r="G168" s="44">
        <f>G169+G170*G171</f>
        <v>0</v>
      </c>
      <c r="H168" s="44">
        <f>H169+H170*H171</f>
        <v>0</v>
      </c>
    </row>
    <row r="169" spans="1:8" hidden="1" x14ac:dyDescent="0.25">
      <c r="B169" s="41" t="s">
        <v>153</v>
      </c>
      <c r="F169" s="44">
        <f>'Rates and GI'!D46*0</f>
        <v>0</v>
      </c>
    </row>
    <row r="170" spans="1:8" hidden="1" x14ac:dyDescent="0.25">
      <c r="B170" s="41" t="s">
        <v>159</v>
      </c>
      <c r="F170" s="65">
        <f>'Rates and GI'!$D$47</f>
        <v>0.05</v>
      </c>
      <c r="G170" s="65">
        <f>'Rates and GI'!$D$47</f>
        <v>0.05</v>
      </c>
      <c r="H170" s="65">
        <f>'Rates and GI'!$D$47</f>
        <v>0.05</v>
      </c>
    </row>
    <row r="171" spans="1:8" hidden="1" x14ac:dyDescent="0.25">
      <c r="B171" s="41" t="s">
        <v>160</v>
      </c>
      <c r="F171" s="44">
        <v>0</v>
      </c>
      <c r="G171" s="38">
        <v>0</v>
      </c>
    </row>
    <row r="172" spans="1:8" hidden="1" x14ac:dyDescent="0.25"/>
    <row r="173" spans="1:8" hidden="1" x14ac:dyDescent="0.25"/>
    <row r="174" spans="1:8" hidden="1" x14ac:dyDescent="0.25">
      <c r="A174" s="50"/>
      <c r="B174" s="50" t="s">
        <v>19</v>
      </c>
      <c r="C174" s="50"/>
      <c r="D174" s="52"/>
      <c r="E174" s="52">
        <v>0</v>
      </c>
      <c r="F174" s="52">
        <v>0</v>
      </c>
      <c r="G174" s="52">
        <v>0</v>
      </c>
      <c r="H174" s="52">
        <v>0</v>
      </c>
    </row>
    <row r="175" spans="1:8" hidden="1" x14ac:dyDescent="0.25"/>
  </sheetData>
  <pageMargins left="0.7" right="0.7" top="0.75" bottom="0.75" header="0.3" footer="0.3"/>
  <pageSetup paperSize="9" scale="56" fitToHeight="0"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13"/>
  <sheetViews>
    <sheetView topLeftCell="A46" workbookViewId="0">
      <selection activeCell="H203" sqref="H20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7</v>
      </c>
      <c r="B1" s="126" t="s">
        <v>236</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4454.1000000000004</v>
      </c>
      <c r="E5" s="44">
        <f>E68</f>
        <v>4454.1000000000004</v>
      </c>
      <c r="F5" s="44">
        <f t="shared" ref="F5:H5" si="1">F68</f>
        <v>0</v>
      </c>
      <c r="G5" s="44">
        <f t="shared" si="1"/>
        <v>0</v>
      </c>
      <c r="H5" s="44">
        <f t="shared" si="1"/>
        <v>0</v>
      </c>
    </row>
    <row r="6" spans="1:12" x14ac:dyDescent="0.25">
      <c r="B6" s="16" t="s">
        <v>168</v>
      </c>
      <c r="D6" s="44">
        <f t="shared" si="0"/>
        <v>6813.0719999999992</v>
      </c>
      <c r="E6" s="44">
        <f>E72</f>
        <v>6813.0719999999992</v>
      </c>
      <c r="F6" s="44">
        <f t="shared" ref="F6:H6" si="2">F72</f>
        <v>0</v>
      </c>
      <c r="G6" s="44">
        <f t="shared" si="2"/>
        <v>0</v>
      </c>
      <c r="H6" s="44">
        <f t="shared" si="2"/>
        <v>0</v>
      </c>
    </row>
    <row r="7" spans="1:12" ht="14.25" thickBot="1" x14ac:dyDescent="0.3">
      <c r="A7" s="13"/>
      <c r="B7" s="13" t="s">
        <v>5</v>
      </c>
      <c r="C7" s="13"/>
      <c r="D7" s="47">
        <f>SUBTOTAL(9,D5:D6)</f>
        <v>11267.171999999999</v>
      </c>
      <c r="E7" s="47">
        <f>SUBTOTAL(9,E5:E6)</f>
        <v>11267.171999999999</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E92</f>
        <v>0</v>
      </c>
      <c r="F10" s="44">
        <f t="shared" ref="F10:H10" si="4">F92</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631.70365882352939</v>
      </c>
      <c r="E15" s="44">
        <f>E100</f>
        <v>631.70365882352939</v>
      </c>
      <c r="F15" s="44">
        <f t="shared" ref="F15:H15" si="7">F100</f>
        <v>0</v>
      </c>
      <c r="G15" s="44">
        <f t="shared" si="7"/>
        <v>0</v>
      </c>
      <c r="H15" s="44">
        <f t="shared" si="7"/>
        <v>0</v>
      </c>
    </row>
    <row r="16" spans="1:12" x14ac:dyDescent="0.25">
      <c r="B16" s="16" t="s">
        <v>71</v>
      </c>
    </row>
    <row r="17" spans="1:12" ht="14.25" thickBot="1" x14ac:dyDescent="0.3">
      <c r="A17" s="13"/>
      <c r="B17" s="13" t="s">
        <v>74</v>
      </c>
      <c r="C17" s="13"/>
      <c r="D17" s="47">
        <f>SUBTOTAL(9,D15:D16)</f>
        <v>631.70365882352939</v>
      </c>
      <c r="E17" s="47">
        <f t="shared" ref="E17:H17" si="8">SUBTOTAL(9,E15:E16)</f>
        <v>631.70365882352939</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E104</f>
        <v>0</v>
      </c>
      <c r="F20" s="44">
        <f t="shared" ref="F20:H20" si="10">F104</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600</v>
      </c>
      <c r="E25" s="44">
        <f>E112</f>
        <v>600</v>
      </c>
      <c r="F25" s="44">
        <f t="shared" ref="F25:H25" si="13">F112</f>
        <v>0</v>
      </c>
      <c r="G25" s="44">
        <f t="shared" si="13"/>
        <v>0</v>
      </c>
      <c r="H25" s="44">
        <f t="shared" si="13"/>
        <v>0</v>
      </c>
    </row>
    <row r="26" spans="1:12" x14ac:dyDescent="0.25">
      <c r="B26" s="16" t="s">
        <v>25</v>
      </c>
      <c r="D26" s="44">
        <f t="shared" ref="D26" si="14">SUM(E26:H26)</f>
        <v>0</v>
      </c>
      <c r="E26" s="44">
        <f>E133</f>
        <v>0</v>
      </c>
      <c r="F26" s="44">
        <f t="shared" ref="F26:H26" si="15">F133</f>
        <v>0</v>
      </c>
      <c r="G26" s="44">
        <f t="shared" si="15"/>
        <v>0</v>
      </c>
      <c r="H26" s="44">
        <f t="shared" si="15"/>
        <v>0</v>
      </c>
    </row>
    <row r="27" spans="1:12" x14ac:dyDescent="0.25">
      <c r="B27" s="16" t="s">
        <v>233</v>
      </c>
    </row>
    <row r="28" spans="1:12" ht="14.25" thickBot="1" x14ac:dyDescent="0.3">
      <c r="A28" s="13"/>
      <c r="B28" s="13" t="s">
        <v>73</v>
      </c>
      <c r="C28" s="13"/>
      <c r="D28" s="47">
        <f>SUBTOTAL(9,D25:D27)</f>
        <v>600</v>
      </c>
      <c r="E28" s="47">
        <f t="shared" ref="E28:H28" si="16">SUBTOTAL(9,E25:E27)</f>
        <v>600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E122</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E179</f>
        <v>0</v>
      </c>
      <c r="F40" s="44">
        <f t="shared" ref="F40:H40" si="20">F179</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571</v>
      </c>
      <c r="C45" s="135"/>
      <c r="D45" s="53"/>
      <c r="E45" s="53"/>
      <c r="F45" s="53"/>
      <c r="G45" s="54"/>
      <c r="H45" s="54"/>
      <c r="I45" s="12"/>
      <c r="J45" s="12"/>
      <c r="K45" s="12"/>
      <c r="L45" s="12"/>
    </row>
    <row r="46" spans="1:12" ht="27" x14ac:dyDescent="0.25">
      <c r="A46" s="2"/>
      <c r="B46" s="25" t="s">
        <v>569</v>
      </c>
      <c r="C46" s="2"/>
      <c r="D46" s="44">
        <f>SUM(E46:H46)</f>
        <v>91000</v>
      </c>
      <c r="E46" s="44">
        <f>E181</f>
        <v>91000</v>
      </c>
      <c r="F46" s="44">
        <f t="shared" ref="F46:H46" si="22">F181</f>
        <v>0</v>
      </c>
      <c r="G46" s="44">
        <f t="shared" si="22"/>
        <v>0</v>
      </c>
      <c r="H46" s="44">
        <f t="shared" si="22"/>
        <v>0</v>
      </c>
    </row>
    <row r="47" spans="1:12" ht="27" x14ac:dyDescent="0.25">
      <c r="A47" s="2"/>
      <c r="B47" s="25" t="s">
        <v>570</v>
      </c>
      <c r="C47" s="1"/>
      <c r="D47" s="44">
        <f t="shared" ref="D47" si="23">SUM(E47:H47)</f>
        <v>7000</v>
      </c>
      <c r="E47" s="44">
        <f>E187</f>
        <v>7000</v>
      </c>
      <c r="F47" s="44">
        <f t="shared" ref="F47:H47" si="24">F183</f>
        <v>0</v>
      </c>
      <c r="G47" s="44">
        <f t="shared" si="24"/>
        <v>0</v>
      </c>
      <c r="H47" s="44">
        <f t="shared" si="24"/>
        <v>0</v>
      </c>
      <c r="I47" s="6"/>
    </row>
    <row r="48" spans="1:12" ht="14.25" thickBot="1" x14ac:dyDescent="0.3">
      <c r="A48" s="13"/>
      <c r="B48" s="13" t="s">
        <v>256</v>
      </c>
      <c r="C48" s="136"/>
      <c r="D48" s="47">
        <f>SUBTOTAL(9,D46:D47)</f>
        <v>98000</v>
      </c>
      <c r="E48" s="47">
        <f t="shared" ref="E48:H48" si="25">SUBTOTAL(9,E46:E47)</f>
        <v>98000</v>
      </c>
      <c r="F48" s="47">
        <f t="shared" si="25"/>
        <v>0</v>
      </c>
      <c r="G48" s="47">
        <f t="shared" si="25"/>
        <v>0</v>
      </c>
      <c r="H48" s="47">
        <f t="shared" si="25"/>
        <v>0</v>
      </c>
      <c r="I48" s="6"/>
    </row>
    <row r="49" spans="1:12" ht="5.25" customHeight="1" x14ac:dyDescent="0.25">
      <c r="A49" s="3"/>
      <c r="B49" s="6"/>
      <c r="C49" s="3"/>
    </row>
    <row r="50" spans="1:12" x14ac:dyDescent="0.25">
      <c r="A50" s="15"/>
      <c r="B50" s="15" t="s">
        <v>20</v>
      </c>
      <c r="C50" s="15"/>
      <c r="D50" s="53"/>
      <c r="E50" s="53"/>
      <c r="F50" s="53"/>
      <c r="G50" s="54"/>
      <c r="H50" s="54"/>
      <c r="I50" s="61"/>
      <c r="J50" s="12"/>
      <c r="K50" s="12"/>
      <c r="L50" s="12"/>
    </row>
    <row r="51" spans="1:12" x14ac:dyDescent="0.25">
      <c r="A51" s="3"/>
      <c r="B51" s="3" t="s">
        <v>194</v>
      </c>
      <c r="C51" s="3"/>
      <c r="D51" s="44">
        <f t="shared" ref="D51:D52" si="26">SUM(E51:H51)</f>
        <v>0</v>
      </c>
      <c r="E51" s="44">
        <f>E152</f>
        <v>0</v>
      </c>
      <c r="F51" s="44">
        <f t="shared" ref="F51:H51" si="27">F152</f>
        <v>0</v>
      </c>
      <c r="G51" s="44">
        <f t="shared" si="27"/>
        <v>0</v>
      </c>
      <c r="H51" s="44">
        <f t="shared" si="27"/>
        <v>0</v>
      </c>
    </row>
    <row r="52" spans="1:12" x14ac:dyDescent="0.25">
      <c r="A52" s="3"/>
      <c r="B52" s="3" t="s">
        <v>21</v>
      </c>
      <c r="C52" s="3"/>
      <c r="D52" s="44">
        <f t="shared" si="26"/>
        <v>600</v>
      </c>
      <c r="E52" s="44">
        <f>E142</f>
        <v>600</v>
      </c>
      <c r="F52" s="44">
        <f t="shared" ref="F52:H52" si="28">F142</f>
        <v>0</v>
      </c>
      <c r="G52" s="44">
        <f t="shared" si="28"/>
        <v>0</v>
      </c>
      <c r="H52" s="44">
        <f t="shared" si="28"/>
        <v>0</v>
      </c>
    </row>
    <row r="53" spans="1:12" ht="14.25" thickBot="1" x14ac:dyDescent="0.3">
      <c r="A53" s="13"/>
      <c r="B53" s="13" t="s">
        <v>69</v>
      </c>
      <c r="C53" s="13"/>
      <c r="D53" s="47">
        <f>SUBTOTAL(9,D51:D52)</f>
        <v>600</v>
      </c>
      <c r="E53" s="47">
        <f>SUBTOTAL(9,E51:E52)</f>
        <v>600</v>
      </c>
      <c r="F53" s="47">
        <f>SUBTOTAL(9,F51:F52)</f>
        <v>0</v>
      </c>
      <c r="G53" s="47">
        <f>SUBTOTAL(9,G51:G52)</f>
        <v>0</v>
      </c>
      <c r="H53" s="47">
        <f>SUBTOTAL(9,H51:H52)</f>
        <v>0</v>
      </c>
    </row>
    <row r="54" spans="1:12" ht="5.25" customHeight="1" x14ac:dyDescent="0.25">
      <c r="A54" s="1"/>
      <c r="B54" s="1"/>
      <c r="C54" s="1"/>
    </row>
    <row r="55" spans="1:12" ht="14.25" thickBot="1" x14ac:dyDescent="0.3">
      <c r="A55" s="48"/>
      <c r="B55" s="48" t="s">
        <v>142</v>
      </c>
      <c r="C55" s="48"/>
      <c r="D55" s="49">
        <f>SUBTOTAL(9,D5:D53)</f>
        <v>111098.87565882353</v>
      </c>
      <c r="E55" s="49">
        <f>SUBTOTAL(9,E5:E53)</f>
        <v>111098.87565882353</v>
      </c>
      <c r="F55" s="49">
        <f>SUBTOTAL(9,F5:F53)</f>
        <v>0</v>
      </c>
      <c r="G55" s="49">
        <f>SUBTOTAL(9,G5:G53)</f>
        <v>0</v>
      </c>
      <c r="H55" s="49">
        <f>SUBTOTAL(9,H5:H53)</f>
        <v>0</v>
      </c>
    </row>
    <row r="56" spans="1:12" ht="14.25" thickBot="1" x14ac:dyDescent="0.3">
      <c r="A56" s="1"/>
      <c r="B56" s="1"/>
      <c r="C56" s="1"/>
      <c r="D56" s="33"/>
      <c r="E56" s="33"/>
      <c r="F56" s="33"/>
      <c r="G56" s="28"/>
      <c r="H56" s="28"/>
      <c r="I56" s="6"/>
    </row>
    <row r="57" spans="1:12" ht="18" thickTop="1" x14ac:dyDescent="0.3">
      <c r="A57" s="120"/>
      <c r="B57" s="121" t="s">
        <v>27</v>
      </c>
      <c r="C57" s="121"/>
      <c r="D57" s="122"/>
      <c r="E57" s="122"/>
      <c r="F57" s="122"/>
      <c r="G57" s="122"/>
      <c r="H57" s="122"/>
      <c r="I57" s="6"/>
    </row>
    <row r="58" spans="1:12" ht="6.75" customHeight="1" x14ac:dyDescent="0.25">
      <c r="A58" s="1"/>
      <c r="B58" s="1"/>
      <c r="C58" s="1"/>
      <c r="D58" s="33"/>
      <c r="E58" s="33"/>
      <c r="F58" s="33"/>
      <c r="G58" s="28"/>
      <c r="H58" s="28"/>
      <c r="I58" s="6"/>
    </row>
    <row r="59" spans="1:12" s="14" customFormat="1" x14ac:dyDescent="0.25">
      <c r="A59" s="81"/>
      <c r="B59" s="81" t="s">
        <v>65</v>
      </c>
      <c r="C59" s="81" t="s">
        <v>64</v>
      </c>
      <c r="D59" s="82"/>
      <c r="E59" s="83">
        <f>start</f>
        <v>43831</v>
      </c>
      <c r="F59" s="83">
        <f>EOMONTH(E59,11)+1</f>
        <v>44197</v>
      </c>
      <c r="G59" s="83">
        <f>EOMONTH(F59,11)+1</f>
        <v>44562</v>
      </c>
      <c r="H59" s="83">
        <f>EOMONTH(G59,11)+1</f>
        <v>44927</v>
      </c>
    </row>
    <row r="60" spans="1:12" ht="6.75" customHeight="1" x14ac:dyDescent="0.25">
      <c r="D60" s="33"/>
      <c r="E60" s="33"/>
      <c r="F60" s="33"/>
      <c r="G60" s="28"/>
      <c r="H60" s="28"/>
      <c r="I60" s="6"/>
    </row>
    <row r="61" spans="1:12" x14ac:dyDescent="0.25">
      <c r="A61" s="50"/>
      <c r="B61" s="50" t="s">
        <v>0</v>
      </c>
      <c r="C61" s="50"/>
      <c r="D61" s="52"/>
      <c r="E61" s="52"/>
      <c r="F61" s="52"/>
      <c r="G61" s="52"/>
      <c r="H61" s="52"/>
    </row>
    <row r="62" spans="1:12" hidden="1" x14ac:dyDescent="0.25">
      <c r="B62" s="5" t="s">
        <v>2</v>
      </c>
      <c r="E62" s="44">
        <f>E63*E64*E65*E66</f>
        <v>0</v>
      </c>
      <c r="F62" s="45"/>
      <c r="G62" s="37"/>
      <c r="H62" s="37"/>
    </row>
    <row r="63" spans="1:12" hidden="1" x14ac:dyDescent="0.25">
      <c r="A63" s="9"/>
      <c r="B63" s="9" t="s">
        <v>36</v>
      </c>
      <c r="C63" s="9"/>
      <c r="E63" s="44">
        <v>0</v>
      </c>
    </row>
    <row r="64" spans="1:12" hidden="1" x14ac:dyDescent="0.25">
      <c r="A64" s="9"/>
      <c r="B64" s="9" t="s">
        <v>37</v>
      </c>
      <c r="C64" s="9"/>
      <c r="D64" s="45"/>
      <c r="E64" s="45">
        <v>0</v>
      </c>
    </row>
    <row r="65" spans="1:12" hidden="1" x14ac:dyDescent="0.25">
      <c r="A65" s="9"/>
      <c r="B65" s="9" t="s">
        <v>38</v>
      </c>
      <c r="C65" s="9"/>
      <c r="E65" s="44">
        <v>0</v>
      </c>
    </row>
    <row r="66" spans="1:12" hidden="1" x14ac:dyDescent="0.25">
      <c r="A66" s="9"/>
      <c r="B66" s="9" t="s">
        <v>39</v>
      </c>
      <c r="C66" s="9"/>
      <c r="E66" s="46">
        <v>0</v>
      </c>
    </row>
    <row r="67" spans="1:12" hidden="1" x14ac:dyDescent="0.25">
      <c r="A67" s="9"/>
      <c r="B67" s="9"/>
      <c r="C67" s="9"/>
    </row>
    <row r="68" spans="1:12" x14ac:dyDescent="0.25">
      <c r="B68" s="5" t="s">
        <v>23</v>
      </c>
      <c r="E68" s="44">
        <f>E69*E70</f>
        <v>4454.1000000000004</v>
      </c>
      <c r="F68" s="44">
        <f t="shared" ref="F68:H68" si="29">F69*F70</f>
        <v>0</v>
      </c>
      <c r="G68" s="44">
        <f t="shared" si="29"/>
        <v>0</v>
      </c>
      <c r="H68" s="44">
        <f t="shared" si="29"/>
        <v>0</v>
      </c>
    </row>
    <row r="69" spans="1:12" x14ac:dyDescent="0.25">
      <c r="A69" s="9"/>
      <c r="B69" s="9" t="s">
        <v>114</v>
      </c>
      <c r="C69" s="9" t="s">
        <v>113</v>
      </c>
      <c r="E69" s="44">
        <f>(6+6)*21</f>
        <v>252</v>
      </c>
      <c r="F69" s="44">
        <v>0</v>
      </c>
      <c r="G69" s="44">
        <v>0</v>
      </c>
      <c r="H69" s="44">
        <v>0</v>
      </c>
    </row>
    <row r="70" spans="1:12" x14ac:dyDescent="0.25">
      <c r="A70" s="9"/>
      <c r="B70" s="9" t="s">
        <v>40</v>
      </c>
      <c r="C70" s="9"/>
      <c r="E70" s="44">
        <f>'Rates and GI'!D12</f>
        <v>17.675000000000001</v>
      </c>
      <c r="F70" s="44">
        <f>E70*(1+index)</f>
        <v>18.435025</v>
      </c>
      <c r="G70" s="44">
        <f>F70*(1+index)</f>
        <v>19.227731074999998</v>
      </c>
      <c r="H70" s="44">
        <f>G70*(1+index)</f>
        <v>20.054523511224996</v>
      </c>
    </row>
    <row r="72" spans="1:12" s="7" customFormat="1" x14ac:dyDescent="0.25">
      <c r="A72" s="5"/>
      <c r="B72" s="5" t="s">
        <v>168</v>
      </c>
      <c r="C72" s="5"/>
      <c r="D72" s="44"/>
      <c r="E72" s="44">
        <f>E73*E74</f>
        <v>6813.0719999999992</v>
      </c>
      <c r="F72" s="44">
        <f t="shared" ref="F72:H72" si="30">F73*F74</f>
        <v>0</v>
      </c>
      <c r="G72" s="44">
        <f t="shared" si="30"/>
        <v>0</v>
      </c>
      <c r="H72" s="44">
        <f t="shared" si="30"/>
        <v>0</v>
      </c>
      <c r="I72" s="62"/>
      <c r="J72" s="6"/>
      <c r="K72" s="6"/>
      <c r="L72" s="6"/>
    </row>
    <row r="73" spans="1:12" s="7" customFormat="1" x14ac:dyDescent="0.25">
      <c r="A73" s="9"/>
      <c r="B73" s="9" t="s">
        <v>170</v>
      </c>
      <c r="C73" s="9" t="s">
        <v>113</v>
      </c>
      <c r="D73" s="44"/>
      <c r="E73" s="44">
        <f>(1+1)*21</f>
        <v>42</v>
      </c>
      <c r="F73" s="44">
        <v>0</v>
      </c>
      <c r="G73" s="44">
        <v>0</v>
      </c>
      <c r="H73" s="44">
        <v>0</v>
      </c>
      <c r="I73" s="62"/>
      <c r="J73" s="6"/>
      <c r="K73" s="6"/>
      <c r="L73" s="6"/>
    </row>
    <row r="74" spans="1:12" s="7" customFormat="1" x14ac:dyDescent="0.25">
      <c r="A74" s="9"/>
      <c r="B74" s="9" t="s">
        <v>40</v>
      </c>
      <c r="C74" s="9"/>
      <c r="D74" s="44"/>
      <c r="E74" s="44">
        <f>'Rates and GI'!D13</f>
        <v>162.21599999999998</v>
      </c>
      <c r="F74" s="44">
        <f>E74*(1+index)</f>
        <v>169.19128799999996</v>
      </c>
      <c r="G74" s="44">
        <f>F74*(1+index)</f>
        <v>176.46651338399994</v>
      </c>
      <c r="H74" s="44">
        <f>G74*(1+index)</f>
        <v>184.05457345951191</v>
      </c>
      <c r="I74" s="62"/>
      <c r="J74" s="6"/>
      <c r="K74" s="6"/>
      <c r="L74" s="6"/>
    </row>
    <row r="76" spans="1:12" s="7" customFormat="1" hidden="1" x14ac:dyDescent="0.25">
      <c r="A76" s="5"/>
      <c r="B76" s="5" t="s">
        <v>1</v>
      </c>
      <c r="C76" s="5"/>
      <c r="D76" s="44"/>
      <c r="E76" s="44"/>
      <c r="F76" s="44"/>
      <c r="G76" s="38"/>
      <c r="H76" s="38"/>
      <c r="I76" s="62"/>
      <c r="J76" s="6"/>
      <c r="K76" s="6"/>
      <c r="L76" s="6"/>
    </row>
    <row r="77" spans="1:12" s="7" customFormat="1" hidden="1" x14ac:dyDescent="0.25">
      <c r="A77" s="9"/>
      <c r="B77" s="9" t="s">
        <v>41</v>
      </c>
      <c r="C77" s="9"/>
      <c r="D77" s="44"/>
      <c r="E77" s="44">
        <v>0</v>
      </c>
      <c r="F77" s="44"/>
      <c r="G77" s="38"/>
      <c r="H77" s="38"/>
      <c r="I77" s="62"/>
      <c r="J77" s="6"/>
      <c r="K77" s="6"/>
      <c r="L77" s="6"/>
    </row>
    <row r="78" spans="1:12" s="7" customFormat="1" hidden="1" x14ac:dyDescent="0.25">
      <c r="A78" s="9"/>
      <c r="B78" s="9" t="s">
        <v>42</v>
      </c>
      <c r="C78" s="9"/>
      <c r="D78" s="44"/>
      <c r="E78" s="44">
        <v>0</v>
      </c>
      <c r="F78" s="44"/>
      <c r="G78" s="38"/>
      <c r="H78" s="38"/>
      <c r="I78" s="62"/>
      <c r="J78" s="6"/>
      <c r="K78" s="6"/>
      <c r="L78" s="6"/>
    </row>
    <row r="79" spans="1:12" s="7" customFormat="1" hidden="1" x14ac:dyDescent="0.25">
      <c r="A79" s="9"/>
      <c r="B79" s="9" t="s">
        <v>43</v>
      </c>
      <c r="C79" s="9"/>
      <c r="D79" s="44"/>
      <c r="E79" s="44">
        <v>0</v>
      </c>
      <c r="F79" s="44"/>
      <c r="G79" s="38"/>
      <c r="H79" s="38"/>
      <c r="I79" s="62"/>
      <c r="J79" s="6"/>
      <c r="K79" s="6"/>
      <c r="L79" s="6"/>
    </row>
    <row r="80" spans="1:12" s="7" customFormat="1" hidden="1" x14ac:dyDescent="0.25">
      <c r="A80" s="9"/>
      <c r="B80" s="9" t="s">
        <v>44</v>
      </c>
      <c r="C80" s="9"/>
      <c r="D80" s="44"/>
      <c r="E80" s="44">
        <v>0</v>
      </c>
      <c r="F80" s="44"/>
      <c r="G80" s="38"/>
      <c r="H80" s="38"/>
      <c r="I80" s="62"/>
      <c r="J80" s="6"/>
      <c r="K80" s="6"/>
      <c r="L80" s="6"/>
    </row>
    <row r="81" spans="1:12" hidden="1" x14ac:dyDescent="0.25"/>
    <row r="82" spans="1:12" s="7" customFormat="1" hidden="1" x14ac:dyDescent="0.25">
      <c r="A82" s="5"/>
      <c r="B82" s="5" t="s">
        <v>3</v>
      </c>
      <c r="C82" s="5"/>
      <c r="D82" s="44"/>
      <c r="E82" s="44"/>
      <c r="F82" s="44"/>
      <c r="G82" s="38"/>
      <c r="H82" s="38"/>
      <c r="I82" s="62"/>
      <c r="J82" s="6"/>
      <c r="K82" s="6"/>
      <c r="L82" s="6"/>
    </row>
    <row r="83" spans="1:12" s="7" customFormat="1" hidden="1" x14ac:dyDescent="0.25">
      <c r="A83" s="9"/>
      <c r="B83" s="9" t="s">
        <v>45</v>
      </c>
      <c r="C83" s="9"/>
      <c r="D83" s="44"/>
      <c r="E83" s="44">
        <v>0</v>
      </c>
      <c r="F83" s="44"/>
      <c r="G83" s="38"/>
      <c r="H83" s="38"/>
      <c r="I83" s="62"/>
      <c r="J83" s="6"/>
      <c r="K83" s="6"/>
      <c r="L83" s="6"/>
    </row>
    <row r="84" spans="1:12" s="7" customFormat="1" hidden="1" x14ac:dyDescent="0.25">
      <c r="A84" s="9"/>
      <c r="B84" s="9" t="s">
        <v>46</v>
      </c>
      <c r="C84" s="9"/>
      <c r="D84" s="44"/>
      <c r="E84" s="44">
        <v>0</v>
      </c>
      <c r="F84" s="44"/>
      <c r="G84" s="38"/>
      <c r="H84" s="38"/>
      <c r="I84" s="62"/>
      <c r="J84" s="6"/>
      <c r="K84" s="6"/>
      <c r="L84" s="6"/>
    </row>
    <row r="85" spans="1:12" hidden="1" x14ac:dyDescent="0.25"/>
    <row r="86" spans="1:12" s="7" customFormat="1" hidden="1" x14ac:dyDescent="0.25">
      <c r="A86" s="5"/>
      <c r="B86" s="5" t="s">
        <v>4</v>
      </c>
      <c r="C86" s="5"/>
      <c r="D86" s="44"/>
      <c r="E86" s="44"/>
      <c r="F86" s="44"/>
      <c r="G86" s="38"/>
      <c r="H86" s="38"/>
      <c r="I86" s="62"/>
      <c r="J86" s="6"/>
      <c r="K86" s="6"/>
      <c r="L86" s="6"/>
    </row>
    <row r="87" spans="1:12" s="7" customFormat="1" hidden="1" x14ac:dyDescent="0.25">
      <c r="A87" s="9"/>
      <c r="B87" s="9" t="s">
        <v>47</v>
      </c>
      <c r="C87" s="9"/>
      <c r="D87" s="44"/>
      <c r="E87" s="44">
        <v>0</v>
      </c>
      <c r="F87" s="44"/>
      <c r="G87" s="38"/>
      <c r="H87" s="38"/>
      <c r="I87" s="62"/>
      <c r="J87" s="6"/>
      <c r="K87" s="6"/>
      <c r="L87" s="6"/>
    </row>
    <row r="88" spans="1:12" s="7" customFormat="1" hidden="1" x14ac:dyDescent="0.25">
      <c r="A88" s="9"/>
      <c r="B88" s="9" t="s">
        <v>48</v>
      </c>
      <c r="C88" s="9"/>
      <c r="D88" s="44"/>
      <c r="E88" s="44">
        <v>0</v>
      </c>
      <c r="F88" s="44"/>
      <c r="G88" s="38"/>
      <c r="H88" s="38"/>
      <c r="I88" s="62"/>
      <c r="J88" s="6"/>
      <c r="K88" s="6"/>
      <c r="L88" s="6"/>
    </row>
    <row r="89" spans="1:12" hidden="1" x14ac:dyDescent="0.25"/>
    <row r="90" spans="1:12" s="7" customFormat="1" hidden="1" x14ac:dyDescent="0.25">
      <c r="A90" s="9"/>
      <c r="B90" s="9" t="s">
        <v>39</v>
      </c>
      <c r="C90" s="9"/>
      <c r="D90" s="44"/>
      <c r="E90" s="46"/>
      <c r="F90" s="44"/>
      <c r="G90" s="38"/>
      <c r="H90" s="38"/>
      <c r="I90" s="62"/>
      <c r="J90" s="6"/>
      <c r="K90" s="6"/>
      <c r="L90" s="6"/>
    </row>
    <row r="91" spans="1:12" hidden="1" x14ac:dyDescent="0.25"/>
    <row r="92" spans="1:12" hidden="1" x14ac:dyDescent="0.25">
      <c r="A92" s="50"/>
      <c r="B92" s="50" t="s">
        <v>10</v>
      </c>
      <c r="C92" s="50"/>
      <c r="D92" s="52"/>
      <c r="E92" s="52">
        <f>E93*E94+E96*E97</f>
        <v>0</v>
      </c>
      <c r="F92" s="52">
        <f t="shared" ref="F92:H92" si="31">F93*F94+F96*F97</f>
        <v>0</v>
      </c>
      <c r="G92" s="52">
        <f t="shared" si="31"/>
        <v>0</v>
      </c>
      <c r="H92" s="52">
        <f t="shared" si="31"/>
        <v>0</v>
      </c>
    </row>
    <row r="93" spans="1:12" s="7" customFormat="1" hidden="1" x14ac:dyDescent="0.25">
      <c r="A93" s="5"/>
      <c r="B93" s="9" t="s">
        <v>49</v>
      </c>
      <c r="C93" s="5"/>
      <c r="D93" s="44"/>
      <c r="E93" s="44">
        <v>0</v>
      </c>
      <c r="F93" s="44">
        <v>0</v>
      </c>
      <c r="G93" s="44">
        <v>0</v>
      </c>
      <c r="H93" s="44">
        <v>0</v>
      </c>
      <c r="I93" s="62"/>
      <c r="J93" s="6"/>
      <c r="K93" s="6"/>
      <c r="L93" s="6"/>
    </row>
    <row r="94" spans="1:12" s="7" customFormat="1" hidden="1" x14ac:dyDescent="0.25">
      <c r="A94" s="5"/>
      <c r="B94" s="9" t="s">
        <v>50</v>
      </c>
      <c r="C94" s="5"/>
      <c r="D94" s="44"/>
      <c r="E94" s="44">
        <f>Trips!$B$10</f>
        <v>908.23176058823537</v>
      </c>
      <c r="F94" s="44">
        <f>Trips!$B$10</f>
        <v>908.23176058823537</v>
      </c>
      <c r="G94" s="44">
        <f>Trips!$B$10</f>
        <v>908.23176058823537</v>
      </c>
      <c r="H94" s="44">
        <f>Trips!$B$10</f>
        <v>908.23176058823537</v>
      </c>
      <c r="I94" s="62"/>
      <c r="J94" s="6"/>
      <c r="K94" s="6"/>
      <c r="L94" s="6"/>
    </row>
    <row r="95" spans="1:12" hidden="1" x14ac:dyDescent="0.25"/>
    <row r="96" spans="1:12" s="7" customFormat="1" hidden="1" x14ac:dyDescent="0.25">
      <c r="A96" s="5"/>
      <c r="B96" s="9" t="s">
        <v>51</v>
      </c>
      <c r="C96" s="5"/>
      <c r="D96" s="44"/>
      <c r="E96" s="44">
        <v>0</v>
      </c>
      <c r="F96" s="44">
        <v>0</v>
      </c>
      <c r="G96" s="44">
        <v>0</v>
      </c>
      <c r="H96" s="44">
        <v>0</v>
      </c>
      <c r="I96" s="62"/>
      <c r="J96" s="6"/>
      <c r="K96" s="6"/>
      <c r="L96" s="6"/>
    </row>
    <row r="97" spans="1:12" s="7" customFormat="1" hidden="1" x14ac:dyDescent="0.25">
      <c r="A97" s="5"/>
      <c r="B97" s="9" t="s">
        <v>52</v>
      </c>
      <c r="C97" s="5"/>
      <c r="D97" s="44"/>
      <c r="E97" s="44">
        <f>Trips!$B$5</f>
        <v>52</v>
      </c>
      <c r="F97" s="44">
        <f>Trips!$B$5</f>
        <v>52</v>
      </c>
      <c r="G97" s="44">
        <f>Trips!$B$5</f>
        <v>52</v>
      </c>
      <c r="H97" s="44">
        <f>Trips!$B$5</f>
        <v>52</v>
      </c>
      <c r="I97" s="62"/>
      <c r="J97" s="6"/>
      <c r="K97" s="6"/>
      <c r="L97" s="6"/>
    </row>
    <row r="98" spans="1:12" hidden="1" x14ac:dyDescent="0.25"/>
    <row r="99" spans="1:12" hidden="1" x14ac:dyDescent="0.25"/>
    <row r="100" spans="1:12" x14ac:dyDescent="0.25">
      <c r="A100" s="50"/>
      <c r="B100" s="50" t="s">
        <v>171</v>
      </c>
      <c r="C100" s="50"/>
      <c r="D100" s="52"/>
      <c r="E100" s="52">
        <f>E101*E102</f>
        <v>631.70365882352939</v>
      </c>
      <c r="F100" s="52">
        <f t="shared" ref="F100:H100" si="32">F101*F102</f>
        <v>0</v>
      </c>
      <c r="G100" s="52">
        <f t="shared" si="32"/>
        <v>0</v>
      </c>
      <c r="H100" s="52">
        <f t="shared" si="32"/>
        <v>0</v>
      </c>
    </row>
    <row r="101" spans="1:12" s="7" customFormat="1" x14ac:dyDescent="0.25">
      <c r="A101" s="10"/>
      <c r="B101" s="39" t="s">
        <v>144</v>
      </c>
      <c r="C101" s="10" t="s">
        <v>145</v>
      </c>
      <c r="D101" s="44"/>
      <c r="E101" s="44">
        <v>1</v>
      </c>
      <c r="F101" s="44">
        <v>0</v>
      </c>
      <c r="G101" s="44">
        <v>0</v>
      </c>
      <c r="H101" s="44">
        <v>0</v>
      </c>
      <c r="I101" s="62"/>
      <c r="J101" s="6"/>
      <c r="K101" s="6"/>
      <c r="L101" s="6"/>
    </row>
    <row r="102" spans="1:12" s="7" customFormat="1" x14ac:dyDescent="0.25">
      <c r="A102" s="5"/>
      <c r="B102" s="39" t="s">
        <v>141</v>
      </c>
      <c r="C102" s="5"/>
      <c r="D102" s="44"/>
      <c r="E102" s="44">
        <f>Trips!B41</f>
        <v>631.70365882352939</v>
      </c>
      <c r="F102" s="44">
        <f>E102*(1+index)</f>
        <v>658.86691615294114</v>
      </c>
      <c r="G102" s="44">
        <f>F102*(1+index)</f>
        <v>687.19819354751758</v>
      </c>
      <c r="H102" s="44">
        <f>G102*(1+index)</f>
        <v>716.7477158700608</v>
      </c>
      <c r="I102" s="62"/>
      <c r="J102" s="6"/>
      <c r="K102" s="6"/>
      <c r="L102" s="6"/>
    </row>
    <row r="104" spans="1:12" hidden="1" x14ac:dyDescent="0.25">
      <c r="A104" s="50"/>
      <c r="B104" s="50" t="s">
        <v>130</v>
      </c>
      <c r="C104" s="50"/>
      <c r="D104" s="52"/>
      <c r="E104" s="52">
        <f>E105*E106+E107*E108+E109*E110</f>
        <v>0</v>
      </c>
      <c r="F104" s="52">
        <f t="shared" ref="F104:H104" si="33">F105*F106+F107*F108+F109*F110</f>
        <v>0</v>
      </c>
      <c r="G104" s="52">
        <f t="shared" si="33"/>
        <v>0</v>
      </c>
      <c r="H104" s="52">
        <f t="shared" si="33"/>
        <v>0</v>
      </c>
    </row>
    <row r="105" spans="1:12" hidden="1" x14ac:dyDescent="0.25">
      <c r="B105" s="39" t="s">
        <v>131</v>
      </c>
      <c r="C105" s="5" t="s">
        <v>132</v>
      </c>
      <c r="F105" s="44">
        <f>Training!$C$33</f>
        <v>81.10799999999999</v>
      </c>
      <c r="G105" s="44">
        <f>Training!$C$33</f>
        <v>81.10799999999999</v>
      </c>
      <c r="H105" s="44">
        <f>Training!$C$33</f>
        <v>81.10799999999999</v>
      </c>
    </row>
    <row r="106" spans="1:12" hidden="1" x14ac:dyDescent="0.25">
      <c r="B106" s="39" t="s">
        <v>133</v>
      </c>
      <c r="F106" s="44">
        <f>F93</f>
        <v>0</v>
      </c>
      <c r="G106" s="44">
        <f t="shared" ref="G106:H106" si="34">G93</f>
        <v>0</v>
      </c>
      <c r="H106" s="44">
        <f t="shared" si="34"/>
        <v>0</v>
      </c>
    </row>
    <row r="107" spans="1:12" hidden="1" x14ac:dyDescent="0.25">
      <c r="B107" s="39" t="s">
        <v>134</v>
      </c>
      <c r="F107" s="44">
        <f>Training!C$23</f>
        <v>709.375</v>
      </c>
      <c r="G107" s="44">
        <f>F107*(1+index)</f>
        <v>739.87812499999995</v>
      </c>
      <c r="H107" s="44">
        <f>G107*(1+index)</f>
        <v>771.69288437499995</v>
      </c>
    </row>
    <row r="108" spans="1:12" hidden="1" x14ac:dyDescent="0.25">
      <c r="B108" s="39" t="s">
        <v>135</v>
      </c>
      <c r="E108" s="44">
        <f>E109*E110</f>
        <v>0</v>
      </c>
      <c r="F108" s="44">
        <v>0</v>
      </c>
      <c r="G108" s="44">
        <v>0</v>
      </c>
      <c r="H108" s="44">
        <v>0</v>
      </c>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hidden="1" x14ac:dyDescent="0.25">
      <c r="B111" s="39"/>
    </row>
    <row r="112" spans="1:12" x14ac:dyDescent="0.25">
      <c r="A112" s="50"/>
      <c r="B112" s="50" t="s">
        <v>24</v>
      </c>
      <c r="C112" s="50"/>
      <c r="D112" s="52"/>
      <c r="E112" s="52">
        <f>E113*E114</f>
        <v>600</v>
      </c>
      <c r="F112" s="52">
        <f t="shared" ref="F112:H112" si="35">F113*F114</f>
        <v>0</v>
      </c>
      <c r="G112" s="52">
        <f t="shared" si="35"/>
        <v>0</v>
      </c>
      <c r="H112" s="52">
        <f t="shared" si="35"/>
        <v>0</v>
      </c>
    </row>
    <row r="113" spans="1:12" s="7" customFormat="1" x14ac:dyDescent="0.25">
      <c r="A113" s="5"/>
      <c r="B113" s="39" t="s">
        <v>53</v>
      </c>
      <c r="C113" s="5"/>
      <c r="D113" s="44"/>
      <c r="E113" s="44">
        <v>100</v>
      </c>
      <c r="F113" s="44">
        <v>0</v>
      </c>
      <c r="G113" s="44"/>
      <c r="H113" s="44"/>
      <c r="I113" s="62"/>
      <c r="J113" s="6"/>
      <c r="K113" s="6"/>
      <c r="L113" s="6"/>
    </row>
    <row r="114" spans="1:12" s="7" customFormat="1" x14ac:dyDescent="0.25">
      <c r="A114" s="5"/>
      <c r="B114" s="39" t="s">
        <v>54</v>
      </c>
      <c r="C114" s="5"/>
      <c r="D114" s="44"/>
      <c r="E114" s="44">
        <f>'Rates and GI'!D25</f>
        <v>6</v>
      </c>
      <c r="F114" s="44">
        <f>E114*(1+index)</f>
        <v>6.2579999999999991</v>
      </c>
      <c r="G114" s="44">
        <f>F114*(1+index)</f>
        <v>6.5270939999999991</v>
      </c>
      <c r="H114" s="44">
        <f>G114*(1+index)</f>
        <v>6.8077590419999989</v>
      </c>
      <c r="I114" s="62"/>
      <c r="J114" s="6"/>
      <c r="K114" s="6"/>
      <c r="L114" s="6"/>
    </row>
    <row r="116" spans="1:12" hidden="1" x14ac:dyDescent="0.25">
      <c r="A116" s="50"/>
      <c r="B116" s="50" t="s">
        <v>7</v>
      </c>
      <c r="C116" s="50"/>
      <c r="D116" s="52"/>
      <c r="E116" s="52"/>
      <c r="F116" s="52"/>
      <c r="G116" s="52"/>
      <c r="H116" s="52"/>
    </row>
    <row r="117" spans="1:12" s="7" customFormat="1" hidden="1" x14ac:dyDescent="0.25">
      <c r="A117" s="5"/>
      <c r="B117" s="4" t="s">
        <v>57</v>
      </c>
      <c r="C117" s="5"/>
      <c r="D117" s="44"/>
      <c r="E117" s="44"/>
      <c r="F117" s="44"/>
      <c r="G117" s="38"/>
      <c r="H117" s="38"/>
      <c r="I117" s="62"/>
      <c r="J117" s="6"/>
      <c r="K117" s="6"/>
      <c r="L117" s="6"/>
    </row>
    <row r="118" spans="1:12" s="43" customFormat="1" hidden="1" x14ac:dyDescent="0.25">
      <c r="A118" s="40"/>
      <c r="B118" s="41" t="s">
        <v>58</v>
      </c>
      <c r="C118" s="40" t="s">
        <v>55</v>
      </c>
      <c r="D118" s="71"/>
      <c r="E118" s="71"/>
      <c r="F118" s="71"/>
      <c r="G118" s="72"/>
      <c r="H118" s="72"/>
      <c r="I118" s="75"/>
      <c r="J118" s="42"/>
      <c r="K118" s="42"/>
      <c r="L118" s="42"/>
    </row>
    <row r="119" spans="1:12" s="40" customFormat="1" hidden="1" x14ac:dyDescent="0.25">
      <c r="B119" s="41" t="s">
        <v>56</v>
      </c>
      <c r="D119" s="71"/>
      <c r="E119" s="71"/>
      <c r="F119" s="71"/>
      <c r="G119" s="72"/>
      <c r="H119" s="72"/>
      <c r="I119" s="75"/>
      <c r="J119" s="42"/>
      <c r="K119" s="42"/>
      <c r="L119" s="42"/>
    </row>
    <row r="120" spans="1:12" s="40" customFormat="1" hidden="1" x14ac:dyDescent="0.25">
      <c r="B120" s="41" t="s">
        <v>59</v>
      </c>
      <c r="D120" s="71"/>
      <c r="E120" s="71"/>
      <c r="F120" s="71"/>
      <c r="G120" s="72"/>
      <c r="H120" s="72"/>
      <c r="I120" s="75"/>
      <c r="J120" s="42"/>
      <c r="K120" s="42"/>
      <c r="L120" s="42"/>
    </row>
    <row r="121" spans="1:12" hidden="1" x14ac:dyDescent="0.25"/>
    <row r="122" spans="1:12" hidden="1" x14ac:dyDescent="0.25">
      <c r="A122" s="50"/>
      <c r="B122" s="50" t="s">
        <v>26</v>
      </c>
      <c r="C122" s="50"/>
      <c r="D122" s="52"/>
      <c r="E122" s="52">
        <f>E127*E128</f>
        <v>0</v>
      </c>
      <c r="F122" s="52">
        <f>F127*F128</f>
        <v>0</v>
      </c>
      <c r="G122" s="52"/>
      <c r="H122" s="52"/>
    </row>
    <row r="123" spans="1:12" s="5" customFormat="1" hidden="1" x14ac:dyDescent="0.25">
      <c r="B123" s="55" t="s">
        <v>60</v>
      </c>
      <c r="D123" s="44"/>
      <c r="E123" s="44"/>
      <c r="F123" s="44"/>
      <c r="G123" s="38"/>
      <c r="H123" s="38"/>
      <c r="I123" s="62"/>
      <c r="J123" s="6"/>
      <c r="K123" s="6"/>
      <c r="L123" s="6"/>
    </row>
    <row r="124" spans="1:12" s="5" customFormat="1" hidden="1" x14ac:dyDescent="0.25">
      <c r="B124" s="41" t="s">
        <v>147</v>
      </c>
      <c r="D124" s="44"/>
      <c r="E124" s="44"/>
      <c r="F124" s="44"/>
      <c r="G124" s="38"/>
      <c r="H124" s="38"/>
      <c r="I124" s="62"/>
      <c r="J124" s="6"/>
      <c r="K124" s="6"/>
      <c r="L124" s="6"/>
    </row>
    <row r="125" spans="1:12" s="5" customFormat="1" hidden="1" x14ac:dyDescent="0.25">
      <c r="B125" s="41" t="s">
        <v>146</v>
      </c>
      <c r="D125" s="44"/>
      <c r="E125" s="44"/>
      <c r="F125" s="44"/>
      <c r="G125" s="38"/>
      <c r="H125" s="38"/>
      <c r="I125" s="62"/>
      <c r="J125" s="6"/>
      <c r="K125" s="6"/>
      <c r="L125" s="6"/>
    </row>
    <row r="126" spans="1:12" s="5" customFormat="1" hidden="1" x14ac:dyDescent="0.25">
      <c r="B126" s="55" t="s">
        <v>123</v>
      </c>
      <c r="D126" s="44"/>
      <c r="E126" s="44"/>
      <c r="F126" s="44"/>
      <c r="G126" s="38"/>
      <c r="H126" s="38"/>
      <c r="I126" s="62"/>
      <c r="J126" s="6"/>
      <c r="K126" s="6"/>
      <c r="L126" s="6"/>
    </row>
    <row r="127" spans="1:12" s="5" customFormat="1" hidden="1" x14ac:dyDescent="0.25">
      <c r="B127" s="41" t="s">
        <v>147</v>
      </c>
      <c r="D127" s="44"/>
      <c r="E127" s="44">
        <f>'Rates and GI'!$D$31</f>
        <v>350</v>
      </c>
      <c r="F127" s="44">
        <f>'Rates and GI'!$D$31</f>
        <v>350</v>
      </c>
      <c r="G127" s="44">
        <f>'Rates and GI'!$D$31</f>
        <v>350</v>
      </c>
      <c r="H127" s="44">
        <f>'Rates and GI'!$D$31</f>
        <v>350</v>
      </c>
      <c r="I127" s="62"/>
      <c r="J127" s="6"/>
      <c r="K127" s="6"/>
      <c r="L127" s="6"/>
    </row>
    <row r="128" spans="1:12" s="5" customFormat="1" hidden="1" x14ac:dyDescent="0.25">
      <c r="B128" s="41" t="s">
        <v>146</v>
      </c>
      <c r="D128" s="44"/>
      <c r="E128" s="44">
        <v>0</v>
      </c>
      <c r="F128" s="44">
        <v>0</v>
      </c>
      <c r="G128" s="38"/>
      <c r="H128" s="38"/>
      <c r="I128" s="62"/>
      <c r="J128" s="6"/>
      <c r="K128" s="6"/>
      <c r="L128" s="6"/>
    </row>
    <row r="129" spans="1:12" s="5" customFormat="1" hidden="1" x14ac:dyDescent="0.25">
      <c r="B129" s="55" t="s">
        <v>8</v>
      </c>
      <c r="D129" s="44"/>
      <c r="E129" s="44"/>
      <c r="F129" s="44"/>
      <c r="G129" s="38"/>
      <c r="H129" s="38"/>
      <c r="I129" s="62"/>
      <c r="J129" s="6"/>
      <c r="K129" s="6"/>
      <c r="L129" s="6"/>
    </row>
    <row r="130" spans="1:12" s="5" customFormat="1" hidden="1" x14ac:dyDescent="0.25">
      <c r="B130" s="41" t="s">
        <v>147</v>
      </c>
      <c r="D130" s="44"/>
      <c r="E130" s="44"/>
      <c r="F130" s="44"/>
      <c r="G130" s="38"/>
      <c r="H130" s="38"/>
      <c r="I130" s="62"/>
      <c r="J130" s="6"/>
      <c r="K130" s="6"/>
      <c r="L130" s="6"/>
    </row>
    <row r="131" spans="1:12" s="5" customFormat="1" hidden="1" x14ac:dyDescent="0.25">
      <c r="B131" s="41" t="s">
        <v>146</v>
      </c>
      <c r="D131" s="44"/>
      <c r="E131" s="44"/>
      <c r="F131" s="44"/>
      <c r="G131" s="38"/>
      <c r="H131" s="38"/>
      <c r="I131" s="62"/>
      <c r="J131" s="6"/>
      <c r="K131" s="6"/>
      <c r="L131" s="6"/>
    </row>
    <row r="132" spans="1:12" hidden="1" x14ac:dyDescent="0.25"/>
    <row r="133" spans="1:12" hidden="1" x14ac:dyDescent="0.25">
      <c r="A133" s="50"/>
      <c r="B133" s="50" t="s">
        <v>25</v>
      </c>
      <c r="C133" s="50"/>
      <c r="D133" s="52"/>
      <c r="E133" s="52">
        <f>E134+E137</f>
        <v>0</v>
      </c>
      <c r="F133" s="52">
        <f t="shared" ref="F133:H133" si="36">F134+F137</f>
        <v>0</v>
      </c>
      <c r="G133" s="52">
        <f t="shared" si="36"/>
        <v>0</v>
      </c>
      <c r="H133" s="52">
        <f t="shared" si="36"/>
        <v>0</v>
      </c>
    </row>
    <row r="134" spans="1:12" s="5" customFormat="1" hidden="1" x14ac:dyDescent="0.25">
      <c r="B134" s="5" t="s">
        <v>205</v>
      </c>
      <c r="D134" s="44"/>
      <c r="E134" s="44"/>
      <c r="F134" s="44">
        <v>0</v>
      </c>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41"/>
      <c r="D136" s="44"/>
      <c r="E136" s="44"/>
      <c r="F136" s="44"/>
      <c r="G136" s="38"/>
      <c r="H136" s="38"/>
      <c r="I136" s="62"/>
      <c r="J136" s="6"/>
      <c r="K136" s="6"/>
      <c r="L136" s="6"/>
    </row>
    <row r="137" spans="1:12" s="5" customFormat="1" hidden="1" x14ac:dyDescent="0.25">
      <c r="B137" s="5" t="s">
        <v>154</v>
      </c>
      <c r="D137" s="44"/>
      <c r="E137" s="44">
        <f>E138+E139*E140</f>
        <v>0</v>
      </c>
      <c r="F137" s="44">
        <f>F138+F139*F140</f>
        <v>0</v>
      </c>
      <c r="G137" s="44">
        <f t="shared" ref="G137:H137" si="37">G138+G139*G140</f>
        <v>0</v>
      </c>
      <c r="H137" s="44">
        <f t="shared" si="37"/>
        <v>0</v>
      </c>
      <c r="I137" s="73"/>
    </row>
    <row r="138" spans="1:12" hidden="1" x14ac:dyDescent="0.25">
      <c r="B138" s="41" t="s">
        <v>153</v>
      </c>
      <c r="F138" s="44">
        <f>'Rates and GI'!D46*0</f>
        <v>0</v>
      </c>
    </row>
    <row r="139" spans="1:12" hidden="1" x14ac:dyDescent="0.25">
      <c r="B139" s="41" t="s">
        <v>159</v>
      </c>
      <c r="E139" s="60">
        <f>'Rates and GI'!$D$48</f>
        <v>0.02</v>
      </c>
      <c r="F139" s="60">
        <f>'Rates and GI'!$D$48</f>
        <v>0.02</v>
      </c>
      <c r="G139" s="60">
        <f>'Rates and GI'!$D$48</f>
        <v>0.02</v>
      </c>
      <c r="H139" s="60">
        <f>'Rates and GI'!$D$48</f>
        <v>0.02</v>
      </c>
    </row>
    <row r="140" spans="1:12" hidden="1" x14ac:dyDescent="0.25">
      <c r="B140" s="41" t="s">
        <v>160</v>
      </c>
      <c r="E140" s="44">
        <v>0</v>
      </c>
      <c r="F140" s="44">
        <v>0</v>
      </c>
      <c r="G140" s="44">
        <v>0</v>
      </c>
      <c r="H140" s="44">
        <v>0</v>
      </c>
    </row>
    <row r="141" spans="1:12" s="5" customFormat="1" hidden="1" x14ac:dyDescent="0.25">
      <c r="B141" s="41"/>
      <c r="D141" s="44"/>
      <c r="E141" s="44"/>
      <c r="F141" s="44"/>
      <c r="G141" s="38"/>
      <c r="H141" s="38"/>
      <c r="I141" s="62"/>
      <c r="J141" s="6"/>
      <c r="K141" s="6"/>
      <c r="L141" s="6"/>
    </row>
    <row r="142" spans="1:12" x14ac:dyDescent="0.25">
      <c r="A142" s="50"/>
      <c r="B142" s="50" t="s">
        <v>21</v>
      </c>
      <c r="C142" s="50"/>
      <c r="D142" s="52"/>
      <c r="E142" s="52">
        <f>E143*E144+E145*E146++E147*E148+E149*E150</f>
        <v>600</v>
      </c>
      <c r="F142" s="52">
        <f t="shared" ref="F142:H142" si="38">F143*F144+F145*F146++F147*F148+F149*F150</f>
        <v>0</v>
      </c>
      <c r="G142" s="52">
        <f t="shared" si="38"/>
        <v>0</v>
      </c>
      <c r="H142" s="52">
        <f t="shared" si="38"/>
        <v>0</v>
      </c>
    </row>
    <row r="143" spans="1:12" hidden="1" x14ac:dyDescent="0.25">
      <c r="B143" s="41" t="s">
        <v>150</v>
      </c>
      <c r="G143" s="44">
        <v>0</v>
      </c>
      <c r="H143" s="44"/>
    </row>
    <row r="144" spans="1:12" hidden="1" x14ac:dyDescent="0.25">
      <c r="B144" s="41" t="s">
        <v>151</v>
      </c>
      <c r="E144" s="44">
        <f>'Rates and GI'!$D$58</f>
        <v>5000</v>
      </c>
      <c r="F144" s="44">
        <f>'Rates and GI'!$D$58</f>
        <v>5000</v>
      </c>
      <c r="G144" s="44">
        <f>'Rates and GI'!$D$58</f>
        <v>5000</v>
      </c>
      <c r="H144" s="44">
        <f>'Rates and GI'!$D$58</f>
        <v>5000</v>
      </c>
    </row>
    <row r="145" spans="1:12" hidden="1" x14ac:dyDescent="0.25">
      <c r="B145" s="41" t="s">
        <v>148</v>
      </c>
      <c r="E145" s="44">
        <v>0</v>
      </c>
      <c r="F145" s="44">
        <v>0</v>
      </c>
      <c r="G145" s="44">
        <v>0</v>
      </c>
      <c r="H145" s="44">
        <v>0</v>
      </c>
    </row>
    <row r="146" spans="1:12" hidden="1" x14ac:dyDescent="0.25">
      <c r="B146" s="41" t="s">
        <v>149</v>
      </c>
      <c r="E146" s="44">
        <f>'Rates and GI'!$D$59</f>
        <v>1500</v>
      </c>
      <c r="F146" s="44">
        <f>'Rates and GI'!$D$59</f>
        <v>1500</v>
      </c>
      <c r="G146" s="44">
        <f>'Rates and GI'!$D$59</f>
        <v>1500</v>
      </c>
      <c r="H146" s="44">
        <f>'Rates and GI'!$D$59</f>
        <v>1500</v>
      </c>
    </row>
    <row r="147" spans="1:12" ht="27" x14ac:dyDescent="0.25">
      <c r="B147" s="63" t="s">
        <v>162</v>
      </c>
      <c r="E147" s="44">
        <v>3</v>
      </c>
      <c r="F147" s="44">
        <v>0</v>
      </c>
      <c r="G147" s="44">
        <v>0</v>
      </c>
      <c r="H147" s="44">
        <v>0</v>
      </c>
    </row>
    <row r="148" spans="1:12" ht="27" x14ac:dyDescent="0.25">
      <c r="B148" s="63" t="s">
        <v>161</v>
      </c>
      <c r="E148" s="44">
        <f>'Rates and GI'!$D$60</f>
        <v>200</v>
      </c>
      <c r="F148" s="44">
        <f>'Rates and GI'!$D$60</f>
        <v>200</v>
      </c>
      <c r="G148" s="44">
        <f>'Rates and GI'!$D$60</f>
        <v>200</v>
      </c>
      <c r="H148" s="44">
        <f>'Rates and GI'!$D$60</f>
        <v>200</v>
      </c>
    </row>
    <row r="149" spans="1:12" s="5" customFormat="1" hidden="1" x14ac:dyDescent="0.25">
      <c r="B149" s="41" t="s">
        <v>217</v>
      </c>
      <c r="D149" s="44"/>
      <c r="E149" s="44">
        <v>0</v>
      </c>
      <c r="F149" s="44">
        <v>0</v>
      </c>
      <c r="G149" s="44">
        <v>0</v>
      </c>
      <c r="H149" s="44">
        <v>0</v>
      </c>
      <c r="I149" s="62"/>
      <c r="J149" s="6"/>
      <c r="K149" s="6"/>
      <c r="L149" s="6"/>
    </row>
    <row r="150" spans="1:12" s="5" customFormat="1" hidden="1" x14ac:dyDescent="0.25">
      <c r="B150" s="41" t="s">
        <v>214</v>
      </c>
      <c r="D150" s="44"/>
      <c r="E150" s="44">
        <f>'Rates and GI'!$D$61</f>
        <v>50</v>
      </c>
      <c r="F150" s="44">
        <f>'Rates and GI'!$D$61</f>
        <v>50</v>
      </c>
      <c r="G150" s="38">
        <f>'Rates and GI'!$D$61</f>
        <v>50</v>
      </c>
      <c r="H150" s="38">
        <f>'Rates and GI'!$D$61</f>
        <v>50</v>
      </c>
      <c r="I150" s="62"/>
      <c r="J150" s="6"/>
      <c r="K150" s="6"/>
      <c r="L150" s="6"/>
    </row>
    <row r="151" spans="1:12" hidden="1" x14ac:dyDescent="0.25">
      <c r="A151" s="50"/>
      <c r="B151" s="50"/>
      <c r="C151" s="50"/>
      <c r="D151" s="52"/>
      <c r="E151" s="52"/>
      <c r="F151" s="52"/>
      <c r="G151" s="52"/>
      <c r="H151" s="52"/>
    </row>
    <row r="152" spans="1:12" hidden="1" x14ac:dyDescent="0.25">
      <c r="A152" s="50"/>
      <c r="B152" s="50" t="s">
        <v>194</v>
      </c>
      <c r="C152" s="50"/>
      <c r="D152" s="52"/>
      <c r="E152" s="52">
        <f>E153+E156+E159+E168+E173</f>
        <v>0</v>
      </c>
      <c r="F152" s="52">
        <f t="shared" ref="F152:H152" si="39">F153+F156+F159+F168+F173</f>
        <v>0</v>
      </c>
      <c r="G152" s="52">
        <f t="shared" si="39"/>
        <v>0</v>
      </c>
      <c r="H152" s="52">
        <f t="shared" si="39"/>
        <v>0</v>
      </c>
    </row>
    <row r="153" spans="1:12" s="5" customFormat="1" hidden="1" x14ac:dyDescent="0.25">
      <c r="B153" s="5" t="s">
        <v>173</v>
      </c>
      <c r="D153" s="44"/>
      <c r="E153" s="44">
        <f>E154+E157*E158</f>
        <v>0</v>
      </c>
      <c r="F153" s="44">
        <f>F154+F157*F158</f>
        <v>0</v>
      </c>
      <c r="G153" s="44">
        <f>G154+G157*G158</f>
        <v>0</v>
      </c>
      <c r="H153" s="44">
        <f t="shared" ref="H153" si="40">H154+H157*H158</f>
        <v>0</v>
      </c>
      <c r="I153" s="73"/>
    </row>
    <row r="154" spans="1:12" hidden="1" x14ac:dyDescent="0.25">
      <c r="B154" s="41" t="s">
        <v>184</v>
      </c>
      <c r="F154" s="44">
        <f>('Rates and GI'!$D$45+'Rates and GI'!$D$49)*0</f>
        <v>0</v>
      </c>
      <c r="G154" s="44">
        <f>('Rates and GI'!$D$45+'Rates and GI'!$D$49)*0</f>
        <v>0</v>
      </c>
      <c r="H154" s="44"/>
    </row>
    <row r="155" spans="1:12" hidden="1" x14ac:dyDescent="0.25">
      <c r="B155" s="41" t="s">
        <v>187</v>
      </c>
      <c r="F155" s="44">
        <f>'Rates and GI'!$D$51*0</f>
        <v>0</v>
      </c>
      <c r="G155" s="44">
        <f>'Rates and GI'!$D$51*0</f>
        <v>0</v>
      </c>
      <c r="H155" s="44"/>
    </row>
    <row r="156" spans="1:12" hidden="1" x14ac:dyDescent="0.25">
      <c r="B156" s="5" t="s">
        <v>174</v>
      </c>
      <c r="E156" s="44">
        <f>E157*E158</f>
        <v>0</v>
      </c>
      <c r="F156" s="44">
        <f t="shared" ref="F156:H156" si="41">F157*F158</f>
        <v>0</v>
      </c>
      <c r="G156" s="44">
        <f t="shared" si="41"/>
        <v>0</v>
      </c>
      <c r="H156" s="44">
        <f t="shared" si="41"/>
        <v>0</v>
      </c>
    </row>
    <row r="157" spans="1:12" hidden="1" x14ac:dyDescent="0.25">
      <c r="B157" s="41" t="s">
        <v>164</v>
      </c>
      <c r="F157" s="44">
        <f>'Rates and GI'!$D$54</f>
        <v>24.066499999999998</v>
      </c>
      <c r="G157" s="44">
        <f>'Rates and GI'!$D$54</f>
        <v>24.066499999999998</v>
      </c>
      <c r="H157" s="44">
        <f>'Rates and GI'!$D$54</f>
        <v>24.066499999999998</v>
      </c>
    </row>
    <row r="158" spans="1:12" hidden="1" x14ac:dyDescent="0.25">
      <c r="B158" s="41" t="s">
        <v>163</v>
      </c>
      <c r="F158" s="44">
        <v>0</v>
      </c>
      <c r="G158" s="38">
        <v>0</v>
      </c>
      <c r="H158" s="38">
        <v>0</v>
      </c>
    </row>
    <row r="159" spans="1:12" hidden="1" x14ac:dyDescent="0.25">
      <c r="B159" s="5" t="s">
        <v>175</v>
      </c>
      <c r="E159" s="44">
        <f>E160+E164</f>
        <v>0</v>
      </c>
      <c r="F159" s="44">
        <f t="shared" ref="F159:H159" si="42">F160+F164</f>
        <v>0</v>
      </c>
      <c r="G159" s="44">
        <f t="shared" si="42"/>
        <v>0</v>
      </c>
      <c r="H159" s="44">
        <f t="shared" si="42"/>
        <v>0</v>
      </c>
    </row>
    <row r="160" spans="1:12" hidden="1" x14ac:dyDescent="0.25">
      <c r="B160" s="41" t="s">
        <v>189</v>
      </c>
      <c r="E160" s="44">
        <f>E161*E162</f>
        <v>0</v>
      </c>
      <c r="F160" s="44">
        <f t="shared" ref="F160:H160" si="43">F161*F162</f>
        <v>0</v>
      </c>
      <c r="G160" s="44">
        <f t="shared" si="43"/>
        <v>0</v>
      </c>
      <c r="H160" s="44">
        <f t="shared" si="43"/>
        <v>0</v>
      </c>
    </row>
    <row r="161" spans="2:8" hidden="1" x14ac:dyDescent="0.25">
      <c r="B161" s="41" t="s">
        <v>176</v>
      </c>
      <c r="C161" s="5" t="s">
        <v>177</v>
      </c>
      <c r="E161" s="44">
        <v>0</v>
      </c>
      <c r="F161" s="44">
        <v>0</v>
      </c>
      <c r="G161" s="38">
        <v>0</v>
      </c>
      <c r="H161" s="38">
        <v>0</v>
      </c>
    </row>
    <row r="162" spans="2:8" hidden="1" x14ac:dyDescent="0.25">
      <c r="B162" s="41" t="s">
        <v>178</v>
      </c>
      <c r="E162" s="44">
        <f>'Rates and GI'!$D$52</f>
        <v>150</v>
      </c>
      <c r="F162" s="44">
        <f>'Rates and GI'!$D$52</f>
        <v>150</v>
      </c>
      <c r="G162" s="44">
        <f>'Rates and GI'!$D$52</f>
        <v>150</v>
      </c>
      <c r="H162" s="44">
        <f>'Rates and GI'!$D$52</f>
        <v>150</v>
      </c>
    </row>
    <row r="163" spans="2:8" hidden="1" x14ac:dyDescent="0.25">
      <c r="B163" s="6"/>
    </row>
    <row r="164" spans="2:8" hidden="1" x14ac:dyDescent="0.25">
      <c r="B164" s="41" t="s">
        <v>190</v>
      </c>
      <c r="E164" s="44">
        <f>E165*E166</f>
        <v>0</v>
      </c>
      <c r="F164" s="44">
        <f t="shared" ref="F164:H164" si="44">F165*F166</f>
        <v>0</v>
      </c>
      <c r="G164" s="44">
        <f t="shared" si="44"/>
        <v>0</v>
      </c>
      <c r="H164" s="44">
        <f t="shared" si="44"/>
        <v>0</v>
      </c>
    </row>
    <row r="165" spans="2:8" hidden="1" x14ac:dyDescent="0.25">
      <c r="B165" s="41" t="s">
        <v>176</v>
      </c>
      <c r="C165" s="5" t="s">
        <v>177</v>
      </c>
      <c r="E165" s="44">
        <v>0</v>
      </c>
      <c r="F165" s="44">
        <v>0</v>
      </c>
      <c r="G165" s="38">
        <v>0</v>
      </c>
      <c r="H165" s="38">
        <v>0</v>
      </c>
    </row>
    <row r="166" spans="2:8" hidden="1" x14ac:dyDescent="0.25">
      <c r="B166" s="41" t="s">
        <v>178</v>
      </c>
      <c r="E166" s="44">
        <f>'Rates and GI'!$D$53</f>
        <v>20</v>
      </c>
      <c r="F166" s="44">
        <f>'Rates and GI'!$D$53</f>
        <v>20</v>
      </c>
      <c r="G166" s="44">
        <f>'Rates and GI'!$D$53</f>
        <v>20</v>
      </c>
      <c r="H166" s="44">
        <f>'Rates and GI'!$D$53</f>
        <v>20</v>
      </c>
    </row>
    <row r="167" spans="2:8" hidden="1" x14ac:dyDescent="0.25">
      <c r="B167" s="6"/>
    </row>
    <row r="168" spans="2:8" hidden="1" x14ac:dyDescent="0.25">
      <c r="B168" s="5" t="s">
        <v>179</v>
      </c>
      <c r="E168" s="44">
        <f>E169*E170*E171</f>
        <v>0</v>
      </c>
      <c r="F168" s="44">
        <f t="shared" ref="F168:H168" si="45">F169*F170*F171</f>
        <v>0</v>
      </c>
      <c r="G168" s="44">
        <f t="shared" si="45"/>
        <v>0</v>
      </c>
      <c r="H168" s="44">
        <f t="shared" si="45"/>
        <v>0</v>
      </c>
    </row>
    <row r="169" spans="2:8" hidden="1" x14ac:dyDescent="0.25">
      <c r="B169" s="41" t="s">
        <v>191</v>
      </c>
      <c r="F169" s="44">
        <f>'Rates and GI'!$D$55</f>
        <v>300</v>
      </c>
      <c r="G169" s="44">
        <f>'Rates and GI'!$D$55</f>
        <v>300</v>
      </c>
      <c r="H169" s="44">
        <f>'Rates and GI'!$D$55</f>
        <v>300</v>
      </c>
    </row>
    <row r="170" spans="2:8" hidden="1" x14ac:dyDescent="0.25">
      <c r="B170" s="41" t="s">
        <v>192</v>
      </c>
      <c r="F170" s="44">
        <v>3</v>
      </c>
      <c r="G170" s="44">
        <v>3</v>
      </c>
      <c r="H170" s="44">
        <v>3</v>
      </c>
    </row>
    <row r="171" spans="2:8" hidden="1" x14ac:dyDescent="0.25">
      <c r="B171" s="41" t="s">
        <v>193</v>
      </c>
      <c r="F171" s="44">
        <v>0</v>
      </c>
      <c r="G171" s="44">
        <v>0</v>
      </c>
      <c r="H171" s="44">
        <v>0</v>
      </c>
    </row>
    <row r="172" spans="2:8" hidden="1" x14ac:dyDescent="0.25"/>
    <row r="173" spans="2:8" hidden="1" x14ac:dyDescent="0.25">
      <c r="B173" s="5" t="s">
        <v>172</v>
      </c>
      <c r="E173" s="44">
        <f>E174+E175*E176</f>
        <v>0</v>
      </c>
      <c r="F173" s="44">
        <f>F174+F175*F176</f>
        <v>0</v>
      </c>
      <c r="G173" s="44">
        <f>G174+G175*G176</f>
        <v>0</v>
      </c>
      <c r="H173" s="44">
        <f>H174+H175*H176</f>
        <v>0</v>
      </c>
    </row>
    <row r="174" spans="2:8" hidden="1" x14ac:dyDescent="0.25">
      <c r="B174" s="41" t="s">
        <v>153</v>
      </c>
      <c r="F174" s="44">
        <f>'Rates and GI'!D46*0</f>
        <v>0</v>
      </c>
    </row>
    <row r="175" spans="2:8" hidden="1" x14ac:dyDescent="0.25">
      <c r="B175" s="41" t="s">
        <v>159</v>
      </c>
      <c r="F175" s="65">
        <f>'Rates and GI'!$D$47</f>
        <v>0.05</v>
      </c>
      <c r="G175" s="65">
        <f>'Rates and GI'!$D$47</f>
        <v>0.05</v>
      </c>
      <c r="H175" s="65">
        <f>'Rates and GI'!$D$47</f>
        <v>0.05</v>
      </c>
    </row>
    <row r="176" spans="2:8" hidden="1" x14ac:dyDescent="0.25">
      <c r="B176" s="41" t="s">
        <v>160</v>
      </c>
      <c r="F176" s="44">
        <v>0</v>
      </c>
      <c r="G176" s="38">
        <v>0</v>
      </c>
    </row>
    <row r="177" spans="1:8" hidden="1" x14ac:dyDescent="0.25"/>
    <row r="178" spans="1:8" hidden="1" x14ac:dyDescent="0.25"/>
    <row r="179" spans="1:8" hidden="1" x14ac:dyDescent="0.25">
      <c r="A179" s="50"/>
      <c r="B179" s="50" t="s">
        <v>19</v>
      </c>
      <c r="C179" s="50"/>
      <c r="D179" s="52"/>
      <c r="E179" s="52">
        <v>0</v>
      </c>
      <c r="F179" s="52">
        <v>0</v>
      </c>
      <c r="G179" s="52">
        <v>0</v>
      </c>
      <c r="H179" s="52">
        <v>0</v>
      </c>
    </row>
    <row r="180" spans="1:8" hidden="1" x14ac:dyDescent="0.25"/>
    <row r="181" spans="1:8" ht="27" x14ac:dyDescent="0.25">
      <c r="A181" s="50"/>
      <c r="B181" s="179" t="s">
        <v>569</v>
      </c>
      <c r="C181" s="133"/>
      <c r="D181" s="52"/>
      <c r="E181" s="52">
        <f>E185</f>
        <v>91000</v>
      </c>
      <c r="F181" s="52">
        <f t="shared" ref="F181:H181" si="46">F185</f>
        <v>0</v>
      </c>
      <c r="G181" s="52">
        <f t="shared" si="46"/>
        <v>0</v>
      </c>
      <c r="H181" s="52">
        <f t="shared" si="46"/>
        <v>0</v>
      </c>
    </row>
    <row r="182" spans="1:8" x14ac:dyDescent="0.25">
      <c r="B182" s="142"/>
      <c r="C182" s="73"/>
      <c r="G182" s="44"/>
      <c r="H182" s="44"/>
    </row>
    <row r="183" spans="1:8" x14ac:dyDescent="0.25">
      <c r="A183" s="10"/>
      <c r="B183" s="144" t="s">
        <v>253</v>
      </c>
      <c r="C183" s="134">
        <v>8</v>
      </c>
      <c r="E183" s="44">
        <v>8</v>
      </c>
      <c r="F183" s="44">
        <v>0</v>
      </c>
      <c r="G183" s="44">
        <v>0</v>
      </c>
      <c r="H183" s="44">
        <v>0</v>
      </c>
    </row>
    <row r="184" spans="1:8" x14ac:dyDescent="0.25">
      <c r="B184" s="144" t="s">
        <v>254</v>
      </c>
      <c r="C184" s="44">
        <f>C198</f>
        <v>91000</v>
      </c>
      <c r="G184" s="44"/>
      <c r="H184" s="44"/>
    </row>
    <row r="185" spans="1:8" x14ac:dyDescent="0.25">
      <c r="B185" s="144" t="s">
        <v>255</v>
      </c>
      <c r="C185" s="73"/>
      <c r="E185" s="44">
        <f>$C$184/$C$183*E183</f>
        <v>91000</v>
      </c>
      <c r="F185" s="44">
        <f t="shared" ref="F185:H185" si="47">$C$197/$C$196*F183</f>
        <v>0</v>
      </c>
      <c r="G185" s="44">
        <f t="shared" si="47"/>
        <v>0</v>
      </c>
      <c r="H185" s="44">
        <f t="shared" si="47"/>
        <v>0</v>
      </c>
    </row>
    <row r="186" spans="1:8" x14ac:dyDescent="0.25">
      <c r="B186" s="73"/>
      <c r="C186" s="73"/>
    </row>
    <row r="187" spans="1:8" ht="27" x14ac:dyDescent="0.25">
      <c r="A187" s="50"/>
      <c r="B187" s="179" t="s">
        <v>570</v>
      </c>
      <c r="C187" s="133"/>
      <c r="D187" s="52"/>
      <c r="E187" s="52">
        <f>E191</f>
        <v>7000</v>
      </c>
      <c r="F187" s="52">
        <f t="shared" ref="F187:H187" si="48">F191</f>
        <v>0</v>
      </c>
      <c r="G187" s="52">
        <f t="shared" si="48"/>
        <v>0</v>
      </c>
      <c r="H187" s="52">
        <f t="shared" si="48"/>
        <v>0</v>
      </c>
    </row>
    <row r="188" spans="1:8" x14ac:dyDescent="0.25">
      <c r="B188" s="142"/>
      <c r="C188" s="73"/>
      <c r="G188" s="44"/>
      <c r="H188" s="44"/>
    </row>
    <row r="189" spans="1:8" x14ac:dyDescent="0.25">
      <c r="A189" s="10"/>
      <c r="B189" s="144" t="s">
        <v>253</v>
      </c>
      <c r="C189" s="134">
        <v>6</v>
      </c>
      <c r="E189" s="44">
        <v>6</v>
      </c>
      <c r="F189" s="44">
        <v>0</v>
      </c>
      <c r="G189" s="44">
        <v>0</v>
      </c>
      <c r="H189" s="44">
        <v>0</v>
      </c>
    </row>
    <row r="190" spans="1:8" x14ac:dyDescent="0.25">
      <c r="B190" s="144" t="s">
        <v>254</v>
      </c>
      <c r="C190" s="44">
        <v>7000</v>
      </c>
      <c r="G190" s="44"/>
      <c r="H190" s="44"/>
    </row>
    <row r="191" spans="1:8" x14ac:dyDescent="0.25">
      <c r="B191" s="144" t="s">
        <v>255</v>
      </c>
      <c r="C191" s="73"/>
      <c r="E191" s="44">
        <f>$C$190/$C$189*E189</f>
        <v>7000</v>
      </c>
      <c r="F191" s="44">
        <f t="shared" ref="F191:H191" si="49">$C$190/$C$189*F189</f>
        <v>0</v>
      </c>
      <c r="G191" s="44">
        <f t="shared" si="49"/>
        <v>0</v>
      </c>
      <c r="H191" s="44">
        <f t="shared" si="49"/>
        <v>0</v>
      </c>
    </row>
    <row r="192" spans="1:8" x14ac:dyDescent="0.25">
      <c r="C192" s="73"/>
    </row>
    <row r="193" spans="1:10" x14ac:dyDescent="0.25">
      <c r="C193" s="73">
        <f>5000*1.2</f>
        <v>6000</v>
      </c>
    </row>
    <row r="194" spans="1:10" x14ac:dyDescent="0.25">
      <c r="C194" s="73"/>
    </row>
    <row r="195" spans="1:10" x14ac:dyDescent="0.25">
      <c r="C195" s="73"/>
    </row>
    <row r="196" spans="1:10" x14ac:dyDescent="0.25">
      <c r="B196" s="5" t="s">
        <v>272</v>
      </c>
      <c r="C196" s="44">
        <v>7000</v>
      </c>
      <c r="G196" s="44"/>
      <c r="H196" s="44"/>
      <c r="I196" s="44"/>
      <c r="J196" s="44"/>
    </row>
    <row r="197" spans="1:10" x14ac:dyDescent="0.25">
      <c r="B197" s="5" t="s">
        <v>273</v>
      </c>
      <c r="C197" s="44">
        <v>13</v>
      </c>
      <c r="G197" s="44"/>
      <c r="H197" s="44"/>
      <c r="I197" s="44"/>
      <c r="J197" s="44"/>
    </row>
    <row r="198" spans="1:10" x14ac:dyDescent="0.25">
      <c r="C198" s="44">
        <f>C196*C197</f>
        <v>91000</v>
      </c>
      <c r="G198" s="44"/>
      <c r="H198" s="44"/>
      <c r="I198" s="44"/>
      <c r="J198" s="44"/>
    </row>
    <row r="199" spans="1:10" x14ac:dyDescent="0.25">
      <c r="C199" s="44"/>
      <c r="G199" s="44"/>
      <c r="H199" s="44"/>
      <c r="I199" s="44"/>
      <c r="J199" s="44"/>
    </row>
    <row r="200" spans="1:10" x14ac:dyDescent="0.25">
      <c r="B200" s="5" t="s">
        <v>568</v>
      </c>
      <c r="C200" s="44">
        <f>SUM(C201:C204)</f>
        <v>9100000</v>
      </c>
      <c r="G200" s="44"/>
      <c r="H200" s="44"/>
      <c r="I200" s="44"/>
      <c r="J200" s="44"/>
    </row>
    <row r="201" spans="1:10" x14ac:dyDescent="0.25">
      <c r="B201" s="41" t="s">
        <v>565</v>
      </c>
      <c r="C201" s="44">
        <f>6300000</f>
        <v>6300000</v>
      </c>
      <c r="G201" s="44"/>
      <c r="H201" s="44"/>
      <c r="I201" s="44"/>
      <c r="J201" s="44"/>
    </row>
    <row r="202" spans="1:10" x14ac:dyDescent="0.25">
      <c r="B202" s="41" t="s">
        <v>566</v>
      </c>
      <c r="C202" s="44">
        <v>800000</v>
      </c>
      <c r="G202" s="44"/>
      <c r="H202" s="44"/>
      <c r="I202" s="44"/>
      <c r="J202" s="44"/>
    </row>
    <row r="203" spans="1:10" x14ac:dyDescent="0.25">
      <c r="B203" s="41" t="s">
        <v>567</v>
      </c>
      <c r="C203" s="44">
        <v>800000</v>
      </c>
      <c r="G203" s="44"/>
      <c r="H203" s="44"/>
      <c r="I203" s="44"/>
      <c r="J203" s="44"/>
    </row>
    <row r="204" spans="1:10" x14ac:dyDescent="0.25">
      <c r="B204" s="41" t="s">
        <v>104</v>
      </c>
      <c r="C204" s="44">
        <v>1200000</v>
      </c>
      <c r="G204" s="44"/>
      <c r="H204" s="44"/>
      <c r="I204" s="44"/>
      <c r="J204" s="44"/>
    </row>
    <row r="205" spans="1:10" x14ac:dyDescent="0.25">
      <c r="B205" s="41"/>
      <c r="C205" s="44"/>
      <c r="G205" s="44"/>
      <c r="H205" s="44"/>
      <c r="I205" s="44"/>
      <c r="J205" s="44"/>
    </row>
    <row r="206" spans="1:10" x14ac:dyDescent="0.25">
      <c r="A206" s="228"/>
      <c r="B206" s="231" t="s">
        <v>468</v>
      </c>
      <c r="C206" s="230">
        <v>2345</v>
      </c>
      <c r="D206" s="230"/>
      <c r="E206" s="230"/>
      <c r="F206" s="230"/>
      <c r="G206" s="230"/>
      <c r="H206" s="230"/>
      <c r="I206" s="44"/>
      <c r="J206" s="44"/>
    </row>
    <row r="207" spans="1:10" ht="15.75" x14ac:dyDescent="0.25">
      <c r="B207" s="178"/>
      <c r="C207" s="44"/>
      <c r="G207" s="44"/>
      <c r="H207" s="44"/>
      <c r="I207" s="44"/>
      <c r="J207" s="44"/>
    </row>
    <row r="208" spans="1:10" ht="15.75" x14ac:dyDescent="0.25">
      <c r="B208" s="178"/>
      <c r="C208" s="44"/>
      <c r="G208" s="44"/>
      <c r="H208" s="44"/>
      <c r="I208" s="44"/>
      <c r="J208" s="44"/>
    </row>
    <row r="209" spans="2:10" ht="15.75" x14ac:dyDescent="0.25">
      <c r="B209" s="178"/>
      <c r="C209" s="44"/>
      <c r="G209" s="44"/>
      <c r="H209" s="44"/>
      <c r="I209" s="44"/>
      <c r="J209" s="44"/>
    </row>
    <row r="210" spans="2:10" ht="15.75" x14ac:dyDescent="0.25">
      <c r="B210" s="178"/>
      <c r="C210" s="44"/>
      <c r="G210" s="44"/>
      <c r="H210" s="44"/>
      <c r="I210" s="44"/>
      <c r="J210" s="44"/>
    </row>
    <row r="211" spans="2:10" ht="15.75" x14ac:dyDescent="0.25">
      <c r="B211" s="178"/>
      <c r="C211" s="44"/>
      <c r="G211" s="44"/>
      <c r="H211" s="44"/>
      <c r="I211" s="44"/>
      <c r="J211" s="44"/>
    </row>
    <row r="212" spans="2:10" ht="15.75" x14ac:dyDescent="0.25">
      <c r="B212" s="178"/>
      <c r="C212" s="44"/>
      <c r="G212" s="44"/>
      <c r="H212" s="44"/>
      <c r="I212" s="44"/>
      <c r="J212" s="44"/>
    </row>
    <row r="213" spans="2:10" x14ac:dyDescent="0.25">
      <c r="C213" s="44"/>
      <c r="G213" s="44"/>
      <c r="H213" s="44"/>
      <c r="I213" s="44"/>
      <c r="J213" s="44"/>
    </row>
  </sheetData>
  <pageMargins left="0.7" right="0.7" top="0.75" bottom="0.75" header="0.3" footer="0.3"/>
  <pageSetup paperSize="9" scale="56" fitToHeight="0"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7"/>
  <sheetViews>
    <sheetView topLeftCell="A65" workbookViewId="0">
      <selection activeCell="B183" sqref="B18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8</v>
      </c>
      <c r="B1" s="126" t="s">
        <v>237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1113.5250000000001</v>
      </c>
      <c r="E5" s="44">
        <f>E63</f>
        <v>1113.5250000000001</v>
      </c>
      <c r="F5" s="44">
        <f t="shared" ref="F5:H5" si="1">F63</f>
        <v>0</v>
      </c>
      <c r="G5" s="44">
        <f t="shared" si="1"/>
        <v>0</v>
      </c>
      <c r="H5" s="44">
        <f t="shared" si="1"/>
        <v>0</v>
      </c>
    </row>
    <row r="6" spans="1:12" x14ac:dyDescent="0.25">
      <c r="B6" s="16" t="s">
        <v>168</v>
      </c>
      <c r="D6" s="44">
        <f t="shared" si="0"/>
        <v>3406.5359999999996</v>
      </c>
      <c r="E6" s="44">
        <f>E67</f>
        <v>3406.5359999999996</v>
      </c>
      <c r="F6" s="44">
        <f t="shared" ref="F6:H6" si="2">F67</f>
        <v>0</v>
      </c>
      <c r="G6" s="44">
        <f t="shared" si="2"/>
        <v>0</v>
      </c>
      <c r="H6" s="44">
        <f t="shared" si="2"/>
        <v>0</v>
      </c>
    </row>
    <row r="7" spans="1:12" ht="14.25" thickBot="1" x14ac:dyDescent="0.3">
      <c r="A7" s="13"/>
      <c r="B7" s="13" t="s">
        <v>5</v>
      </c>
      <c r="C7" s="13"/>
      <c r="D7" s="47">
        <f>SUBTOTAL(9,D5:D6)</f>
        <v>4520.0609999999997</v>
      </c>
      <c r="E7" s="47">
        <f>SUBTOTAL(9,E5:E6)</f>
        <v>4520.0609999999997</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E107</f>
        <v>0</v>
      </c>
      <c r="F25" s="44">
        <f t="shared" ref="F25:H25" si="13">F107</f>
        <v>0</v>
      </c>
      <c r="G25" s="44">
        <f t="shared" si="13"/>
        <v>0</v>
      </c>
      <c r="H25" s="44">
        <f t="shared" si="13"/>
        <v>0</v>
      </c>
    </row>
    <row r="26" spans="1:12" x14ac:dyDescent="0.25">
      <c r="B26" s="16" t="s">
        <v>25</v>
      </c>
      <c r="D26" s="44">
        <f t="shared" ref="D26" si="14">SUM(E26:H26)</f>
        <v>0</v>
      </c>
      <c r="E26" s="44">
        <f>E128</f>
        <v>0</v>
      </c>
      <c r="F26" s="44">
        <f t="shared" ref="F26:H26" si="15">F128</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E117</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E174</f>
        <v>0</v>
      </c>
      <c r="F40" s="44">
        <f t="shared" ref="F40:H40" si="20">F174</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E147</f>
        <v>0</v>
      </c>
      <c r="F46" s="44">
        <f t="shared" ref="F46:H46" si="23">F147</f>
        <v>0</v>
      </c>
      <c r="G46" s="44">
        <f t="shared" si="23"/>
        <v>0</v>
      </c>
      <c r="H46" s="44">
        <f t="shared" si="23"/>
        <v>0</v>
      </c>
    </row>
    <row r="47" spans="1:12" x14ac:dyDescent="0.25">
      <c r="A47" s="3"/>
      <c r="B47" s="3" t="s">
        <v>21</v>
      </c>
      <c r="C47" s="3"/>
      <c r="D47" s="44">
        <f t="shared" si="22"/>
        <v>2300</v>
      </c>
      <c r="E47" s="44">
        <f>E137</f>
        <v>2300</v>
      </c>
      <c r="F47" s="44">
        <f t="shared" ref="F47:H47" si="24">F137</f>
        <v>0</v>
      </c>
      <c r="G47" s="44">
        <f t="shared" si="24"/>
        <v>0</v>
      </c>
      <c r="H47" s="44">
        <f t="shared" si="24"/>
        <v>0</v>
      </c>
    </row>
    <row r="48" spans="1:12" ht="14.25" thickBot="1" x14ac:dyDescent="0.3">
      <c r="A48" s="13"/>
      <c r="B48" s="13" t="s">
        <v>69</v>
      </c>
      <c r="C48" s="13"/>
      <c r="D48" s="47">
        <f>SUBTOTAL(9,D46:D47)</f>
        <v>2300</v>
      </c>
      <c r="E48" s="47">
        <f>SUBTOTAL(9,E46:E47)</f>
        <v>2300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6820.0609999999997</v>
      </c>
      <c r="E50" s="49">
        <f>SUBTOTAL(9,E5:E48)</f>
        <v>6820.0609999999997</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1113.5250000000001</v>
      </c>
      <c r="F63" s="44">
        <f t="shared" ref="F63:H63" si="25">F64*F65</f>
        <v>0</v>
      </c>
      <c r="G63" s="44">
        <f t="shared" si="25"/>
        <v>0</v>
      </c>
      <c r="H63" s="44">
        <f t="shared" si="25"/>
        <v>0</v>
      </c>
    </row>
    <row r="64" spans="1:9" x14ac:dyDescent="0.25">
      <c r="A64" s="9"/>
      <c r="B64" s="9" t="s">
        <v>114</v>
      </c>
      <c r="C64" s="9" t="s">
        <v>113</v>
      </c>
      <c r="E64" s="44">
        <f>3*21</f>
        <v>63</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7" spans="1:12" s="7" customFormat="1" x14ac:dyDescent="0.25">
      <c r="A67" s="5"/>
      <c r="B67" s="5" t="s">
        <v>168</v>
      </c>
      <c r="C67" s="5"/>
      <c r="D67" s="44"/>
      <c r="E67" s="44">
        <f>E68*E69</f>
        <v>3406.5359999999996</v>
      </c>
      <c r="F67" s="44">
        <f t="shared" ref="F67:H67" si="26">F68*F69</f>
        <v>0</v>
      </c>
      <c r="G67" s="44">
        <f t="shared" si="26"/>
        <v>0</v>
      </c>
      <c r="H67" s="44">
        <f t="shared" si="26"/>
        <v>0</v>
      </c>
      <c r="I67" s="62"/>
      <c r="J67" s="6"/>
      <c r="K67" s="6"/>
      <c r="L67" s="6"/>
    </row>
    <row r="68" spans="1:12" s="7" customFormat="1" x14ac:dyDescent="0.25">
      <c r="A68" s="9"/>
      <c r="B68" s="9" t="s">
        <v>170</v>
      </c>
      <c r="C68" s="9" t="s">
        <v>113</v>
      </c>
      <c r="D68" s="44"/>
      <c r="E68" s="44">
        <f>1*21</f>
        <v>21</v>
      </c>
      <c r="F68" s="44">
        <v>0</v>
      </c>
      <c r="G68" s="44">
        <v>0</v>
      </c>
      <c r="H68" s="44">
        <v>0</v>
      </c>
      <c r="I68" s="62"/>
      <c r="J68" s="6"/>
      <c r="K68" s="6"/>
      <c r="L68" s="6"/>
    </row>
    <row r="69" spans="1:12" s="7" customFormat="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hidden="1" x14ac:dyDescent="0.25">
      <c r="A99" s="50"/>
      <c r="B99" s="50" t="s">
        <v>130</v>
      </c>
      <c r="C99" s="50"/>
      <c r="D99" s="52"/>
      <c r="E99" s="52">
        <f>E100*E101+E102*E103+E104*E105</f>
        <v>0</v>
      </c>
      <c r="F99" s="52">
        <f t="shared" ref="F99:H99" si="29">F100*F101+F102*F103+F104*F105</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f>E104*E105</f>
        <v>0</v>
      </c>
      <c r="F103" s="44">
        <v>0</v>
      </c>
      <c r="G103" s="44">
        <v>0</v>
      </c>
      <c r="H103" s="44">
        <v>0</v>
      </c>
    </row>
    <row r="104" spans="1:12" hidden="1" x14ac:dyDescent="0.25">
      <c r="B104" s="39" t="s">
        <v>203</v>
      </c>
      <c r="C104" s="5" t="s">
        <v>137</v>
      </c>
      <c r="G104" s="44"/>
      <c r="H104" s="44"/>
    </row>
    <row r="105" spans="1:12" hidden="1" x14ac:dyDescent="0.25">
      <c r="B105" s="39" t="s">
        <v>133</v>
      </c>
      <c r="E105" s="44">
        <v>0</v>
      </c>
      <c r="F105" s="44">
        <v>0</v>
      </c>
      <c r="G105" s="44">
        <v>0</v>
      </c>
      <c r="H105" s="44">
        <v>0</v>
      </c>
    </row>
    <row r="106" spans="1:12" hidden="1" x14ac:dyDescent="0.25">
      <c r="B106" s="39"/>
    </row>
    <row r="107" spans="1:12" hidden="1" x14ac:dyDescent="0.25">
      <c r="A107" s="50"/>
      <c r="B107" s="50" t="s">
        <v>24</v>
      </c>
      <c r="C107" s="50"/>
      <c r="D107" s="52"/>
      <c r="E107" s="52">
        <f>E108*E109</f>
        <v>0</v>
      </c>
      <c r="F107" s="52">
        <f t="shared" ref="F107:H107" si="31">F108*F109</f>
        <v>0</v>
      </c>
      <c r="G107" s="52">
        <f t="shared" si="31"/>
        <v>0</v>
      </c>
      <c r="H107" s="52">
        <f t="shared" si="31"/>
        <v>0</v>
      </c>
    </row>
    <row r="108" spans="1:12" s="7" customFormat="1" hidden="1" x14ac:dyDescent="0.25">
      <c r="A108" s="5"/>
      <c r="B108" s="39" t="s">
        <v>53</v>
      </c>
      <c r="C108" s="5"/>
      <c r="D108" s="44"/>
      <c r="E108" s="44">
        <v>0</v>
      </c>
      <c r="F108" s="44">
        <v>0</v>
      </c>
      <c r="G108" s="44"/>
      <c r="H108" s="44"/>
      <c r="I108" s="62"/>
      <c r="J108" s="6"/>
      <c r="K108" s="6"/>
      <c r="L108" s="6"/>
    </row>
    <row r="109" spans="1:12" s="7" customFormat="1" hidden="1" x14ac:dyDescent="0.25">
      <c r="A109" s="5"/>
      <c r="B109" s="39" t="s">
        <v>54</v>
      </c>
      <c r="C109" s="5"/>
      <c r="D109" s="44"/>
      <c r="E109" s="44">
        <f>'Rates and GI'!D25</f>
        <v>6</v>
      </c>
      <c r="F109" s="44">
        <f>E109*(1+index)</f>
        <v>6.2579999999999991</v>
      </c>
      <c r="G109" s="44">
        <f>F109*(1+index)</f>
        <v>6.5270939999999991</v>
      </c>
      <c r="H109" s="44">
        <f>G109*(1+index)</f>
        <v>6.8077590419999989</v>
      </c>
      <c r="I109" s="62"/>
      <c r="J109" s="6"/>
      <c r="K109" s="6"/>
      <c r="L109" s="6"/>
    </row>
    <row r="110" spans="1:12" hidden="1" x14ac:dyDescent="0.25"/>
    <row r="111" spans="1:12" hidden="1" x14ac:dyDescent="0.25">
      <c r="A111" s="50"/>
      <c r="B111" s="50" t="s">
        <v>7</v>
      </c>
      <c r="C111" s="50"/>
      <c r="D111" s="52"/>
      <c r="E111" s="52"/>
      <c r="F111" s="52"/>
      <c r="G111" s="52"/>
      <c r="H111" s="52"/>
    </row>
    <row r="112" spans="1:12" s="7" customFormat="1" hidden="1" x14ac:dyDescent="0.25">
      <c r="A112" s="5"/>
      <c r="B112" s="4" t="s">
        <v>57</v>
      </c>
      <c r="C112" s="5"/>
      <c r="D112" s="44"/>
      <c r="E112" s="44"/>
      <c r="F112" s="44"/>
      <c r="G112" s="38"/>
      <c r="H112" s="38"/>
      <c r="I112" s="62"/>
      <c r="J112" s="6"/>
      <c r="K112" s="6"/>
      <c r="L112" s="6"/>
    </row>
    <row r="113" spans="1:12" s="43" customFormat="1" hidden="1" x14ac:dyDescent="0.25">
      <c r="A113" s="40"/>
      <c r="B113" s="41" t="s">
        <v>58</v>
      </c>
      <c r="C113" s="40" t="s">
        <v>55</v>
      </c>
      <c r="D113" s="71"/>
      <c r="E113" s="71"/>
      <c r="F113" s="71"/>
      <c r="G113" s="72"/>
      <c r="H113" s="72"/>
      <c r="I113" s="75"/>
      <c r="J113" s="42"/>
      <c r="K113" s="42"/>
      <c r="L113" s="42"/>
    </row>
    <row r="114" spans="1:12" s="40" customFormat="1" hidden="1" x14ac:dyDescent="0.25">
      <c r="B114" s="41" t="s">
        <v>56</v>
      </c>
      <c r="D114" s="71"/>
      <c r="E114" s="71"/>
      <c r="F114" s="71"/>
      <c r="G114" s="72"/>
      <c r="H114" s="72"/>
      <c r="I114" s="75"/>
      <c r="J114" s="42"/>
      <c r="K114" s="42"/>
      <c r="L114" s="42"/>
    </row>
    <row r="115" spans="1:12" s="40" customFormat="1" hidden="1" x14ac:dyDescent="0.25">
      <c r="B115" s="41" t="s">
        <v>59</v>
      </c>
      <c r="D115" s="71"/>
      <c r="E115" s="71"/>
      <c r="F115" s="71"/>
      <c r="G115" s="72"/>
      <c r="H115" s="72"/>
      <c r="I115" s="75"/>
      <c r="J115" s="42"/>
      <c r="K115" s="42"/>
      <c r="L115" s="42"/>
    </row>
    <row r="116" spans="1:12" hidden="1" x14ac:dyDescent="0.25"/>
    <row r="117" spans="1:12" hidden="1" x14ac:dyDescent="0.25">
      <c r="A117" s="50"/>
      <c r="B117" s="50" t="s">
        <v>26</v>
      </c>
      <c r="C117" s="50"/>
      <c r="D117" s="52"/>
      <c r="E117" s="52">
        <f>E122*E123</f>
        <v>0</v>
      </c>
      <c r="F117" s="52">
        <f>F122*F123</f>
        <v>0</v>
      </c>
      <c r="G117" s="52"/>
      <c r="H117" s="52"/>
    </row>
    <row r="118" spans="1:12" s="5" customFormat="1" hidden="1" x14ac:dyDescent="0.25">
      <c r="B118" s="55" t="s">
        <v>60</v>
      </c>
      <c r="D118" s="44"/>
      <c r="E118" s="44"/>
      <c r="F118" s="44"/>
      <c r="G118" s="38"/>
      <c r="H118" s="38"/>
      <c r="I118" s="62"/>
      <c r="J118" s="6"/>
      <c r="K118" s="6"/>
      <c r="L118" s="6"/>
    </row>
    <row r="119" spans="1:12" s="5" customFormat="1" hidden="1" x14ac:dyDescent="0.25">
      <c r="B119" s="41" t="s">
        <v>147</v>
      </c>
      <c r="D119" s="44"/>
      <c r="E119" s="44"/>
      <c r="F119" s="44"/>
      <c r="G119" s="38"/>
      <c r="H119" s="38"/>
      <c r="I119" s="62"/>
      <c r="J119" s="6"/>
      <c r="K119" s="6"/>
      <c r="L119" s="6"/>
    </row>
    <row r="120" spans="1:12" s="5" customFormat="1" hidden="1" x14ac:dyDescent="0.25">
      <c r="B120" s="41" t="s">
        <v>146</v>
      </c>
      <c r="D120" s="44"/>
      <c r="E120" s="44"/>
      <c r="F120" s="44"/>
      <c r="G120" s="38"/>
      <c r="H120" s="38"/>
      <c r="I120" s="62"/>
      <c r="J120" s="6"/>
      <c r="K120" s="6"/>
      <c r="L120" s="6"/>
    </row>
    <row r="121" spans="1:12" s="5" customFormat="1" hidden="1" x14ac:dyDescent="0.25">
      <c r="B121" s="55" t="s">
        <v>123</v>
      </c>
      <c r="D121" s="44"/>
      <c r="E121" s="44"/>
      <c r="F121" s="44"/>
      <c r="G121" s="38"/>
      <c r="H121" s="38"/>
      <c r="I121" s="62"/>
      <c r="J121" s="6"/>
      <c r="K121" s="6"/>
      <c r="L121" s="6"/>
    </row>
    <row r="122" spans="1:12" s="5" customFormat="1" hidden="1" x14ac:dyDescent="0.25">
      <c r="B122" s="41" t="s">
        <v>147</v>
      </c>
      <c r="D122" s="44"/>
      <c r="E122" s="44">
        <f>'Rates and GI'!$D$31</f>
        <v>350</v>
      </c>
      <c r="F122" s="44">
        <f>'Rates and GI'!$D$31</f>
        <v>350</v>
      </c>
      <c r="G122" s="44">
        <f>'Rates and GI'!$D$31</f>
        <v>350</v>
      </c>
      <c r="H122" s="44">
        <f>'Rates and GI'!$D$31</f>
        <v>350</v>
      </c>
      <c r="I122" s="62"/>
      <c r="J122" s="6"/>
      <c r="K122" s="6"/>
      <c r="L122" s="6"/>
    </row>
    <row r="123" spans="1:12" s="5" customFormat="1" hidden="1" x14ac:dyDescent="0.25">
      <c r="B123" s="41" t="s">
        <v>146</v>
      </c>
      <c r="D123" s="44"/>
      <c r="E123" s="44">
        <v>0</v>
      </c>
      <c r="F123" s="44">
        <v>0</v>
      </c>
      <c r="G123" s="38"/>
      <c r="H123" s="38"/>
      <c r="I123" s="62"/>
      <c r="J123" s="6"/>
      <c r="K123" s="6"/>
      <c r="L123" s="6"/>
    </row>
    <row r="124" spans="1:12" s="5" customFormat="1" hidden="1" x14ac:dyDescent="0.25">
      <c r="B124" s="55" t="s">
        <v>8</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hidden="1" x14ac:dyDescent="0.25"/>
    <row r="128" spans="1:12" hidden="1" x14ac:dyDescent="0.25">
      <c r="A128" s="50"/>
      <c r="B128" s="50" t="s">
        <v>25</v>
      </c>
      <c r="C128" s="50"/>
      <c r="D128" s="52"/>
      <c r="E128" s="52">
        <f>E129+E132</f>
        <v>0</v>
      </c>
      <c r="F128" s="52">
        <f t="shared" ref="F128:H128" si="32">F129+F132</f>
        <v>0</v>
      </c>
      <c r="G128" s="52">
        <f t="shared" si="32"/>
        <v>0</v>
      </c>
      <c r="H128" s="52">
        <f t="shared" si="32"/>
        <v>0</v>
      </c>
    </row>
    <row r="129" spans="1:12" s="5" customFormat="1" hidden="1" x14ac:dyDescent="0.25">
      <c r="B129" s="5" t="s">
        <v>205</v>
      </c>
      <c r="D129" s="44"/>
      <c r="E129" s="44"/>
      <c r="F129" s="44">
        <v>0</v>
      </c>
      <c r="G129" s="38"/>
      <c r="H129" s="38"/>
      <c r="I129" s="62"/>
      <c r="J129" s="6"/>
      <c r="K129" s="6"/>
      <c r="L129" s="6"/>
    </row>
    <row r="130" spans="1:12" s="5" customFormat="1" hidden="1" x14ac:dyDescent="0.25">
      <c r="B130" s="41"/>
      <c r="D130" s="44"/>
      <c r="E130" s="44"/>
      <c r="F130" s="44"/>
      <c r="G130" s="38"/>
      <c r="H130" s="38"/>
      <c r="I130" s="62"/>
      <c r="J130" s="6"/>
      <c r="K130" s="6"/>
      <c r="L130" s="6"/>
    </row>
    <row r="131" spans="1:12" s="5" customFormat="1" hidden="1" x14ac:dyDescent="0.25">
      <c r="B131" s="41"/>
      <c r="D131" s="44"/>
      <c r="E131" s="44"/>
      <c r="F131" s="44"/>
      <c r="G131" s="38"/>
      <c r="H131" s="38"/>
      <c r="I131" s="62"/>
      <c r="J131" s="6"/>
      <c r="K131" s="6"/>
      <c r="L131" s="6"/>
    </row>
    <row r="132" spans="1:12" s="5" customFormat="1" hidden="1" x14ac:dyDescent="0.25">
      <c r="B132" s="5" t="s">
        <v>154</v>
      </c>
      <c r="D132" s="44"/>
      <c r="E132" s="44">
        <f>E133+E134*E135</f>
        <v>0</v>
      </c>
      <c r="F132" s="44">
        <f>F133+F134*F135</f>
        <v>0</v>
      </c>
      <c r="G132" s="44">
        <f t="shared" ref="G132:H132" si="33">G133+G134*G135</f>
        <v>0</v>
      </c>
      <c r="H132" s="44">
        <f t="shared" si="33"/>
        <v>0</v>
      </c>
      <c r="I132" s="73"/>
    </row>
    <row r="133" spans="1:12" hidden="1" x14ac:dyDescent="0.25">
      <c r="B133" s="41" t="s">
        <v>153</v>
      </c>
      <c r="F133" s="44">
        <f>'Rates and GI'!D46*0</f>
        <v>0</v>
      </c>
    </row>
    <row r="134" spans="1:12" hidden="1" x14ac:dyDescent="0.25">
      <c r="B134" s="41" t="s">
        <v>159</v>
      </c>
      <c r="E134" s="60">
        <f>'Rates and GI'!$D$48</f>
        <v>0.02</v>
      </c>
      <c r="F134" s="60">
        <f>'Rates and GI'!$D$48</f>
        <v>0.02</v>
      </c>
      <c r="G134" s="60">
        <f>'Rates and GI'!$D$48</f>
        <v>0.02</v>
      </c>
      <c r="H134" s="60">
        <f>'Rates and GI'!$D$48</f>
        <v>0.02</v>
      </c>
    </row>
    <row r="135" spans="1:12" hidden="1" x14ac:dyDescent="0.25">
      <c r="B135" s="41" t="s">
        <v>160</v>
      </c>
      <c r="E135" s="44">
        <v>0</v>
      </c>
      <c r="F135" s="44">
        <v>0</v>
      </c>
      <c r="G135" s="44">
        <v>0</v>
      </c>
      <c r="H135" s="44">
        <v>0</v>
      </c>
    </row>
    <row r="136" spans="1:12" s="5" customFormat="1" hidden="1" x14ac:dyDescent="0.25">
      <c r="B136" s="41"/>
      <c r="D136" s="44"/>
      <c r="E136" s="44"/>
      <c r="F136" s="44"/>
      <c r="G136" s="38"/>
      <c r="H136" s="38"/>
      <c r="I136" s="62"/>
      <c r="J136" s="6"/>
      <c r="K136" s="6"/>
      <c r="L136" s="6"/>
    </row>
    <row r="137" spans="1:12" x14ac:dyDescent="0.25">
      <c r="A137" s="50"/>
      <c r="B137" s="50" t="s">
        <v>21</v>
      </c>
      <c r="C137" s="50"/>
      <c r="D137" s="52"/>
      <c r="E137" s="52">
        <f>E138*E139+E140*E141++E142*E143+E144*E145</f>
        <v>2300</v>
      </c>
      <c r="F137" s="52">
        <f t="shared" ref="F137:H137" si="34">F138*F139+F140*F141++F142*F143+F144*F145</f>
        <v>0</v>
      </c>
      <c r="G137" s="52">
        <f t="shared" si="34"/>
        <v>0</v>
      </c>
      <c r="H137" s="52">
        <f t="shared" si="34"/>
        <v>0</v>
      </c>
    </row>
    <row r="138" spans="1:12" hidden="1" x14ac:dyDescent="0.25">
      <c r="B138" s="41" t="s">
        <v>150</v>
      </c>
      <c r="G138" s="44">
        <v>0</v>
      </c>
      <c r="H138" s="44"/>
    </row>
    <row r="139" spans="1:12" hidden="1" x14ac:dyDescent="0.25">
      <c r="B139" s="41" t="s">
        <v>151</v>
      </c>
      <c r="E139" s="44">
        <f>'Rates and GI'!$D$58</f>
        <v>5000</v>
      </c>
      <c r="F139" s="44">
        <f>'Rates and GI'!$D$58</f>
        <v>5000</v>
      </c>
      <c r="G139" s="44">
        <f>'Rates and GI'!$D$58</f>
        <v>5000</v>
      </c>
      <c r="H139" s="44">
        <f>'Rates and GI'!$D$58</f>
        <v>5000</v>
      </c>
    </row>
    <row r="140" spans="1:12" x14ac:dyDescent="0.25">
      <c r="B140" s="41" t="s">
        <v>148</v>
      </c>
      <c r="E140" s="44">
        <v>1</v>
      </c>
      <c r="F140" s="44">
        <v>0</v>
      </c>
      <c r="G140" s="44">
        <v>0</v>
      </c>
      <c r="H140" s="44">
        <v>0</v>
      </c>
    </row>
    <row r="141" spans="1:12" x14ac:dyDescent="0.25">
      <c r="B141" s="41" t="s">
        <v>149</v>
      </c>
      <c r="E141" s="44">
        <f>'Rates and GI'!$D$59</f>
        <v>1500</v>
      </c>
      <c r="F141" s="44">
        <f>'Rates and GI'!$D$59</f>
        <v>1500</v>
      </c>
      <c r="G141" s="44">
        <f>'Rates and GI'!$D$59</f>
        <v>1500</v>
      </c>
      <c r="H141" s="44">
        <f>'Rates and GI'!$D$59</f>
        <v>1500</v>
      </c>
    </row>
    <row r="142" spans="1:12" ht="27" x14ac:dyDescent="0.25">
      <c r="B142" s="63" t="s">
        <v>162</v>
      </c>
      <c r="E142" s="44">
        <v>4</v>
      </c>
      <c r="F142" s="44">
        <v>0</v>
      </c>
      <c r="G142" s="44">
        <v>0</v>
      </c>
      <c r="H142" s="44">
        <v>0</v>
      </c>
    </row>
    <row r="143" spans="1:12" ht="27" x14ac:dyDescent="0.25">
      <c r="A143" s="228"/>
      <c r="B143" s="229" t="s">
        <v>161</v>
      </c>
      <c r="C143" s="228"/>
      <c r="D143" s="230"/>
      <c r="E143" s="230">
        <f>'Rates and GI'!$D$60</f>
        <v>200</v>
      </c>
      <c r="F143" s="230">
        <f>'Rates and GI'!$D$60</f>
        <v>200</v>
      </c>
      <c r="G143" s="230">
        <f>'Rates and GI'!$D$60</f>
        <v>200</v>
      </c>
      <c r="H143" s="230">
        <f>'Rates and GI'!$D$60</f>
        <v>200</v>
      </c>
    </row>
    <row r="144" spans="1:12" s="5" customFormat="1" hidden="1" x14ac:dyDescent="0.25">
      <c r="B144" s="41" t="s">
        <v>217</v>
      </c>
      <c r="D144" s="44"/>
      <c r="E144" s="44">
        <v>0</v>
      </c>
      <c r="F144" s="44">
        <v>0</v>
      </c>
      <c r="G144" s="44">
        <v>0</v>
      </c>
      <c r="H144" s="44">
        <v>0</v>
      </c>
      <c r="I144" s="62"/>
      <c r="J144" s="6"/>
      <c r="K144" s="6"/>
      <c r="L144" s="6"/>
    </row>
    <row r="145" spans="1:12" s="5" customFormat="1" hidden="1" x14ac:dyDescent="0.25">
      <c r="B145" s="41" t="s">
        <v>214</v>
      </c>
      <c r="D145" s="44"/>
      <c r="E145" s="44">
        <f>'Rates and GI'!$D$61</f>
        <v>50</v>
      </c>
      <c r="F145" s="44">
        <f>'Rates and GI'!$D$61</f>
        <v>50</v>
      </c>
      <c r="G145" s="38">
        <f>'Rates and GI'!$D$61</f>
        <v>50</v>
      </c>
      <c r="H145" s="38">
        <f>'Rates and GI'!$D$61</f>
        <v>50</v>
      </c>
      <c r="I145" s="62"/>
      <c r="J145" s="6"/>
      <c r="K145" s="6"/>
      <c r="L145" s="6"/>
    </row>
    <row r="146" spans="1:12" hidden="1" x14ac:dyDescent="0.25">
      <c r="A146" s="50"/>
      <c r="B146" s="50"/>
      <c r="C146" s="50"/>
      <c r="D146" s="52"/>
      <c r="E146" s="52"/>
      <c r="F146" s="52"/>
      <c r="G146" s="52"/>
      <c r="H146" s="52"/>
    </row>
    <row r="147" spans="1:12" hidden="1" x14ac:dyDescent="0.25">
      <c r="A147" s="50"/>
      <c r="B147" s="50" t="s">
        <v>194</v>
      </c>
      <c r="C147" s="50"/>
      <c r="D147" s="52"/>
      <c r="E147" s="52">
        <f>E148+E151+E154+E163+E168</f>
        <v>0</v>
      </c>
      <c r="F147" s="52">
        <f t="shared" ref="F147:H147" si="35">F148+F151+F154+F163+F168</f>
        <v>0</v>
      </c>
      <c r="G147" s="52">
        <f t="shared" si="35"/>
        <v>0</v>
      </c>
      <c r="H147" s="52">
        <f t="shared" si="35"/>
        <v>0</v>
      </c>
    </row>
    <row r="148" spans="1:12" s="5" customFormat="1" hidden="1" x14ac:dyDescent="0.25">
      <c r="B148" s="5" t="s">
        <v>173</v>
      </c>
      <c r="D148" s="44"/>
      <c r="E148" s="44">
        <f>E149+E152*E153</f>
        <v>0</v>
      </c>
      <c r="F148" s="44">
        <f>F149+F152*F153</f>
        <v>0</v>
      </c>
      <c r="G148" s="44">
        <f>G149+G152*G153</f>
        <v>0</v>
      </c>
      <c r="H148" s="44">
        <f t="shared" ref="H148" si="36">H149+H152*H153</f>
        <v>0</v>
      </c>
      <c r="I148" s="73"/>
    </row>
    <row r="149" spans="1:12" hidden="1" x14ac:dyDescent="0.25">
      <c r="B149" s="41" t="s">
        <v>184</v>
      </c>
      <c r="F149" s="44">
        <f>('Rates and GI'!$D$45+'Rates and GI'!$D$49)*0</f>
        <v>0</v>
      </c>
      <c r="G149" s="44">
        <f>('Rates and GI'!$D$45+'Rates and GI'!$D$49)*0</f>
        <v>0</v>
      </c>
      <c r="H149" s="44"/>
    </row>
    <row r="150" spans="1:12" hidden="1" x14ac:dyDescent="0.25">
      <c r="B150" s="41" t="s">
        <v>187</v>
      </c>
      <c r="F150" s="44">
        <f>'Rates and GI'!$D$51*0</f>
        <v>0</v>
      </c>
      <c r="G150" s="44">
        <f>'Rates and GI'!$D$51*0</f>
        <v>0</v>
      </c>
      <c r="H150" s="44"/>
    </row>
    <row r="151" spans="1:12" hidden="1" x14ac:dyDescent="0.25">
      <c r="B151" s="5" t="s">
        <v>174</v>
      </c>
      <c r="E151" s="44">
        <f>E152*E153</f>
        <v>0</v>
      </c>
      <c r="F151" s="44">
        <f t="shared" ref="F151:H151" si="37">F152*F153</f>
        <v>0</v>
      </c>
      <c r="G151" s="44">
        <f t="shared" si="37"/>
        <v>0</v>
      </c>
      <c r="H151" s="44">
        <f t="shared" si="37"/>
        <v>0</v>
      </c>
    </row>
    <row r="152" spans="1:12" hidden="1" x14ac:dyDescent="0.25">
      <c r="B152" s="41" t="s">
        <v>164</v>
      </c>
      <c r="F152" s="44">
        <f>'Rates and GI'!$D$54</f>
        <v>24.066499999999998</v>
      </c>
      <c r="G152" s="44">
        <f>'Rates and GI'!$D$54</f>
        <v>24.066499999999998</v>
      </c>
      <c r="H152" s="44">
        <f>'Rates and GI'!$D$54</f>
        <v>24.066499999999998</v>
      </c>
    </row>
    <row r="153" spans="1:12" hidden="1" x14ac:dyDescent="0.25">
      <c r="B153" s="41" t="s">
        <v>163</v>
      </c>
      <c r="F153" s="44">
        <v>0</v>
      </c>
      <c r="G153" s="38">
        <v>0</v>
      </c>
      <c r="H153" s="38">
        <v>0</v>
      </c>
    </row>
    <row r="154" spans="1:12" hidden="1" x14ac:dyDescent="0.25">
      <c r="B154" s="5" t="s">
        <v>175</v>
      </c>
      <c r="E154" s="44">
        <f>E155+E159</f>
        <v>0</v>
      </c>
      <c r="F154" s="44">
        <f t="shared" ref="F154:H154" si="38">F155+F159</f>
        <v>0</v>
      </c>
      <c r="G154" s="44">
        <f t="shared" si="38"/>
        <v>0</v>
      </c>
      <c r="H154" s="44">
        <f t="shared" si="38"/>
        <v>0</v>
      </c>
    </row>
    <row r="155" spans="1:12" hidden="1" x14ac:dyDescent="0.25">
      <c r="B155" s="41" t="s">
        <v>189</v>
      </c>
      <c r="E155" s="44">
        <f>E156*E157</f>
        <v>0</v>
      </c>
      <c r="F155" s="44">
        <f t="shared" ref="F155:H155" si="39">F156*F157</f>
        <v>0</v>
      </c>
      <c r="G155" s="44">
        <f t="shared" si="39"/>
        <v>0</v>
      </c>
      <c r="H155" s="44">
        <f t="shared" si="39"/>
        <v>0</v>
      </c>
    </row>
    <row r="156" spans="1:12" hidden="1" x14ac:dyDescent="0.25">
      <c r="B156" s="41" t="s">
        <v>176</v>
      </c>
      <c r="C156" s="5" t="s">
        <v>177</v>
      </c>
      <c r="E156" s="44">
        <v>0</v>
      </c>
      <c r="F156" s="44">
        <v>0</v>
      </c>
      <c r="G156" s="38">
        <v>0</v>
      </c>
      <c r="H156" s="38">
        <v>0</v>
      </c>
    </row>
    <row r="157" spans="1:12" hidden="1" x14ac:dyDescent="0.25">
      <c r="B157" s="41" t="s">
        <v>178</v>
      </c>
      <c r="E157" s="44">
        <f>'Rates and GI'!$D$52</f>
        <v>150</v>
      </c>
      <c r="F157" s="44">
        <f>'Rates and GI'!$D$52</f>
        <v>150</v>
      </c>
      <c r="G157" s="44">
        <f>'Rates and GI'!$D$52</f>
        <v>150</v>
      </c>
      <c r="H157" s="44">
        <f>'Rates and GI'!$D$52</f>
        <v>150</v>
      </c>
    </row>
    <row r="158" spans="1:12" hidden="1" x14ac:dyDescent="0.25">
      <c r="B158" s="6"/>
    </row>
    <row r="159" spans="1:12" hidden="1" x14ac:dyDescent="0.25">
      <c r="B159" s="41" t="s">
        <v>190</v>
      </c>
      <c r="E159" s="44">
        <f>E160*E161</f>
        <v>0</v>
      </c>
      <c r="F159" s="44">
        <f t="shared" ref="F159:H159" si="40">F160*F161</f>
        <v>0</v>
      </c>
      <c r="G159" s="44">
        <f t="shared" si="40"/>
        <v>0</v>
      </c>
      <c r="H159" s="44">
        <f t="shared" si="40"/>
        <v>0</v>
      </c>
    </row>
    <row r="160" spans="1:12" hidden="1" x14ac:dyDescent="0.25">
      <c r="B160" s="41" t="s">
        <v>176</v>
      </c>
      <c r="C160" s="5" t="s">
        <v>177</v>
      </c>
      <c r="E160" s="44">
        <v>0</v>
      </c>
      <c r="F160" s="44">
        <v>0</v>
      </c>
      <c r="G160" s="38">
        <v>0</v>
      </c>
      <c r="H160" s="38">
        <v>0</v>
      </c>
    </row>
    <row r="161" spans="1:8" hidden="1" x14ac:dyDescent="0.25">
      <c r="B161" s="41" t="s">
        <v>178</v>
      </c>
      <c r="E161" s="44">
        <f>'Rates and GI'!$D$53</f>
        <v>20</v>
      </c>
      <c r="F161" s="44">
        <f>'Rates and GI'!$D$53</f>
        <v>20</v>
      </c>
      <c r="G161" s="44">
        <f>'Rates and GI'!$D$53</f>
        <v>20</v>
      </c>
      <c r="H161" s="44">
        <f>'Rates and GI'!$D$53</f>
        <v>20</v>
      </c>
    </row>
    <row r="162" spans="1:8" hidden="1" x14ac:dyDescent="0.25">
      <c r="B162" s="6"/>
    </row>
    <row r="163" spans="1:8" hidden="1" x14ac:dyDescent="0.25">
      <c r="B163" s="5" t="s">
        <v>179</v>
      </c>
      <c r="E163" s="44">
        <f>E164*E165*E166</f>
        <v>0</v>
      </c>
      <c r="F163" s="44">
        <f t="shared" ref="F163:H163" si="41">F164*F165*F166</f>
        <v>0</v>
      </c>
      <c r="G163" s="44">
        <f t="shared" si="41"/>
        <v>0</v>
      </c>
      <c r="H163" s="44">
        <f t="shared" si="41"/>
        <v>0</v>
      </c>
    </row>
    <row r="164" spans="1:8" hidden="1" x14ac:dyDescent="0.25">
      <c r="B164" s="41" t="s">
        <v>191</v>
      </c>
      <c r="F164" s="44">
        <f>'Rates and GI'!$D$55</f>
        <v>300</v>
      </c>
      <c r="G164" s="44">
        <f>'Rates and GI'!$D$55</f>
        <v>300</v>
      </c>
      <c r="H164" s="44">
        <f>'Rates and GI'!$D$55</f>
        <v>300</v>
      </c>
    </row>
    <row r="165" spans="1:8" hidden="1" x14ac:dyDescent="0.25">
      <c r="B165" s="41" t="s">
        <v>192</v>
      </c>
      <c r="F165" s="44">
        <v>3</v>
      </c>
      <c r="G165" s="44">
        <v>3</v>
      </c>
      <c r="H165" s="44">
        <v>3</v>
      </c>
    </row>
    <row r="166" spans="1:8" hidden="1" x14ac:dyDescent="0.25">
      <c r="B166" s="41" t="s">
        <v>193</v>
      </c>
      <c r="F166" s="44">
        <v>0</v>
      </c>
      <c r="G166" s="44">
        <v>0</v>
      </c>
      <c r="H166" s="44">
        <v>0</v>
      </c>
    </row>
    <row r="167" spans="1:8" hidden="1" x14ac:dyDescent="0.25"/>
    <row r="168" spans="1:8" hidden="1" x14ac:dyDescent="0.25">
      <c r="B168" s="5" t="s">
        <v>172</v>
      </c>
      <c r="E168" s="44">
        <f>E169+E170*E171</f>
        <v>0</v>
      </c>
      <c r="F168" s="44">
        <f>F169+F170*F171</f>
        <v>0</v>
      </c>
      <c r="G168" s="44">
        <f>G169+G170*G171</f>
        <v>0</v>
      </c>
      <c r="H168" s="44">
        <f>H169+H170*H171</f>
        <v>0</v>
      </c>
    </row>
    <row r="169" spans="1:8" hidden="1" x14ac:dyDescent="0.25">
      <c r="B169" s="41" t="s">
        <v>153</v>
      </c>
      <c r="F169" s="44">
        <f>'Rates and GI'!D46*0</f>
        <v>0</v>
      </c>
    </row>
    <row r="170" spans="1:8" hidden="1" x14ac:dyDescent="0.25">
      <c r="B170" s="41" t="s">
        <v>159</v>
      </c>
      <c r="F170" s="65">
        <f>'Rates and GI'!$D$47</f>
        <v>0.05</v>
      </c>
      <c r="G170" s="65">
        <f>'Rates and GI'!$D$47</f>
        <v>0.05</v>
      </c>
      <c r="H170" s="65">
        <f>'Rates and GI'!$D$47</f>
        <v>0.05</v>
      </c>
    </row>
    <row r="171" spans="1:8" hidden="1" x14ac:dyDescent="0.25">
      <c r="B171" s="41" t="s">
        <v>160</v>
      </c>
      <c r="F171" s="44">
        <v>0</v>
      </c>
      <c r="G171" s="38">
        <v>0</v>
      </c>
    </row>
    <row r="172" spans="1:8" hidden="1" x14ac:dyDescent="0.25"/>
    <row r="173" spans="1:8" hidden="1" x14ac:dyDescent="0.25"/>
    <row r="174" spans="1:8" hidden="1" x14ac:dyDescent="0.25">
      <c r="A174" s="50"/>
      <c r="B174" s="50" t="s">
        <v>19</v>
      </c>
      <c r="C174" s="50"/>
      <c r="D174" s="52"/>
      <c r="E174" s="52">
        <v>0</v>
      </c>
      <c r="F174" s="52">
        <v>0</v>
      </c>
      <c r="G174" s="52">
        <v>0</v>
      </c>
      <c r="H174" s="52">
        <v>0</v>
      </c>
    </row>
    <row r="175" spans="1:8" hidden="1" x14ac:dyDescent="0.25"/>
    <row r="176" spans="1:8" hidden="1" x14ac:dyDescent="0.25"/>
    <row r="177" hidden="1" x14ac:dyDescent="0.25"/>
  </sheetData>
  <pageMargins left="0.7" right="0.7" top="0.75" bottom="0.75" header="0.3" footer="0.3"/>
  <pageSetup paperSize="9" scale="56" fitToHeight="0"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4"/>
  <sheetViews>
    <sheetView topLeftCell="A107" workbookViewId="0">
      <selection activeCell="B180" sqref="B18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9</v>
      </c>
      <c r="B1" s="126" t="s">
        <v>238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6681.1500000000005</v>
      </c>
      <c r="E5" s="44">
        <f>E63</f>
        <v>6681.1500000000005</v>
      </c>
      <c r="F5" s="44">
        <f t="shared" ref="F5:H5" si="1">F63</f>
        <v>0</v>
      </c>
      <c r="G5" s="44">
        <f t="shared" si="1"/>
        <v>0</v>
      </c>
      <c r="H5" s="44">
        <f t="shared" si="1"/>
        <v>0</v>
      </c>
    </row>
    <row r="6" spans="1:12" x14ac:dyDescent="0.25">
      <c r="B6" s="16" t="s">
        <v>168</v>
      </c>
      <c r="D6" s="44">
        <f t="shared" si="0"/>
        <v>6813.0719999999992</v>
      </c>
      <c r="E6" s="44">
        <f>E67</f>
        <v>6813.0719999999992</v>
      </c>
      <c r="F6" s="44">
        <f t="shared" ref="F6:H6" si="2">F67</f>
        <v>0</v>
      </c>
      <c r="G6" s="44">
        <f t="shared" si="2"/>
        <v>0</v>
      </c>
      <c r="H6" s="44">
        <f t="shared" si="2"/>
        <v>0</v>
      </c>
    </row>
    <row r="7" spans="1:12" ht="14.25" thickBot="1" x14ac:dyDescent="0.3">
      <c r="A7" s="13"/>
      <c r="B7" s="13" t="s">
        <v>5</v>
      </c>
      <c r="C7" s="13"/>
      <c r="D7" s="47">
        <f>SUBTOTAL(9,D5:D6)</f>
        <v>13494.222</v>
      </c>
      <c r="E7" s="47">
        <f>SUBTOTAL(9,E5:E6)</f>
        <v>13494.222</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1263.4073176470588</v>
      </c>
      <c r="E15" s="44">
        <f>E95</f>
        <v>1263.4073176470588</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1263.4073176470588</v>
      </c>
      <c r="E17" s="47">
        <f t="shared" ref="E17:H17" si="8">SUBTOTAL(9,E15:E16)</f>
        <v>1263.4073176470588</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300</v>
      </c>
      <c r="E25" s="44">
        <f>E107</f>
        <v>300</v>
      </c>
      <c r="F25" s="44">
        <f t="shared" ref="F25:H25" si="13">F107</f>
        <v>0</v>
      </c>
      <c r="G25" s="44">
        <f t="shared" si="13"/>
        <v>0</v>
      </c>
      <c r="H25" s="44">
        <f t="shared" si="13"/>
        <v>0</v>
      </c>
    </row>
    <row r="26" spans="1:12" x14ac:dyDescent="0.25">
      <c r="B26" s="16" t="s">
        <v>25</v>
      </c>
      <c r="D26" s="44">
        <f t="shared" ref="D26" si="14">SUM(E26:H26)</f>
        <v>0</v>
      </c>
      <c r="E26" s="44">
        <f>E128</f>
        <v>0</v>
      </c>
      <c r="F26" s="44">
        <f t="shared" ref="F26:H26" si="15">F128</f>
        <v>0</v>
      </c>
      <c r="G26" s="44">
        <f t="shared" si="15"/>
        <v>0</v>
      </c>
      <c r="H26" s="44">
        <f t="shared" si="15"/>
        <v>0</v>
      </c>
    </row>
    <row r="27" spans="1:12" x14ac:dyDescent="0.25">
      <c r="B27" s="16" t="s">
        <v>233</v>
      </c>
    </row>
    <row r="28" spans="1:12" ht="14.25" thickBot="1" x14ac:dyDescent="0.3">
      <c r="A28" s="13"/>
      <c r="B28" s="13" t="s">
        <v>73</v>
      </c>
      <c r="C28" s="13"/>
      <c r="D28" s="47">
        <f>SUBTOTAL(9,D25:D27)</f>
        <v>300</v>
      </c>
      <c r="E28" s="47">
        <f t="shared" ref="E28:H28" si="16">SUBTOTAL(9,E25:E27)</f>
        <v>300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E117</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E174</f>
        <v>0</v>
      </c>
      <c r="F40" s="44">
        <f t="shared" ref="F40:H40" si="20">F174</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E147</f>
        <v>0</v>
      </c>
      <c r="F46" s="44">
        <f t="shared" ref="F46:H46" si="23">F147</f>
        <v>0</v>
      </c>
      <c r="G46" s="44">
        <f t="shared" si="23"/>
        <v>0</v>
      </c>
      <c r="H46" s="44">
        <f t="shared" si="23"/>
        <v>0</v>
      </c>
    </row>
    <row r="47" spans="1:12" x14ac:dyDescent="0.25">
      <c r="A47" s="3"/>
      <c r="B47" s="3" t="s">
        <v>21</v>
      </c>
      <c r="C47" s="3"/>
      <c r="D47" s="44">
        <f t="shared" si="22"/>
        <v>3000</v>
      </c>
      <c r="E47" s="44">
        <f>E137</f>
        <v>3000</v>
      </c>
      <c r="F47" s="44">
        <f t="shared" ref="F47:H47" si="24">F137</f>
        <v>0</v>
      </c>
      <c r="G47" s="44">
        <f t="shared" si="24"/>
        <v>0</v>
      </c>
      <c r="H47" s="44">
        <f t="shared" si="24"/>
        <v>0</v>
      </c>
    </row>
    <row r="48" spans="1:12" ht="14.25" thickBot="1" x14ac:dyDescent="0.3">
      <c r="A48" s="13"/>
      <c r="B48" s="13" t="s">
        <v>69</v>
      </c>
      <c r="C48" s="13"/>
      <c r="D48" s="47">
        <f>SUBTOTAL(9,D46:D47)</f>
        <v>3000</v>
      </c>
      <c r="E48" s="47">
        <f>SUBTOTAL(9,E46:E47)</f>
        <v>3000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18057.629317647057</v>
      </c>
      <c r="E50" s="49">
        <f>SUBTOTAL(9,E5:E48)</f>
        <v>18057.629317647057</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6681.1500000000005</v>
      </c>
      <c r="F63" s="44">
        <f t="shared" ref="F63:H63" si="25">F64*F65</f>
        <v>0</v>
      </c>
      <c r="G63" s="44">
        <f t="shared" si="25"/>
        <v>0</v>
      </c>
      <c r="H63" s="44">
        <f t="shared" si="25"/>
        <v>0</v>
      </c>
    </row>
    <row r="64" spans="1:9" x14ac:dyDescent="0.25">
      <c r="A64" s="9"/>
      <c r="B64" s="9" t="s">
        <v>114</v>
      </c>
      <c r="C64" s="9" t="s">
        <v>113</v>
      </c>
      <c r="E64" s="44">
        <f>6*3*21</f>
        <v>378</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7" spans="1:12" s="7" customFormat="1" x14ac:dyDescent="0.25">
      <c r="A67" s="5"/>
      <c r="B67" s="5" t="s">
        <v>168</v>
      </c>
      <c r="C67" s="5"/>
      <c r="D67" s="44"/>
      <c r="E67" s="44">
        <f>E68*E69</f>
        <v>6813.0719999999992</v>
      </c>
      <c r="F67" s="44">
        <f t="shared" ref="F67:H67" si="26">F68*F69</f>
        <v>0</v>
      </c>
      <c r="G67" s="44">
        <f t="shared" si="26"/>
        <v>0</v>
      </c>
      <c r="H67" s="44">
        <f t="shared" si="26"/>
        <v>0</v>
      </c>
      <c r="I67" s="62"/>
      <c r="J67" s="6"/>
      <c r="K67" s="6"/>
      <c r="L67" s="6"/>
    </row>
    <row r="68" spans="1:12" s="7" customFormat="1" x14ac:dyDescent="0.25">
      <c r="A68" s="9"/>
      <c r="B68" s="9" t="s">
        <v>170</v>
      </c>
      <c r="C68" s="9" t="s">
        <v>113</v>
      </c>
      <c r="D68" s="44"/>
      <c r="E68" s="44">
        <f>2*21</f>
        <v>42</v>
      </c>
      <c r="F68" s="44">
        <v>0</v>
      </c>
      <c r="G68" s="44">
        <v>0</v>
      </c>
      <c r="H68" s="44">
        <v>0</v>
      </c>
      <c r="I68" s="62"/>
      <c r="J68" s="6"/>
      <c r="K68" s="6"/>
      <c r="L68" s="6"/>
    </row>
    <row r="69" spans="1:12" s="7" customFormat="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x14ac:dyDescent="0.25">
      <c r="A95" s="50"/>
      <c r="B95" s="50" t="s">
        <v>171</v>
      </c>
      <c r="C95" s="50"/>
      <c r="D95" s="52"/>
      <c r="E95" s="52">
        <f>E96*E97</f>
        <v>1263.4073176470588</v>
      </c>
      <c r="F95" s="52">
        <f t="shared" ref="F95:H95" si="28">F96*F97</f>
        <v>0</v>
      </c>
      <c r="G95" s="52">
        <f t="shared" si="28"/>
        <v>0</v>
      </c>
      <c r="H95" s="52">
        <f t="shared" si="28"/>
        <v>0</v>
      </c>
    </row>
    <row r="96" spans="1:12" s="7" customFormat="1" x14ac:dyDescent="0.25">
      <c r="A96" s="10"/>
      <c r="B96" s="39" t="s">
        <v>144</v>
      </c>
      <c r="C96" s="10" t="s">
        <v>145</v>
      </c>
      <c r="D96" s="44"/>
      <c r="E96" s="44">
        <v>2</v>
      </c>
      <c r="F96" s="44">
        <v>0</v>
      </c>
      <c r="G96" s="44">
        <v>0</v>
      </c>
      <c r="H96" s="44">
        <v>0</v>
      </c>
      <c r="I96" s="62"/>
      <c r="J96" s="6"/>
      <c r="K96" s="6"/>
      <c r="L96" s="6"/>
    </row>
    <row r="97" spans="1:12" s="7" customFormat="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9" spans="1:12" hidden="1" x14ac:dyDescent="0.25">
      <c r="A99" s="50"/>
      <c r="B99" s="50" t="s">
        <v>130</v>
      </c>
      <c r="C99" s="50"/>
      <c r="D99" s="52"/>
      <c r="E99" s="52">
        <f>E100*E101+E102*E103+E104*E105</f>
        <v>0</v>
      </c>
      <c r="F99" s="52">
        <f t="shared" ref="F99:H99" si="29">F100*F101+F102*F103+F104*F105</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f>E104*E105</f>
        <v>0</v>
      </c>
      <c r="F103" s="44">
        <v>0</v>
      </c>
      <c r="G103" s="44">
        <v>0</v>
      </c>
      <c r="H103" s="44">
        <v>0</v>
      </c>
    </row>
    <row r="104" spans="1:12" hidden="1" x14ac:dyDescent="0.25">
      <c r="B104" s="39" t="s">
        <v>203</v>
      </c>
      <c r="C104" s="5" t="s">
        <v>137</v>
      </c>
      <c r="G104" s="44"/>
      <c r="H104" s="44"/>
    </row>
    <row r="105" spans="1:12" hidden="1" x14ac:dyDescent="0.25">
      <c r="B105" s="39" t="s">
        <v>133</v>
      </c>
      <c r="E105" s="44">
        <v>0</v>
      </c>
      <c r="F105" s="44">
        <v>0</v>
      </c>
      <c r="G105" s="44">
        <v>0</v>
      </c>
      <c r="H105" s="44">
        <v>0</v>
      </c>
    </row>
    <row r="106" spans="1:12" hidden="1" x14ac:dyDescent="0.25">
      <c r="B106" s="39"/>
    </row>
    <row r="107" spans="1:12" x14ac:dyDescent="0.25">
      <c r="A107" s="50"/>
      <c r="B107" s="50" t="s">
        <v>24</v>
      </c>
      <c r="C107" s="50"/>
      <c r="D107" s="52"/>
      <c r="E107" s="52">
        <f>E108*E109</f>
        <v>300</v>
      </c>
      <c r="F107" s="52">
        <f t="shared" ref="F107:H107" si="31">F108*F109</f>
        <v>0</v>
      </c>
      <c r="G107" s="52">
        <f t="shared" si="31"/>
        <v>0</v>
      </c>
      <c r="H107" s="52">
        <f t="shared" si="31"/>
        <v>0</v>
      </c>
    </row>
    <row r="108" spans="1:12" s="7" customFormat="1" x14ac:dyDescent="0.25">
      <c r="A108" s="5"/>
      <c r="B108" s="39" t="s">
        <v>53</v>
      </c>
      <c r="C108" s="5"/>
      <c r="D108" s="44"/>
      <c r="E108" s="44">
        <v>50</v>
      </c>
      <c r="F108" s="44">
        <v>0</v>
      </c>
      <c r="G108" s="44"/>
      <c r="H108" s="44"/>
      <c r="I108" s="62"/>
      <c r="J108" s="6"/>
      <c r="K108" s="6"/>
      <c r="L108" s="6"/>
    </row>
    <row r="109" spans="1:12" s="7" customFormat="1" x14ac:dyDescent="0.25">
      <c r="A109" s="5"/>
      <c r="B109" s="39" t="s">
        <v>54</v>
      </c>
      <c r="C109" s="5"/>
      <c r="D109" s="44"/>
      <c r="E109" s="44">
        <f>'Rates and GI'!D25</f>
        <v>6</v>
      </c>
      <c r="F109" s="44">
        <f>E109*(1+index)</f>
        <v>6.2579999999999991</v>
      </c>
      <c r="G109" s="44">
        <f>F109*(1+index)</f>
        <v>6.5270939999999991</v>
      </c>
      <c r="H109" s="44">
        <f>G109*(1+index)</f>
        <v>6.8077590419999989</v>
      </c>
      <c r="I109" s="62"/>
      <c r="J109" s="6"/>
      <c r="K109" s="6"/>
      <c r="L109" s="6"/>
    </row>
    <row r="111" spans="1:12" hidden="1" x14ac:dyDescent="0.25">
      <c r="A111" s="50"/>
      <c r="B111" s="50" t="s">
        <v>7</v>
      </c>
      <c r="C111" s="50"/>
      <c r="D111" s="52"/>
      <c r="E111" s="52"/>
      <c r="F111" s="52"/>
      <c r="G111" s="52"/>
      <c r="H111" s="52"/>
    </row>
    <row r="112" spans="1:12" s="7" customFormat="1" hidden="1" x14ac:dyDescent="0.25">
      <c r="A112" s="5"/>
      <c r="B112" s="4" t="s">
        <v>57</v>
      </c>
      <c r="C112" s="5"/>
      <c r="D112" s="44"/>
      <c r="E112" s="44"/>
      <c r="F112" s="44"/>
      <c r="G112" s="38"/>
      <c r="H112" s="38"/>
      <c r="I112" s="62"/>
      <c r="J112" s="6"/>
      <c r="K112" s="6"/>
      <c r="L112" s="6"/>
    </row>
    <row r="113" spans="1:12" s="43" customFormat="1" hidden="1" x14ac:dyDescent="0.25">
      <c r="A113" s="40"/>
      <c r="B113" s="41" t="s">
        <v>58</v>
      </c>
      <c r="C113" s="40" t="s">
        <v>55</v>
      </c>
      <c r="D113" s="71"/>
      <c r="E113" s="71"/>
      <c r="F113" s="71"/>
      <c r="G113" s="72"/>
      <c r="H113" s="72"/>
      <c r="I113" s="75"/>
      <c r="J113" s="42"/>
      <c r="K113" s="42"/>
      <c r="L113" s="42"/>
    </row>
    <row r="114" spans="1:12" s="40" customFormat="1" hidden="1" x14ac:dyDescent="0.25">
      <c r="B114" s="41" t="s">
        <v>56</v>
      </c>
      <c r="D114" s="71"/>
      <c r="E114" s="71"/>
      <c r="F114" s="71"/>
      <c r="G114" s="72"/>
      <c r="H114" s="72"/>
      <c r="I114" s="75"/>
      <c r="J114" s="42"/>
      <c r="K114" s="42"/>
      <c r="L114" s="42"/>
    </row>
    <row r="115" spans="1:12" s="40" customFormat="1" hidden="1" x14ac:dyDescent="0.25">
      <c r="B115" s="41" t="s">
        <v>59</v>
      </c>
      <c r="D115" s="71"/>
      <c r="E115" s="71"/>
      <c r="F115" s="71"/>
      <c r="G115" s="72"/>
      <c r="H115" s="72"/>
      <c r="I115" s="75"/>
      <c r="J115" s="42"/>
      <c r="K115" s="42"/>
      <c r="L115" s="42"/>
    </row>
    <row r="116" spans="1:12" hidden="1" x14ac:dyDescent="0.25"/>
    <row r="117" spans="1:12" hidden="1" x14ac:dyDescent="0.25">
      <c r="A117" s="50"/>
      <c r="B117" s="50" t="s">
        <v>26</v>
      </c>
      <c r="C117" s="50"/>
      <c r="D117" s="52"/>
      <c r="E117" s="52">
        <f>E122*E123</f>
        <v>0</v>
      </c>
      <c r="F117" s="52">
        <f>F122*F123</f>
        <v>0</v>
      </c>
      <c r="G117" s="52"/>
      <c r="H117" s="52"/>
    </row>
    <row r="118" spans="1:12" s="5" customFormat="1" hidden="1" x14ac:dyDescent="0.25">
      <c r="B118" s="55" t="s">
        <v>60</v>
      </c>
      <c r="D118" s="44"/>
      <c r="E118" s="44"/>
      <c r="F118" s="44"/>
      <c r="G118" s="38"/>
      <c r="H118" s="38"/>
      <c r="I118" s="62"/>
      <c r="J118" s="6"/>
      <c r="K118" s="6"/>
      <c r="L118" s="6"/>
    </row>
    <row r="119" spans="1:12" s="5" customFormat="1" hidden="1" x14ac:dyDescent="0.25">
      <c r="B119" s="41" t="s">
        <v>147</v>
      </c>
      <c r="D119" s="44"/>
      <c r="E119" s="44"/>
      <c r="F119" s="44"/>
      <c r="G119" s="38"/>
      <c r="H119" s="38"/>
      <c r="I119" s="62"/>
      <c r="J119" s="6"/>
      <c r="K119" s="6"/>
      <c r="L119" s="6"/>
    </row>
    <row r="120" spans="1:12" s="5" customFormat="1" hidden="1" x14ac:dyDescent="0.25">
      <c r="B120" s="41" t="s">
        <v>146</v>
      </c>
      <c r="D120" s="44"/>
      <c r="E120" s="44"/>
      <c r="F120" s="44"/>
      <c r="G120" s="38"/>
      <c r="H120" s="38"/>
      <c r="I120" s="62"/>
      <c r="J120" s="6"/>
      <c r="K120" s="6"/>
      <c r="L120" s="6"/>
    </row>
    <row r="121" spans="1:12" s="5" customFormat="1" hidden="1" x14ac:dyDescent="0.25">
      <c r="B121" s="55" t="s">
        <v>123</v>
      </c>
      <c r="D121" s="44"/>
      <c r="E121" s="44"/>
      <c r="F121" s="44"/>
      <c r="G121" s="38"/>
      <c r="H121" s="38"/>
      <c r="I121" s="62"/>
      <c r="J121" s="6"/>
      <c r="K121" s="6"/>
      <c r="L121" s="6"/>
    </row>
    <row r="122" spans="1:12" s="5" customFormat="1" hidden="1" x14ac:dyDescent="0.25">
      <c r="B122" s="41" t="s">
        <v>147</v>
      </c>
      <c r="D122" s="44"/>
      <c r="E122" s="44">
        <f>'Rates and GI'!$D$31</f>
        <v>350</v>
      </c>
      <c r="F122" s="44">
        <f>'Rates and GI'!$D$31</f>
        <v>350</v>
      </c>
      <c r="G122" s="44">
        <f>'Rates and GI'!$D$31</f>
        <v>350</v>
      </c>
      <c r="H122" s="44">
        <f>'Rates and GI'!$D$31</f>
        <v>350</v>
      </c>
      <c r="I122" s="62"/>
      <c r="J122" s="6"/>
      <c r="K122" s="6"/>
      <c r="L122" s="6"/>
    </row>
    <row r="123" spans="1:12" s="5" customFormat="1" hidden="1" x14ac:dyDescent="0.25">
      <c r="B123" s="41" t="s">
        <v>146</v>
      </c>
      <c r="D123" s="44"/>
      <c r="E123" s="44">
        <v>0</v>
      </c>
      <c r="F123" s="44">
        <v>0</v>
      </c>
      <c r="G123" s="38"/>
      <c r="H123" s="38"/>
      <c r="I123" s="62"/>
      <c r="J123" s="6"/>
      <c r="K123" s="6"/>
      <c r="L123" s="6"/>
    </row>
    <row r="124" spans="1:12" s="5" customFormat="1" hidden="1" x14ac:dyDescent="0.25">
      <c r="B124" s="55" t="s">
        <v>8</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hidden="1" x14ac:dyDescent="0.25"/>
    <row r="128" spans="1:12" hidden="1" x14ac:dyDescent="0.25">
      <c r="A128" s="50"/>
      <c r="B128" s="50" t="s">
        <v>25</v>
      </c>
      <c r="C128" s="50"/>
      <c r="D128" s="52"/>
      <c r="E128" s="52">
        <f>E129+E132</f>
        <v>0</v>
      </c>
      <c r="F128" s="52">
        <f t="shared" ref="F128:H128" si="32">F129+F132</f>
        <v>0</v>
      </c>
      <c r="G128" s="52">
        <f t="shared" si="32"/>
        <v>0</v>
      </c>
      <c r="H128" s="52">
        <f t="shared" si="32"/>
        <v>0</v>
      </c>
    </row>
    <row r="129" spans="1:12" s="5" customFormat="1" hidden="1" x14ac:dyDescent="0.25">
      <c r="B129" s="5" t="s">
        <v>205</v>
      </c>
      <c r="D129" s="44"/>
      <c r="E129" s="44"/>
      <c r="F129" s="44">
        <v>0</v>
      </c>
      <c r="G129" s="38"/>
      <c r="H129" s="38"/>
      <c r="I129" s="62"/>
      <c r="J129" s="6"/>
      <c r="K129" s="6"/>
      <c r="L129" s="6"/>
    </row>
    <row r="130" spans="1:12" s="5" customFormat="1" hidden="1" x14ac:dyDescent="0.25">
      <c r="B130" s="41"/>
      <c r="D130" s="44"/>
      <c r="E130" s="44"/>
      <c r="F130" s="44"/>
      <c r="G130" s="38"/>
      <c r="H130" s="38"/>
      <c r="I130" s="62"/>
      <c r="J130" s="6"/>
      <c r="K130" s="6"/>
      <c r="L130" s="6"/>
    </row>
    <row r="131" spans="1:12" s="5" customFormat="1" hidden="1" x14ac:dyDescent="0.25">
      <c r="B131" s="41"/>
      <c r="D131" s="44"/>
      <c r="E131" s="44"/>
      <c r="F131" s="44"/>
      <c r="G131" s="38"/>
      <c r="H131" s="38"/>
      <c r="I131" s="62"/>
      <c r="J131" s="6"/>
      <c r="K131" s="6"/>
      <c r="L131" s="6"/>
    </row>
    <row r="132" spans="1:12" s="5" customFormat="1" hidden="1" x14ac:dyDescent="0.25">
      <c r="B132" s="5" t="s">
        <v>154</v>
      </c>
      <c r="D132" s="44"/>
      <c r="E132" s="44">
        <f>E133+E134*E135</f>
        <v>0</v>
      </c>
      <c r="F132" s="44">
        <f>F133+F134*F135</f>
        <v>0</v>
      </c>
      <c r="G132" s="44">
        <f t="shared" ref="G132:H132" si="33">G133+G134*G135</f>
        <v>0</v>
      </c>
      <c r="H132" s="44">
        <f t="shared" si="33"/>
        <v>0</v>
      </c>
      <c r="I132" s="73"/>
    </row>
    <row r="133" spans="1:12" hidden="1" x14ac:dyDescent="0.25">
      <c r="B133" s="41" t="s">
        <v>153</v>
      </c>
      <c r="F133" s="44">
        <f>'Rates and GI'!D46*0</f>
        <v>0</v>
      </c>
    </row>
    <row r="134" spans="1:12" hidden="1" x14ac:dyDescent="0.25">
      <c r="B134" s="41" t="s">
        <v>159</v>
      </c>
      <c r="E134" s="60">
        <f>'Rates and GI'!$D$48</f>
        <v>0.02</v>
      </c>
      <c r="F134" s="60">
        <f>'Rates and GI'!$D$48</f>
        <v>0.02</v>
      </c>
      <c r="G134" s="60">
        <f>'Rates and GI'!$D$48</f>
        <v>0.02</v>
      </c>
      <c r="H134" s="60">
        <f>'Rates and GI'!$D$48</f>
        <v>0.02</v>
      </c>
    </row>
    <row r="135" spans="1:12" hidden="1" x14ac:dyDescent="0.25">
      <c r="B135" s="41" t="s">
        <v>160</v>
      </c>
      <c r="E135" s="44">
        <v>0</v>
      </c>
      <c r="F135" s="44">
        <v>0</v>
      </c>
      <c r="G135" s="44">
        <v>0</v>
      </c>
      <c r="H135" s="44">
        <v>0</v>
      </c>
    </row>
    <row r="136" spans="1:12" s="5" customFormat="1" hidden="1" x14ac:dyDescent="0.25">
      <c r="B136" s="41"/>
      <c r="D136" s="44"/>
      <c r="E136" s="44"/>
      <c r="F136" s="44"/>
      <c r="G136" s="38"/>
      <c r="H136" s="38"/>
      <c r="I136" s="62"/>
      <c r="J136" s="6"/>
      <c r="K136" s="6"/>
      <c r="L136" s="6"/>
    </row>
    <row r="137" spans="1:12" x14ac:dyDescent="0.25">
      <c r="A137" s="50"/>
      <c r="B137" s="50" t="s">
        <v>21</v>
      </c>
      <c r="C137" s="50"/>
      <c r="D137" s="52"/>
      <c r="E137" s="52">
        <f>E138*E139+E140*E141++E142*E143+E144*E145</f>
        <v>3000</v>
      </c>
      <c r="F137" s="52">
        <f t="shared" ref="F137:H137" si="34">F138*F139+F140*F141++F142*F143+F144*F145</f>
        <v>0</v>
      </c>
      <c r="G137" s="52">
        <f t="shared" si="34"/>
        <v>0</v>
      </c>
      <c r="H137" s="52">
        <f t="shared" si="34"/>
        <v>0</v>
      </c>
    </row>
    <row r="138" spans="1:12" hidden="1" x14ac:dyDescent="0.25">
      <c r="B138" s="41" t="s">
        <v>150</v>
      </c>
      <c r="G138" s="44">
        <v>0</v>
      </c>
      <c r="H138" s="44"/>
    </row>
    <row r="139" spans="1:12" hidden="1" x14ac:dyDescent="0.25">
      <c r="B139" s="41" t="s">
        <v>151</v>
      </c>
      <c r="E139" s="44">
        <f>'Rates and GI'!$D$58</f>
        <v>5000</v>
      </c>
      <c r="F139" s="44">
        <f>'Rates and GI'!$D$58</f>
        <v>5000</v>
      </c>
      <c r="G139" s="44">
        <f>'Rates and GI'!$D$58</f>
        <v>5000</v>
      </c>
      <c r="H139" s="44">
        <f>'Rates and GI'!$D$58</f>
        <v>5000</v>
      </c>
    </row>
    <row r="140" spans="1:12" x14ac:dyDescent="0.25">
      <c r="B140" s="41" t="s">
        <v>148</v>
      </c>
      <c r="E140" s="44">
        <v>1</v>
      </c>
      <c r="F140" s="44">
        <v>0</v>
      </c>
      <c r="G140" s="44">
        <v>0</v>
      </c>
      <c r="H140" s="44">
        <v>0</v>
      </c>
    </row>
    <row r="141" spans="1:12" x14ac:dyDescent="0.25">
      <c r="B141" s="41" t="s">
        <v>149</v>
      </c>
      <c r="E141" s="44">
        <f>'Rates and GI'!$D$59</f>
        <v>1500</v>
      </c>
      <c r="F141" s="44">
        <f>'Rates and GI'!$D$59</f>
        <v>1500</v>
      </c>
      <c r="G141" s="44">
        <f>'Rates and GI'!$D$59</f>
        <v>1500</v>
      </c>
      <c r="H141" s="44">
        <f>'Rates and GI'!$D$59</f>
        <v>1500</v>
      </c>
    </row>
    <row r="142" spans="1:12" ht="27" x14ac:dyDescent="0.25">
      <c r="B142" s="63" t="s">
        <v>162</v>
      </c>
      <c r="E142" s="44">
        <v>6</v>
      </c>
      <c r="F142" s="44">
        <v>0</v>
      </c>
      <c r="G142" s="44">
        <v>0</v>
      </c>
      <c r="H142" s="44">
        <v>0</v>
      </c>
    </row>
    <row r="143" spans="1:12" ht="27" x14ac:dyDescent="0.25">
      <c r="B143" s="63" t="s">
        <v>161</v>
      </c>
      <c r="E143" s="44">
        <f>'Rates and GI'!$D$60</f>
        <v>200</v>
      </c>
      <c r="F143" s="44">
        <f>'Rates and GI'!$D$60</f>
        <v>200</v>
      </c>
      <c r="G143" s="44">
        <f>'Rates and GI'!$D$60</f>
        <v>200</v>
      </c>
      <c r="H143" s="44">
        <f>'Rates and GI'!$D$60</f>
        <v>200</v>
      </c>
    </row>
    <row r="144" spans="1:12" s="5" customFormat="1" x14ac:dyDescent="0.25">
      <c r="B144" s="41" t="s">
        <v>217</v>
      </c>
      <c r="D144" s="44"/>
      <c r="E144" s="44">
        <v>6</v>
      </c>
      <c r="F144" s="44">
        <v>0</v>
      </c>
      <c r="G144" s="44">
        <v>0</v>
      </c>
      <c r="H144" s="44">
        <v>0</v>
      </c>
      <c r="I144" s="62"/>
      <c r="J144" s="6"/>
      <c r="K144" s="6"/>
      <c r="L144" s="6"/>
    </row>
    <row r="145" spans="1:12" s="5" customFormat="1" x14ac:dyDescent="0.25">
      <c r="A145" s="228"/>
      <c r="B145" s="231" t="s">
        <v>214</v>
      </c>
      <c r="C145" s="228"/>
      <c r="D145" s="230"/>
      <c r="E145" s="230">
        <f>'Rates and GI'!$D$61</f>
        <v>50</v>
      </c>
      <c r="F145" s="230">
        <f>'Rates and GI'!$D$61</f>
        <v>50</v>
      </c>
      <c r="G145" s="230">
        <f>'Rates and GI'!$D$61</f>
        <v>50</v>
      </c>
      <c r="H145" s="230">
        <f>'Rates and GI'!$D$61</f>
        <v>50</v>
      </c>
      <c r="I145" s="62"/>
      <c r="J145" s="6"/>
      <c r="K145" s="6"/>
      <c r="L145" s="6"/>
    </row>
    <row r="146" spans="1:12" hidden="1" x14ac:dyDescent="0.25">
      <c r="A146" s="50"/>
      <c r="B146" s="50"/>
      <c r="C146" s="50"/>
      <c r="D146" s="52"/>
      <c r="E146" s="52"/>
      <c r="F146" s="52"/>
      <c r="G146" s="52"/>
      <c r="H146" s="52"/>
    </row>
    <row r="147" spans="1:12" hidden="1" x14ac:dyDescent="0.25">
      <c r="A147" s="50"/>
      <c r="B147" s="50" t="s">
        <v>194</v>
      </c>
      <c r="C147" s="50"/>
      <c r="D147" s="52"/>
      <c r="E147" s="52">
        <f>E148+E151+E154+E163+E168</f>
        <v>0</v>
      </c>
      <c r="F147" s="52">
        <f t="shared" ref="F147:H147" si="35">F148+F151+F154+F163+F168</f>
        <v>0</v>
      </c>
      <c r="G147" s="52">
        <f t="shared" si="35"/>
        <v>0</v>
      </c>
      <c r="H147" s="52">
        <f t="shared" si="35"/>
        <v>0</v>
      </c>
    </row>
    <row r="148" spans="1:12" s="5" customFormat="1" hidden="1" x14ac:dyDescent="0.25">
      <c r="B148" s="5" t="s">
        <v>173</v>
      </c>
      <c r="D148" s="44"/>
      <c r="E148" s="44">
        <f>E149+E152*E153</f>
        <v>0</v>
      </c>
      <c r="F148" s="44">
        <f>F149+F152*F153</f>
        <v>0</v>
      </c>
      <c r="G148" s="44">
        <f>G149+G152*G153</f>
        <v>0</v>
      </c>
      <c r="H148" s="44">
        <f t="shared" ref="H148" si="36">H149+H152*H153</f>
        <v>0</v>
      </c>
      <c r="I148" s="73"/>
    </row>
    <row r="149" spans="1:12" hidden="1" x14ac:dyDescent="0.25">
      <c r="B149" s="41" t="s">
        <v>184</v>
      </c>
      <c r="F149" s="44">
        <f>('Rates and GI'!$D$45+'Rates and GI'!$D$49)*0</f>
        <v>0</v>
      </c>
      <c r="G149" s="44">
        <f>('Rates and GI'!$D$45+'Rates and GI'!$D$49)*0</f>
        <v>0</v>
      </c>
      <c r="H149" s="44"/>
    </row>
    <row r="150" spans="1:12" hidden="1" x14ac:dyDescent="0.25">
      <c r="B150" s="41" t="s">
        <v>187</v>
      </c>
      <c r="F150" s="44">
        <f>'Rates and GI'!$D$51*0</f>
        <v>0</v>
      </c>
      <c r="G150" s="44">
        <f>'Rates and GI'!$D$51*0</f>
        <v>0</v>
      </c>
      <c r="H150" s="44"/>
    </row>
    <row r="151" spans="1:12" hidden="1" x14ac:dyDescent="0.25">
      <c r="B151" s="5" t="s">
        <v>174</v>
      </c>
      <c r="E151" s="44">
        <f>E152*E153</f>
        <v>0</v>
      </c>
      <c r="F151" s="44">
        <f t="shared" ref="F151:H151" si="37">F152*F153</f>
        <v>0</v>
      </c>
      <c r="G151" s="44">
        <f t="shared" si="37"/>
        <v>0</v>
      </c>
      <c r="H151" s="44">
        <f t="shared" si="37"/>
        <v>0</v>
      </c>
    </row>
    <row r="152" spans="1:12" hidden="1" x14ac:dyDescent="0.25">
      <c r="B152" s="41" t="s">
        <v>164</v>
      </c>
      <c r="F152" s="44">
        <f>'Rates and GI'!$D$54</f>
        <v>24.066499999999998</v>
      </c>
      <c r="G152" s="44">
        <f>'Rates and GI'!$D$54</f>
        <v>24.066499999999998</v>
      </c>
      <c r="H152" s="44">
        <f>'Rates and GI'!$D$54</f>
        <v>24.066499999999998</v>
      </c>
    </row>
    <row r="153" spans="1:12" hidden="1" x14ac:dyDescent="0.25">
      <c r="B153" s="41" t="s">
        <v>163</v>
      </c>
      <c r="F153" s="44">
        <v>0</v>
      </c>
      <c r="G153" s="38">
        <v>0</v>
      </c>
      <c r="H153" s="38">
        <v>0</v>
      </c>
    </row>
    <row r="154" spans="1:12" hidden="1" x14ac:dyDescent="0.25">
      <c r="B154" s="5" t="s">
        <v>175</v>
      </c>
      <c r="E154" s="44">
        <f>E155+E159</f>
        <v>0</v>
      </c>
      <c r="F154" s="44">
        <f t="shared" ref="F154:H154" si="38">F155+F159</f>
        <v>0</v>
      </c>
      <c r="G154" s="44">
        <f t="shared" si="38"/>
        <v>0</v>
      </c>
      <c r="H154" s="44">
        <f t="shared" si="38"/>
        <v>0</v>
      </c>
    </row>
    <row r="155" spans="1:12" hidden="1" x14ac:dyDescent="0.25">
      <c r="B155" s="41" t="s">
        <v>189</v>
      </c>
      <c r="E155" s="44">
        <f>E156*E157</f>
        <v>0</v>
      </c>
      <c r="F155" s="44">
        <f t="shared" ref="F155:H155" si="39">F156*F157</f>
        <v>0</v>
      </c>
      <c r="G155" s="44">
        <f t="shared" si="39"/>
        <v>0</v>
      </c>
      <c r="H155" s="44">
        <f t="shared" si="39"/>
        <v>0</v>
      </c>
    </row>
    <row r="156" spans="1:12" hidden="1" x14ac:dyDescent="0.25">
      <c r="B156" s="41" t="s">
        <v>176</v>
      </c>
      <c r="C156" s="5" t="s">
        <v>177</v>
      </c>
      <c r="E156" s="44">
        <v>0</v>
      </c>
      <c r="F156" s="44">
        <v>0</v>
      </c>
      <c r="G156" s="38">
        <v>0</v>
      </c>
      <c r="H156" s="38">
        <v>0</v>
      </c>
    </row>
    <row r="157" spans="1:12" hidden="1" x14ac:dyDescent="0.25">
      <c r="B157" s="41" t="s">
        <v>178</v>
      </c>
      <c r="E157" s="44">
        <f>'Rates and GI'!$D$52</f>
        <v>150</v>
      </c>
      <c r="F157" s="44">
        <f>'Rates and GI'!$D$52</f>
        <v>150</v>
      </c>
      <c r="G157" s="44">
        <f>'Rates and GI'!$D$52</f>
        <v>150</v>
      </c>
      <c r="H157" s="44">
        <f>'Rates and GI'!$D$52</f>
        <v>150</v>
      </c>
    </row>
    <row r="158" spans="1:12" hidden="1" x14ac:dyDescent="0.25">
      <c r="B158" s="6"/>
    </row>
    <row r="159" spans="1:12" hidden="1" x14ac:dyDescent="0.25">
      <c r="B159" s="41" t="s">
        <v>190</v>
      </c>
      <c r="E159" s="44">
        <f>E160*E161</f>
        <v>0</v>
      </c>
      <c r="F159" s="44">
        <f t="shared" ref="F159:H159" si="40">F160*F161</f>
        <v>0</v>
      </c>
      <c r="G159" s="44">
        <f t="shared" si="40"/>
        <v>0</v>
      </c>
      <c r="H159" s="44">
        <f t="shared" si="40"/>
        <v>0</v>
      </c>
    </row>
    <row r="160" spans="1:12" hidden="1" x14ac:dyDescent="0.25">
      <c r="B160" s="41" t="s">
        <v>176</v>
      </c>
      <c r="C160" s="5" t="s">
        <v>177</v>
      </c>
      <c r="E160" s="44">
        <v>0</v>
      </c>
      <c r="F160" s="44">
        <v>0</v>
      </c>
      <c r="G160" s="38">
        <v>0</v>
      </c>
      <c r="H160" s="38">
        <v>0</v>
      </c>
    </row>
    <row r="161" spans="1:8" hidden="1" x14ac:dyDescent="0.25">
      <c r="B161" s="41" t="s">
        <v>178</v>
      </c>
      <c r="E161" s="44">
        <f>'Rates and GI'!$D$53</f>
        <v>20</v>
      </c>
      <c r="F161" s="44">
        <f>'Rates and GI'!$D$53</f>
        <v>20</v>
      </c>
      <c r="G161" s="44">
        <f>'Rates and GI'!$D$53</f>
        <v>20</v>
      </c>
      <c r="H161" s="44">
        <f>'Rates and GI'!$D$53</f>
        <v>20</v>
      </c>
    </row>
    <row r="162" spans="1:8" hidden="1" x14ac:dyDescent="0.25">
      <c r="B162" s="6"/>
    </row>
    <row r="163" spans="1:8" hidden="1" x14ac:dyDescent="0.25">
      <c r="B163" s="5" t="s">
        <v>179</v>
      </c>
      <c r="E163" s="44">
        <f>E164*E165*E166</f>
        <v>0</v>
      </c>
      <c r="F163" s="44">
        <f t="shared" ref="F163:H163" si="41">F164*F165*F166</f>
        <v>0</v>
      </c>
      <c r="G163" s="44">
        <f t="shared" si="41"/>
        <v>0</v>
      </c>
      <c r="H163" s="44">
        <f t="shared" si="41"/>
        <v>0</v>
      </c>
    </row>
    <row r="164" spans="1:8" hidden="1" x14ac:dyDescent="0.25">
      <c r="B164" s="41" t="s">
        <v>191</v>
      </c>
      <c r="F164" s="44">
        <f>'Rates and GI'!$D$55</f>
        <v>300</v>
      </c>
      <c r="G164" s="44">
        <f>'Rates and GI'!$D$55</f>
        <v>300</v>
      </c>
      <c r="H164" s="44">
        <f>'Rates and GI'!$D$55</f>
        <v>300</v>
      </c>
    </row>
    <row r="165" spans="1:8" hidden="1" x14ac:dyDescent="0.25">
      <c r="B165" s="41" t="s">
        <v>192</v>
      </c>
      <c r="F165" s="44">
        <v>3</v>
      </c>
      <c r="G165" s="44">
        <v>3</v>
      </c>
      <c r="H165" s="44">
        <v>3</v>
      </c>
    </row>
    <row r="166" spans="1:8" hidden="1" x14ac:dyDescent="0.25">
      <c r="B166" s="41" t="s">
        <v>193</v>
      </c>
      <c r="F166" s="44">
        <v>0</v>
      </c>
      <c r="G166" s="44">
        <v>0</v>
      </c>
      <c r="H166" s="44">
        <v>0</v>
      </c>
    </row>
    <row r="167" spans="1:8" hidden="1" x14ac:dyDescent="0.25"/>
    <row r="168" spans="1:8" hidden="1" x14ac:dyDescent="0.25">
      <c r="B168" s="5" t="s">
        <v>172</v>
      </c>
      <c r="E168" s="44">
        <f>E169+E170*E171</f>
        <v>0</v>
      </c>
      <c r="F168" s="44">
        <f>F169+F170*F171</f>
        <v>0</v>
      </c>
      <c r="G168" s="44">
        <f>G169+G170*G171</f>
        <v>0</v>
      </c>
      <c r="H168" s="44">
        <f>H169+H170*H171</f>
        <v>0</v>
      </c>
    </row>
    <row r="169" spans="1:8" hidden="1" x14ac:dyDescent="0.25">
      <c r="B169" s="41" t="s">
        <v>153</v>
      </c>
      <c r="F169" s="44">
        <f>'Rates and GI'!D46*0</f>
        <v>0</v>
      </c>
    </row>
    <row r="170" spans="1:8" hidden="1" x14ac:dyDescent="0.25">
      <c r="B170" s="41" t="s">
        <v>159</v>
      </c>
      <c r="F170" s="65">
        <f>'Rates and GI'!$D$47</f>
        <v>0.05</v>
      </c>
      <c r="G170" s="65">
        <f>'Rates and GI'!$D$47</f>
        <v>0.05</v>
      </c>
      <c r="H170" s="65">
        <f>'Rates and GI'!$D$47</f>
        <v>0.05</v>
      </c>
    </row>
    <row r="171" spans="1:8" hidden="1" x14ac:dyDescent="0.25">
      <c r="B171" s="41" t="s">
        <v>160</v>
      </c>
      <c r="F171" s="44">
        <v>0</v>
      </c>
      <c r="G171" s="38">
        <v>0</v>
      </c>
    </row>
    <row r="172" spans="1:8" hidden="1" x14ac:dyDescent="0.25"/>
    <row r="173" spans="1:8" hidden="1" x14ac:dyDescent="0.25"/>
    <row r="174" spans="1:8" hidden="1" x14ac:dyDescent="0.25">
      <c r="A174" s="50"/>
      <c r="B174" s="50" t="s">
        <v>19</v>
      </c>
      <c r="C174" s="50"/>
      <c r="D174" s="52"/>
      <c r="E174" s="52">
        <v>0</v>
      </c>
      <c r="F174" s="52">
        <v>0</v>
      </c>
      <c r="G174" s="52">
        <v>0</v>
      </c>
      <c r="H174" s="52">
        <v>0</v>
      </c>
    </row>
  </sheetData>
  <pageMargins left="0.7" right="0.7" top="0.75" bottom="0.75" header="0.3" footer="0.3"/>
  <pageSetup paperSize="9" scale="56" fitToHeight="0"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5"/>
  <sheetViews>
    <sheetView topLeftCell="A41" workbookViewId="0">
      <selection activeCell="B178" sqref="B17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10</v>
      </c>
      <c r="B1" s="126" t="s">
        <v>239</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E63</f>
        <v>2227.0500000000002</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2227.0500000000002</v>
      </c>
      <c r="E7" s="47">
        <f>SUBTOTAL(9,E5:E6)</f>
        <v>2227.0500000000002</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E107</f>
        <v>0</v>
      </c>
      <c r="F25" s="44">
        <f t="shared" ref="F25:H25" si="13">F107</f>
        <v>0</v>
      </c>
      <c r="G25" s="44">
        <f t="shared" si="13"/>
        <v>0</v>
      </c>
      <c r="H25" s="44">
        <f t="shared" si="13"/>
        <v>0</v>
      </c>
    </row>
    <row r="26" spans="1:12" x14ac:dyDescent="0.25">
      <c r="B26" s="16" t="s">
        <v>25</v>
      </c>
      <c r="D26" s="44">
        <f t="shared" ref="D26" si="14">SUM(E26:H26)</f>
        <v>0</v>
      </c>
      <c r="E26" s="44">
        <f>E128</f>
        <v>0</v>
      </c>
      <c r="F26" s="44">
        <f t="shared" ref="F26:H26" si="15">F128</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E117</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E174</f>
        <v>0</v>
      </c>
      <c r="F40" s="44">
        <f t="shared" ref="F40:H40" si="20">F174</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E147</f>
        <v>0</v>
      </c>
      <c r="F46" s="44">
        <f t="shared" ref="F46:H46" si="23">F147</f>
        <v>0</v>
      </c>
      <c r="G46" s="44">
        <f t="shared" si="23"/>
        <v>0</v>
      </c>
      <c r="H46" s="44">
        <f t="shared" si="23"/>
        <v>0</v>
      </c>
    </row>
    <row r="47" spans="1:12" x14ac:dyDescent="0.25">
      <c r="A47" s="3"/>
      <c r="B47" s="3" t="s">
        <v>21</v>
      </c>
      <c r="C47" s="3"/>
      <c r="D47" s="44">
        <f t="shared" si="22"/>
        <v>100</v>
      </c>
      <c r="E47" s="44">
        <f>E137</f>
        <v>100</v>
      </c>
      <c r="F47" s="44">
        <f t="shared" ref="F47:H47" si="24">F137</f>
        <v>0</v>
      </c>
      <c r="G47" s="44">
        <f t="shared" si="24"/>
        <v>0</v>
      </c>
      <c r="H47" s="44">
        <f t="shared" si="24"/>
        <v>0</v>
      </c>
    </row>
    <row r="48" spans="1:12" ht="14.25" thickBot="1" x14ac:dyDescent="0.3">
      <c r="A48" s="13"/>
      <c r="B48" s="13" t="s">
        <v>69</v>
      </c>
      <c r="C48" s="13"/>
      <c r="D48" s="47">
        <f>SUBTOTAL(9,D46:D47)</f>
        <v>100</v>
      </c>
      <c r="E48" s="47">
        <f>SUBTOTAL(9,E46:E47)</f>
        <v>100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2327.0500000000002</v>
      </c>
      <c r="E50" s="49">
        <f>SUBTOTAL(9,E5:E48)</f>
        <v>2327.0500000000002</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2227.0500000000002</v>
      </c>
      <c r="F63" s="44">
        <f t="shared" ref="F63:H63" si="25">F64*F65</f>
        <v>0</v>
      </c>
      <c r="G63" s="44">
        <f t="shared" si="25"/>
        <v>0</v>
      </c>
      <c r="H63" s="44">
        <f t="shared" si="25"/>
        <v>0</v>
      </c>
    </row>
    <row r="64" spans="1:9" x14ac:dyDescent="0.25">
      <c r="A64" s="9"/>
      <c r="B64" s="9" t="s">
        <v>114</v>
      </c>
      <c r="C64" s="9" t="s">
        <v>113</v>
      </c>
      <c r="E64" s="44">
        <f>3*2*21</f>
        <v>126</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hidden="1" x14ac:dyDescent="0.25">
      <c r="A99" s="50"/>
      <c r="B99" s="50" t="s">
        <v>130</v>
      </c>
      <c r="C99" s="50"/>
      <c r="D99" s="52"/>
      <c r="E99" s="52">
        <f>E100*E101+E102*E103+E104*E105</f>
        <v>0</v>
      </c>
      <c r="F99" s="52">
        <f t="shared" ref="F99:H99" si="29">F100*F101+F102*F103+F104*F105</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f>E104*E105</f>
        <v>0</v>
      </c>
      <c r="F103" s="44">
        <v>0</v>
      </c>
      <c r="G103" s="44">
        <v>0</v>
      </c>
      <c r="H103" s="44">
        <v>0</v>
      </c>
    </row>
    <row r="104" spans="1:12" hidden="1" x14ac:dyDescent="0.25">
      <c r="B104" s="39" t="s">
        <v>203</v>
      </c>
      <c r="C104" s="5" t="s">
        <v>137</v>
      </c>
      <c r="G104" s="44"/>
      <c r="H104" s="44"/>
    </row>
    <row r="105" spans="1:12" hidden="1" x14ac:dyDescent="0.25">
      <c r="B105" s="39" t="s">
        <v>133</v>
      </c>
      <c r="E105" s="44">
        <v>0</v>
      </c>
      <c r="F105" s="44">
        <v>0</v>
      </c>
      <c r="G105" s="44">
        <v>0</v>
      </c>
      <c r="H105" s="44">
        <v>0</v>
      </c>
    </row>
    <row r="106" spans="1:12" hidden="1" x14ac:dyDescent="0.25">
      <c r="B106" s="39"/>
    </row>
    <row r="107" spans="1:12" hidden="1" x14ac:dyDescent="0.25">
      <c r="A107" s="50"/>
      <c r="B107" s="50" t="s">
        <v>24</v>
      </c>
      <c r="C107" s="50"/>
      <c r="D107" s="52"/>
      <c r="E107" s="52">
        <f>E108*E109</f>
        <v>0</v>
      </c>
      <c r="F107" s="52">
        <f t="shared" ref="F107:H107" si="31">F108*F109</f>
        <v>0</v>
      </c>
      <c r="G107" s="52">
        <f t="shared" si="31"/>
        <v>0</v>
      </c>
      <c r="H107" s="52">
        <f t="shared" si="31"/>
        <v>0</v>
      </c>
    </row>
    <row r="108" spans="1:12" s="7" customFormat="1" hidden="1" x14ac:dyDescent="0.25">
      <c r="A108" s="5"/>
      <c r="B108" s="39" t="s">
        <v>53</v>
      </c>
      <c r="C108" s="5"/>
      <c r="D108" s="44"/>
      <c r="E108" s="44">
        <v>0</v>
      </c>
      <c r="F108" s="44">
        <v>0</v>
      </c>
      <c r="G108" s="44"/>
      <c r="H108" s="44"/>
      <c r="I108" s="62"/>
      <c r="J108" s="6"/>
      <c r="K108" s="6"/>
      <c r="L108" s="6"/>
    </row>
    <row r="109" spans="1:12" s="7" customFormat="1" hidden="1" x14ac:dyDescent="0.25">
      <c r="A109" s="5"/>
      <c r="B109" s="39" t="s">
        <v>54</v>
      </c>
      <c r="C109" s="5"/>
      <c r="D109" s="44"/>
      <c r="E109" s="44">
        <f>'Rates and GI'!D25</f>
        <v>6</v>
      </c>
      <c r="F109" s="44">
        <f>E109*(1+index)</f>
        <v>6.2579999999999991</v>
      </c>
      <c r="G109" s="44">
        <f>F109*(1+index)</f>
        <v>6.5270939999999991</v>
      </c>
      <c r="H109" s="44">
        <f>G109*(1+index)</f>
        <v>6.8077590419999989</v>
      </c>
      <c r="I109" s="62"/>
      <c r="J109" s="6"/>
      <c r="K109" s="6"/>
      <c r="L109" s="6"/>
    </row>
    <row r="110" spans="1:12" hidden="1" x14ac:dyDescent="0.25"/>
    <row r="111" spans="1:12" hidden="1" x14ac:dyDescent="0.25">
      <c r="A111" s="50"/>
      <c r="B111" s="50" t="s">
        <v>7</v>
      </c>
      <c r="C111" s="50"/>
      <c r="D111" s="52"/>
      <c r="E111" s="52"/>
      <c r="F111" s="52"/>
      <c r="G111" s="52"/>
      <c r="H111" s="52"/>
    </row>
    <row r="112" spans="1:12" s="7" customFormat="1" hidden="1" x14ac:dyDescent="0.25">
      <c r="A112" s="5"/>
      <c r="B112" s="4" t="s">
        <v>57</v>
      </c>
      <c r="C112" s="5"/>
      <c r="D112" s="44"/>
      <c r="E112" s="44"/>
      <c r="F112" s="44"/>
      <c r="G112" s="38"/>
      <c r="H112" s="38"/>
      <c r="I112" s="62"/>
      <c r="J112" s="6"/>
      <c r="K112" s="6"/>
      <c r="L112" s="6"/>
    </row>
    <row r="113" spans="1:12" s="43" customFormat="1" hidden="1" x14ac:dyDescent="0.25">
      <c r="A113" s="40"/>
      <c r="B113" s="41" t="s">
        <v>58</v>
      </c>
      <c r="C113" s="40" t="s">
        <v>55</v>
      </c>
      <c r="D113" s="71"/>
      <c r="E113" s="71"/>
      <c r="F113" s="71"/>
      <c r="G113" s="72"/>
      <c r="H113" s="72"/>
      <c r="I113" s="75"/>
      <c r="J113" s="42"/>
      <c r="K113" s="42"/>
      <c r="L113" s="42"/>
    </row>
    <row r="114" spans="1:12" s="40" customFormat="1" hidden="1" x14ac:dyDescent="0.25">
      <c r="B114" s="41" t="s">
        <v>56</v>
      </c>
      <c r="D114" s="71"/>
      <c r="E114" s="71"/>
      <c r="F114" s="71"/>
      <c r="G114" s="72"/>
      <c r="H114" s="72"/>
      <c r="I114" s="75"/>
      <c r="J114" s="42"/>
      <c r="K114" s="42"/>
      <c r="L114" s="42"/>
    </row>
    <row r="115" spans="1:12" s="40" customFormat="1" hidden="1" x14ac:dyDescent="0.25">
      <c r="B115" s="41" t="s">
        <v>59</v>
      </c>
      <c r="D115" s="71"/>
      <c r="E115" s="71"/>
      <c r="F115" s="71"/>
      <c r="G115" s="72"/>
      <c r="H115" s="72"/>
      <c r="I115" s="75"/>
      <c r="J115" s="42"/>
      <c r="K115" s="42"/>
      <c r="L115" s="42"/>
    </row>
    <row r="116" spans="1:12" hidden="1" x14ac:dyDescent="0.25"/>
    <row r="117" spans="1:12" hidden="1" x14ac:dyDescent="0.25">
      <c r="A117" s="50"/>
      <c r="B117" s="50" t="s">
        <v>26</v>
      </c>
      <c r="C117" s="50"/>
      <c r="D117" s="52"/>
      <c r="E117" s="52">
        <f>E122*E123</f>
        <v>0</v>
      </c>
      <c r="F117" s="52">
        <f>F122*F123</f>
        <v>0</v>
      </c>
      <c r="G117" s="52"/>
      <c r="H117" s="52"/>
    </row>
    <row r="118" spans="1:12" s="5" customFormat="1" hidden="1" x14ac:dyDescent="0.25">
      <c r="B118" s="55" t="s">
        <v>60</v>
      </c>
      <c r="D118" s="44"/>
      <c r="E118" s="44"/>
      <c r="F118" s="44"/>
      <c r="G118" s="38"/>
      <c r="H118" s="38"/>
      <c r="I118" s="62"/>
      <c r="J118" s="6"/>
      <c r="K118" s="6"/>
      <c r="L118" s="6"/>
    </row>
    <row r="119" spans="1:12" s="5" customFormat="1" hidden="1" x14ac:dyDescent="0.25">
      <c r="B119" s="41" t="s">
        <v>147</v>
      </c>
      <c r="D119" s="44"/>
      <c r="E119" s="44"/>
      <c r="F119" s="44"/>
      <c r="G119" s="38"/>
      <c r="H119" s="38"/>
      <c r="I119" s="62"/>
      <c r="J119" s="6"/>
      <c r="K119" s="6"/>
      <c r="L119" s="6"/>
    </row>
    <row r="120" spans="1:12" s="5" customFormat="1" hidden="1" x14ac:dyDescent="0.25">
      <c r="B120" s="41" t="s">
        <v>146</v>
      </c>
      <c r="D120" s="44"/>
      <c r="E120" s="44"/>
      <c r="F120" s="44"/>
      <c r="G120" s="38"/>
      <c r="H120" s="38"/>
      <c r="I120" s="62"/>
      <c r="J120" s="6"/>
      <c r="K120" s="6"/>
      <c r="L120" s="6"/>
    </row>
    <row r="121" spans="1:12" s="5" customFormat="1" hidden="1" x14ac:dyDescent="0.25">
      <c r="B121" s="55" t="s">
        <v>123</v>
      </c>
      <c r="D121" s="44"/>
      <c r="E121" s="44"/>
      <c r="F121" s="44"/>
      <c r="G121" s="38"/>
      <c r="H121" s="38"/>
      <c r="I121" s="62"/>
      <c r="J121" s="6"/>
      <c r="K121" s="6"/>
      <c r="L121" s="6"/>
    </row>
    <row r="122" spans="1:12" s="5" customFormat="1" hidden="1" x14ac:dyDescent="0.25">
      <c r="B122" s="41" t="s">
        <v>147</v>
      </c>
      <c r="D122" s="44"/>
      <c r="E122" s="44">
        <f>'Rates and GI'!$D$31</f>
        <v>350</v>
      </c>
      <c r="F122" s="44">
        <f>'Rates and GI'!$D$31</f>
        <v>350</v>
      </c>
      <c r="G122" s="44">
        <f>'Rates and GI'!$D$31</f>
        <v>350</v>
      </c>
      <c r="H122" s="44">
        <f>'Rates and GI'!$D$31</f>
        <v>350</v>
      </c>
      <c r="I122" s="62"/>
      <c r="J122" s="6"/>
      <c r="K122" s="6"/>
      <c r="L122" s="6"/>
    </row>
    <row r="123" spans="1:12" s="5" customFormat="1" hidden="1" x14ac:dyDescent="0.25">
      <c r="B123" s="41" t="s">
        <v>146</v>
      </c>
      <c r="D123" s="44"/>
      <c r="E123" s="44">
        <v>0</v>
      </c>
      <c r="F123" s="44">
        <v>0</v>
      </c>
      <c r="G123" s="38"/>
      <c r="H123" s="38"/>
      <c r="I123" s="62"/>
      <c r="J123" s="6"/>
      <c r="K123" s="6"/>
      <c r="L123" s="6"/>
    </row>
    <row r="124" spans="1:12" s="5" customFormat="1" hidden="1" x14ac:dyDescent="0.25">
      <c r="B124" s="55" t="s">
        <v>8</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hidden="1" x14ac:dyDescent="0.25"/>
    <row r="128" spans="1:12" hidden="1" x14ac:dyDescent="0.25">
      <c r="A128" s="50"/>
      <c r="B128" s="50" t="s">
        <v>25</v>
      </c>
      <c r="C128" s="50"/>
      <c r="D128" s="52"/>
      <c r="E128" s="52">
        <f>E129+E132</f>
        <v>0</v>
      </c>
      <c r="F128" s="52">
        <f t="shared" ref="F128:H128" si="32">F129+F132</f>
        <v>0</v>
      </c>
      <c r="G128" s="52">
        <f t="shared" si="32"/>
        <v>0</v>
      </c>
      <c r="H128" s="52">
        <f t="shared" si="32"/>
        <v>0</v>
      </c>
    </row>
    <row r="129" spans="1:12" s="5" customFormat="1" hidden="1" x14ac:dyDescent="0.25">
      <c r="B129" s="5" t="s">
        <v>205</v>
      </c>
      <c r="D129" s="44"/>
      <c r="E129" s="44"/>
      <c r="F129" s="44">
        <v>0</v>
      </c>
      <c r="G129" s="38"/>
      <c r="H129" s="38"/>
      <c r="I129" s="62"/>
      <c r="J129" s="6"/>
      <c r="K129" s="6"/>
      <c r="L129" s="6"/>
    </row>
    <row r="130" spans="1:12" s="5" customFormat="1" hidden="1" x14ac:dyDescent="0.25">
      <c r="B130" s="41"/>
      <c r="D130" s="44"/>
      <c r="E130" s="44"/>
      <c r="F130" s="44"/>
      <c r="G130" s="38"/>
      <c r="H130" s="38"/>
      <c r="I130" s="62"/>
      <c r="J130" s="6"/>
      <c r="K130" s="6"/>
      <c r="L130" s="6"/>
    </row>
    <row r="131" spans="1:12" s="5" customFormat="1" hidden="1" x14ac:dyDescent="0.25">
      <c r="B131" s="41"/>
      <c r="D131" s="44"/>
      <c r="E131" s="44"/>
      <c r="F131" s="44"/>
      <c r="G131" s="38"/>
      <c r="H131" s="38"/>
      <c r="I131" s="62"/>
      <c r="J131" s="6"/>
      <c r="K131" s="6"/>
      <c r="L131" s="6"/>
    </row>
    <row r="132" spans="1:12" s="5" customFormat="1" hidden="1" x14ac:dyDescent="0.25">
      <c r="B132" s="5" t="s">
        <v>154</v>
      </c>
      <c r="D132" s="44"/>
      <c r="E132" s="44">
        <f>E133+E134*E135</f>
        <v>0</v>
      </c>
      <c r="F132" s="44">
        <f>F133+F134*F135</f>
        <v>0</v>
      </c>
      <c r="G132" s="44">
        <f t="shared" ref="G132:H132" si="33">G133+G134*G135</f>
        <v>0</v>
      </c>
      <c r="H132" s="44">
        <f t="shared" si="33"/>
        <v>0</v>
      </c>
      <c r="I132" s="73"/>
    </row>
    <row r="133" spans="1:12" hidden="1" x14ac:dyDescent="0.25">
      <c r="B133" s="41" t="s">
        <v>153</v>
      </c>
      <c r="F133" s="44">
        <f>'Rates and GI'!D46*0</f>
        <v>0</v>
      </c>
    </row>
    <row r="134" spans="1:12" hidden="1" x14ac:dyDescent="0.25">
      <c r="B134" s="41" t="s">
        <v>159</v>
      </c>
      <c r="E134" s="60">
        <f>'Rates and GI'!$D$48</f>
        <v>0.02</v>
      </c>
      <c r="F134" s="60">
        <f>'Rates and GI'!$D$48</f>
        <v>0.02</v>
      </c>
      <c r="G134" s="60">
        <f>'Rates and GI'!$D$48</f>
        <v>0.02</v>
      </c>
      <c r="H134" s="60">
        <f>'Rates and GI'!$D$48</f>
        <v>0.02</v>
      </c>
    </row>
    <row r="135" spans="1:12" hidden="1" x14ac:dyDescent="0.25">
      <c r="B135" s="41" t="s">
        <v>160</v>
      </c>
      <c r="E135" s="44">
        <v>0</v>
      </c>
      <c r="F135" s="44">
        <v>0</v>
      </c>
      <c r="G135" s="44">
        <v>0</v>
      </c>
      <c r="H135" s="44">
        <v>0</v>
      </c>
    </row>
    <row r="136" spans="1:12" s="5" customFormat="1" hidden="1" x14ac:dyDescent="0.25">
      <c r="B136" s="41"/>
      <c r="D136" s="44"/>
      <c r="E136" s="44"/>
      <c r="F136" s="44"/>
      <c r="G136" s="38"/>
      <c r="H136" s="38"/>
      <c r="I136" s="62"/>
      <c r="J136" s="6"/>
      <c r="K136" s="6"/>
      <c r="L136" s="6"/>
    </row>
    <row r="137" spans="1:12" x14ac:dyDescent="0.25">
      <c r="A137" s="50"/>
      <c r="B137" s="50" t="s">
        <v>21</v>
      </c>
      <c r="C137" s="50"/>
      <c r="D137" s="52"/>
      <c r="E137" s="52">
        <f>E138*E139+E140*E141++E142*E143+E144*E145</f>
        <v>100</v>
      </c>
      <c r="F137" s="52">
        <f t="shared" ref="F137:H137" si="34">F138*F139+F140*F141++F142*F143+F144*F145</f>
        <v>0</v>
      </c>
      <c r="G137" s="52">
        <f t="shared" si="34"/>
        <v>0</v>
      </c>
      <c r="H137" s="52">
        <f t="shared" si="34"/>
        <v>0</v>
      </c>
    </row>
    <row r="138" spans="1:12" hidden="1" x14ac:dyDescent="0.25">
      <c r="B138" s="41" t="s">
        <v>150</v>
      </c>
      <c r="G138" s="44">
        <v>0</v>
      </c>
      <c r="H138" s="44"/>
    </row>
    <row r="139" spans="1:12" hidden="1" x14ac:dyDescent="0.25">
      <c r="B139" s="41" t="s">
        <v>151</v>
      </c>
      <c r="E139" s="44">
        <f>'Rates and GI'!$D$58</f>
        <v>5000</v>
      </c>
      <c r="F139" s="44">
        <f>'Rates and GI'!$D$58</f>
        <v>5000</v>
      </c>
      <c r="G139" s="44">
        <f>'Rates and GI'!$D$58</f>
        <v>5000</v>
      </c>
      <c r="H139" s="44">
        <f>'Rates and GI'!$D$58</f>
        <v>5000</v>
      </c>
    </row>
    <row r="140" spans="1:12" hidden="1" x14ac:dyDescent="0.25">
      <c r="B140" s="41" t="s">
        <v>148</v>
      </c>
      <c r="E140" s="44">
        <v>0</v>
      </c>
      <c r="F140" s="44">
        <v>0</v>
      </c>
      <c r="G140" s="44">
        <v>0</v>
      </c>
      <c r="H140" s="44">
        <v>0</v>
      </c>
    </row>
    <row r="141" spans="1:12" hidden="1" x14ac:dyDescent="0.25">
      <c r="B141" s="41" t="s">
        <v>149</v>
      </c>
      <c r="E141" s="44">
        <f>'Rates and GI'!$D$59</f>
        <v>1500</v>
      </c>
      <c r="F141" s="44">
        <f>'Rates and GI'!$D$59</f>
        <v>1500</v>
      </c>
      <c r="G141" s="44">
        <f>'Rates and GI'!$D$59</f>
        <v>1500</v>
      </c>
      <c r="H141" s="44">
        <f>'Rates and GI'!$D$59</f>
        <v>1500</v>
      </c>
    </row>
    <row r="142" spans="1:12" ht="27" hidden="1" x14ac:dyDescent="0.25">
      <c r="B142" s="63" t="s">
        <v>162</v>
      </c>
      <c r="E142" s="44">
        <v>0</v>
      </c>
      <c r="F142" s="44">
        <v>0</v>
      </c>
      <c r="G142" s="44">
        <v>0</v>
      </c>
      <c r="H142" s="44">
        <v>0</v>
      </c>
    </row>
    <row r="143" spans="1:12" ht="27" hidden="1" x14ac:dyDescent="0.25">
      <c r="B143" s="63" t="s">
        <v>161</v>
      </c>
      <c r="E143" s="44">
        <f>'Rates and GI'!$D$60</f>
        <v>200</v>
      </c>
      <c r="F143" s="44">
        <f>'Rates and GI'!$D$60</f>
        <v>200</v>
      </c>
      <c r="G143" s="44">
        <f>'Rates and GI'!$D$60</f>
        <v>200</v>
      </c>
      <c r="H143" s="44">
        <f>'Rates and GI'!$D$60</f>
        <v>200</v>
      </c>
    </row>
    <row r="144" spans="1:12" s="5" customFormat="1" x14ac:dyDescent="0.25">
      <c r="B144" s="41" t="s">
        <v>217</v>
      </c>
      <c r="D144" s="44"/>
      <c r="E144" s="44">
        <v>2</v>
      </c>
      <c r="F144" s="44">
        <v>0</v>
      </c>
      <c r="G144" s="44">
        <v>0</v>
      </c>
      <c r="H144" s="44">
        <v>0</v>
      </c>
      <c r="I144" s="62"/>
      <c r="J144" s="6"/>
      <c r="K144" s="6"/>
      <c r="L144" s="6"/>
    </row>
    <row r="145" spans="1:12" s="5" customFormat="1" x14ac:dyDescent="0.25">
      <c r="B145" s="41" t="s">
        <v>214</v>
      </c>
      <c r="D145" s="44"/>
      <c r="E145" s="44">
        <f>'Rates and GI'!$D$61</f>
        <v>50</v>
      </c>
      <c r="F145" s="44">
        <f>'Rates and GI'!$D$61</f>
        <v>50</v>
      </c>
      <c r="G145" s="38">
        <f>'Rates and GI'!$D$61</f>
        <v>50</v>
      </c>
      <c r="H145" s="38">
        <f>'Rates and GI'!$D$61</f>
        <v>50</v>
      </c>
      <c r="I145" s="62"/>
      <c r="J145" s="6"/>
      <c r="K145" s="6"/>
      <c r="L145" s="6"/>
    </row>
    <row r="146" spans="1:12" x14ac:dyDescent="0.25">
      <c r="A146" s="50"/>
      <c r="B146" s="50"/>
      <c r="C146" s="50"/>
      <c r="D146" s="52"/>
      <c r="E146" s="52"/>
      <c r="F146" s="52"/>
      <c r="G146" s="52"/>
      <c r="H146" s="52"/>
    </row>
    <row r="147" spans="1:12" hidden="1" x14ac:dyDescent="0.25">
      <c r="A147" s="50"/>
      <c r="B147" s="50" t="s">
        <v>194</v>
      </c>
      <c r="C147" s="50"/>
      <c r="D147" s="52"/>
      <c r="E147" s="52">
        <f>E148+E151+E154+E163+E168</f>
        <v>0</v>
      </c>
      <c r="F147" s="52">
        <f t="shared" ref="F147:H147" si="35">F148+F151+F154+F163+F168</f>
        <v>0</v>
      </c>
      <c r="G147" s="52">
        <f t="shared" si="35"/>
        <v>0</v>
      </c>
      <c r="H147" s="52">
        <f t="shared" si="35"/>
        <v>0</v>
      </c>
    </row>
    <row r="148" spans="1:12" s="5" customFormat="1" hidden="1" x14ac:dyDescent="0.25">
      <c r="B148" s="5" t="s">
        <v>173</v>
      </c>
      <c r="D148" s="44"/>
      <c r="E148" s="44">
        <f>E149+E152*E153</f>
        <v>0</v>
      </c>
      <c r="F148" s="44">
        <f>F149+F152*F153</f>
        <v>0</v>
      </c>
      <c r="G148" s="44">
        <f>G149+G152*G153</f>
        <v>0</v>
      </c>
      <c r="H148" s="44">
        <f t="shared" ref="H148" si="36">H149+H152*H153</f>
        <v>0</v>
      </c>
      <c r="I148" s="73"/>
    </row>
    <row r="149" spans="1:12" hidden="1" x14ac:dyDescent="0.25">
      <c r="B149" s="41" t="s">
        <v>184</v>
      </c>
      <c r="F149" s="44">
        <f>('Rates and GI'!$D$45+'Rates and GI'!$D$49)*0</f>
        <v>0</v>
      </c>
      <c r="G149" s="44">
        <f>('Rates and GI'!$D$45+'Rates and GI'!$D$49)*0</f>
        <v>0</v>
      </c>
      <c r="H149" s="44"/>
    </row>
    <row r="150" spans="1:12" hidden="1" x14ac:dyDescent="0.25">
      <c r="B150" s="41" t="s">
        <v>187</v>
      </c>
      <c r="F150" s="44">
        <f>'Rates and GI'!$D$51*0</f>
        <v>0</v>
      </c>
      <c r="G150" s="44">
        <f>'Rates and GI'!$D$51*0</f>
        <v>0</v>
      </c>
      <c r="H150" s="44"/>
    </row>
    <row r="151" spans="1:12" hidden="1" x14ac:dyDescent="0.25">
      <c r="B151" s="5" t="s">
        <v>174</v>
      </c>
      <c r="E151" s="44">
        <f>E152*E153</f>
        <v>0</v>
      </c>
      <c r="F151" s="44">
        <f t="shared" ref="F151:H151" si="37">F152*F153</f>
        <v>0</v>
      </c>
      <c r="G151" s="44">
        <f t="shared" si="37"/>
        <v>0</v>
      </c>
      <c r="H151" s="44">
        <f t="shared" si="37"/>
        <v>0</v>
      </c>
    </row>
    <row r="152" spans="1:12" hidden="1" x14ac:dyDescent="0.25">
      <c r="B152" s="41" t="s">
        <v>164</v>
      </c>
      <c r="F152" s="44">
        <f>'Rates and GI'!$D$54</f>
        <v>24.066499999999998</v>
      </c>
      <c r="G152" s="44">
        <f>'Rates and GI'!$D$54</f>
        <v>24.066499999999998</v>
      </c>
      <c r="H152" s="44">
        <f>'Rates and GI'!$D$54</f>
        <v>24.066499999999998</v>
      </c>
    </row>
    <row r="153" spans="1:12" hidden="1" x14ac:dyDescent="0.25">
      <c r="B153" s="41" t="s">
        <v>163</v>
      </c>
      <c r="F153" s="44">
        <v>0</v>
      </c>
      <c r="G153" s="38">
        <v>0</v>
      </c>
      <c r="H153" s="38">
        <v>0</v>
      </c>
    </row>
    <row r="154" spans="1:12" hidden="1" x14ac:dyDescent="0.25">
      <c r="B154" s="5" t="s">
        <v>175</v>
      </c>
      <c r="E154" s="44">
        <f>E155+E159</f>
        <v>0</v>
      </c>
      <c r="F154" s="44">
        <f t="shared" ref="F154:H154" si="38">F155+F159</f>
        <v>0</v>
      </c>
      <c r="G154" s="44">
        <f t="shared" si="38"/>
        <v>0</v>
      </c>
      <c r="H154" s="44">
        <f t="shared" si="38"/>
        <v>0</v>
      </c>
    </row>
    <row r="155" spans="1:12" hidden="1" x14ac:dyDescent="0.25">
      <c r="B155" s="41" t="s">
        <v>189</v>
      </c>
      <c r="E155" s="44">
        <f>E156*E157</f>
        <v>0</v>
      </c>
      <c r="F155" s="44">
        <f t="shared" ref="F155:H155" si="39">F156*F157</f>
        <v>0</v>
      </c>
      <c r="G155" s="44">
        <f t="shared" si="39"/>
        <v>0</v>
      </c>
      <c r="H155" s="44">
        <f t="shared" si="39"/>
        <v>0</v>
      </c>
    </row>
    <row r="156" spans="1:12" hidden="1" x14ac:dyDescent="0.25">
      <c r="B156" s="41" t="s">
        <v>176</v>
      </c>
      <c r="C156" s="5" t="s">
        <v>177</v>
      </c>
      <c r="E156" s="44">
        <v>0</v>
      </c>
      <c r="F156" s="44">
        <v>0</v>
      </c>
      <c r="G156" s="38">
        <v>0</v>
      </c>
      <c r="H156" s="38">
        <v>0</v>
      </c>
    </row>
    <row r="157" spans="1:12" hidden="1" x14ac:dyDescent="0.25">
      <c r="B157" s="41" t="s">
        <v>178</v>
      </c>
      <c r="E157" s="44">
        <f>'Rates and GI'!$D$52</f>
        <v>150</v>
      </c>
      <c r="F157" s="44">
        <f>'Rates and GI'!$D$52</f>
        <v>150</v>
      </c>
      <c r="G157" s="44">
        <f>'Rates and GI'!$D$52</f>
        <v>150</v>
      </c>
      <c r="H157" s="44">
        <f>'Rates and GI'!$D$52</f>
        <v>150</v>
      </c>
    </row>
    <row r="158" spans="1:12" hidden="1" x14ac:dyDescent="0.25">
      <c r="B158" s="6"/>
    </row>
    <row r="159" spans="1:12" hidden="1" x14ac:dyDescent="0.25">
      <c r="B159" s="41" t="s">
        <v>190</v>
      </c>
      <c r="E159" s="44">
        <f>E160*E161</f>
        <v>0</v>
      </c>
      <c r="F159" s="44">
        <f t="shared" ref="F159:H159" si="40">F160*F161</f>
        <v>0</v>
      </c>
      <c r="G159" s="44">
        <f t="shared" si="40"/>
        <v>0</v>
      </c>
      <c r="H159" s="44">
        <f t="shared" si="40"/>
        <v>0</v>
      </c>
    </row>
    <row r="160" spans="1:12" hidden="1" x14ac:dyDescent="0.25">
      <c r="B160" s="41" t="s">
        <v>176</v>
      </c>
      <c r="C160" s="5" t="s">
        <v>177</v>
      </c>
      <c r="E160" s="44">
        <v>0</v>
      </c>
      <c r="F160" s="44">
        <v>0</v>
      </c>
      <c r="G160" s="38">
        <v>0</v>
      </c>
      <c r="H160" s="38">
        <v>0</v>
      </c>
    </row>
    <row r="161" spans="1:8" hidden="1" x14ac:dyDescent="0.25">
      <c r="B161" s="41" t="s">
        <v>178</v>
      </c>
      <c r="E161" s="44">
        <f>'Rates and GI'!$D$53</f>
        <v>20</v>
      </c>
      <c r="F161" s="44">
        <f>'Rates and GI'!$D$53</f>
        <v>20</v>
      </c>
      <c r="G161" s="44">
        <f>'Rates and GI'!$D$53</f>
        <v>20</v>
      </c>
      <c r="H161" s="44">
        <f>'Rates and GI'!$D$53</f>
        <v>20</v>
      </c>
    </row>
    <row r="162" spans="1:8" hidden="1" x14ac:dyDescent="0.25">
      <c r="B162" s="6"/>
    </row>
    <row r="163" spans="1:8" hidden="1" x14ac:dyDescent="0.25">
      <c r="B163" s="5" t="s">
        <v>179</v>
      </c>
      <c r="E163" s="44">
        <f>E164*E165*E166</f>
        <v>0</v>
      </c>
      <c r="F163" s="44">
        <f t="shared" ref="F163:H163" si="41">F164*F165*F166</f>
        <v>0</v>
      </c>
      <c r="G163" s="44">
        <f t="shared" si="41"/>
        <v>0</v>
      </c>
      <c r="H163" s="44">
        <f t="shared" si="41"/>
        <v>0</v>
      </c>
    </row>
    <row r="164" spans="1:8" hidden="1" x14ac:dyDescent="0.25">
      <c r="B164" s="41" t="s">
        <v>191</v>
      </c>
      <c r="F164" s="44">
        <f>'Rates and GI'!$D$55</f>
        <v>300</v>
      </c>
      <c r="G164" s="44">
        <f>'Rates and GI'!$D$55</f>
        <v>300</v>
      </c>
      <c r="H164" s="44">
        <f>'Rates and GI'!$D$55</f>
        <v>300</v>
      </c>
    </row>
    <row r="165" spans="1:8" hidden="1" x14ac:dyDescent="0.25">
      <c r="B165" s="41" t="s">
        <v>192</v>
      </c>
      <c r="F165" s="44">
        <v>3</v>
      </c>
      <c r="G165" s="44">
        <v>3</v>
      </c>
      <c r="H165" s="44">
        <v>3</v>
      </c>
    </row>
    <row r="166" spans="1:8" hidden="1" x14ac:dyDescent="0.25">
      <c r="B166" s="41" t="s">
        <v>193</v>
      </c>
      <c r="F166" s="44">
        <v>0</v>
      </c>
      <c r="G166" s="44">
        <v>0</v>
      </c>
      <c r="H166" s="44">
        <v>0</v>
      </c>
    </row>
    <row r="167" spans="1:8" hidden="1" x14ac:dyDescent="0.25"/>
    <row r="168" spans="1:8" hidden="1" x14ac:dyDescent="0.25">
      <c r="B168" s="5" t="s">
        <v>172</v>
      </c>
      <c r="E168" s="44">
        <f>E169+E170*E171</f>
        <v>0</v>
      </c>
      <c r="F168" s="44">
        <f>F169+F170*F171</f>
        <v>0</v>
      </c>
      <c r="G168" s="44">
        <f>G169+G170*G171</f>
        <v>0</v>
      </c>
      <c r="H168" s="44">
        <f>H169+H170*H171</f>
        <v>0</v>
      </c>
    </row>
    <row r="169" spans="1:8" hidden="1" x14ac:dyDescent="0.25">
      <c r="B169" s="41" t="s">
        <v>153</v>
      </c>
      <c r="F169" s="44">
        <f>'Rates and GI'!D46*0</f>
        <v>0</v>
      </c>
    </row>
    <row r="170" spans="1:8" hidden="1" x14ac:dyDescent="0.25">
      <c r="B170" s="41" t="s">
        <v>159</v>
      </c>
      <c r="F170" s="65">
        <f>'Rates and GI'!$D$47</f>
        <v>0.05</v>
      </c>
      <c r="G170" s="65">
        <f>'Rates and GI'!$D$47</f>
        <v>0.05</v>
      </c>
      <c r="H170" s="65">
        <f>'Rates and GI'!$D$47</f>
        <v>0.05</v>
      </c>
    </row>
    <row r="171" spans="1:8" hidden="1" x14ac:dyDescent="0.25">
      <c r="B171" s="41" t="s">
        <v>160</v>
      </c>
      <c r="F171" s="44">
        <v>0</v>
      </c>
      <c r="G171" s="38">
        <v>0</v>
      </c>
    </row>
    <row r="172" spans="1:8" hidden="1" x14ac:dyDescent="0.25"/>
    <row r="173" spans="1:8" hidden="1" x14ac:dyDescent="0.25"/>
    <row r="174" spans="1:8" hidden="1" x14ac:dyDescent="0.25">
      <c r="A174" s="50"/>
      <c r="B174" s="50" t="s">
        <v>19</v>
      </c>
      <c r="C174" s="50"/>
      <c r="D174" s="52"/>
      <c r="E174" s="52">
        <v>0</v>
      </c>
      <c r="F174" s="52">
        <v>0</v>
      </c>
      <c r="G174" s="52">
        <v>0</v>
      </c>
      <c r="H174" s="52">
        <v>0</v>
      </c>
    </row>
    <row r="175" spans="1:8" hidden="1" x14ac:dyDescent="0.25"/>
  </sheetData>
  <pageMargins left="0.7" right="0.7" top="0.75" bottom="0.75" header="0.3" footer="0.3"/>
  <pageSetup paperSize="9" scale="56" fitToHeight="0"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1"/>
  <sheetViews>
    <sheetView topLeftCell="A145" workbookViewId="0">
      <selection activeCell="B223" sqref="B223"/>
    </sheetView>
  </sheetViews>
  <sheetFormatPr defaultRowHeight="13.5" x14ac:dyDescent="0.25"/>
  <cols>
    <col min="1" max="1" width="5.5703125" style="5" customWidth="1"/>
    <col min="2" max="2" width="79.85546875" style="5" customWidth="1"/>
    <col min="3" max="3" width="14.140625" style="5" customWidth="1"/>
    <col min="4" max="4" width="12.7109375" style="44" bestFit="1" customWidth="1"/>
    <col min="5" max="5" width="12.42578125" style="44" bestFit="1" customWidth="1"/>
    <col min="6" max="6" width="12.85546875" style="44" bestFit="1" customWidth="1"/>
    <col min="7" max="7" width="12.7109375" style="38" bestFit="1" customWidth="1"/>
    <col min="8" max="8" width="12" style="38" bestFit="1" customWidth="1"/>
    <col min="9" max="9" width="9.140625" style="62"/>
    <col min="10" max="16384" width="9.140625" style="6"/>
  </cols>
  <sheetData>
    <row r="1" spans="1:12" s="86" customFormat="1" ht="17.25" x14ac:dyDescent="0.3">
      <c r="A1" s="123">
        <v>11</v>
      </c>
      <c r="B1" s="126" t="s">
        <v>298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E67</f>
        <v>0</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E170</f>
        <v>0</v>
      </c>
      <c r="F26" s="44">
        <f t="shared" ref="F26:H26" si="15">F170</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35233334</v>
      </c>
      <c r="E31" s="44">
        <f>E116</f>
        <v>10142648</v>
      </c>
      <c r="F31" s="44">
        <f t="shared" ref="F31:H31" si="18">F116</f>
        <v>12461972</v>
      </c>
      <c r="G31" s="44">
        <f t="shared" si="18"/>
        <v>10000872</v>
      </c>
      <c r="H31" s="44">
        <f t="shared" si="18"/>
        <v>2627842</v>
      </c>
    </row>
    <row r="32" spans="1:12" x14ac:dyDescent="0.25">
      <c r="B32" s="16" t="s">
        <v>26</v>
      </c>
      <c r="D32" s="44">
        <f t="shared" si="17"/>
        <v>0</v>
      </c>
      <c r="E32" s="44">
        <f>E159</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35233334</v>
      </c>
      <c r="E35" s="47">
        <f t="shared" ref="E35:H35" si="19">SUBTOTAL(9,E31:E34)</f>
        <v>10142648</v>
      </c>
      <c r="F35" s="47">
        <f t="shared" si="19"/>
        <v>12461972</v>
      </c>
      <c r="G35" s="47">
        <f t="shared" si="19"/>
        <v>10000872</v>
      </c>
      <c r="H35" s="47">
        <f t="shared" si="19"/>
        <v>2627842</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E215</f>
        <v>0</v>
      </c>
      <c r="F40" s="44">
        <f t="shared" ref="F40:H40" si="21">F215</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E220</f>
        <v>0</v>
      </c>
      <c r="F46" s="44">
        <f t="shared" ref="F46:H46" si="24">F220</f>
        <v>0</v>
      </c>
      <c r="G46" s="44">
        <f t="shared" si="24"/>
        <v>0</v>
      </c>
      <c r="H46" s="44">
        <f t="shared" si="24"/>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E189</f>
        <v>0</v>
      </c>
      <c r="F50" s="44">
        <f t="shared" ref="F50:H50" si="27">F189</f>
        <v>0</v>
      </c>
      <c r="G50" s="44">
        <f t="shared" si="27"/>
        <v>0</v>
      </c>
      <c r="H50" s="44">
        <f t="shared" si="27"/>
        <v>0</v>
      </c>
    </row>
    <row r="51" spans="1:12" x14ac:dyDescent="0.25">
      <c r="A51" s="3"/>
      <c r="B51" s="3" t="s">
        <v>21</v>
      </c>
      <c r="C51" s="3"/>
      <c r="D51" s="44">
        <f t="shared" si="26"/>
        <v>0</v>
      </c>
      <c r="E51" s="44">
        <f>E179</f>
        <v>0</v>
      </c>
      <c r="F51" s="44">
        <f t="shared" ref="F51:H51" si="28">F179</f>
        <v>0</v>
      </c>
      <c r="G51" s="44">
        <f t="shared" si="28"/>
        <v>0</v>
      </c>
      <c r="H51" s="44">
        <f t="shared" si="28"/>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35233334</v>
      </c>
      <c r="E54" s="49">
        <f>SUBTOTAL(9,E5:E52)</f>
        <v>10142648</v>
      </c>
      <c r="F54" s="49">
        <f>SUBTOTAL(9,F5:F52)</f>
        <v>12461972</v>
      </c>
      <c r="G54" s="49">
        <f>SUBTOTAL(9,G5:G52)</f>
        <v>10000872</v>
      </c>
      <c r="H54" s="49">
        <f>SUBTOTAL(9,H5:H52)</f>
        <v>2627842</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hidden="1"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hidden="1" x14ac:dyDescent="0.25">
      <c r="B67" s="5" t="s">
        <v>23</v>
      </c>
      <c r="E67" s="44">
        <f>E68*E69</f>
        <v>0</v>
      </c>
      <c r="F67" s="44">
        <f t="shared" ref="F67:H67" si="29">F68*F69</f>
        <v>0</v>
      </c>
      <c r="G67" s="44">
        <f t="shared" si="29"/>
        <v>0</v>
      </c>
      <c r="H67" s="44">
        <f t="shared" si="29"/>
        <v>0</v>
      </c>
    </row>
    <row r="68" spans="1:12" hidden="1" x14ac:dyDescent="0.25">
      <c r="A68" s="9"/>
      <c r="B68" s="9" t="s">
        <v>114</v>
      </c>
      <c r="C68" s="9" t="s">
        <v>113</v>
      </c>
      <c r="E68" s="44">
        <v>0</v>
      </c>
      <c r="F68" s="44">
        <v>0</v>
      </c>
      <c r="G68" s="44">
        <v>0</v>
      </c>
      <c r="H68" s="44">
        <v>0</v>
      </c>
    </row>
    <row r="69" spans="1:12" hidden="1"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30">F72*F73</f>
        <v>0</v>
      </c>
      <c r="G71" s="44">
        <f t="shared" si="30"/>
        <v>0</v>
      </c>
      <c r="H71" s="44">
        <f t="shared" si="30"/>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1">F92*F93+F95*F96</f>
        <v>0</v>
      </c>
      <c r="G91" s="52">
        <f t="shared" si="31"/>
        <v>0</v>
      </c>
      <c r="H91" s="52">
        <f t="shared" si="31"/>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2">F100*F101</f>
        <v>0</v>
      </c>
      <c r="G99" s="52">
        <f t="shared" si="32"/>
        <v>0</v>
      </c>
      <c r="H99" s="52">
        <f t="shared" si="32"/>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3">F104*F105+F106*F107+F108*F109</f>
        <v>0</v>
      </c>
      <c r="G103" s="52">
        <f t="shared" si="33"/>
        <v>0</v>
      </c>
      <c r="H103" s="52">
        <f t="shared" si="33"/>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v>0</v>
      </c>
      <c r="G105" s="44">
        <v>0</v>
      </c>
      <c r="H105" s="44">
        <f t="shared" ref="H105" si="34">H92</f>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35">E112*E113</f>
        <v>0</v>
      </c>
      <c r="F111" s="52">
        <f t="shared" si="35"/>
        <v>0</v>
      </c>
      <c r="G111" s="52">
        <f t="shared" si="35"/>
        <v>0</v>
      </c>
      <c r="H111" s="52">
        <f t="shared" si="35"/>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x14ac:dyDescent="0.25">
      <c r="A115" s="50"/>
      <c r="B115" s="50" t="s">
        <v>7</v>
      </c>
      <c r="C115" s="50"/>
      <c r="D115" s="52"/>
      <c r="E115" s="52"/>
      <c r="F115" s="52"/>
      <c r="G115" s="52"/>
      <c r="H115" s="52"/>
    </row>
    <row r="116" spans="1:12" s="7" customFormat="1" x14ac:dyDescent="0.25">
      <c r="A116" s="5"/>
      <c r="B116" s="165" t="s">
        <v>57</v>
      </c>
      <c r="C116" s="5"/>
      <c r="D116" s="44"/>
      <c r="E116" s="46">
        <f>E117+E124+E127+E130+E138</f>
        <v>10142648</v>
      </c>
      <c r="F116" s="46">
        <f t="shared" ref="F116:H116" si="36">F117+F124+F127+F130+F138</f>
        <v>12461972</v>
      </c>
      <c r="G116" s="46">
        <f t="shared" si="36"/>
        <v>10000872</v>
      </c>
      <c r="H116" s="46">
        <f t="shared" si="36"/>
        <v>2627842</v>
      </c>
      <c r="I116" s="62"/>
      <c r="J116" s="6"/>
      <c r="K116" s="6"/>
      <c r="L116" s="6"/>
    </row>
    <row r="117" spans="1:12" s="7" customFormat="1" ht="27" x14ac:dyDescent="0.25">
      <c r="A117" s="5"/>
      <c r="B117" s="161" t="s">
        <v>387</v>
      </c>
      <c r="C117" s="5"/>
      <c r="D117" s="44"/>
      <c r="E117" s="46">
        <f>E118+E121</f>
        <v>4675104</v>
      </c>
      <c r="F117" s="46">
        <f t="shared" ref="F117:H117" si="37">F118+F121</f>
        <v>7450946.9999999991</v>
      </c>
      <c r="G117" s="46">
        <f t="shared" si="37"/>
        <v>7450946.9999999991</v>
      </c>
      <c r="H117" s="46">
        <f t="shared" si="37"/>
        <v>2128842</v>
      </c>
      <c r="I117" s="62"/>
      <c r="J117" s="6"/>
      <c r="K117" s="6"/>
      <c r="L117" s="6"/>
    </row>
    <row r="118" spans="1:12" s="7" customFormat="1" x14ac:dyDescent="0.25">
      <c r="A118" s="5"/>
      <c r="B118" s="39" t="s">
        <v>388</v>
      </c>
      <c r="C118" s="46">
        <v>21288420</v>
      </c>
      <c r="D118" s="44"/>
      <c r="E118" s="7">
        <f>$C118*E119</f>
        <v>4257684</v>
      </c>
      <c r="F118" s="7">
        <f>$C118*F119</f>
        <v>7450946.9999999991</v>
      </c>
      <c r="G118" s="7">
        <f>$C118*G119</f>
        <v>7450946.9999999991</v>
      </c>
      <c r="H118" s="7">
        <f>$C118*H119</f>
        <v>2128842</v>
      </c>
      <c r="I118" s="62"/>
      <c r="J118" s="6"/>
      <c r="K118" s="6"/>
      <c r="L118" s="6"/>
    </row>
    <row r="119" spans="1:12" s="7" customFormat="1" x14ac:dyDescent="0.25">
      <c r="A119" s="5"/>
      <c r="B119" s="162" t="s">
        <v>390</v>
      </c>
      <c r="C119" s="5"/>
      <c r="D119" s="44"/>
      <c r="E119" s="163">
        <v>0.2</v>
      </c>
      <c r="F119" s="163">
        <v>0.35</v>
      </c>
      <c r="G119" s="164">
        <v>0.35</v>
      </c>
      <c r="H119" s="164">
        <v>0.1</v>
      </c>
      <c r="I119" s="62"/>
      <c r="J119" s="6"/>
      <c r="K119" s="6"/>
      <c r="L119" s="6"/>
    </row>
    <row r="120" spans="1:12" s="7" customFormat="1" x14ac:dyDescent="0.25">
      <c r="A120" s="5"/>
      <c r="B120" s="162"/>
      <c r="C120" s="5"/>
      <c r="D120" s="44"/>
      <c r="E120" s="163"/>
      <c r="F120" s="163"/>
      <c r="G120" s="164"/>
      <c r="H120" s="164"/>
      <c r="I120" s="62"/>
      <c r="J120" s="6"/>
      <c r="K120" s="6"/>
      <c r="L120" s="6"/>
    </row>
    <row r="121" spans="1:12" s="7" customFormat="1" x14ac:dyDescent="0.25">
      <c r="A121" s="5"/>
      <c r="B121" s="39" t="s">
        <v>389</v>
      </c>
      <c r="C121" s="46">
        <v>417420</v>
      </c>
      <c r="D121" s="44"/>
      <c r="E121" s="7">
        <f>$C121*E122</f>
        <v>417420</v>
      </c>
      <c r="F121" s="7">
        <f t="shared" ref="F121:H121" si="38">$C121*F122</f>
        <v>0</v>
      </c>
      <c r="G121" s="7">
        <f t="shared" si="38"/>
        <v>0</v>
      </c>
      <c r="H121" s="7">
        <f t="shared" si="38"/>
        <v>0</v>
      </c>
      <c r="I121" s="62"/>
      <c r="J121" s="6"/>
      <c r="K121" s="6"/>
      <c r="L121" s="6"/>
    </row>
    <row r="122" spans="1:12" s="7" customFormat="1" x14ac:dyDescent="0.25">
      <c r="A122" s="5"/>
      <c r="B122" s="162" t="s">
        <v>390</v>
      </c>
      <c r="C122" s="5"/>
      <c r="D122" s="44"/>
      <c r="E122" s="163">
        <v>1</v>
      </c>
      <c r="F122" s="163"/>
      <c r="G122" s="164"/>
      <c r="H122" s="164"/>
      <c r="I122" s="62"/>
      <c r="J122" s="6"/>
      <c r="K122" s="6"/>
      <c r="L122" s="6"/>
    </row>
    <row r="123" spans="1:12" s="7" customFormat="1" x14ac:dyDescent="0.25">
      <c r="A123" s="5"/>
      <c r="B123" s="4"/>
      <c r="C123" s="5"/>
      <c r="D123" s="44"/>
      <c r="E123" s="46"/>
      <c r="F123" s="46"/>
      <c r="G123" s="105"/>
      <c r="H123" s="105"/>
      <c r="I123" s="62"/>
      <c r="J123" s="6"/>
      <c r="K123" s="6"/>
      <c r="L123" s="6"/>
    </row>
    <row r="124" spans="1:12" s="7" customFormat="1" x14ac:dyDescent="0.25">
      <c r="A124" s="5"/>
      <c r="B124" s="161" t="s">
        <v>391</v>
      </c>
      <c r="C124" s="46">
        <v>3108000</v>
      </c>
      <c r="D124" s="44"/>
      <c r="E124" s="7">
        <f>$C124*E125</f>
        <v>1554000</v>
      </c>
      <c r="F124" s="7">
        <f>$C124*F125</f>
        <v>1243200</v>
      </c>
      <c r="G124" s="7">
        <f>$C124*G125</f>
        <v>310800</v>
      </c>
      <c r="H124" s="7">
        <f>$C124*H125</f>
        <v>0</v>
      </c>
      <c r="I124" s="62"/>
      <c r="J124" s="6"/>
      <c r="K124" s="6"/>
      <c r="L124" s="6"/>
    </row>
    <row r="125" spans="1:12" s="7" customFormat="1" x14ac:dyDescent="0.25">
      <c r="A125" s="5"/>
      <c r="B125" s="162" t="s">
        <v>390</v>
      </c>
      <c r="C125" s="5"/>
      <c r="D125" s="44"/>
      <c r="E125" s="163">
        <v>0.5</v>
      </c>
      <c r="F125" s="163">
        <v>0.4</v>
      </c>
      <c r="G125" s="164">
        <v>0.1</v>
      </c>
      <c r="H125" s="164">
        <v>0</v>
      </c>
      <c r="I125" s="62"/>
      <c r="J125" s="6"/>
      <c r="K125" s="6"/>
      <c r="L125" s="6"/>
    </row>
    <row r="126" spans="1:12" s="7" customFormat="1" x14ac:dyDescent="0.25">
      <c r="A126" s="5"/>
      <c r="B126" s="161"/>
      <c r="C126" s="46"/>
      <c r="D126" s="44"/>
      <c r="I126" s="62"/>
      <c r="J126" s="6"/>
      <c r="K126" s="6"/>
      <c r="L126" s="6"/>
    </row>
    <row r="127" spans="1:12" s="7" customFormat="1" ht="27" x14ac:dyDescent="0.25">
      <c r="A127" s="5"/>
      <c r="B127" s="161" t="s">
        <v>392</v>
      </c>
      <c r="C127" s="46">
        <v>4845000</v>
      </c>
      <c r="D127" s="44"/>
      <c r="E127" s="7">
        <f>$C127*E128</f>
        <v>2422500</v>
      </c>
      <c r="F127" s="7">
        <f>$C127*F128</f>
        <v>1938000</v>
      </c>
      <c r="G127" s="7">
        <f>$C127*G128</f>
        <v>484500</v>
      </c>
      <c r="H127" s="7">
        <f>$C127*H128</f>
        <v>0</v>
      </c>
      <c r="I127" s="62"/>
      <c r="J127" s="6"/>
      <c r="K127" s="6"/>
      <c r="L127" s="6"/>
    </row>
    <row r="128" spans="1:12" s="7" customFormat="1" x14ac:dyDescent="0.25">
      <c r="A128" s="5"/>
      <c r="B128" s="162" t="s">
        <v>390</v>
      </c>
      <c r="C128" s="5"/>
      <c r="D128" s="44"/>
      <c r="E128" s="163">
        <v>0.5</v>
      </c>
      <c r="F128" s="163">
        <v>0.4</v>
      </c>
      <c r="G128" s="164">
        <v>0.1</v>
      </c>
      <c r="H128" s="164">
        <v>0</v>
      </c>
      <c r="I128" s="62"/>
      <c r="J128" s="6"/>
      <c r="K128" s="6"/>
      <c r="L128" s="6"/>
    </row>
    <row r="129" spans="1:12" s="7" customFormat="1" x14ac:dyDescent="0.25">
      <c r="A129" s="5"/>
      <c r="B129" s="4"/>
      <c r="C129" s="5"/>
      <c r="D129" s="44"/>
      <c r="E129" s="46"/>
      <c r="F129" s="46"/>
      <c r="G129" s="105"/>
      <c r="H129" s="105"/>
      <c r="I129" s="62"/>
      <c r="J129" s="6"/>
      <c r="K129" s="6"/>
      <c r="L129" s="6"/>
    </row>
    <row r="130" spans="1:12" s="7" customFormat="1" x14ac:dyDescent="0.25">
      <c r="A130" s="5"/>
      <c r="B130" s="160" t="s">
        <v>397</v>
      </c>
      <c r="C130" s="46"/>
      <c r="D130" s="44"/>
      <c r="E130" s="46">
        <f>E131+E134</f>
        <v>1007994</v>
      </c>
      <c r="F130" s="46">
        <f t="shared" ref="F130:H130" si="39">F131+F134</f>
        <v>1746500</v>
      </c>
      <c r="G130" s="46">
        <f t="shared" si="39"/>
        <v>1746500</v>
      </c>
      <c r="H130" s="46">
        <f t="shared" si="39"/>
        <v>499000</v>
      </c>
      <c r="I130" s="62"/>
      <c r="J130" s="6"/>
      <c r="K130" s="6"/>
      <c r="L130" s="6"/>
    </row>
    <row r="131" spans="1:12" s="7" customFormat="1" x14ac:dyDescent="0.25">
      <c r="A131" s="5"/>
      <c r="B131" s="39" t="s">
        <v>394</v>
      </c>
      <c r="C131" s="46">
        <v>4990000</v>
      </c>
      <c r="D131" s="44"/>
      <c r="E131" s="7">
        <f>$C131*E132</f>
        <v>998000</v>
      </c>
      <c r="F131" s="7">
        <f t="shared" ref="F131:H131" si="40">$C131*F132</f>
        <v>1746500</v>
      </c>
      <c r="G131" s="7">
        <f t="shared" si="40"/>
        <v>1746500</v>
      </c>
      <c r="H131" s="7">
        <f t="shared" si="40"/>
        <v>499000</v>
      </c>
      <c r="I131" s="62"/>
      <c r="J131" s="6"/>
      <c r="K131" s="6"/>
      <c r="L131" s="6"/>
    </row>
    <row r="132" spans="1:12" s="7" customFormat="1" x14ac:dyDescent="0.25">
      <c r="A132" s="5"/>
      <c r="B132" s="162" t="s">
        <v>390</v>
      </c>
      <c r="C132" s="46"/>
      <c r="D132" s="44"/>
      <c r="E132" s="163">
        <v>0.2</v>
      </c>
      <c r="F132" s="163">
        <v>0.35</v>
      </c>
      <c r="G132" s="164">
        <v>0.35</v>
      </c>
      <c r="H132" s="164">
        <v>0.1</v>
      </c>
      <c r="I132" s="62"/>
      <c r="J132" s="6"/>
      <c r="K132" s="6"/>
      <c r="L132" s="6"/>
    </row>
    <row r="133" spans="1:12" s="7" customFormat="1" x14ac:dyDescent="0.25">
      <c r="A133" s="5"/>
      <c r="B133" s="162"/>
      <c r="C133" s="46"/>
      <c r="D133" s="44"/>
      <c r="E133" s="46"/>
      <c r="F133" s="46"/>
      <c r="G133" s="105"/>
      <c r="H133" s="105"/>
      <c r="I133" s="62"/>
      <c r="J133" s="6"/>
      <c r="K133" s="6"/>
      <c r="L133" s="6"/>
    </row>
    <row r="134" spans="1:12" s="7" customFormat="1" x14ac:dyDescent="0.25">
      <c r="A134" s="5"/>
      <c r="B134" s="39" t="s">
        <v>393</v>
      </c>
      <c r="C134" s="46">
        <v>9994</v>
      </c>
      <c r="D134" s="44"/>
      <c r="E134" s="7">
        <f>$C134*E135</f>
        <v>9994</v>
      </c>
      <c r="F134" s="7">
        <f t="shared" ref="F134:H134" si="41">$C134*F135</f>
        <v>0</v>
      </c>
      <c r="G134" s="7">
        <f t="shared" si="41"/>
        <v>0</v>
      </c>
      <c r="H134" s="7">
        <f t="shared" si="41"/>
        <v>0</v>
      </c>
      <c r="I134" s="62"/>
      <c r="J134" s="6"/>
      <c r="K134" s="6"/>
      <c r="L134" s="6"/>
    </row>
    <row r="135" spans="1:12" s="7" customFormat="1" x14ac:dyDescent="0.25">
      <c r="A135" s="5"/>
      <c r="B135" s="162" t="s">
        <v>390</v>
      </c>
      <c r="C135" s="46"/>
      <c r="D135" s="44"/>
      <c r="E135" s="163">
        <v>1</v>
      </c>
      <c r="F135" s="46"/>
      <c r="G135" s="105"/>
      <c r="H135" s="105"/>
      <c r="I135" s="62"/>
      <c r="J135" s="6"/>
      <c r="K135" s="6"/>
      <c r="L135" s="6"/>
    </row>
    <row r="136" spans="1:12" s="7" customFormat="1" x14ac:dyDescent="0.25">
      <c r="A136" s="5"/>
      <c r="B136" s="160"/>
      <c r="C136" s="5"/>
      <c r="D136" s="44"/>
      <c r="E136" s="46"/>
      <c r="F136" s="46"/>
      <c r="G136" s="105"/>
      <c r="H136" s="105"/>
      <c r="I136" s="62"/>
      <c r="J136" s="6"/>
      <c r="K136" s="6"/>
      <c r="L136" s="6"/>
    </row>
    <row r="137" spans="1:12" s="7" customFormat="1" hidden="1" x14ac:dyDescent="0.25">
      <c r="A137" s="5"/>
      <c r="B137" s="4"/>
      <c r="C137" s="46"/>
      <c r="D137" s="44"/>
      <c r="E137" s="46"/>
      <c r="F137" s="46"/>
      <c r="G137" s="105"/>
      <c r="H137" s="105"/>
      <c r="I137" s="62"/>
      <c r="J137" s="6"/>
      <c r="K137" s="6"/>
      <c r="L137" s="6"/>
    </row>
    <row r="138" spans="1:12" s="7" customFormat="1" x14ac:dyDescent="0.25">
      <c r="A138" s="5"/>
      <c r="B138" s="161" t="s">
        <v>395</v>
      </c>
      <c r="C138" s="46"/>
      <c r="D138" s="44"/>
      <c r="E138" s="46">
        <f>E139+E142+E150</f>
        <v>483050</v>
      </c>
      <c r="F138" s="46">
        <f t="shared" ref="F138:H138" si="42">F139+F142+F150</f>
        <v>83325</v>
      </c>
      <c r="G138" s="46">
        <f t="shared" si="42"/>
        <v>8125</v>
      </c>
      <c r="H138" s="46">
        <f t="shared" si="42"/>
        <v>0</v>
      </c>
      <c r="I138" s="62"/>
      <c r="J138" s="6"/>
      <c r="K138" s="6"/>
      <c r="L138" s="6"/>
    </row>
    <row r="139" spans="1:12" s="7" customFormat="1" x14ac:dyDescent="0.25">
      <c r="A139" s="5"/>
      <c r="B139" s="160" t="s">
        <v>396</v>
      </c>
      <c r="C139" s="46">
        <v>35000</v>
      </c>
      <c r="D139" s="44"/>
      <c r="E139" s="7">
        <f>$C139*E140</f>
        <v>17500</v>
      </c>
      <c r="F139" s="7">
        <f t="shared" ref="F139:H139" si="43">$C139*F140</f>
        <v>14000</v>
      </c>
      <c r="G139" s="7">
        <f t="shared" si="43"/>
        <v>3500</v>
      </c>
      <c r="H139" s="7">
        <f t="shared" si="43"/>
        <v>0</v>
      </c>
      <c r="I139" s="62"/>
      <c r="J139" s="6"/>
      <c r="K139" s="6"/>
      <c r="L139" s="6"/>
    </row>
    <row r="140" spans="1:12" s="7" customFormat="1" x14ac:dyDescent="0.25">
      <c r="A140" s="5"/>
      <c r="B140" s="162" t="s">
        <v>390</v>
      </c>
      <c r="C140" s="46"/>
      <c r="D140" s="44"/>
      <c r="E140" s="163">
        <v>0.5</v>
      </c>
      <c r="F140" s="163">
        <v>0.4</v>
      </c>
      <c r="G140" s="164">
        <v>0.1</v>
      </c>
      <c r="H140" s="164">
        <v>0</v>
      </c>
      <c r="I140" s="62"/>
      <c r="J140" s="6"/>
      <c r="K140" s="6"/>
      <c r="L140" s="6"/>
    </row>
    <row r="141" spans="1:12" s="7" customFormat="1" x14ac:dyDescent="0.25">
      <c r="A141" s="5"/>
      <c r="B141" s="160"/>
      <c r="C141" s="46"/>
      <c r="D141" s="44"/>
      <c r="E141" s="46"/>
      <c r="F141" s="46"/>
      <c r="G141" s="105"/>
      <c r="H141" s="105"/>
      <c r="I141" s="62"/>
      <c r="J141" s="6"/>
      <c r="K141" s="6"/>
      <c r="L141" s="6"/>
    </row>
    <row r="142" spans="1:12" s="7" customFormat="1" ht="27" x14ac:dyDescent="0.25">
      <c r="A142" s="5"/>
      <c r="B142" s="160" t="s">
        <v>581</v>
      </c>
      <c r="C142" s="46">
        <f>C144+C147</f>
        <v>489500</v>
      </c>
      <c r="D142" s="44"/>
      <c r="E142" s="46">
        <f>E144+E147</f>
        <v>443300</v>
      </c>
      <c r="F142" s="46">
        <f t="shared" ref="F142:H142" si="44">F144+F147</f>
        <v>46200</v>
      </c>
      <c r="G142" s="46">
        <f t="shared" si="44"/>
        <v>0</v>
      </c>
      <c r="H142" s="46">
        <f t="shared" si="44"/>
        <v>0</v>
      </c>
      <c r="I142" s="62"/>
      <c r="J142" s="6"/>
      <c r="K142" s="6"/>
      <c r="L142" s="6"/>
    </row>
    <row r="143" spans="1:12" s="7" customFormat="1" x14ac:dyDescent="0.25">
      <c r="A143" s="5"/>
      <c r="B143" s="162"/>
      <c r="C143" s="46"/>
      <c r="D143" s="44"/>
      <c r="E143" s="163"/>
      <c r="F143" s="163"/>
      <c r="G143" s="164"/>
      <c r="H143" s="164"/>
      <c r="I143" s="62"/>
      <c r="J143" s="6"/>
      <c r="K143" s="6"/>
      <c r="L143" s="6"/>
    </row>
    <row r="144" spans="1:12" s="7" customFormat="1" x14ac:dyDescent="0.25">
      <c r="A144" s="5"/>
      <c r="B144" s="39" t="s">
        <v>394</v>
      </c>
      <c r="C144" s="46">
        <v>462000</v>
      </c>
      <c r="D144" s="44"/>
      <c r="E144" s="7">
        <f>$C144*E145</f>
        <v>415800</v>
      </c>
      <c r="F144" s="7">
        <f t="shared" ref="F144:H144" si="45">$C144*F145</f>
        <v>46200</v>
      </c>
      <c r="G144" s="7">
        <f t="shared" si="45"/>
        <v>0</v>
      </c>
      <c r="H144" s="7">
        <f t="shared" si="45"/>
        <v>0</v>
      </c>
      <c r="I144" s="62"/>
      <c r="J144" s="6"/>
      <c r="K144" s="6"/>
      <c r="L144" s="6"/>
    </row>
    <row r="145" spans="1:12" s="7" customFormat="1" x14ac:dyDescent="0.25">
      <c r="A145" s="5"/>
      <c r="B145" s="162" t="s">
        <v>390</v>
      </c>
      <c r="C145" s="46"/>
      <c r="D145" s="44"/>
      <c r="E145" s="163">
        <v>0.9</v>
      </c>
      <c r="F145" s="163">
        <v>0.1</v>
      </c>
      <c r="G145" s="164">
        <v>0</v>
      </c>
      <c r="H145" s="164">
        <v>0</v>
      </c>
      <c r="I145" s="62"/>
      <c r="J145" s="6"/>
      <c r="K145" s="6"/>
      <c r="L145" s="6"/>
    </row>
    <row r="146" spans="1:12" s="7" customFormat="1" x14ac:dyDescent="0.25">
      <c r="A146" s="5"/>
      <c r="B146" s="162"/>
      <c r="C146" s="46"/>
      <c r="D146" s="44"/>
      <c r="E146" s="46"/>
      <c r="F146" s="46"/>
      <c r="G146" s="105"/>
      <c r="H146" s="105"/>
      <c r="I146" s="62"/>
      <c r="J146" s="6"/>
      <c r="K146" s="6"/>
      <c r="L146" s="6"/>
    </row>
    <row r="147" spans="1:12" s="7" customFormat="1" x14ac:dyDescent="0.25">
      <c r="A147" s="5"/>
      <c r="B147" s="39" t="s">
        <v>582</v>
      </c>
      <c r="C147" s="46">
        <v>27500</v>
      </c>
      <c r="D147" s="44"/>
      <c r="E147" s="7">
        <f>$C147*E148</f>
        <v>27500</v>
      </c>
      <c r="F147" s="7">
        <f t="shared" ref="F147:H147" si="46">$C147*F148</f>
        <v>0</v>
      </c>
      <c r="G147" s="7">
        <f t="shared" si="46"/>
        <v>0</v>
      </c>
      <c r="H147" s="7">
        <f t="shared" si="46"/>
        <v>0</v>
      </c>
      <c r="I147" s="62"/>
      <c r="J147" s="6"/>
      <c r="K147" s="6"/>
      <c r="L147" s="6"/>
    </row>
    <row r="148" spans="1:12" s="7" customFormat="1" x14ac:dyDescent="0.25">
      <c r="A148" s="5"/>
      <c r="B148" s="162" t="s">
        <v>390</v>
      </c>
      <c r="C148" s="46"/>
      <c r="D148" s="44"/>
      <c r="E148" s="163">
        <v>1</v>
      </c>
      <c r="F148" s="46"/>
      <c r="G148" s="105"/>
      <c r="H148" s="105"/>
      <c r="I148" s="62"/>
      <c r="J148" s="6"/>
      <c r="K148" s="6"/>
      <c r="L148" s="6"/>
    </row>
    <row r="149" spans="1:12" s="7" customFormat="1" x14ac:dyDescent="0.25">
      <c r="A149" s="5"/>
      <c r="B149" s="162"/>
      <c r="C149" s="46"/>
      <c r="D149" s="44"/>
      <c r="E149" s="163"/>
      <c r="F149" s="163"/>
      <c r="G149" s="164"/>
      <c r="H149" s="164"/>
      <c r="I149" s="62"/>
      <c r="J149" s="6"/>
      <c r="K149" s="6"/>
      <c r="L149" s="6"/>
    </row>
    <row r="150" spans="1:12" s="7" customFormat="1" x14ac:dyDescent="0.25">
      <c r="A150" s="5"/>
      <c r="B150" s="160" t="s">
        <v>583</v>
      </c>
      <c r="C150" s="46">
        <f>C152+C155</f>
        <v>50000</v>
      </c>
      <c r="D150" s="44"/>
      <c r="E150" s="46">
        <f>E152+E155</f>
        <v>22250</v>
      </c>
      <c r="F150" s="46">
        <f t="shared" ref="F150:H150" si="47">F152+F155</f>
        <v>23125</v>
      </c>
      <c r="G150" s="46">
        <f t="shared" si="47"/>
        <v>4625</v>
      </c>
      <c r="H150" s="46">
        <f t="shared" si="47"/>
        <v>0</v>
      </c>
      <c r="I150" s="62"/>
      <c r="J150" s="6"/>
      <c r="K150" s="6"/>
      <c r="L150" s="6"/>
    </row>
    <row r="151" spans="1:12" s="7" customFormat="1" x14ac:dyDescent="0.25">
      <c r="A151" s="5"/>
      <c r="B151" s="162"/>
      <c r="C151" s="46"/>
      <c r="D151" s="44"/>
      <c r="E151" s="163"/>
      <c r="F151" s="163"/>
      <c r="G151" s="164"/>
      <c r="H151" s="164"/>
      <c r="I151" s="62"/>
      <c r="J151" s="6"/>
      <c r="K151" s="6"/>
      <c r="L151" s="6"/>
    </row>
    <row r="152" spans="1:12" s="7" customFormat="1" x14ac:dyDescent="0.25">
      <c r="A152" s="5"/>
      <c r="B152" s="39" t="s">
        <v>394</v>
      </c>
      <c r="C152" s="46">
        <v>46250</v>
      </c>
      <c r="D152" s="44"/>
      <c r="E152" s="7">
        <f>$C152*E153</f>
        <v>18500</v>
      </c>
      <c r="F152" s="7">
        <f t="shared" ref="F152:H152" si="48">$C152*F153</f>
        <v>23125</v>
      </c>
      <c r="G152" s="7">
        <f t="shared" si="48"/>
        <v>4625</v>
      </c>
      <c r="H152" s="7">
        <f t="shared" si="48"/>
        <v>0</v>
      </c>
      <c r="I152" s="62"/>
      <c r="J152" s="6"/>
      <c r="K152" s="6"/>
      <c r="L152" s="6"/>
    </row>
    <row r="153" spans="1:12" s="7" customFormat="1" x14ac:dyDescent="0.25">
      <c r="A153" s="5"/>
      <c r="B153" s="162" t="s">
        <v>390</v>
      </c>
      <c r="C153" s="46"/>
      <c r="D153" s="44"/>
      <c r="E153" s="163">
        <v>0.4</v>
      </c>
      <c r="F153" s="163">
        <v>0.5</v>
      </c>
      <c r="G153" s="164">
        <v>0.1</v>
      </c>
      <c r="H153" s="164">
        <v>0</v>
      </c>
      <c r="I153" s="62"/>
      <c r="J153" s="6"/>
      <c r="K153" s="6"/>
      <c r="L153" s="6"/>
    </row>
    <row r="154" spans="1:12" s="7" customFormat="1" x14ac:dyDescent="0.25">
      <c r="A154" s="5"/>
      <c r="B154" s="162"/>
      <c r="C154" s="46"/>
      <c r="D154" s="44"/>
      <c r="E154" s="46"/>
      <c r="F154" s="46"/>
      <c r="G154" s="105"/>
      <c r="H154" s="105"/>
      <c r="I154" s="62"/>
      <c r="J154" s="6"/>
      <c r="K154" s="6"/>
      <c r="L154" s="6"/>
    </row>
    <row r="155" spans="1:12" s="7" customFormat="1" x14ac:dyDescent="0.25">
      <c r="A155" s="5"/>
      <c r="B155" s="39" t="s">
        <v>582</v>
      </c>
      <c r="C155" s="46">
        <v>3750</v>
      </c>
      <c r="D155" s="44"/>
      <c r="E155" s="7">
        <f>$C155*E156</f>
        <v>3750</v>
      </c>
      <c r="F155" s="7">
        <f t="shared" ref="F155:H155" si="49">$C155*F156</f>
        <v>0</v>
      </c>
      <c r="G155" s="7">
        <f t="shared" si="49"/>
        <v>0</v>
      </c>
      <c r="H155" s="7">
        <f t="shared" si="49"/>
        <v>0</v>
      </c>
      <c r="I155" s="62"/>
      <c r="J155" s="6"/>
      <c r="K155" s="6"/>
      <c r="L155" s="6"/>
    </row>
    <row r="156" spans="1:12" s="7" customFormat="1" x14ac:dyDescent="0.25">
      <c r="A156" s="5"/>
      <c r="B156" s="232" t="s">
        <v>390</v>
      </c>
      <c r="C156" s="233"/>
      <c r="D156" s="230"/>
      <c r="E156" s="234">
        <v>1</v>
      </c>
      <c r="F156" s="233"/>
      <c r="G156" s="233"/>
      <c r="H156" s="233"/>
      <c r="I156" s="62"/>
      <c r="J156" s="6"/>
      <c r="K156" s="6"/>
      <c r="L156" s="6"/>
    </row>
    <row r="157" spans="1:12" s="7" customFormat="1" x14ac:dyDescent="0.25">
      <c r="A157" s="5"/>
      <c r="B157" s="162"/>
      <c r="C157" s="46"/>
      <c r="D157" s="44"/>
      <c r="E157" s="163"/>
      <c r="F157" s="163"/>
      <c r="G157" s="164"/>
      <c r="H157" s="164"/>
      <c r="I157" s="62"/>
      <c r="J157" s="6"/>
      <c r="K157" s="6"/>
      <c r="L157" s="6"/>
    </row>
    <row r="159" spans="1:12" hidden="1" x14ac:dyDescent="0.25">
      <c r="A159" s="50"/>
      <c r="B159" s="50" t="s">
        <v>26</v>
      </c>
      <c r="C159" s="50"/>
      <c r="D159" s="52"/>
      <c r="E159" s="52">
        <f>E164*E165</f>
        <v>0</v>
      </c>
      <c r="F159" s="52">
        <f>F164*F165</f>
        <v>0</v>
      </c>
      <c r="G159" s="52"/>
      <c r="H159" s="52"/>
    </row>
    <row r="160" spans="1:12" s="5" customFormat="1" hidden="1" x14ac:dyDescent="0.25">
      <c r="B160" s="55" t="s">
        <v>60</v>
      </c>
      <c r="D160" s="44"/>
      <c r="E160" s="44"/>
      <c r="F160" s="44"/>
      <c r="G160" s="38"/>
      <c r="H160" s="38"/>
      <c r="I160" s="62"/>
      <c r="J160" s="6"/>
      <c r="K160" s="6"/>
      <c r="L160" s="6"/>
    </row>
    <row r="161" spans="1:12" s="5" customFormat="1" hidden="1" x14ac:dyDescent="0.25">
      <c r="B161" s="41" t="s">
        <v>147</v>
      </c>
      <c r="D161" s="44"/>
      <c r="E161" s="44"/>
      <c r="F161" s="44"/>
      <c r="G161" s="38"/>
      <c r="H161" s="38"/>
      <c r="I161" s="62"/>
      <c r="J161" s="6"/>
      <c r="K161" s="6"/>
      <c r="L161" s="6"/>
    </row>
    <row r="162" spans="1:12" s="5" customFormat="1" hidden="1" x14ac:dyDescent="0.25">
      <c r="B162" s="41" t="s">
        <v>146</v>
      </c>
      <c r="D162" s="44"/>
      <c r="E162" s="44"/>
      <c r="F162" s="44"/>
      <c r="G162" s="38"/>
      <c r="H162" s="38"/>
      <c r="I162" s="62"/>
      <c r="J162" s="6"/>
      <c r="K162" s="6"/>
      <c r="L162" s="6"/>
    </row>
    <row r="163" spans="1:12" s="5" customFormat="1" hidden="1" x14ac:dyDescent="0.25">
      <c r="B163" s="55" t="s">
        <v>123</v>
      </c>
      <c r="D163" s="44"/>
      <c r="E163" s="44"/>
      <c r="F163" s="44"/>
      <c r="G163" s="38"/>
      <c r="H163" s="38"/>
      <c r="I163" s="62"/>
      <c r="J163" s="6"/>
      <c r="K163" s="6"/>
      <c r="L163" s="6"/>
    </row>
    <row r="164" spans="1:12" s="5" customFormat="1" hidden="1" x14ac:dyDescent="0.25">
      <c r="B164" s="41" t="s">
        <v>147</v>
      </c>
      <c r="D164" s="44"/>
      <c r="E164" s="44">
        <f>'Rates and GI'!$D$31</f>
        <v>350</v>
      </c>
      <c r="F164" s="44">
        <f>'Rates and GI'!$D$31</f>
        <v>350</v>
      </c>
      <c r="G164" s="44">
        <f>'Rates and GI'!$D$31</f>
        <v>350</v>
      </c>
      <c r="H164" s="44">
        <f>'Rates and GI'!$D$31</f>
        <v>350</v>
      </c>
      <c r="I164" s="62"/>
      <c r="J164" s="6"/>
      <c r="K164" s="6"/>
      <c r="L164" s="6"/>
    </row>
    <row r="165" spans="1:12" s="5" customFormat="1" hidden="1" x14ac:dyDescent="0.25">
      <c r="B165" s="41" t="s">
        <v>146</v>
      </c>
      <c r="D165" s="44"/>
      <c r="E165" s="44">
        <v>0</v>
      </c>
      <c r="F165" s="44">
        <v>0</v>
      </c>
      <c r="G165" s="38"/>
      <c r="H165" s="38"/>
      <c r="I165" s="62"/>
      <c r="J165" s="6"/>
      <c r="K165" s="6"/>
      <c r="L165" s="6"/>
    </row>
    <row r="166" spans="1:12" s="5" customFormat="1" hidden="1" x14ac:dyDescent="0.25">
      <c r="B166" s="55" t="s">
        <v>8</v>
      </c>
      <c r="D166" s="44"/>
      <c r="E166" s="44"/>
      <c r="F166" s="44"/>
      <c r="G166" s="38"/>
      <c r="H166" s="38"/>
      <c r="I166" s="62"/>
      <c r="J166" s="6"/>
      <c r="K166" s="6"/>
      <c r="L166" s="6"/>
    </row>
    <row r="167" spans="1:12" s="5" customFormat="1" hidden="1" x14ac:dyDescent="0.25">
      <c r="B167" s="41" t="s">
        <v>147</v>
      </c>
      <c r="D167" s="44"/>
      <c r="E167" s="44"/>
      <c r="F167" s="44"/>
      <c r="G167" s="38"/>
      <c r="H167" s="38"/>
      <c r="I167" s="62"/>
      <c r="J167" s="6"/>
      <c r="K167" s="6"/>
      <c r="L167" s="6"/>
    </row>
    <row r="168" spans="1:12" s="5" customFormat="1" hidden="1" x14ac:dyDescent="0.25">
      <c r="B168" s="41" t="s">
        <v>146</v>
      </c>
      <c r="D168" s="44"/>
      <c r="E168" s="44"/>
      <c r="F168" s="44"/>
      <c r="G168" s="38"/>
      <c r="H168" s="38"/>
      <c r="I168" s="62"/>
      <c r="J168" s="6"/>
      <c r="K168" s="6"/>
      <c r="L168" s="6"/>
    </row>
    <row r="169" spans="1:12" hidden="1" x14ac:dyDescent="0.25"/>
    <row r="170" spans="1:12" hidden="1" x14ac:dyDescent="0.25">
      <c r="A170" s="50"/>
      <c r="B170" s="50" t="s">
        <v>25</v>
      </c>
      <c r="C170" s="50"/>
      <c r="D170" s="52"/>
      <c r="E170" s="52">
        <f>E171+E174</f>
        <v>0</v>
      </c>
      <c r="F170" s="52">
        <f>F171+F174</f>
        <v>0</v>
      </c>
      <c r="G170" s="52">
        <f t="shared" ref="G170:H170" si="50">G171+G174</f>
        <v>0</v>
      </c>
      <c r="H170" s="52">
        <f t="shared" si="50"/>
        <v>0</v>
      </c>
    </row>
    <row r="171" spans="1:12" s="5" customFormat="1" hidden="1" x14ac:dyDescent="0.25">
      <c r="B171" s="5" t="s">
        <v>205</v>
      </c>
      <c r="D171" s="44"/>
      <c r="E171" s="44"/>
      <c r="F171" s="44">
        <v>0</v>
      </c>
      <c r="G171" s="38"/>
      <c r="H171" s="38"/>
      <c r="I171" s="62"/>
      <c r="J171" s="6"/>
      <c r="K171" s="6"/>
      <c r="L171" s="6"/>
    </row>
    <row r="172" spans="1:12" s="5" customFormat="1" hidden="1" x14ac:dyDescent="0.25">
      <c r="B172" s="41"/>
      <c r="D172" s="44"/>
      <c r="E172" s="44"/>
      <c r="F172" s="44"/>
      <c r="G172" s="38"/>
      <c r="H172" s="38"/>
      <c r="I172" s="62"/>
      <c r="J172" s="6"/>
      <c r="K172" s="6"/>
      <c r="L172" s="6"/>
    </row>
    <row r="173" spans="1:12" s="5" customFormat="1" hidden="1" x14ac:dyDescent="0.25">
      <c r="B173" s="41"/>
      <c r="D173" s="44"/>
      <c r="E173" s="44"/>
      <c r="F173" s="44"/>
      <c r="G173" s="38"/>
      <c r="H173" s="38"/>
      <c r="I173" s="62"/>
      <c r="J173" s="6"/>
      <c r="K173" s="6"/>
      <c r="L173" s="6"/>
    </row>
    <row r="174" spans="1:12" s="5" customFormat="1" hidden="1" x14ac:dyDescent="0.25">
      <c r="B174" s="5" t="s">
        <v>154</v>
      </c>
      <c r="D174" s="44"/>
      <c r="E174" s="44">
        <f>E175+E176*E177</f>
        <v>0</v>
      </c>
      <c r="F174" s="44">
        <f>F175+F176*F177</f>
        <v>0</v>
      </c>
      <c r="G174" s="44">
        <f t="shared" ref="G174:H174" si="51">G175+G176*G177</f>
        <v>0</v>
      </c>
      <c r="H174" s="44">
        <f t="shared" si="51"/>
        <v>0</v>
      </c>
      <c r="I174" s="73"/>
    </row>
    <row r="175" spans="1:12" hidden="1" x14ac:dyDescent="0.25">
      <c r="B175" s="41" t="s">
        <v>153</v>
      </c>
      <c r="E175" s="44">
        <f>'Rates and GI'!D46*0</f>
        <v>0</v>
      </c>
      <c r="F175" s="44">
        <f>'Rates and GI'!D46*0</f>
        <v>0</v>
      </c>
    </row>
    <row r="176" spans="1:12" hidden="1" x14ac:dyDescent="0.25">
      <c r="B176" s="41" t="s">
        <v>159</v>
      </c>
      <c r="E176" s="60">
        <f>'Rates and GI'!$D$48</f>
        <v>0.02</v>
      </c>
      <c r="F176" s="60">
        <f>'Rates and GI'!$D$48</f>
        <v>0.02</v>
      </c>
      <c r="G176" s="60">
        <f>'Rates and GI'!$D$48</f>
        <v>0.02</v>
      </c>
      <c r="H176" s="60">
        <f>'Rates and GI'!$D$48</f>
        <v>0.02</v>
      </c>
    </row>
    <row r="177" spans="1:12" hidden="1" x14ac:dyDescent="0.25">
      <c r="B177" s="41" t="s">
        <v>160</v>
      </c>
      <c r="E177" s="44">
        <v>0</v>
      </c>
      <c r="F177" s="44">
        <v>0</v>
      </c>
      <c r="G177" s="44">
        <v>0</v>
      </c>
      <c r="H177" s="44">
        <v>0</v>
      </c>
    </row>
    <row r="178" spans="1:12" s="5" customFormat="1" hidden="1" x14ac:dyDescent="0.25">
      <c r="B178" s="41"/>
      <c r="D178" s="44"/>
      <c r="E178" s="44"/>
      <c r="F178" s="44"/>
      <c r="G178" s="38"/>
      <c r="H178" s="38"/>
      <c r="I178" s="62"/>
      <c r="J178" s="6"/>
      <c r="K178" s="6"/>
      <c r="L178" s="6"/>
    </row>
    <row r="179" spans="1:12" hidden="1" x14ac:dyDescent="0.25">
      <c r="A179" s="50"/>
      <c r="B179" s="50" t="s">
        <v>21</v>
      </c>
      <c r="C179" s="50"/>
      <c r="D179" s="52"/>
      <c r="E179" s="52">
        <f>E180*E181+E182*E183++E184*E185+E186*E187</f>
        <v>0</v>
      </c>
      <c r="F179" s="52">
        <f t="shared" ref="F179:H179" si="52">F180*F181+F182*F183++F184*F185+F186*F187</f>
        <v>0</v>
      </c>
      <c r="G179" s="52">
        <f t="shared" si="52"/>
        <v>0</v>
      </c>
      <c r="H179" s="52">
        <f t="shared" si="52"/>
        <v>0</v>
      </c>
    </row>
    <row r="180" spans="1:12" hidden="1" x14ac:dyDescent="0.25">
      <c r="B180" s="41" t="s">
        <v>150</v>
      </c>
      <c r="G180" s="44">
        <v>0</v>
      </c>
      <c r="H180" s="44"/>
    </row>
    <row r="181" spans="1:12" hidden="1" x14ac:dyDescent="0.25">
      <c r="B181" s="41" t="s">
        <v>151</v>
      </c>
      <c r="E181" s="44">
        <f>'Rates and GI'!$D$58</f>
        <v>5000</v>
      </c>
      <c r="F181" s="44">
        <f>'Rates and GI'!$D$58</f>
        <v>5000</v>
      </c>
      <c r="G181" s="44">
        <f>'Rates and GI'!$D$58</f>
        <v>5000</v>
      </c>
      <c r="H181" s="44">
        <f>'Rates and GI'!$D$58</f>
        <v>5000</v>
      </c>
    </row>
    <row r="182" spans="1:12" hidden="1" x14ac:dyDescent="0.25">
      <c r="B182" s="41" t="s">
        <v>148</v>
      </c>
      <c r="E182" s="44">
        <v>0</v>
      </c>
      <c r="F182" s="44">
        <v>0</v>
      </c>
      <c r="G182" s="44">
        <v>0</v>
      </c>
      <c r="H182" s="44">
        <v>0</v>
      </c>
    </row>
    <row r="183" spans="1:12" hidden="1" x14ac:dyDescent="0.25">
      <c r="B183" s="41" t="s">
        <v>149</v>
      </c>
      <c r="E183" s="44">
        <f>'Rates and GI'!$D$59</f>
        <v>1500</v>
      </c>
      <c r="F183" s="44">
        <f>'Rates and GI'!$D$59</f>
        <v>1500</v>
      </c>
      <c r="G183" s="44">
        <f>'Rates and GI'!$D$59</f>
        <v>1500</v>
      </c>
      <c r="H183" s="44">
        <f>'Rates and GI'!$D$59</f>
        <v>1500</v>
      </c>
    </row>
    <row r="184" spans="1:12" ht="27" hidden="1" x14ac:dyDescent="0.25">
      <c r="B184" s="63" t="s">
        <v>162</v>
      </c>
      <c r="E184" s="44">
        <v>0</v>
      </c>
      <c r="F184" s="44">
        <v>0</v>
      </c>
      <c r="G184" s="44">
        <v>0</v>
      </c>
      <c r="H184" s="44">
        <v>0</v>
      </c>
    </row>
    <row r="185" spans="1:12" ht="27" hidden="1" x14ac:dyDescent="0.25">
      <c r="B185" s="63" t="s">
        <v>161</v>
      </c>
      <c r="E185" s="44">
        <f>'Rates and GI'!$D$60</f>
        <v>200</v>
      </c>
      <c r="F185" s="44">
        <f>'Rates and GI'!$D$60</f>
        <v>200</v>
      </c>
      <c r="G185" s="44">
        <f>'Rates and GI'!$D$60</f>
        <v>200</v>
      </c>
      <c r="H185" s="44">
        <f>'Rates and GI'!$D$60</f>
        <v>200</v>
      </c>
    </row>
    <row r="186" spans="1:12" s="5" customFormat="1" hidden="1" x14ac:dyDescent="0.25">
      <c r="B186" s="41" t="s">
        <v>217</v>
      </c>
      <c r="D186" s="44"/>
      <c r="E186" s="44">
        <v>0</v>
      </c>
      <c r="F186" s="44">
        <v>0</v>
      </c>
      <c r="G186" s="44">
        <v>0</v>
      </c>
      <c r="H186" s="44">
        <v>0</v>
      </c>
      <c r="I186" s="62"/>
      <c r="J186" s="6"/>
      <c r="K186" s="6"/>
      <c r="L186" s="6"/>
    </row>
    <row r="187" spans="1:12" s="5" customFormat="1" hidden="1" x14ac:dyDescent="0.25">
      <c r="B187" s="41" t="s">
        <v>214</v>
      </c>
      <c r="D187" s="44"/>
      <c r="E187" s="44">
        <f>'Rates and GI'!$D$61</f>
        <v>50</v>
      </c>
      <c r="F187" s="44">
        <f>'Rates and GI'!$D$61</f>
        <v>50</v>
      </c>
      <c r="G187" s="38">
        <f>'Rates and GI'!$D$61</f>
        <v>50</v>
      </c>
      <c r="H187" s="38">
        <f>'Rates and GI'!$D$61</f>
        <v>50</v>
      </c>
      <c r="I187" s="62"/>
      <c r="J187" s="6"/>
      <c r="K187" s="6"/>
      <c r="L187" s="6"/>
    </row>
    <row r="188" spans="1:12" hidden="1" x14ac:dyDescent="0.25">
      <c r="A188" s="50"/>
      <c r="B188" s="50"/>
      <c r="C188" s="50"/>
      <c r="D188" s="52"/>
      <c r="E188" s="52"/>
      <c r="F188" s="52"/>
      <c r="G188" s="52"/>
      <c r="H188" s="52"/>
    </row>
    <row r="189" spans="1:12" hidden="1" x14ac:dyDescent="0.25">
      <c r="A189" s="50"/>
      <c r="B189" s="50" t="s">
        <v>194</v>
      </c>
      <c r="C189" s="50"/>
      <c r="D189" s="52"/>
      <c r="E189" s="52">
        <f>E190+E193+E196+E205+E210</f>
        <v>0</v>
      </c>
      <c r="F189" s="52">
        <f t="shared" ref="F189:H189" si="53">F190+F193+F196+F205+F210</f>
        <v>0</v>
      </c>
      <c r="G189" s="52">
        <f t="shared" si="53"/>
        <v>0</v>
      </c>
      <c r="H189" s="52">
        <f t="shared" si="53"/>
        <v>0</v>
      </c>
    </row>
    <row r="190" spans="1:12" s="5" customFormat="1" hidden="1" x14ac:dyDescent="0.25">
      <c r="B190" s="5" t="s">
        <v>173</v>
      </c>
      <c r="D190" s="44"/>
      <c r="E190" s="44">
        <f>E191+E194*E195</f>
        <v>0</v>
      </c>
      <c r="F190" s="44">
        <f>F191+F194*F195</f>
        <v>0</v>
      </c>
      <c r="G190" s="44">
        <f>G191+G194*G195</f>
        <v>0</v>
      </c>
      <c r="H190" s="44">
        <f t="shared" ref="H190" si="54">H191+H194*H195</f>
        <v>0</v>
      </c>
      <c r="I190" s="73"/>
    </row>
    <row r="191" spans="1:12" hidden="1" x14ac:dyDescent="0.25">
      <c r="B191" s="41" t="s">
        <v>184</v>
      </c>
      <c r="F191" s="44">
        <f>('Rates and GI'!$D$45+'Rates and GI'!$D$49)*0</f>
        <v>0</v>
      </c>
      <c r="G191" s="44">
        <f>('Rates and GI'!$D$45+'Rates and GI'!$D$49)*0</f>
        <v>0</v>
      </c>
      <c r="H191" s="44"/>
    </row>
    <row r="192" spans="1:12" hidden="1" x14ac:dyDescent="0.25">
      <c r="B192" s="41" t="s">
        <v>187</v>
      </c>
      <c r="F192" s="44">
        <f>'Rates and GI'!$D$51*0</f>
        <v>0</v>
      </c>
      <c r="G192" s="44">
        <f>'Rates and GI'!$D$51*0</f>
        <v>0</v>
      </c>
      <c r="H192" s="44"/>
    </row>
    <row r="193" spans="1:12" hidden="1" x14ac:dyDescent="0.25">
      <c r="B193" s="5" t="s">
        <v>174</v>
      </c>
      <c r="E193" s="44">
        <f>E194*E195</f>
        <v>0</v>
      </c>
      <c r="F193" s="44">
        <f t="shared" ref="F193:H193" si="55">F194*F195</f>
        <v>0</v>
      </c>
      <c r="G193" s="44">
        <f t="shared" si="55"/>
        <v>0</v>
      </c>
      <c r="H193" s="44">
        <f t="shared" si="55"/>
        <v>0</v>
      </c>
    </row>
    <row r="194" spans="1:12" hidden="1" x14ac:dyDescent="0.25">
      <c r="B194" s="41" t="s">
        <v>164</v>
      </c>
      <c r="F194" s="44">
        <f>'Rates and GI'!$D$54</f>
        <v>24.066499999999998</v>
      </c>
      <c r="G194" s="44">
        <f>'Rates and GI'!$D$54</f>
        <v>24.066499999999998</v>
      </c>
      <c r="H194" s="44">
        <f>'Rates and GI'!$D$54</f>
        <v>24.066499999999998</v>
      </c>
    </row>
    <row r="195" spans="1:12" hidden="1" x14ac:dyDescent="0.25">
      <c r="B195" s="41" t="s">
        <v>163</v>
      </c>
      <c r="F195" s="44">
        <v>0</v>
      </c>
      <c r="G195" s="38">
        <v>0</v>
      </c>
      <c r="H195" s="38">
        <v>0</v>
      </c>
    </row>
    <row r="196" spans="1:12" hidden="1" x14ac:dyDescent="0.25">
      <c r="B196" s="5" t="s">
        <v>175</v>
      </c>
      <c r="E196" s="44">
        <f>E197+E201</f>
        <v>0</v>
      </c>
      <c r="F196" s="44">
        <f t="shared" ref="F196:H196" si="56">F197+F201</f>
        <v>0</v>
      </c>
      <c r="G196" s="44">
        <f t="shared" si="56"/>
        <v>0</v>
      </c>
      <c r="H196" s="44">
        <f t="shared" si="56"/>
        <v>0</v>
      </c>
    </row>
    <row r="197" spans="1:12" hidden="1" x14ac:dyDescent="0.25">
      <c r="B197" s="41" t="s">
        <v>189</v>
      </c>
      <c r="E197" s="44">
        <f>E198*E199</f>
        <v>0</v>
      </c>
      <c r="F197" s="44">
        <f t="shared" ref="F197:H197" si="57">F198*F199</f>
        <v>0</v>
      </c>
      <c r="G197" s="44">
        <f t="shared" si="57"/>
        <v>0</v>
      </c>
      <c r="H197" s="44">
        <f t="shared" si="57"/>
        <v>0</v>
      </c>
    </row>
    <row r="198" spans="1:12" hidden="1" x14ac:dyDescent="0.25">
      <c r="B198" s="41" t="s">
        <v>176</v>
      </c>
      <c r="C198" s="5" t="s">
        <v>177</v>
      </c>
      <c r="E198" s="44">
        <v>0</v>
      </c>
      <c r="F198" s="44">
        <v>0</v>
      </c>
      <c r="G198" s="38">
        <v>0</v>
      </c>
      <c r="H198" s="38">
        <v>0</v>
      </c>
    </row>
    <row r="199" spans="1:12" hidden="1" x14ac:dyDescent="0.25">
      <c r="B199" s="41" t="s">
        <v>178</v>
      </c>
      <c r="E199" s="44">
        <f>'Rates and GI'!$D$52</f>
        <v>150</v>
      </c>
      <c r="F199" s="44">
        <f>'Rates and GI'!$D$52</f>
        <v>150</v>
      </c>
      <c r="G199" s="44">
        <f>'Rates and GI'!$D$52</f>
        <v>150</v>
      </c>
      <c r="H199" s="44">
        <f>'Rates and GI'!$D$52</f>
        <v>150</v>
      </c>
    </row>
    <row r="200" spans="1:12" hidden="1" x14ac:dyDescent="0.25">
      <c r="B200" s="6"/>
    </row>
    <row r="201" spans="1:12" hidden="1" x14ac:dyDescent="0.25">
      <c r="B201" s="41" t="s">
        <v>190</v>
      </c>
      <c r="E201" s="44">
        <f>E202*E203</f>
        <v>0</v>
      </c>
      <c r="F201" s="44">
        <f t="shared" ref="F201:H201" si="58">F202*F203</f>
        <v>0</v>
      </c>
      <c r="G201" s="44">
        <f t="shared" si="58"/>
        <v>0</v>
      </c>
      <c r="H201" s="44">
        <f t="shared" si="58"/>
        <v>0</v>
      </c>
    </row>
    <row r="202" spans="1:12" hidden="1" x14ac:dyDescent="0.25">
      <c r="B202" s="41" t="s">
        <v>176</v>
      </c>
      <c r="C202" s="5" t="s">
        <v>177</v>
      </c>
      <c r="E202" s="44">
        <v>0</v>
      </c>
      <c r="F202" s="44">
        <v>0</v>
      </c>
      <c r="G202" s="38">
        <v>0</v>
      </c>
      <c r="H202" s="38">
        <v>0</v>
      </c>
    </row>
    <row r="203" spans="1:12" s="62" customFormat="1" hidden="1" x14ac:dyDescent="0.25">
      <c r="A203" s="5"/>
      <c r="B203" s="41" t="s">
        <v>178</v>
      </c>
      <c r="C203" s="5"/>
      <c r="D203" s="44"/>
      <c r="E203" s="44">
        <f>'Rates and GI'!$D$53</f>
        <v>20</v>
      </c>
      <c r="F203" s="44">
        <f>'Rates and GI'!$D$53</f>
        <v>20</v>
      </c>
      <c r="G203" s="44">
        <f>'Rates and GI'!$D$53</f>
        <v>20</v>
      </c>
      <c r="H203" s="44">
        <f>'Rates and GI'!$D$53</f>
        <v>20</v>
      </c>
      <c r="J203" s="6"/>
      <c r="K203" s="6"/>
      <c r="L203" s="6"/>
    </row>
    <row r="204" spans="1:12" s="62" customFormat="1" hidden="1" x14ac:dyDescent="0.25">
      <c r="A204" s="5"/>
      <c r="B204" s="6"/>
      <c r="C204" s="5"/>
      <c r="D204" s="44"/>
      <c r="E204" s="44"/>
      <c r="F204" s="44"/>
      <c r="G204" s="38"/>
      <c r="H204" s="38"/>
      <c r="J204" s="6"/>
      <c r="K204" s="6"/>
      <c r="L204" s="6"/>
    </row>
    <row r="205" spans="1:12" s="62" customFormat="1" hidden="1" x14ac:dyDescent="0.25">
      <c r="A205" s="5"/>
      <c r="B205" s="5" t="s">
        <v>179</v>
      </c>
      <c r="C205" s="5"/>
      <c r="D205" s="44"/>
      <c r="E205" s="44">
        <f>E206*E207*E208</f>
        <v>0</v>
      </c>
      <c r="F205" s="44">
        <f t="shared" ref="F205:H205" si="59">F206*F207*F208</f>
        <v>0</v>
      </c>
      <c r="G205" s="44">
        <f t="shared" si="59"/>
        <v>0</v>
      </c>
      <c r="H205" s="44">
        <f t="shared" si="59"/>
        <v>0</v>
      </c>
      <c r="J205" s="6"/>
      <c r="K205" s="6"/>
      <c r="L205" s="6"/>
    </row>
    <row r="206" spans="1:12" s="62" customFormat="1" hidden="1" x14ac:dyDescent="0.25">
      <c r="A206" s="5"/>
      <c r="B206" s="41" t="s">
        <v>191</v>
      </c>
      <c r="C206" s="5"/>
      <c r="D206" s="44"/>
      <c r="E206" s="44"/>
      <c r="F206" s="44">
        <f>'Rates and GI'!$D$55</f>
        <v>300</v>
      </c>
      <c r="G206" s="44">
        <f>'Rates and GI'!$D$55</f>
        <v>300</v>
      </c>
      <c r="H206" s="44">
        <f>'Rates and GI'!$D$55</f>
        <v>300</v>
      </c>
      <c r="J206" s="6"/>
      <c r="K206" s="6"/>
      <c r="L206" s="6"/>
    </row>
    <row r="207" spans="1:12" s="62" customFormat="1" hidden="1" x14ac:dyDescent="0.25">
      <c r="A207" s="5"/>
      <c r="B207" s="41" t="s">
        <v>192</v>
      </c>
      <c r="C207" s="5"/>
      <c r="D207" s="44"/>
      <c r="E207" s="44"/>
      <c r="F207" s="44">
        <v>3</v>
      </c>
      <c r="G207" s="44">
        <v>3</v>
      </c>
      <c r="H207" s="44">
        <v>3</v>
      </c>
      <c r="J207" s="6"/>
      <c r="K207" s="6"/>
      <c r="L207" s="6"/>
    </row>
    <row r="208" spans="1:12" s="62" customFormat="1" hidden="1" x14ac:dyDescent="0.25">
      <c r="A208" s="5"/>
      <c r="B208" s="41" t="s">
        <v>193</v>
      </c>
      <c r="C208" s="5"/>
      <c r="D208" s="44"/>
      <c r="E208" s="44"/>
      <c r="F208" s="44">
        <v>0</v>
      </c>
      <c r="G208" s="44">
        <v>0</v>
      </c>
      <c r="H208" s="44">
        <v>0</v>
      </c>
      <c r="J208" s="6"/>
      <c r="K208" s="6"/>
      <c r="L208" s="6"/>
    </row>
    <row r="209" spans="1:12" hidden="1" x14ac:dyDescent="0.25"/>
    <row r="210" spans="1:12" s="62" customFormat="1" hidden="1" x14ac:dyDescent="0.25">
      <c r="A210" s="5"/>
      <c r="B210" s="5" t="s">
        <v>172</v>
      </c>
      <c r="C210" s="5"/>
      <c r="D210" s="44"/>
      <c r="E210" s="44">
        <f>E211+E212*E213</f>
        <v>0</v>
      </c>
      <c r="F210" s="44">
        <f>F211+F212*F213</f>
        <v>0</v>
      </c>
      <c r="G210" s="44">
        <f>G211+G212*G213</f>
        <v>0</v>
      </c>
      <c r="H210" s="44">
        <f>H211+H212*H213</f>
        <v>0</v>
      </c>
      <c r="J210" s="6"/>
      <c r="K210" s="6"/>
      <c r="L210" s="6"/>
    </row>
    <row r="211" spans="1:12" s="62" customFormat="1" hidden="1" x14ac:dyDescent="0.25">
      <c r="A211" s="5"/>
      <c r="B211" s="41" t="s">
        <v>153</v>
      </c>
      <c r="C211" s="5"/>
      <c r="D211" s="44"/>
      <c r="E211" s="44"/>
      <c r="F211" s="44">
        <f>'Rates and GI'!D46*0</f>
        <v>0</v>
      </c>
      <c r="G211" s="38"/>
      <c r="H211" s="38"/>
      <c r="J211" s="6"/>
      <c r="K211" s="6"/>
      <c r="L211" s="6"/>
    </row>
    <row r="212" spans="1:12" s="62" customFormat="1" hidden="1" x14ac:dyDescent="0.25">
      <c r="A212" s="5"/>
      <c r="B212" s="41" t="s">
        <v>159</v>
      </c>
      <c r="C212" s="5"/>
      <c r="D212" s="44"/>
      <c r="E212" s="44"/>
      <c r="F212" s="65">
        <f>'Rates and GI'!$D$47</f>
        <v>0.05</v>
      </c>
      <c r="G212" s="65">
        <f>'Rates and GI'!$D$47</f>
        <v>0.05</v>
      </c>
      <c r="H212" s="65">
        <f>'Rates and GI'!$D$47</f>
        <v>0.05</v>
      </c>
      <c r="J212" s="6"/>
      <c r="K212" s="6"/>
      <c r="L212" s="6"/>
    </row>
    <row r="213" spans="1:12" s="62" customFormat="1" hidden="1" x14ac:dyDescent="0.25">
      <c r="A213" s="5"/>
      <c r="B213" s="41" t="s">
        <v>160</v>
      </c>
      <c r="C213" s="5"/>
      <c r="D213" s="44"/>
      <c r="E213" s="44"/>
      <c r="F213" s="44">
        <v>0</v>
      </c>
      <c r="G213" s="38">
        <v>0</v>
      </c>
      <c r="H213" s="38"/>
      <c r="J213" s="6"/>
      <c r="K213" s="6"/>
      <c r="L213" s="6"/>
    </row>
    <row r="214" spans="1:12" hidden="1" x14ac:dyDescent="0.25"/>
    <row r="215" spans="1:12" s="62" customFormat="1" hidden="1" x14ac:dyDescent="0.25">
      <c r="A215" s="50"/>
      <c r="B215" s="50" t="s">
        <v>19</v>
      </c>
      <c r="C215" s="50"/>
      <c r="D215" s="52"/>
      <c r="E215" s="52">
        <v>0</v>
      </c>
      <c r="F215" s="52">
        <v>0</v>
      </c>
      <c r="G215" s="52">
        <v>0</v>
      </c>
      <c r="H215" s="52">
        <v>0</v>
      </c>
      <c r="J215" s="6"/>
      <c r="K215" s="6"/>
      <c r="L215" s="6"/>
    </row>
    <row r="216" spans="1:12" hidden="1" x14ac:dyDescent="0.25"/>
    <row r="217" spans="1:12" ht="27" hidden="1" x14ac:dyDescent="0.25">
      <c r="A217" s="50"/>
      <c r="B217" s="132" t="s">
        <v>252</v>
      </c>
      <c r="C217" s="133"/>
      <c r="D217" s="51"/>
      <c r="E217" s="51"/>
      <c r="F217" s="51"/>
      <c r="G217" s="51"/>
      <c r="H217" s="51"/>
    </row>
    <row r="218" spans="1:12" hidden="1" x14ac:dyDescent="0.25">
      <c r="A218" s="10"/>
      <c r="B218" s="39" t="s">
        <v>253</v>
      </c>
      <c r="C218" s="134">
        <v>6</v>
      </c>
      <c r="D218" s="33"/>
      <c r="E218" s="44">
        <v>6</v>
      </c>
      <c r="F218" s="44">
        <v>0</v>
      </c>
      <c r="G218" s="44">
        <v>0</v>
      </c>
      <c r="H218" s="44">
        <v>0</v>
      </c>
    </row>
    <row r="219" spans="1:12" hidden="1" x14ac:dyDescent="0.25">
      <c r="B219" s="39" t="s">
        <v>254</v>
      </c>
      <c r="C219" s="33">
        <v>0</v>
      </c>
      <c r="D219" s="33"/>
      <c r="G219" s="44"/>
      <c r="H219" s="44"/>
    </row>
    <row r="220" spans="1:12" hidden="1" x14ac:dyDescent="0.25">
      <c r="B220" s="39" t="s">
        <v>255</v>
      </c>
      <c r="C220" s="73"/>
      <c r="D220" s="33"/>
      <c r="E220" s="44">
        <f>$C$219/$C$218*E218</f>
        <v>0</v>
      </c>
      <c r="F220" s="44">
        <f t="shared" ref="F220:H220" si="60">$C$219/$C$218*F218</f>
        <v>0</v>
      </c>
      <c r="G220" s="44">
        <f t="shared" si="60"/>
        <v>0</v>
      </c>
      <c r="H220" s="44">
        <f t="shared" si="60"/>
        <v>0</v>
      </c>
    </row>
    <row r="221" spans="1:12" hidden="1" x14ac:dyDescent="0.25"/>
  </sheetData>
  <pageMargins left="0.7" right="0.7" top="0.75" bottom="0.75" header="0.3" footer="0.3"/>
  <pageSetup paperSize="9" scale="54" fitToHeight="0"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6"/>
  <sheetViews>
    <sheetView topLeftCell="A114" workbookViewId="0">
      <selection activeCell="B189" sqref="B189"/>
    </sheetView>
  </sheetViews>
  <sheetFormatPr defaultRowHeight="13.5" x14ac:dyDescent="0.25"/>
  <cols>
    <col min="1" max="1" width="5.5703125" style="5" customWidth="1"/>
    <col min="2" max="2" width="79.85546875" style="5" customWidth="1"/>
    <col min="3" max="3" width="14.140625" style="5" customWidth="1"/>
    <col min="4" max="4" width="12.7109375" style="44" bestFit="1" customWidth="1"/>
    <col min="5" max="5" width="11.7109375" style="44" bestFit="1" customWidth="1"/>
    <col min="6" max="6" width="12.85546875" style="44" bestFit="1" customWidth="1"/>
    <col min="7" max="7" width="12.28515625" style="38" bestFit="1" customWidth="1"/>
    <col min="8" max="8" width="12" style="38" bestFit="1" customWidth="1"/>
    <col min="9" max="9" width="9.140625" style="62"/>
    <col min="10" max="16384" width="9.140625" style="6"/>
  </cols>
  <sheetData>
    <row r="1" spans="1:12" s="86" customFormat="1" ht="17.25" x14ac:dyDescent="0.3">
      <c r="A1" s="123">
        <v>12</v>
      </c>
      <c r="B1" s="126" t="s">
        <v>503</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4749.7136139321747</v>
      </c>
      <c r="E5" s="44">
        <f>E67</f>
        <v>1113.5250000000001</v>
      </c>
      <c r="F5" s="44">
        <f t="shared" ref="F5:H5" si="1">F67</f>
        <v>1161.406575</v>
      </c>
      <c r="G5" s="44">
        <f t="shared" si="1"/>
        <v>1211.3470577249998</v>
      </c>
      <c r="H5" s="44">
        <f t="shared" si="1"/>
        <v>1263.4349812071748</v>
      </c>
    </row>
    <row r="6" spans="1:12" x14ac:dyDescent="0.25">
      <c r="B6" s="16" t="s">
        <v>168</v>
      </c>
      <c r="D6" s="44">
        <f t="shared" si="0"/>
        <v>14530.495871713749</v>
      </c>
      <c r="E6" s="44">
        <f>E71</f>
        <v>3406.5359999999996</v>
      </c>
      <c r="F6" s="44">
        <f t="shared" ref="F6:H6" si="2">F71</f>
        <v>3553.0170479999992</v>
      </c>
      <c r="G6" s="44">
        <f t="shared" si="2"/>
        <v>3705.7967810639989</v>
      </c>
      <c r="H6" s="44">
        <f t="shared" si="2"/>
        <v>3865.1460426497501</v>
      </c>
    </row>
    <row r="7" spans="1:12" ht="14.25" thickBot="1" x14ac:dyDescent="0.3">
      <c r="A7" s="13"/>
      <c r="B7" s="13" t="s">
        <v>5</v>
      </c>
      <c r="C7" s="13"/>
      <c r="D7" s="47">
        <f>SUBTOTAL(9,D5:D6)</f>
        <v>19280.209485645923</v>
      </c>
      <c r="E7" s="47">
        <f>SUBTOTAL(9,E5:E6)</f>
        <v>4520.0609999999997</v>
      </c>
      <c r="F7" s="47">
        <f>SUBTOTAL(9,F5:F6)</f>
        <v>4714.4236229999988</v>
      </c>
      <c r="G7" s="47">
        <f>SUBTOTAL(9,G5:G6)</f>
        <v>4917.1438387889984</v>
      </c>
      <c r="H7" s="47">
        <f>SUBTOTAL(9,H5:H6)</f>
        <v>5128.5810238569247</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7265.854084705883</v>
      </c>
      <c r="E10" s="44">
        <f>E91</f>
        <v>0</v>
      </c>
      <c r="F10" s="44">
        <f t="shared" ref="F10:H10" si="4">F91</f>
        <v>3632.9270423529415</v>
      </c>
      <c r="G10" s="44">
        <f t="shared" si="4"/>
        <v>3632.9270423529415</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7265.854084705883</v>
      </c>
      <c r="E12" s="47">
        <f t="shared" ref="E12:H12" si="5">SUBTOTAL(9,E10:E11)</f>
        <v>0</v>
      </c>
      <c r="F12" s="47">
        <f t="shared" si="5"/>
        <v>3632.9270423529415</v>
      </c>
      <c r="G12" s="47">
        <f t="shared" si="5"/>
        <v>3632.9270423529415</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1375.6146320230018</v>
      </c>
      <c r="E15" s="44">
        <f>E99</f>
        <v>0</v>
      </c>
      <c r="F15" s="44">
        <f t="shared" ref="F15:H15" si="7">F99</f>
        <v>658.86691615294114</v>
      </c>
      <c r="G15" s="44">
        <f t="shared" si="7"/>
        <v>0</v>
      </c>
      <c r="H15" s="44">
        <f t="shared" si="7"/>
        <v>716.7477158700608</v>
      </c>
    </row>
    <row r="16" spans="1:12" x14ac:dyDescent="0.25">
      <c r="B16" s="16" t="s">
        <v>71</v>
      </c>
    </row>
    <row r="17" spans="1:12" ht="14.25" thickBot="1" x14ac:dyDescent="0.3">
      <c r="A17" s="13"/>
      <c r="B17" s="13" t="s">
        <v>74</v>
      </c>
      <c r="C17" s="13"/>
      <c r="D17" s="47">
        <f>SUBTOTAL(9,D15:D16)</f>
        <v>1375.6146320230018</v>
      </c>
      <c r="E17" s="47">
        <f t="shared" ref="E17:H17" si="8">SUBTOTAL(9,E15:E16)</f>
        <v>0</v>
      </c>
      <c r="F17" s="47">
        <f t="shared" si="8"/>
        <v>658.86691615294114</v>
      </c>
      <c r="G17" s="47">
        <f t="shared" si="8"/>
        <v>0</v>
      </c>
      <c r="H17" s="47">
        <f t="shared" si="8"/>
        <v>716.7477158700608</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3025.8216877781247</v>
      </c>
      <c r="E20" s="44">
        <f>E103</f>
        <v>709.375</v>
      </c>
      <c r="F20" s="44">
        <f t="shared" ref="F20:H20" si="10">F103</f>
        <v>739.87812499999995</v>
      </c>
      <c r="G20" s="44">
        <f t="shared" si="10"/>
        <v>771.69288437499995</v>
      </c>
      <c r="H20" s="44">
        <f t="shared" si="10"/>
        <v>804.87567840312488</v>
      </c>
    </row>
    <row r="21" spans="1:12" x14ac:dyDescent="0.25">
      <c r="B21" s="16" t="s">
        <v>139</v>
      </c>
      <c r="D21" s="44">
        <f t="shared" ref="D21" si="11">SUM(E21:H21)</f>
        <v>0</v>
      </c>
    </row>
    <row r="22" spans="1:12" ht="14.25" thickBot="1" x14ac:dyDescent="0.3">
      <c r="A22" s="13"/>
      <c r="B22" s="13" t="s">
        <v>140</v>
      </c>
      <c r="C22" s="13"/>
      <c r="D22" s="47">
        <f>SUBTOTAL(9,D20:D21)</f>
        <v>3025.8216877781247</v>
      </c>
      <c r="E22" s="47">
        <f t="shared" ref="E22:H22" si="12">SUBTOTAL(9,E20:E21)</f>
        <v>709.375</v>
      </c>
      <c r="F22" s="47">
        <f t="shared" si="12"/>
        <v>739.87812499999995</v>
      </c>
      <c r="G22" s="47">
        <f t="shared" si="12"/>
        <v>771.69288437499995</v>
      </c>
      <c r="H22" s="47">
        <f t="shared" si="12"/>
        <v>804.87567840312488</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1279.6426520999999</v>
      </c>
      <c r="E25" s="44">
        <f>E111</f>
        <v>300</v>
      </c>
      <c r="F25" s="44">
        <f t="shared" ref="F25:H25" si="13">F111</f>
        <v>312.89999999999998</v>
      </c>
      <c r="G25" s="44">
        <f t="shared" si="13"/>
        <v>326.35469999999998</v>
      </c>
      <c r="H25" s="44">
        <f t="shared" si="13"/>
        <v>340.38795209999995</v>
      </c>
    </row>
    <row r="26" spans="1:12" x14ac:dyDescent="0.25">
      <c r="B26" s="16" t="s">
        <v>25</v>
      </c>
      <c r="D26" s="44">
        <f t="shared" ref="D26" si="14">SUM(E26:H26)</f>
        <v>0</v>
      </c>
      <c r="E26" s="44">
        <f>E135</f>
        <v>0</v>
      </c>
      <c r="F26" s="44">
        <f>F135</f>
        <v>0</v>
      </c>
      <c r="G26" s="44">
        <f>G135</f>
        <v>0</v>
      </c>
      <c r="H26" s="44">
        <f t="shared" ref="H26" si="15">H135</f>
        <v>0</v>
      </c>
    </row>
    <row r="27" spans="1:12" x14ac:dyDescent="0.25">
      <c r="B27" s="16" t="s">
        <v>233</v>
      </c>
    </row>
    <row r="28" spans="1:12" ht="14.25" thickBot="1" x14ac:dyDescent="0.3">
      <c r="A28" s="13"/>
      <c r="B28" s="13" t="s">
        <v>73</v>
      </c>
      <c r="C28" s="13"/>
      <c r="D28" s="47">
        <f>SUBTOTAL(9,D25:D27)</f>
        <v>1279.6426520999999</v>
      </c>
      <c r="E28" s="47">
        <f t="shared" ref="E28:H28" si="16">SUBTOTAL(9,E25:E27)</f>
        <v>300</v>
      </c>
      <c r="F28" s="47">
        <f t="shared" si="16"/>
        <v>312.89999999999998</v>
      </c>
      <c r="G28" s="47">
        <f t="shared" si="16"/>
        <v>326.35469999999998</v>
      </c>
      <c r="H28" s="47">
        <f t="shared" si="16"/>
        <v>340.38795209999995</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940500</v>
      </c>
      <c r="E31" s="44">
        <f>E116</f>
        <v>40500</v>
      </c>
      <c r="F31" s="44">
        <f t="shared" ref="F31:H31" si="18">F116</f>
        <v>360000</v>
      </c>
      <c r="G31" s="44">
        <f t="shared" si="18"/>
        <v>360000</v>
      </c>
      <c r="H31" s="44">
        <f t="shared" si="18"/>
        <v>180000</v>
      </c>
    </row>
    <row r="32" spans="1:12" x14ac:dyDescent="0.25">
      <c r="B32" s="16" t="s">
        <v>26</v>
      </c>
      <c r="D32" s="44">
        <f t="shared" si="17"/>
        <v>0</v>
      </c>
      <c r="E32" s="44">
        <f>E124</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940500</v>
      </c>
      <c r="E35" s="47">
        <f t="shared" ref="E35:H35" si="19">SUBTOTAL(9,E31:E34)</f>
        <v>40500</v>
      </c>
      <c r="F35" s="47">
        <f t="shared" si="19"/>
        <v>360000</v>
      </c>
      <c r="G35" s="47">
        <f t="shared" si="19"/>
        <v>360000</v>
      </c>
      <c r="H35" s="47">
        <f t="shared" si="19"/>
        <v>180000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E180</f>
        <v>0</v>
      </c>
      <c r="F40" s="44">
        <f>F180</f>
        <v>0</v>
      </c>
      <c r="G40" s="44">
        <f>G180</f>
        <v>0</v>
      </c>
      <c r="H40" s="44">
        <f t="shared" ref="H40" si="21">H180</f>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E185</f>
        <v>0</v>
      </c>
      <c r="F46" s="44">
        <f>F185</f>
        <v>0</v>
      </c>
      <c r="G46" s="44">
        <f>G185</f>
        <v>0</v>
      </c>
      <c r="H46" s="44">
        <f t="shared" ref="H46" si="24">H185</f>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E154</f>
        <v>0</v>
      </c>
      <c r="F50" s="44">
        <f>F154</f>
        <v>0</v>
      </c>
      <c r="G50" s="44">
        <f>G154</f>
        <v>0</v>
      </c>
      <c r="H50" s="44">
        <f t="shared" ref="H50" si="27">H154</f>
        <v>0</v>
      </c>
    </row>
    <row r="51" spans="1:12" x14ac:dyDescent="0.25">
      <c r="A51" s="3"/>
      <c r="B51" s="3" t="s">
        <v>21</v>
      </c>
      <c r="C51" s="3"/>
      <c r="D51" s="44">
        <f t="shared" si="26"/>
        <v>0</v>
      </c>
      <c r="E51" s="44">
        <f>E144</f>
        <v>0</v>
      </c>
      <c r="F51" s="44">
        <f>F144</f>
        <v>0</v>
      </c>
      <c r="G51" s="44">
        <f>G144</f>
        <v>0</v>
      </c>
      <c r="H51" s="44">
        <f t="shared" ref="H51" si="28">H144</f>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972727.1425422529</v>
      </c>
      <c r="E54" s="49">
        <f>SUBTOTAL(9,E5:E52)</f>
        <v>46029.436000000002</v>
      </c>
      <c r="F54" s="49">
        <f>SUBTOTAL(9,F5:F52)</f>
        <v>370058.9957065059</v>
      </c>
      <c r="G54" s="49">
        <f>SUBTOTAL(9,G5:G52)</f>
        <v>369648.11846551695</v>
      </c>
      <c r="H54" s="49">
        <f>SUBTOTAL(9,H5:H52)</f>
        <v>186990.59237023012</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1113.5250000000001</v>
      </c>
      <c r="F67" s="44">
        <f t="shared" ref="F67:H67" si="29">F68*F69</f>
        <v>1161.406575</v>
      </c>
      <c r="G67" s="44">
        <f t="shared" si="29"/>
        <v>1211.3470577249998</v>
      </c>
      <c r="H67" s="44">
        <f t="shared" si="29"/>
        <v>1263.4349812071748</v>
      </c>
    </row>
    <row r="68" spans="1:12" x14ac:dyDescent="0.25">
      <c r="A68" s="9"/>
      <c r="B68" s="9" t="s">
        <v>114</v>
      </c>
      <c r="C68" s="9" t="s">
        <v>113</v>
      </c>
      <c r="E68" s="44">
        <f>3*21</f>
        <v>63</v>
      </c>
      <c r="F68" s="44">
        <f t="shared" ref="F68:G68" si="30">3*21</f>
        <v>63</v>
      </c>
      <c r="G68" s="44">
        <f t="shared" si="30"/>
        <v>63</v>
      </c>
      <c r="H68" s="44">
        <f>3*21</f>
        <v>63</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3406.5359999999996</v>
      </c>
      <c r="F71" s="44">
        <f t="shared" ref="F71:H71" si="31">F72*F73</f>
        <v>3553.0170479999992</v>
      </c>
      <c r="G71" s="44">
        <f t="shared" si="31"/>
        <v>3705.7967810639989</v>
      </c>
      <c r="H71" s="44">
        <f t="shared" si="31"/>
        <v>3865.1460426497501</v>
      </c>
      <c r="I71" s="62"/>
      <c r="J71" s="6"/>
      <c r="K71" s="6"/>
      <c r="L71" s="6"/>
    </row>
    <row r="72" spans="1:12" s="7" customFormat="1" x14ac:dyDescent="0.25">
      <c r="A72" s="9"/>
      <c r="B72" s="9" t="s">
        <v>170</v>
      </c>
      <c r="C72" s="9" t="s">
        <v>113</v>
      </c>
      <c r="D72" s="44"/>
      <c r="E72" s="44">
        <v>21</v>
      </c>
      <c r="F72" s="44">
        <v>21</v>
      </c>
      <c r="G72" s="44">
        <v>21</v>
      </c>
      <c r="H72" s="44">
        <v>21</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0</v>
      </c>
      <c r="F91" s="52">
        <f t="shared" ref="F91:H91" si="32">F92*F93+F95*F96</f>
        <v>3632.9270423529415</v>
      </c>
      <c r="G91" s="52">
        <f t="shared" si="32"/>
        <v>3632.9270423529415</v>
      </c>
      <c r="H91" s="52">
        <f t="shared" si="32"/>
        <v>0</v>
      </c>
    </row>
    <row r="92" spans="1:12" s="7" customFormat="1" x14ac:dyDescent="0.25">
      <c r="A92" s="5"/>
      <c r="B92" s="9" t="s">
        <v>49</v>
      </c>
      <c r="C92" s="5"/>
      <c r="D92" s="44"/>
      <c r="E92" s="44">
        <v>0</v>
      </c>
      <c r="F92" s="44">
        <v>4</v>
      </c>
      <c r="G92" s="44">
        <v>4</v>
      </c>
      <c r="H92" s="44">
        <v>0</v>
      </c>
      <c r="I92" s="62"/>
      <c r="J92" s="6"/>
      <c r="K92" s="6"/>
      <c r="L92" s="6"/>
    </row>
    <row r="93" spans="1:12" s="7" customFormat="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x14ac:dyDescent="0.25">
      <c r="A99" s="50"/>
      <c r="B99" s="50" t="s">
        <v>171</v>
      </c>
      <c r="C99" s="50"/>
      <c r="D99" s="52"/>
      <c r="E99" s="52">
        <f>E100*E101</f>
        <v>0</v>
      </c>
      <c r="F99" s="52">
        <f t="shared" ref="F99:H99" si="33">F100*F101</f>
        <v>658.86691615294114</v>
      </c>
      <c r="G99" s="52">
        <f t="shared" si="33"/>
        <v>0</v>
      </c>
      <c r="H99" s="52">
        <f t="shared" si="33"/>
        <v>716.7477158700608</v>
      </c>
    </row>
    <row r="100" spans="1:12" s="7" customFormat="1" x14ac:dyDescent="0.25">
      <c r="A100" s="10"/>
      <c r="B100" s="39" t="s">
        <v>144</v>
      </c>
      <c r="C100" s="10" t="s">
        <v>145</v>
      </c>
      <c r="D100" s="44"/>
      <c r="E100" s="44">
        <v>0</v>
      </c>
      <c r="F100" s="44">
        <v>1</v>
      </c>
      <c r="G100" s="44"/>
      <c r="H100" s="44">
        <v>1</v>
      </c>
      <c r="I100" s="62"/>
      <c r="J100" s="6"/>
      <c r="K100" s="6"/>
      <c r="L100" s="6"/>
    </row>
    <row r="101" spans="1:12" s="7" customFormat="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3" spans="1:12" x14ac:dyDescent="0.25">
      <c r="A103" s="50"/>
      <c r="B103" s="50" t="s">
        <v>130</v>
      </c>
      <c r="C103" s="50"/>
      <c r="D103" s="52"/>
      <c r="E103" s="52">
        <f>E104*E105+E106*E107+E108*E109</f>
        <v>709.375</v>
      </c>
      <c r="F103" s="52">
        <f t="shared" ref="F103:H103" si="34">F104*F105+F106*F107+F108*F109</f>
        <v>739.87812499999995</v>
      </c>
      <c r="G103" s="52">
        <f t="shared" si="34"/>
        <v>771.69288437499995</v>
      </c>
      <c r="H103" s="52">
        <f t="shared" si="34"/>
        <v>804.87567840312488</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v>0</v>
      </c>
      <c r="G105" s="44">
        <v>0</v>
      </c>
      <c r="H105" s="44">
        <f t="shared" ref="H105" si="35">H92</f>
        <v>0</v>
      </c>
    </row>
    <row r="106" spans="1:12" x14ac:dyDescent="0.25">
      <c r="B106" s="39" t="s">
        <v>134</v>
      </c>
      <c r="E106" s="44">
        <f>Training!C23</f>
        <v>709.375</v>
      </c>
      <c r="F106" s="44">
        <f>E106*(1+index)</f>
        <v>739.87812499999995</v>
      </c>
      <c r="G106" s="44">
        <f>F106*(1+index)</f>
        <v>771.69288437499995</v>
      </c>
      <c r="H106" s="44">
        <f>G106*(1+index)</f>
        <v>804.87567840312488</v>
      </c>
    </row>
    <row r="107" spans="1:12" x14ac:dyDescent="0.25">
      <c r="B107" s="39" t="s">
        <v>135</v>
      </c>
      <c r="C107" s="5" t="s">
        <v>471</v>
      </c>
      <c r="E107" s="44">
        <v>1</v>
      </c>
      <c r="F107" s="44">
        <f>E107</f>
        <v>1</v>
      </c>
      <c r="G107" s="44">
        <f t="shared" ref="G107:H107" si="36">F107</f>
        <v>1</v>
      </c>
      <c r="H107" s="44">
        <f t="shared" si="36"/>
        <v>1</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B110" s="39"/>
    </row>
    <row r="111" spans="1:12" x14ac:dyDescent="0.25">
      <c r="A111" s="50"/>
      <c r="B111" s="50" t="s">
        <v>24</v>
      </c>
      <c r="C111" s="50"/>
      <c r="D111" s="52"/>
      <c r="E111" s="52">
        <f t="shared" ref="E111:H111" si="37">E112*E113</f>
        <v>300</v>
      </c>
      <c r="F111" s="52">
        <f t="shared" si="37"/>
        <v>312.89999999999998</v>
      </c>
      <c r="G111" s="52">
        <f t="shared" si="37"/>
        <v>326.35469999999998</v>
      </c>
      <c r="H111" s="52">
        <f t="shared" si="37"/>
        <v>340.38795209999995</v>
      </c>
    </row>
    <row r="112" spans="1:12" s="7" customFormat="1" x14ac:dyDescent="0.25">
      <c r="A112" s="5"/>
      <c r="B112" s="39" t="s">
        <v>53</v>
      </c>
      <c r="C112" s="5"/>
      <c r="D112" s="44"/>
      <c r="E112" s="44">
        <v>50</v>
      </c>
      <c r="F112" s="44">
        <v>50</v>
      </c>
      <c r="G112" s="44">
        <v>50</v>
      </c>
      <c r="H112" s="44">
        <v>50</v>
      </c>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5" spans="1:12" x14ac:dyDescent="0.25">
      <c r="A115" s="50"/>
      <c r="B115" s="50" t="s">
        <v>7</v>
      </c>
      <c r="C115" s="50"/>
      <c r="D115" s="52"/>
      <c r="E115" s="52"/>
      <c r="F115" s="52"/>
      <c r="G115" s="52"/>
      <c r="H115" s="52"/>
    </row>
    <row r="116" spans="1:12" s="7" customFormat="1" x14ac:dyDescent="0.25">
      <c r="A116" s="5"/>
      <c r="B116" s="165" t="s">
        <v>57</v>
      </c>
      <c r="C116" s="5"/>
      <c r="D116" s="44"/>
      <c r="E116" s="46">
        <f>E117</f>
        <v>40500</v>
      </c>
      <c r="F116" s="46">
        <f t="shared" ref="F116:H116" si="38">F117</f>
        <v>360000</v>
      </c>
      <c r="G116" s="46">
        <f t="shared" si="38"/>
        <v>360000</v>
      </c>
      <c r="H116" s="46">
        <f t="shared" si="38"/>
        <v>180000</v>
      </c>
      <c r="I116" s="35"/>
      <c r="J116" s="6"/>
      <c r="K116" s="6"/>
      <c r="L116" s="6"/>
    </row>
    <row r="117" spans="1:12" s="7" customFormat="1" ht="54" x14ac:dyDescent="0.25">
      <c r="A117" s="5"/>
      <c r="B117" s="161" t="s">
        <v>521</v>
      </c>
      <c r="C117" s="5"/>
      <c r="D117" s="44"/>
      <c r="E117" s="46">
        <f>E118+E121</f>
        <v>40500</v>
      </c>
      <c r="F117" s="46">
        <f>F118+F121</f>
        <v>360000</v>
      </c>
      <c r="G117" s="46">
        <f t="shared" ref="G117:H117" si="39">G118+G121</f>
        <v>360000</v>
      </c>
      <c r="H117" s="46">
        <f t="shared" si="39"/>
        <v>180000</v>
      </c>
      <c r="I117" s="62"/>
      <c r="J117" s="6"/>
      <c r="K117" s="6"/>
      <c r="L117" s="6"/>
    </row>
    <row r="118" spans="1:12" s="7" customFormat="1" x14ac:dyDescent="0.25">
      <c r="A118" s="5"/>
      <c r="B118" s="39" t="s">
        <v>388</v>
      </c>
      <c r="C118" s="46">
        <v>900000</v>
      </c>
      <c r="D118" s="44"/>
      <c r="E118" s="7">
        <f>$C118*E119</f>
        <v>0</v>
      </c>
      <c r="F118" s="7">
        <f>$C118*F119</f>
        <v>360000</v>
      </c>
      <c r="G118" s="7">
        <f>$C118*G119</f>
        <v>360000</v>
      </c>
      <c r="H118" s="7">
        <f>$C118*H119</f>
        <v>180000</v>
      </c>
      <c r="I118" s="62"/>
      <c r="J118" s="6"/>
      <c r="K118" s="6"/>
      <c r="L118" s="6"/>
    </row>
    <row r="119" spans="1:12" s="7" customFormat="1" x14ac:dyDescent="0.25">
      <c r="A119" s="5"/>
      <c r="B119" s="162" t="s">
        <v>390</v>
      </c>
      <c r="C119" s="5"/>
      <c r="D119" s="44"/>
      <c r="E119" s="163">
        <v>0</v>
      </c>
      <c r="F119" s="163">
        <v>0.4</v>
      </c>
      <c r="G119" s="164">
        <v>0.4</v>
      </c>
      <c r="H119" s="164">
        <v>0.2</v>
      </c>
      <c r="I119" s="62"/>
      <c r="J119" s="6"/>
      <c r="K119" s="6"/>
      <c r="L119" s="6"/>
    </row>
    <row r="120" spans="1:12" s="7" customFormat="1" x14ac:dyDescent="0.25">
      <c r="A120" s="5"/>
      <c r="B120" s="162"/>
      <c r="C120" s="5"/>
      <c r="D120" s="44"/>
      <c r="E120" s="163"/>
      <c r="F120" s="163"/>
      <c r="G120" s="164"/>
      <c r="H120" s="164"/>
      <c r="I120" s="62"/>
      <c r="J120" s="6"/>
      <c r="K120" s="6"/>
      <c r="L120" s="6"/>
    </row>
    <row r="121" spans="1:12" s="7" customFormat="1" x14ac:dyDescent="0.25">
      <c r="A121" s="5"/>
      <c r="B121" s="39" t="s">
        <v>389</v>
      </c>
      <c r="C121" s="46">
        <v>40500</v>
      </c>
      <c r="D121" s="44"/>
      <c r="E121" s="7">
        <f>$C121*E122</f>
        <v>40500</v>
      </c>
      <c r="F121" s="7">
        <f t="shared" ref="F121:H121" si="40">$C121*F122</f>
        <v>0</v>
      </c>
      <c r="G121" s="7">
        <f t="shared" si="40"/>
        <v>0</v>
      </c>
      <c r="H121" s="7">
        <f t="shared" si="40"/>
        <v>0</v>
      </c>
      <c r="I121" s="62"/>
      <c r="J121" s="6"/>
      <c r="K121" s="6"/>
      <c r="L121" s="6"/>
    </row>
    <row r="122" spans="1:12" s="7" customFormat="1" x14ac:dyDescent="0.25">
      <c r="A122" s="5"/>
      <c r="B122" s="162" t="s">
        <v>390</v>
      </c>
      <c r="C122" s="5"/>
      <c r="D122" s="44"/>
      <c r="E122" s="163">
        <v>1</v>
      </c>
      <c r="F122" s="163"/>
      <c r="G122" s="164"/>
      <c r="H122" s="164"/>
      <c r="I122" s="62"/>
      <c r="J122" s="6"/>
      <c r="K122" s="6"/>
      <c r="L122" s="6"/>
    </row>
    <row r="123" spans="1:12" x14ac:dyDescent="0.25">
      <c r="A123" s="228"/>
      <c r="B123" s="228"/>
      <c r="C123" s="228"/>
      <c r="D123" s="230"/>
      <c r="E123" s="230"/>
      <c r="F123" s="230"/>
      <c r="G123" s="230"/>
      <c r="H123" s="230"/>
    </row>
    <row r="124" spans="1:12" hidden="1" x14ac:dyDescent="0.25">
      <c r="A124" s="50"/>
      <c r="B124" s="50" t="s">
        <v>26</v>
      </c>
      <c r="C124" s="50"/>
      <c r="D124" s="52"/>
      <c r="E124" s="52">
        <f>E129*E130</f>
        <v>0</v>
      </c>
      <c r="F124" s="52">
        <f>F129*F130</f>
        <v>0</v>
      </c>
      <c r="G124" s="52"/>
      <c r="H124" s="52"/>
    </row>
    <row r="125" spans="1:12" s="5" customFormat="1" hidden="1" x14ac:dyDescent="0.25">
      <c r="B125" s="55" t="s">
        <v>60</v>
      </c>
      <c r="D125" s="44"/>
      <c r="E125" s="44"/>
      <c r="F125" s="44"/>
      <c r="G125" s="38"/>
      <c r="H125" s="38"/>
      <c r="I125" s="62"/>
      <c r="J125" s="6"/>
      <c r="K125" s="6"/>
      <c r="L125" s="6"/>
    </row>
    <row r="126" spans="1:12" s="5" customFormat="1" hidden="1" x14ac:dyDescent="0.25">
      <c r="B126" s="41" t="s">
        <v>147</v>
      </c>
      <c r="D126" s="44"/>
      <c r="E126" s="44"/>
      <c r="F126" s="44"/>
      <c r="G126" s="38"/>
      <c r="H126" s="38"/>
      <c r="I126" s="62"/>
      <c r="J126" s="6"/>
      <c r="K126" s="6"/>
      <c r="L126" s="6"/>
    </row>
    <row r="127" spans="1:12" s="5" customFormat="1" hidden="1" x14ac:dyDescent="0.25">
      <c r="B127" s="41" t="s">
        <v>146</v>
      </c>
      <c r="D127" s="44"/>
      <c r="E127" s="44"/>
      <c r="F127" s="44"/>
      <c r="G127" s="38"/>
      <c r="H127" s="38"/>
      <c r="I127" s="62"/>
      <c r="J127" s="6"/>
      <c r="K127" s="6"/>
      <c r="L127" s="6"/>
    </row>
    <row r="128" spans="1:12" s="5" customFormat="1" hidden="1" x14ac:dyDescent="0.25">
      <c r="B128" s="55" t="s">
        <v>123</v>
      </c>
      <c r="D128" s="44"/>
      <c r="E128" s="44"/>
      <c r="F128" s="44"/>
      <c r="G128" s="38"/>
      <c r="H128" s="38"/>
      <c r="I128" s="62"/>
      <c r="J128" s="6"/>
      <c r="K128" s="6"/>
      <c r="L128" s="6"/>
    </row>
    <row r="129" spans="1:12" s="5" customFormat="1" hidden="1" x14ac:dyDescent="0.25">
      <c r="B129" s="41" t="s">
        <v>147</v>
      </c>
      <c r="D129" s="44"/>
      <c r="E129" s="44">
        <f>'Rates and GI'!$D$31</f>
        <v>350</v>
      </c>
      <c r="F129" s="44">
        <f>'Rates and GI'!$D$31</f>
        <v>350</v>
      </c>
      <c r="G129" s="44">
        <f>'Rates and GI'!$D$31</f>
        <v>350</v>
      </c>
      <c r="H129" s="44">
        <f>'Rates and GI'!$D$31</f>
        <v>350</v>
      </c>
      <c r="I129" s="62"/>
      <c r="J129" s="6"/>
      <c r="K129" s="6"/>
      <c r="L129" s="6"/>
    </row>
    <row r="130" spans="1:12" s="5" customFormat="1" hidden="1" x14ac:dyDescent="0.25">
      <c r="B130" s="41" t="s">
        <v>146</v>
      </c>
      <c r="D130" s="44"/>
      <c r="E130" s="44">
        <v>0</v>
      </c>
      <c r="F130" s="44">
        <v>0</v>
      </c>
      <c r="G130" s="38"/>
      <c r="H130" s="38"/>
      <c r="I130" s="62"/>
      <c r="J130" s="6"/>
      <c r="K130" s="6"/>
      <c r="L130" s="6"/>
    </row>
    <row r="131" spans="1:12" s="5" customFormat="1" hidden="1" x14ac:dyDescent="0.25">
      <c r="B131" s="55" t="s">
        <v>8</v>
      </c>
      <c r="D131" s="44"/>
      <c r="E131" s="44"/>
      <c r="F131" s="44"/>
      <c r="G131" s="38"/>
      <c r="H131" s="38"/>
      <c r="I131" s="62"/>
      <c r="J131" s="6"/>
      <c r="K131" s="6"/>
      <c r="L131" s="6"/>
    </row>
    <row r="132" spans="1:12" s="5" customFormat="1" hidden="1" x14ac:dyDescent="0.25">
      <c r="B132" s="41" t="s">
        <v>147</v>
      </c>
      <c r="D132" s="44"/>
      <c r="E132" s="44"/>
      <c r="F132" s="44"/>
      <c r="G132" s="38"/>
      <c r="H132" s="38"/>
      <c r="I132" s="62"/>
      <c r="J132" s="6"/>
      <c r="K132" s="6"/>
      <c r="L132" s="6"/>
    </row>
    <row r="133" spans="1:12" s="5" customFormat="1" hidden="1" x14ac:dyDescent="0.25">
      <c r="B133" s="41" t="s">
        <v>146</v>
      </c>
      <c r="D133" s="44"/>
      <c r="E133" s="44"/>
      <c r="F133" s="44"/>
      <c r="G133" s="38"/>
      <c r="H133" s="38"/>
      <c r="I133" s="62"/>
      <c r="J133" s="6"/>
      <c r="K133" s="6"/>
      <c r="L133" s="6"/>
    </row>
    <row r="134" spans="1:12" hidden="1" x14ac:dyDescent="0.25"/>
    <row r="135" spans="1:12" hidden="1" x14ac:dyDescent="0.25">
      <c r="A135" s="50"/>
      <c r="B135" s="50" t="s">
        <v>25</v>
      </c>
      <c r="C135" s="50"/>
      <c r="D135" s="52"/>
      <c r="E135" s="52">
        <f>E136+E139</f>
        <v>0</v>
      </c>
      <c r="F135" s="52">
        <f>F136+F139</f>
        <v>0</v>
      </c>
      <c r="G135" s="52">
        <f t="shared" ref="G135:H135" si="41">G136+G139</f>
        <v>0</v>
      </c>
      <c r="H135" s="52">
        <f t="shared" si="41"/>
        <v>0</v>
      </c>
    </row>
    <row r="136" spans="1:12" s="5" customFormat="1" hidden="1" x14ac:dyDescent="0.25">
      <c r="B136" s="5" t="s">
        <v>205</v>
      </c>
      <c r="D136" s="44"/>
      <c r="E136" s="44"/>
      <c r="F136" s="44">
        <v>0</v>
      </c>
      <c r="G136" s="38"/>
      <c r="H136" s="38"/>
      <c r="I136" s="62"/>
      <c r="J136" s="6"/>
      <c r="K136" s="6"/>
      <c r="L136" s="6"/>
    </row>
    <row r="137" spans="1:12" s="5" customFormat="1" hidden="1" x14ac:dyDescent="0.25">
      <c r="B137" s="41"/>
      <c r="D137" s="44"/>
      <c r="E137" s="44"/>
      <c r="F137" s="44"/>
      <c r="G137" s="38"/>
      <c r="H137" s="38"/>
      <c r="I137" s="62"/>
      <c r="J137" s="6"/>
      <c r="K137" s="6"/>
      <c r="L137" s="6"/>
    </row>
    <row r="138" spans="1:12" s="5" customFormat="1" hidden="1" x14ac:dyDescent="0.25">
      <c r="B138" s="41"/>
      <c r="D138" s="44"/>
      <c r="E138" s="44"/>
      <c r="F138" s="44"/>
      <c r="G138" s="38"/>
      <c r="H138" s="38"/>
      <c r="I138" s="62"/>
      <c r="J138" s="6"/>
      <c r="K138" s="6"/>
      <c r="L138" s="6"/>
    </row>
    <row r="139" spans="1:12" s="5" customFormat="1" hidden="1" x14ac:dyDescent="0.25">
      <c r="B139" s="5" t="s">
        <v>154</v>
      </c>
      <c r="D139" s="44"/>
      <c r="E139" s="44">
        <f>E140+E141*E142</f>
        <v>0</v>
      </c>
      <c r="F139" s="44">
        <f>F140+F141*F142</f>
        <v>0</v>
      </c>
      <c r="G139" s="44">
        <f t="shared" ref="G139:H139" si="42">G140+G141*G142</f>
        <v>0</v>
      </c>
      <c r="H139" s="44">
        <f t="shared" si="42"/>
        <v>0</v>
      </c>
      <c r="I139" s="73"/>
    </row>
    <row r="140" spans="1:12" hidden="1" x14ac:dyDescent="0.25">
      <c r="B140" s="41" t="s">
        <v>153</v>
      </c>
      <c r="E140" s="44">
        <f>'Rates and GI'!D46*0</f>
        <v>0</v>
      </c>
      <c r="F140" s="44">
        <f>'Rates and GI'!D46*0</f>
        <v>0</v>
      </c>
    </row>
    <row r="141" spans="1:12" hidden="1" x14ac:dyDescent="0.25">
      <c r="B141" s="41" t="s">
        <v>159</v>
      </c>
      <c r="E141" s="60">
        <f>'Rates and GI'!$D$48</f>
        <v>0.02</v>
      </c>
      <c r="F141" s="60">
        <f>'Rates and GI'!$D$48</f>
        <v>0.02</v>
      </c>
      <c r="G141" s="60">
        <f>'Rates and GI'!$D$48</f>
        <v>0.02</v>
      </c>
      <c r="H141" s="60">
        <f>'Rates and GI'!$D$48</f>
        <v>0.02</v>
      </c>
    </row>
    <row r="142" spans="1:12" hidden="1" x14ac:dyDescent="0.25">
      <c r="B142" s="41" t="s">
        <v>160</v>
      </c>
      <c r="E142" s="44">
        <v>0</v>
      </c>
      <c r="F142" s="44">
        <v>0</v>
      </c>
      <c r="G142" s="44">
        <v>0</v>
      </c>
      <c r="H142" s="44">
        <v>0</v>
      </c>
    </row>
    <row r="143" spans="1:12" s="5" customFormat="1" hidden="1" x14ac:dyDescent="0.25">
      <c r="B143" s="41"/>
      <c r="D143" s="44"/>
      <c r="E143" s="44"/>
      <c r="F143" s="44"/>
      <c r="G143" s="38"/>
      <c r="H143" s="38"/>
      <c r="I143" s="62"/>
      <c r="J143" s="6"/>
      <c r="K143" s="6"/>
      <c r="L143" s="6"/>
    </row>
    <row r="144" spans="1:12" hidden="1" x14ac:dyDescent="0.25">
      <c r="A144" s="50"/>
      <c r="B144" s="50" t="s">
        <v>21</v>
      </c>
      <c r="C144" s="50"/>
      <c r="D144" s="52"/>
      <c r="E144" s="52">
        <f>E145*E146+E147*E148++E149*E150+E151*E152</f>
        <v>0</v>
      </c>
      <c r="F144" s="52">
        <f t="shared" ref="F144:H144" si="43">F145*F146+F147*F148++F149*F150+F151*F152</f>
        <v>0</v>
      </c>
      <c r="G144" s="52">
        <f t="shared" si="43"/>
        <v>0</v>
      </c>
      <c r="H144" s="52">
        <f t="shared" si="43"/>
        <v>0</v>
      </c>
    </row>
    <row r="145" spans="1:12" hidden="1" x14ac:dyDescent="0.25">
      <c r="B145" s="41" t="s">
        <v>150</v>
      </c>
      <c r="G145" s="44">
        <v>0</v>
      </c>
      <c r="H145" s="44"/>
    </row>
    <row r="146" spans="1:12" hidden="1" x14ac:dyDescent="0.25">
      <c r="B146" s="41" t="s">
        <v>151</v>
      </c>
      <c r="E146" s="44">
        <f>'Rates and GI'!$D$58</f>
        <v>5000</v>
      </c>
      <c r="F146" s="44">
        <f>'Rates and GI'!$D$58</f>
        <v>5000</v>
      </c>
      <c r="G146" s="44">
        <f>'Rates and GI'!$D$58</f>
        <v>5000</v>
      </c>
      <c r="H146" s="44">
        <f>'Rates and GI'!$D$58</f>
        <v>5000</v>
      </c>
    </row>
    <row r="147" spans="1:12" hidden="1" x14ac:dyDescent="0.25">
      <c r="B147" s="41" t="s">
        <v>148</v>
      </c>
      <c r="E147" s="44">
        <v>0</v>
      </c>
      <c r="F147" s="44">
        <v>0</v>
      </c>
      <c r="G147" s="44">
        <v>0</v>
      </c>
      <c r="H147" s="44">
        <v>0</v>
      </c>
    </row>
    <row r="148" spans="1:12" hidden="1" x14ac:dyDescent="0.25">
      <c r="B148" s="41" t="s">
        <v>149</v>
      </c>
      <c r="E148" s="44">
        <f>'Rates and GI'!$D$59</f>
        <v>1500</v>
      </c>
      <c r="F148" s="44">
        <f>'Rates and GI'!$D$59</f>
        <v>1500</v>
      </c>
      <c r="G148" s="44">
        <f>'Rates and GI'!$D$59</f>
        <v>1500</v>
      </c>
      <c r="H148" s="44">
        <f>'Rates and GI'!$D$59</f>
        <v>1500</v>
      </c>
    </row>
    <row r="149" spans="1:12" ht="27" hidden="1" x14ac:dyDescent="0.25">
      <c r="B149" s="63" t="s">
        <v>162</v>
      </c>
      <c r="E149" s="44">
        <v>0</v>
      </c>
      <c r="F149" s="44">
        <v>0</v>
      </c>
      <c r="G149" s="44">
        <v>0</v>
      </c>
      <c r="H149" s="44">
        <v>0</v>
      </c>
    </row>
    <row r="150" spans="1:12" ht="27" hidden="1" x14ac:dyDescent="0.25">
      <c r="B150" s="63" t="s">
        <v>161</v>
      </c>
      <c r="E150" s="44">
        <f>'Rates and GI'!$D$60</f>
        <v>200</v>
      </c>
      <c r="F150" s="44">
        <f>'Rates and GI'!$D$60</f>
        <v>200</v>
      </c>
      <c r="G150" s="44">
        <f>'Rates and GI'!$D$60</f>
        <v>200</v>
      </c>
      <c r="H150" s="44">
        <f>'Rates and GI'!$D$60</f>
        <v>200</v>
      </c>
    </row>
    <row r="151" spans="1:12" s="5" customFormat="1" hidden="1" x14ac:dyDescent="0.25">
      <c r="B151" s="41" t="s">
        <v>217</v>
      </c>
      <c r="D151" s="44"/>
      <c r="E151" s="44">
        <v>0</v>
      </c>
      <c r="F151" s="44">
        <v>0</v>
      </c>
      <c r="G151" s="44">
        <v>0</v>
      </c>
      <c r="H151" s="44">
        <v>0</v>
      </c>
      <c r="I151" s="62"/>
      <c r="J151" s="6"/>
      <c r="K151" s="6"/>
      <c r="L151" s="6"/>
    </row>
    <row r="152" spans="1:12" s="5" customFormat="1" hidden="1" x14ac:dyDescent="0.25">
      <c r="B152" s="41" t="s">
        <v>214</v>
      </c>
      <c r="D152" s="44"/>
      <c r="E152" s="44">
        <f>'Rates and GI'!$D$61</f>
        <v>50</v>
      </c>
      <c r="F152" s="44">
        <f>'Rates and GI'!$D$61</f>
        <v>50</v>
      </c>
      <c r="G152" s="38">
        <f>'Rates and GI'!$D$61</f>
        <v>50</v>
      </c>
      <c r="H152" s="38">
        <f>'Rates and GI'!$D$61</f>
        <v>50</v>
      </c>
      <c r="I152" s="62"/>
      <c r="J152" s="6"/>
      <c r="K152" s="6"/>
      <c r="L152" s="6"/>
    </row>
    <row r="153" spans="1:12" hidden="1" x14ac:dyDescent="0.25">
      <c r="A153" s="50"/>
      <c r="B153" s="50"/>
      <c r="C153" s="50"/>
      <c r="D153" s="52"/>
      <c r="E153" s="52"/>
      <c r="F153" s="52"/>
      <c r="G153" s="52"/>
      <c r="H153" s="52"/>
    </row>
    <row r="154" spans="1:12" hidden="1" x14ac:dyDescent="0.25">
      <c r="A154" s="50"/>
      <c r="B154" s="50" t="s">
        <v>194</v>
      </c>
      <c r="C154" s="50"/>
      <c r="D154" s="52"/>
      <c r="E154" s="52">
        <f>E155+E158+E161+E170+E175</f>
        <v>0</v>
      </c>
      <c r="F154" s="52">
        <f t="shared" ref="F154:H154" si="44">F155+F158+F161+F170+F175</f>
        <v>0</v>
      </c>
      <c r="G154" s="52">
        <f t="shared" si="44"/>
        <v>0</v>
      </c>
      <c r="H154" s="52">
        <f t="shared" si="44"/>
        <v>0</v>
      </c>
    </row>
    <row r="155" spans="1:12" s="5" customFormat="1" hidden="1" x14ac:dyDescent="0.25">
      <c r="B155" s="5" t="s">
        <v>173</v>
      </c>
      <c r="D155" s="44"/>
      <c r="E155" s="44">
        <f>E156+E159*E160</f>
        <v>0</v>
      </c>
      <c r="F155" s="44">
        <f>F156+F159*F160</f>
        <v>0</v>
      </c>
      <c r="G155" s="44">
        <f>G156+G159*G160</f>
        <v>0</v>
      </c>
      <c r="H155" s="44">
        <f t="shared" ref="H155" si="45">H156+H159*H160</f>
        <v>0</v>
      </c>
      <c r="I155" s="73"/>
    </row>
    <row r="156" spans="1:12" hidden="1" x14ac:dyDescent="0.25">
      <c r="B156" s="41" t="s">
        <v>184</v>
      </c>
      <c r="F156" s="44">
        <f>('Rates and GI'!$D$45+'Rates and GI'!$D$49)*0</f>
        <v>0</v>
      </c>
      <c r="G156" s="44">
        <f>('Rates and GI'!$D$45+'Rates and GI'!$D$49)*0</f>
        <v>0</v>
      </c>
      <c r="H156" s="44"/>
    </row>
    <row r="157" spans="1:12" hidden="1" x14ac:dyDescent="0.25">
      <c r="B157" s="41" t="s">
        <v>187</v>
      </c>
      <c r="F157" s="44">
        <f>'Rates and GI'!$D$51*0</f>
        <v>0</v>
      </c>
      <c r="G157" s="44">
        <f>'Rates and GI'!$D$51*0</f>
        <v>0</v>
      </c>
      <c r="H157" s="44"/>
    </row>
    <row r="158" spans="1:12" hidden="1" x14ac:dyDescent="0.25">
      <c r="B158" s="5" t="s">
        <v>174</v>
      </c>
      <c r="E158" s="44">
        <f>E159*E160</f>
        <v>0</v>
      </c>
      <c r="F158" s="44">
        <f t="shared" ref="F158:H158" si="46">F159*F160</f>
        <v>0</v>
      </c>
      <c r="G158" s="44">
        <f t="shared" si="46"/>
        <v>0</v>
      </c>
      <c r="H158" s="44">
        <f t="shared" si="46"/>
        <v>0</v>
      </c>
    </row>
    <row r="159" spans="1:12" hidden="1" x14ac:dyDescent="0.25">
      <c r="B159" s="41" t="s">
        <v>164</v>
      </c>
      <c r="F159" s="44">
        <f>'Rates and GI'!$D$54</f>
        <v>24.066499999999998</v>
      </c>
      <c r="G159" s="44">
        <f>'Rates and GI'!$D$54</f>
        <v>24.066499999999998</v>
      </c>
      <c r="H159" s="44">
        <f>'Rates and GI'!$D$54</f>
        <v>24.066499999999998</v>
      </c>
    </row>
    <row r="160" spans="1:12" hidden="1" x14ac:dyDescent="0.25">
      <c r="B160" s="41" t="s">
        <v>163</v>
      </c>
      <c r="F160" s="44">
        <v>0</v>
      </c>
      <c r="G160" s="38">
        <v>0</v>
      </c>
      <c r="H160" s="38">
        <v>0</v>
      </c>
    </row>
    <row r="161" spans="1:12" hidden="1" x14ac:dyDescent="0.25">
      <c r="B161" s="5" t="s">
        <v>175</v>
      </c>
      <c r="E161" s="44">
        <f>E162+E166</f>
        <v>0</v>
      </c>
      <c r="F161" s="44">
        <f t="shared" ref="F161:H161" si="47">F162+F166</f>
        <v>0</v>
      </c>
      <c r="G161" s="44">
        <f t="shared" si="47"/>
        <v>0</v>
      </c>
      <c r="H161" s="44">
        <f t="shared" si="47"/>
        <v>0</v>
      </c>
    </row>
    <row r="162" spans="1:12" hidden="1" x14ac:dyDescent="0.25">
      <c r="B162" s="41" t="s">
        <v>189</v>
      </c>
      <c r="E162" s="44">
        <f>E163*E164</f>
        <v>0</v>
      </c>
      <c r="F162" s="44">
        <f t="shared" ref="F162:H162" si="48">F163*F164</f>
        <v>0</v>
      </c>
      <c r="G162" s="44">
        <f t="shared" si="48"/>
        <v>0</v>
      </c>
      <c r="H162" s="44">
        <f t="shared" si="48"/>
        <v>0</v>
      </c>
    </row>
    <row r="163" spans="1:12" hidden="1" x14ac:dyDescent="0.25">
      <c r="B163" s="41" t="s">
        <v>176</v>
      </c>
      <c r="C163" s="5" t="s">
        <v>177</v>
      </c>
      <c r="E163" s="44">
        <v>0</v>
      </c>
      <c r="F163" s="44">
        <v>0</v>
      </c>
      <c r="G163" s="38">
        <v>0</v>
      </c>
      <c r="H163" s="38">
        <v>0</v>
      </c>
    </row>
    <row r="164" spans="1:12" hidden="1" x14ac:dyDescent="0.25">
      <c r="B164" s="41" t="s">
        <v>178</v>
      </c>
      <c r="E164" s="44">
        <f>'Rates and GI'!$D$52</f>
        <v>150</v>
      </c>
      <c r="F164" s="44">
        <f>'Rates and GI'!$D$52</f>
        <v>150</v>
      </c>
      <c r="G164" s="44">
        <f>'Rates and GI'!$D$52</f>
        <v>150</v>
      </c>
      <c r="H164" s="44">
        <f>'Rates and GI'!$D$52</f>
        <v>150</v>
      </c>
    </row>
    <row r="165" spans="1:12" hidden="1" x14ac:dyDescent="0.25">
      <c r="B165" s="6"/>
    </row>
    <row r="166" spans="1:12" hidden="1" x14ac:dyDescent="0.25">
      <c r="B166" s="41" t="s">
        <v>190</v>
      </c>
      <c r="E166" s="44">
        <f>E167*E168</f>
        <v>0</v>
      </c>
      <c r="F166" s="44">
        <f t="shared" ref="F166:H166" si="49">F167*F168</f>
        <v>0</v>
      </c>
      <c r="G166" s="44">
        <f t="shared" si="49"/>
        <v>0</v>
      </c>
      <c r="H166" s="44">
        <f t="shared" si="49"/>
        <v>0</v>
      </c>
    </row>
    <row r="167" spans="1:12" hidden="1" x14ac:dyDescent="0.25">
      <c r="B167" s="41" t="s">
        <v>176</v>
      </c>
      <c r="C167" s="5" t="s">
        <v>177</v>
      </c>
      <c r="E167" s="44">
        <v>0</v>
      </c>
      <c r="F167" s="44">
        <v>0</v>
      </c>
      <c r="G167" s="38">
        <v>0</v>
      </c>
      <c r="H167" s="38">
        <v>0</v>
      </c>
    </row>
    <row r="168" spans="1:12" s="62" customFormat="1" hidden="1" x14ac:dyDescent="0.25">
      <c r="A168" s="5"/>
      <c r="B168" s="41" t="s">
        <v>178</v>
      </c>
      <c r="C168" s="5"/>
      <c r="D168" s="44"/>
      <c r="E168" s="44">
        <f>'Rates and GI'!$D$53</f>
        <v>20</v>
      </c>
      <c r="F168" s="44">
        <f>'Rates and GI'!$D$53</f>
        <v>20</v>
      </c>
      <c r="G168" s="44">
        <f>'Rates and GI'!$D$53</f>
        <v>20</v>
      </c>
      <c r="H168" s="44">
        <f>'Rates and GI'!$D$53</f>
        <v>20</v>
      </c>
      <c r="J168" s="6"/>
      <c r="K168" s="6"/>
      <c r="L168" s="6"/>
    </row>
    <row r="169" spans="1:12" s="62" customFormat="1" hidden="1" x14ac:dyDescent="0.25">
      <c r="A169" s="5"/>
      <c r="B169" s="6"/>
      <c r="C169" s="5"/>
      <c r="D169" s="44"/>
      <c r="E169" s="44"/>
      <c r="F169" s="44"/>
      <c r="G169" s="38"/>
      <c r="H169" s="38"/>
      <c r="J169" s="6"/>
      <c r="K169" s="6"/>
      <c r="L169" s="6"/>
    </row>
    <row r="170" spans="1:12" s="62" customFormat="1" hidden="1" x14ac:dyDescent="0.25">
      <c r="A170" s="5"/>
      <c r="B170" s="5" t="s">
        <v>179</v>
      </c>
      <c r="C170" s="5"/>
      <c r="D170" s="44"/>
      <c r="E170" s="44">
        <f>E171*E172*E173</f>
        <v>0</v>
      </c>
      <c r="F170" s="44">
        <f t="shared" ref="F170:H170" si="50">F171*F172*F173</f>
        <v>0</v>
      </c>
      <c r="G170" s="44">
        <f t="shared" si="50"/>
        <v>0</v>
      </c>
      <c r="H170" s="44">
        <f t="shared" si="50"/>
        <v>0</v>
      </c>
      <c r="J170" s="6"/>
      <c r="K170" s="6"/>
      <c r="L170" s="6"/>
    </row>
    <row r="171" spans="1:12" s="62" customFormat="1" hidden="1" x14ac:dyDescent="0.25">
      <c r="A171" s="5"/>
      <c r="B171" s="41" t="s">
        <v>191</v>
      </c>
      <c r="C171" s="5"/>
      <c r="D171" s="44"/>
      <c r="E171" s="44"/>
      <c r="F171" s="44">
        <f>'Rates and GI'!$D$55</f>
        <v>300</v>
      </c>
      <c r="G171" s="44">
        <f>'Rates and GI'!$D$55</f>
        <v>300</v>
      </c>
      <c r="H171" s="44">
        <f>'Rates and GI'!$D$55</f>
        <v>300</v>
      </c>
      <c r="J171" s="6"/>
      <c r="K171" s="6"/>
      <c r="L171" s="6"/>
    </row>
    <row r="172" spans="1:12" s="62" customFormat="1" hidden="1" x14ac:dyDescent="0.25">
      <c r="A172" s="5"/>
      <c r="B172" s="41" t="s">
        <v>192</v>
      </c>
      <c r="C172" s="5"/>
      <c r="D172" s="44"/>
      <c r="E172" s="44"/>
      <c r="F172" s="44">
        <v>3</v>
      </c>
      <c r="G172" s="44">
        <v>3</v>
      </c>
      <c r="H172" s="44">
        <v>3</v>
      </c>
      <c r="J172" s="6"/>
      <c r="K172" s="6"/>
      <c r="L172" s="6"/>
    </row>
    <row r="173" spans="1:12" s="62" customFormat="1" hidden="1" x14ac:dyDescent="0.25">
      <c r="A173" s="5"/>
      <c r="B173" s="41" t="s">
        <v>193</v>
      </c>
      <c r="C173" s="5"/>
      <c r="D173" s="44"/>
      <c r="E173" s="44"/>
      <c r="F173" s="44">
        <v>0</v>
      </c>
      <c r="G173" s="44">
        <v>0</v>
      </c>
      <c r="H173" s="44">
        <v>0</v>
      </c>
      <c r="J173" s="6"/>
      <c r="K173" s="6"/>
      <c r="L173" s="6"/>
    </row>
    <row r="174" spans="1:12" hidden="1" x14ac:dyDescent="0.25"/>
    <row r="175" spans="1:12" s="62" customFormat="1" hidden="1" x14ac:dyDescent="0.25">
      <c r="A175" s="5"/>
      <c r="B175" s="5" t="s">
        <v>172</v>
      </c>
      <c r="C175" s="5"/>
      <c r="D175" s="44"/>
      <c r="E175" s="44">
        <f>E176+E177*E178</f>
        <v>0</v>
      </c>
      <c r="F175" s="44">
        <f>F176+F177*F178</f>
        <v>0</v>
      </c>
      <c r="G175" s="44">
        <f>G176+G177*G178</f>
        <v>0</v>
      </c>
      <c r="H175" s="44">
        <f>H176+H177*H178</f>
        <v>0</v>
      </c>
      <c r="J175" s="6"/>
      <c r="K175" s="6"/>
      <c r="L175" s="6"/>
    </row>
    <row r="176" spans="1:12" s="62" customFormat="1" hidden="1" x14ac:dyDescent="0.25">
      <c r="A176" s="5"/>
      <c r="B176" s="41" t="s">
        <v>153</v>
      </c>
      <c r="C176" s="5"/>
      <c r="D176" s="44"/>
      <c r="E176" s="44"/>
      <c r="F176" s="44">
        <f>'Rates and GI'!D46*0</f>
        <v>0</v>
      </c>
      <c r="G176" s="38"/>
      <c r="H176" s="38"/>
      <c r="J176" s="6"/>
      <c r="K176" s="6"/>
      <c r="L176" s="6"/>
    </row>
    <row r="177" spans="1:12" s="62" customFormat="1" hidden="1" x14ac:dyDescent="0.25">
      <c r="A177" s="5"/>
      <c r="B177" s="41" t="s">
        <v>159</v>
      </c>
      <c r="C177" s="5"/>
      <c r="D177" s="44"/>
      <c r="E177" s="44"/>
      <c r="F177" s="65">
        <f>'Rates and GI'!$D$47</f>
        <v>0.05</v>
      </c>
      <c r="G177" s="65">
        <f>'Rates and GI'!$D$47</f>
        <v>0.05</v>
      </c>
      <c r="H177" s="65">
        <f>'Rates and GI'!$D$47</f>
        <v>0.05</v>
      </c>
      <c r="J177" s="6"/>
      <c r="K177" s="6"/>
      <c r="L177" s="6"/>
    </row>
    <row r="178" spans="1:12" s="62" customFormat="1" hidden="1" x14ac:dyDescent="0.25">
      <c r="A178" s="5"/>
      <c r="B178" s="41" t="s">
        <v>160</v>
      </c>
      <c r="C178" s="5"/>
      <c r="D178" s="44"/>
      <c r="E178" s="44"/>
      <c r="F178" s="44">
        <v>0</v>
      </c>
      <c r="G178" s="38">
        <v>0</v>
      </c>
      <c r="H178" s="38"/>
      <c r="J178" s="6"/>
      <c r="K178" s="6"/>
      <c r="L178" s="6"/>
    </row>
    <row r="179" spans="1:12" hidden="1" x14ac:dyDescent="0.25"/>
    <row r="180" spans="1:12" s="62" customFormat="1" hidden="1" x14ac:dyDescent="0.25">
      <c r="A180" s="50"/>
      <c r="B180" s="50" t="s">
        <v>19</v>
      </c>
      <c r="C180" s="50"/>
      <c r="D180" s="52"/>
      <c r="E180" s="52">
        <v>0</v>
      </c>
      <c r="F180" s="52">
        <v>0</v>
      </c>
      <c r="G180" s="52">
        <v>0</v>
      </c>
      <c r="H180" s="52">
        <v>0</v>
      </c>
      <c r="J180" s="6"/>
      <c r="K180" s="6"/>
      <c r="L180" s="6"/>
    </row>
    <row r="181" spans="1:12" hidden="1" x14ac:dyDescent="0.25"/>
    <row r="182" spans="1:12" ht="27" hidden="1" x14ac:dyDescent="0.25">
      <c r="A182" s="50"/>
      <c r="B182" s="132" t="s">
        <v>252</v>
      </c>
      <c r="C182" s="133"/>
      <c r="D182" s="51"/>
      <c r="E182" s="51"/>
      <c r="F182" s="51"/>
      <c r="G182" s="51"/>
      <c r="H182" s="51"/>
    </row>
    <row r="183" spans="1:12" hidden="1" x14ac:dyDescent="0.25">
      <c r="A183" s="10"/>
      <c r="B183" s="39" t="s">
        <v>253</v>
      </c>
      <c r="C183" s="134">
        <v>6</v>
      </c>
      <c r="D183" s="33"/>
      <c r="E183" s="44">
        <v>6</v>
      </c>
      <c r="F183" s="44">
        <v>0</v>
      </c>
      <c r="G183" s="44">
        <v>0</v>
      </c>
      <c r="H183" s="44">
        <v>0</v>
      </c>
    </row>
    <row r="184" spans="1:12" hidden="1" x14ac:dyDescent="0.25">
      <c r="B184" s="39" t="s">
        <v>254</v>
      </c>
      <c r="C184" s="33">
        <v>0</v>
      </c>
      <c r="D184" s="33"/>
      <c r="G184" s="44"/>
      <c r="H184" s="44"/>
    </row>
    <row r="185" spans="1:12" hidden="1" x14ac:dyDescent="0.25">
      <c r="B185" s="39" t="s">
        <v>255</v>
      </c>
      <c r="C185" s="73"/>
      <c r="D185" s="33"/>
      <c r="E185" s="44">
        <f>$C$184/$C$183*E183</f>
        <v>0</v>
      </c>
      <c r="F185" s="44">
        <f>$C$184/$C$183*F183</f>
        <v>0</v>
      </c>
      <c r="G185" s="44">
        <f>$C$184/$C$183*G183</f>
        <v>0</v>
      </c>
      <c r="H185" s="44">
        <f>$C$184/$C$183*H183</f>
        <v>0</v>
      </c>
    </row>
    <row r="186" spans="1:12" hidden="1" x14ac:dyDescent="0.25"/>
  </sheetData>
  <pageMargins left="0.7" right="0.7" top="0.75" bottom="0.75" header="0.3" footer="0.3"/>
  <pageSetup paperSize="9" scale="56" fitToHeight="0"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8"/>
  <sheetViews>
    <sheetView topLeftCell="A189" zoomScaleNormal="100" workbookViewId="0">
      <selection activeCell="B192" sqref="B192"/>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1.5703125" style="44" bestFit="1" customWidth="1"/>
    <col min="7" max="7" width="11.42578125" style="38" bestFit="1" customWidth="1"/>
    <col min="8" max="8" width="10.28515625" style="38" bestFit="1" customWidth="1"/>
    <col min="9" max="9" width="9.140625" style="62"/>
    <col min="10" max="16384" width="9.140625" style="6"/>
  </cols>
  <sheetData>
    <row r="1" spans="1:12" s="86" customFormat="1" ht="17.25" x14ac:dyDescent="0.3">
      <c r="A1" s="123">
        <v>14</v>
      </c>
      <c r="B1" s="126" t="s">
        <v>262</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E68</f>
        <v>0</v>
      </c>
      <c r="F5" s="44">
        <f t="shared" ref="F5:H5" si="1">F68</f>
        <v>0</v>
      </c>
      <c r="G5" s="44">
        <f t="shared" si="1"/>
        <v>0</v>
      </c>
      <c r="H5" s="44">
        <f t="shared" si="1"/>
        <v>0</v>
      </c>
    </row>
    <row r="6" spans="1:12" x14ac:dyDescent="0.25">
      <c r="B6" s="16" t="s">
        <v>168</v>
      </c>
      <c r="D6" s="44">
        <f t="shared" si="0"/>
        <v>0</v>
      </c>
      <c r="E6" s="44">
        <f>E72</f>
        <v>0</v>
      </c>
      <c r="F6" s="44">
        <f t="shared" ref="F6:H6" si="2">F72</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E92</f>
        <v>0</v>
      </c>
      <c r="F10" s="44">
        <f t="shared" ref="F10:H10" si="4">F92</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E100</f>
        <v>0</v>
      </c>
      <c r="F15" s="44">
        <f t="shared" ref="F15:H15" si="7">F100</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E104</f>
        <v>0</v>
      </c>
      <c r="F20" s="44">
        <f t="shared" ref="F20:H20" si="10">F104</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E112</f>
        <v>0</v>
      </c>
      <c r="F25" s="44">
        <f t="shared" ref="F25:H25" si="13">F112</f>
        <v>0</v>
      </c>
      <c r="G25" s="44">
        <f t="shared" si="13"/>
        <v>0</v>
      </c>
      <c r="H25" s="44">
        <f t="shared" si="13"/>
        <v>0</v>
      </c>
    </row>
    <row r="26" spans="1:12" x14ac:dyDescent="0.25">
      <c r="B26" s="16" t="s">
        <v>25</v>
      </c>
      <c r="D26" s="44">
        <f t="shared" ref="D26" si="14">SUM(E26:H26)</f>
        <v>0</v>
      </c>
      <c r="E26" s="44">
        <f>E141</f>
        <v>0</v>
      </c>
      <c r="F26" s="44">
        <f t="shared" ref="F26:H26" si="15">F141</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252000</v>
      </c>
      <c r="E32" s="44">
        <f>E122</f>
        <v>0</v>
      </c>
      <c r="F32" s="44">
        <f t="shared" ref="F32:H32" si="18">F122</f>
        <v>252000</v>
      </c>
      <c r="G32" s="44">
        <f t="shared" si="18"/>
        <v>0</v>
      </c>
      <c r="H32" s="44">
        <f t="shared" si="18"/>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252000</v>
      </c>
      <c r="E35" s="47">
        <f t="shared" ref="E35:H35" si="19">SUBTOTAL(9,E31:E34)</f>
        <v>0</v>
      </c>
      <c r="F35" s="47">
        <f t="shared" si="19"/>
        <v>252000</v>
      </c>
      <c r="G35" s="47">
        <f t="shared" si="19"/>
        <v>0</v>
      </c>
      <c r="H35" s="47">
        <f t="shared" si="19"/>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E186</f>
        <v>0</v>
      </c>
      <c r="F40" s="44">
        <f t="shared" ref="F40:H40" si="21">F186</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ht="27" x14ac:dyDescent="0.25">
      <c r="A46" s="2"/>
      <c r="B46" s="25" t="s">
        <v>252</v>
      </c>
      <c r="C46" s="1"/>
      <c r="D46" s="44">
        <f t="shared" ref="D46:D47" si="23">SUM(E46:H46)</f>
        <v>0</v>
      </c>
      <c r="E46" s="44">
        <f>E188</f>
        <v>0</v>
      </c>
      <c r="F46" s="44">
        <f t="shared" ref="F46:H46" si="24">F188</f>
        <v>0</v>
      </c>
      <c r="G46" s="44">
        <f t="shared" si="24"/>
        <v>0</v>
      </c>
      <c r="H46" s="44">
        <f t="shared" si="24"/>
        <v>0</v>
      </c>
      <c r="I46" s="6"/>
    </row>
    <row r="47" spans="1:12" ht="27" x14ac:dyDescent="0.25">
      <c r="A47" s="2"/>
      <c r="B47" s="25" t="s">
        <v>265</v>
      </c>
      <c r="C47" s="1"/>
      <c r="D47" s="44">
        <f t="shared" si="23"/>
        <v>936000</v>
      </c>
      <c r="E47" s="44">
        <f>E190</f>
        <v>36000</v>
      </c>
      <c r="F47" s="44">
        <f t="shared" ref="F47:H47" si="25">F190</f>
        <v>900000</v>
      </c>
      <c r="G47" s="44">
        <f t="shared" si="25"/>
        <v>0</v>
      </c>
      <c r="H47" s="44">
        <f t="shared" si="25"/>
        <v>0</v>
      </c>
      <c r="I47" s="6"/>
    </row>
    <row r="48" spans="1:12" ht="14.25" thickBot="1" x14ac:dyDescent="0.3">
      <c r="A48" s="13"/>
      <c r="B48" s="13" t="s">
        <v>256</v>
      </c>
      <c r="C48" s="136"/>
      <c r="D48" s="47">
        <f>SUBTOTAL(9,D46:D47)</f>
        <v>936000</v>
      </c>
      <c r="E48" s="47">
        <f>SUBTOTAL(9,E46:E47)</f>
        <v>36000</v>
      </c>
      <c r="F48" s="47">
        <f t="shared" ref="F48:H48" si="26">SUBTOTAL(9,F46:F47)</f>
        <v>900000</v>
      </c>
      <c r="G48" s="47">
        <f t="shared" si="26"/>
        <v>0</v>
      </c>
      <c r="H48" s="47">
        <f t="shared" si="26"/>
        <v>0</v>
      </c>
      <c r="I48" s="6"/>
    </row>
    <row r="49" spans="1:12" ht="5.25" customHeight="1" x14ac:dyDescent="0.25">
      <c r="A49" s="3"/>
      <c r="B49" s="6"/>
      <c r="C49" s="3"/>
    </row>
    <row r="50" spans="1:12" x14ac:dyDescent="0.25">
      <c r="A50" s="15"/>
      <c r="B50" s="15" t="s">
        <v>20</v>
      </c>
      <c r="C50" s="15"/>
      <c r="D50" s="53"/>
      <c r="E50" s="53"/>
      <c r="F50" s="53"/>
      <c r="G50" s="54"/>
      <c r="H50" s="54"/>
      <c r="I50" s="61"/>
      <c r="J50" s="12"/>
      <c r="K50" s="12"/>
      <c r="L50" s="12"/>
    </row>
    <row r="51" spans="1:12" x14ac:dyDescent="0.25">
      <c r="A51" s="3"/>
      <c r="B51" s="3" t="s">
        <v>194</v>
      </c>
      <c r="C51" s="3"/>
      <c r="D51" s="44">
        <f t="shared" ref="D51:D52" si="27">SUM(E51:H51)</f>
        <v>0</v>
      </c>
      <c r="E51" s="44">
        <f>E160</f>
        <v>0</v>
      </c>
      <c r="F51" s="44">
        <f t="shared" ref="F51:H51" si="28">F160</f>
        <v>0</v>
      </c>
      <c r="G51" s="44">
        <f t="shared" si="28"/>
        <v>0</v>
      </c>
      <c r="H51" s="44">
        <f t="shared" si="28"/>
        <v>0</v>
      </c>
    </row>
    <row r="52" spans="1:12" x14ac:dyDescent="0.25">
      <c r="A52" s="3"/>
      <c r="B52" s="3" t="s">
        <v>21</v>
      </c>
      <c r="C52" s="3"/>
      <c r="D52" s="44">
        <f t="shared" si="27"/>
        <v>0</v>
      </c>
      <c r="E52" s="44">
        <f>E150</f>
        <v>0</v>
      </c>
      <c r="F52" s="44">
        <f t="shared" ref="F52:H52" si="29">F150</f>
        <v>0</v>
      </c>
      <c r="G52" s="44">
        <f t="shared" si="29"/>
        <v>0</v>
      </c>
      <c r="H52" s="44">
        <f t="shared" si="29"/>
        <v>0</v>
      </c>
    </row>
    <row r="53" spans="1:12" ht="14.25" thickBot="1" x14ac:dyDescent="0.3">
      <c r="A53" s="13"/>
      <c r="B53" s="13" t="s">
        <v>69</v>
      </c>
      <c r="C53" s="13"/>
      <c r="D53" s="47">
        <f>SUBTOTAL(9,D51:D52)</f>
        <v>0</v>
      </c>
      <c r="E53" s="47">
        <f>SUBTOTAL(9,E51:E52)</f>
        <v>0</v>
      </c>
      <c r="F53" s="47">
        <f>SUBTOTAL(9,F51:F52)</f>
        <v>0</v>
      </c>
      <c r="G53" s="47">
        <f>SUBTOTAL(9,G51:G52)</f>
        <v>0</v>
      </c>
      <c r="H53" s="47">
        <f>SUBTOTAL(9,H51:H52)</f>
        <v>0</v>
      </c>
    </row>
    <row r="54" spans="1:12" ht="5.25" customHeight="1" x14ac:dyDescent="0.25">
      <c r="A54" s="1"/>
      <c r="B54" s="1"/>
      <c r="C54" s="1"/>
    </row>
    <row r="55" spans="1:12" ht="14.25" thickBot="1" x14ac:dyDescent="0.3">
      <c r="A55" s="48"/>
      <c r="B55" s="48" t="s">
        <v>142</v>
      </c>
      <c r="C55" s="48"/>
      <c r="D55" s="49">
        <f>SUBTOTAL(9,D5:D53)</f>
        <v>1188000</v>
      </c>
      <c r="E55" s="49">
        <f>SUBTOTAL(9,E5:E53)</f>
        <v>36000</v>
      </c>
      <c r="F55" s="49">
        <f>SUBTOTAL(9,F5:F53)</f>
        <v>1152000</v>
      </c>
      <c r="G55" s="49">
        <f>SUBTOTAL(9,G5:G53)</f>
        <v>0</v>
      </c>
      <c r="H55" s="49">
        <f>SUBTOTAL(9,H5:H53)</f>
        <v>0</v>
      </c>
    </row>
    <row r="56" spans="1:12" ht="14.25" thickBot="1" x14ac:dyDescent="0.3">
      <c r="A56" s="1"/>
      <c r="B56" s="1"/>
      <c r="C56" s="1"/>
      <c r="D56" s="33"/>
      <c r="E56" s="33"/>
      <c r="F56" s="33"/>
      <c r="G56" s="28"/>
      <c r="H56" s="28"/>
      <c r="I56" s="6"/>
    </row>
    <row r="57" spans="1:12" ht="18" thickTop="1" x14ac:dyDescent="0.3">
      <c r="A57" s="120"/>
      <c r="B57" s="121" t="s">
        <v>27</v>
      </c>
      <c r="C57" s="121"/>
      <c r="D57" s="122"/>
      <c r="E57" s="122"/>
      <c r="F57" s="122"/>
      <c r="G57" s="122"/>
      <c r="H57" s="122"/>
      <c r="I57" s="6"/>
    </row>
    <row r="58" spans="1:12" ht="6.75" customHeight="1" x14ac:dyDescent="0.25">
      <c r="A58" s="1"/>
      <c r="B58" s="1"/>
      <c r="C58" s="1"/>
      <c r="D58" s="33"/>
      <c r="E58" s="33"/>
      <c r="F58" s="33"/>
      <c r="G58" s="28"/>
      <c r="H58" s="28"/>
      <c r="I58" s="6"/>
    </row>
    <row r="59" spans="1:12" s="14" customFormat="1" x14ac:dyDescent="0.25">
      <c r="A59" s="81"/>
      <c r="B59" s="81" t="s">
        <v>65</v>
      </c>
      <c r="C59" s="81" t="s">
        <v>64</v>
      </c>
      <c r="D59" s="82"/>
      <c r="E59" s="83">
        <f>start</f>
        <v>43831</v>
      </c>
      <c r="F59" s="83">
        <f>EOMONTH(E59,11)+1</f>
        <v>44197</v>
      </c>
      <c r="G59" s="83">
        <f>EOMONTH(F59,11)+1</f>
        <v>44562</v>
      </c>
      <c r="H59" s="83">
        <f>EOMONTH(G59,11)+1</f>
        <v>44927</v>
      </c>
    </row>
    <row r="60" spans="1:12" ht="6.75" customHeight="1" x14ac:dyDescent="0.25">
      <c r="D60" s="33"/>
      <c r="E60" s="33"/>
      <c r="F60" s="33"/>
      <c r="G60" s="28"/>
      <c r="H60" s="28"/>
      <c r="I60" s="6"/>
    </row>
    <row r="61" spans="1:12" hidden="1" x14ac:dyDescent="0.25">
      <c r="A61" s="50"/>
      <c r="B61" s="50" t="s">
        <v>0</v>
      </c>
      <c r="C61" s="50"/>
      <c r="D61" s="52"/>
      <c r="E61" s="52"/>
      <c r="F61" s="52"/>
      <c r="G61" s="52"/>
      <c r="H61" s="52"/>
    </row>
    <row r="62" spans="1:12" hidden="1" x14ac:dyDescent="0.25">
      <c r="B62" s="5" t="s">
        <v>2</v>
      </c>
      <c r="E62" s="44">
        <f>E63*E64*E65*E66</f>
        <v>0</v>
      </c>
      <c r="F62" s="45"/>
      <c r="G62" s="37"/>
      <c r="H62" s="37"/>
    </row>
    <row r="63" spans="1:12" hidden="1" x14ac:dyDescent="0.25">
      <c r="A63" s="9"/>
      <c r="B63" s="9" t="s">
        <v>36</v>
      </c>
      <c r="C63" s="9"/>
      <c r="E63" s="44">
        <v>0</v>
      </c>
    </row>
    <row r="64" spans="1:12" hidden="1" x14ac:dyDescent="0.25">
      <c r="A64" s="9"/>
      <c r="B64" s="9" t="s">
        <v>37</v>
      </c>
      <c r="C64" s="9"/>
      <c r="D64" s="45"/>
      <c r="E64" s="45">
        <v>0</v>
      </c>
    </row>
    <row r="65" spans="1:12" hidden="1" x14ac:dyDescent="0.25">
      <c r="A65" s="9"/>
      <c r="B65" s="9" t="s">
        <v>38</v>
      </c>
      <c r="C65" s="9"/>
      <c r="E65" s="44">
        <v>0</v>
      </c>
    </row>
    <row r="66" spans="1:12" hidden="1" x14ac:dyDescent="0.25">
      <c r="A66" s="9"/>
      <c r="B66" s="9" t="s">
        <v>39</v>
      </c>
      <c r="C66" s="9"/>
      <c r="E66" s="46">
        <v>0</v>
      </c>
    </row>
    <row r="67" spans="1:12" hidden="1" x14ac:dyDescent="0.25">
      <c r="A67" s="9"/>
      <c r="B67" s="9"/>
      <c r="C67" s="9"/>
    </row>
    <row r="68" spans="1:12" hidden="1" x14ac:dyDescent="0.25">
      <c r="B68" s="5" t="s">
        <v>23</v>
      </c>
      <c r="E68" s="44">
        <f>E69*E70</f>
        <v>0</v>
      </c>
      <c r="F68" s="44">
        <f t="shared" ref="F68:H68" si="30">F69*F70</f>
        <v>0</v>
      </c>
      <c r="G68" s="44">
        <f t="shared" si="30"/>
        <v>0</v>
      </c>
      <c r="H68" s="44">
        <f t="shared" si="30"/>
        <v>0</v>
      </c>
    </row>
    <row r="69" spans="1:12" hidden="1" x14ac:dyDescent="0.25">
      <c r="A69" s="9"/>
      <c r="B69" s="9" t="s">
        <v>114</v>
      </c>
      <c r="C69" s="9" t="s">
        <v>113</v>
      </c>
      <c r="E69" s="44">
        <v>0</v>
      </c>
      <c r="F69" s="44">
        <v>0</v>
      </c>
      <c r="G69" s="44">
        <v>0</v>
      </c>
      <c r="H69" s="44">
        <v>0</v>
      </c>
    </row>
    <row r="70" spans="1:12" hidden="1" x14ac:dyDescent="0.25">
      <c r="A70" s="9"/>
      <c r="B70" s="9" t="s">
        <v>40</v>
      </c>
      <c r="C70" s="9"/>
      <c r="E70" s="44">
        <f>'Rates and GI'!D12</f>
        <v>17.675000000000001</v>
      </c>
      <c r="F70" s="44">
        <f>E70*(1+index)</f>
        <v>18.435025</v>
      </c>
      <c r="G70" s="44">
        <f>F70*(1+index)</f>
        <v>19.227731074999998</v>
      </c>
      <c r="H70" s="44">
        <f>G70*(1+index)</f>
        <v>20.054523511224996</v>
      </c>
    </row>
    <row r="71" spans="1:12" hidden="1" x14ac:dyDescent="0.25"/>
    <row r="72" spans="1:12" s="7" customFormat="1" hidden="1" x14ac:dyDescent="0.25">
      <c r="A72" s="5"/>
      <c r="B72" s="5" t="s">
        <v>168</v>
      </c>
      <c r="C72" s="5"/>
      <c r="D72" s="44"/>
      <c r="E72" s="44">
        <f>E73*E74</f>
        <v>0</v>
      </c>
      <c r="F72" s="44">
        <f t="shared" ref="F72:H72" si="31">F73*F74</f>
        <v>0</v>
      </c>
      <c r="G72" s="44">
        <f t="shared" si="31"/>
        <v>0</v>
      </c>
      <c r="H72" s="44">
        <f t="shared" si="31"/>
        <v>0</v>
      </c>
      <c r="I72" s="62"/>
      <c r="J72" s="6"/>
      <c r="K72" s="6"/>
      <c r="L72" s="6"/>
    </row>
    <row r="73" spans="1:12" s="7" customFormat="1" hidden="1" x14ac:dyDescent="0.25">
      <c r="A73" s="9"/>
      <c r="B73" s="9" t="s">
        <v>170</v>
      </c>
      <c r="C73" s="9" t="s">
        <v>113</v>
      </c>
      <c r="D73" s="44"/>
      <c r="E73" s="44">
        <v>0</v>
      </c>
      <c r="F73" s="44">
        <v>0</v>
      </c>
      <c r="G73" s="44">
        <v>0</v>
      </c>
      <c r="H73" s="44">
        <v>0</v>
      </c>
      <c r="I73" s="62"/>
      <c r="J73" s="6"/>
      <c r="K73" s="6"/>
      <c r="L73" s="6"/>
    </row>
    <row r="74" spans="1:12" s="7" customFormat="1" hidden="1" x14ac:dyDescent="0.25">
      <c r="A74" s="9"/>
      <c r="B74" s="9" t="s">
        <v>40</v>
      </c>
      <c r="C74" s="9"/>
      <c r="D74" s="44"/>
      <c r="E74" s="44">
        <f>'Rates and GI'!D13</f>
        <v>162.21599999999998</v>
      </c>
      <c r="F74" s="44">
        <f>E74*(1+index)</f>
        <v>169.19128799999996</v>
      </c>
      <c r="G74" s="44">
        <f>F74*(1+index)</f>
        <v>176.46651338399994</v>
      </c>
      <c r="H74" s="44">
        <f>G74*(1+index)</f>
        <v>184.05457345951191</v>
      </c>
      <c r="I74" s="62"/>
      <c r="J74" s="6"/>
      <c r="K74" s="6"/>
      <c r="L74" s="6"/>
    </row>
    <row r="75" spans="1:12" hidden="1" x14ac:dyDescent="0.25"/>
    <row r="76" spans="1:12" s="7" customFormat="1" hidden="1" x14ac:dyDescent="0.25">
      <c r="A76" s="5"/>
      <c r="B76" s="5" t="s">
        <v>1</v>
      </c>
      <c r="C76" s="5"/>
      <c r="D76" s="44"/>
      <c r="E76" s="44"/>
      <c r="F76" s="44"/>
      <c r="G76" s="38"/>
      <c r="H76" s="38"/>
      <c r="I76" s="62"/>
      <c r="J76" s="6"/>
      <c r="K76" s="6"/>
      <c r="L76" s="6"/>
    </row>
    <row r="77" spans="1:12" s="7" customFormat="1" hidden="1" x14ac:dyDescent="0.25">
      <c r="A77" s="9"/>
      <c r="B77" s="9" t="s">
        <v>41</v>
      </c>
      <c r="C77" s="9"/>
      <c r="D77" s="44"/>
      <c r="E77" s="44">
        <v>0</v>
      </c>
      <c r="F77" s="44"/>
      <c r="G77" s="38"/>
      <c r="H77" s="38"/>
      <c r="I77" s="62"/>
      <c r="J77" s="6"/>
      <c r="K77" s="6"/>
      <c r="L77" s="6"/>
    </row>
    <row r="78" spans="1:12" s="7" customFormat="1" hidden="1" x14ac:dyDescent="0.25">
      <c r="A78" s="9"/>
      <c r="B78" s="9" t="s">
        <v>42</v>
      </c>
      <c r="C78" s="9"/>
      <c r="D78" s="44"/>
      <c r="E78" s="44">
        <v>0</v>
      </c>
      <c r="F78" s="44"/>
      <c r="G78" s="38"/>
      <c r="H78" s="38"/>
      <c r="I78" s="62"/>
      <c r="J78" s="6"/>
      <c r="K78" s="6"/>
      <c r="L78" s="6"/>
    </row>
    <row r="79" spans="1:12" s="7" customFormat="1" hidden="1" x14ac:dyDescent="0.25">
      <c r="A79" s="9"/>
      <c r="B79" s="9" t="s">
        <v>43</v>
      </c>
      <c r="C79" s="9"/>
      <c r="D79" s="44"/>
      <c r="E79" s="44">
        <v>0</v>
      </c>
      <c r="F79" s="44"/>
      <c r="G79" s="38"/>
      <c r="H79" s="38"/>
      <c r="I79" s="62"/>
      <c r="J79" s="6"/>
      <c r="K79" s="6"/>
      <c r="L79" s="6"/>
    </row>
    <row r="80" spans="1:12" s="7" customFormat="1" hidden="1" x14ac:dyDescent="0.25">
      <c r="A80" s="9"/>
      <c r="B80" s="9" t="s">
        <v>44</v>
      </c>
      <c r="C80" s="9"/>
      <c r="D80" s="44"/>
      <c r="E80" s="44">
        <v>0</v>
      </c>
      <c r="F80" s="44"/>
      <c r="G80" s="38"/>
      <c r="H80" s="38"/>
      <c r="I80" s="62"/>
      <c r="J80" s="6"/>
      <c r="K80" s="6"/>
      <c r="L80" s="6"/>
    </row>
    <row r="81" spans="1:12" hidden="1" x14ac:dyDescent="0.25"/>
    <row r="82" spans="1:12" s="7" customFormat="1" hidden="1" x14ac:dyDescent="0.25">
      <c r="A82" s="5"/>
      <c r="B82" s="5" t="s">
        <v>3</v>
      </c>
      <c r="C82" s="5"/>
      <c r="D82" s="44"/>
      <c r="E82" s="44"/>
      <c r="F82" s="44"/>
      <c r="G82" s="38"/>
      <c r="H82" s="38"/>
      <c r="I82" s="62"/>
      <c r="J82" s="6"/>
      <c r="K82" s="6"/>
      <c r="L82" s="6"/>
    </row>
    <row r="83" spans="1:12" s="7" customFormat="1" hidden="1" x14ac:dyDescent="0.25">
      <c r="A83" s="9"/>
      <c r="B83" s="9" t="s">
        <v>45</v>
      </c>
      <c r="C83" s="9"/>
      <c r="D83" s="44"/>
      <c r="E83" s="44">
        <v>0</v>
      </c>
      <c r="F83" s="44"/>
      <c r="G83" s="38"/>
      <c r="H83" s="38"/>
      <c r="I83" s="62"/>
      <c r="J83" s="6"/>
      <c r="K83" s="6"/>
      <c r="L83" s="6"/>
    </row>
    <row r="84" spans="1:12" s="7" customFormat="1" hidden="1" x14ac:dyDescent="0.25">
      <c r="A84" s="9"/>
      <c r="B84" s="9" t="s">
        <v>46</v>
      </c>
      <c r="C84" s="9"/>
      <c r="D84" s="44"/>
      <c r="E84" s="44">
        <v>0</v>
      </c>
      <c r="F84" s="44"/>
      <c r="G84" s="38"/>
      <c r="H84" s="38"/>
      <c r="I84" s="62"/>
      <c r="J84" s="6"/>
      <c r="K84" s="6"/>
      <c r="L84" s="6"/>
    </row>
    <row r="85" spans="1:12" hidden="1" x14ac:dyDescent="0.25"/>
    <row r="86" spans="1:12" s="7" customFormat="1" hidden="1" x14ac:dyDescent="0.25">
      <c r="A86" s="5"/>
      <c r="B86" s="5" t="s">
        <v>4</v>
      </c>
      <c r="C86" s="5"/>
      <c r="D86" s="44"/>
      <c r="E86" s="44"/>
      <c r="F86" s="44"/>
      <c r="G86" s="38"/>
      <c r="H86" s="38"/>
      <c r="I86" s="62"/>
      <c r="J86" s="6"/>
      <c r="K86" s="6"/>
      <c r="L86" s="6"/>
    </row>
    <row r="87" spans="1:12" s="7" customFormat="1" hidden="1" x14ac:dyDescent="0.25">
      <c r="A87" s="9"/>
      <c r="B87" s="9" t="s">
        <v>47</v>
      </c>
      <c r="C87" s="9"/>
      <c r="D87" s="44"/>
      <c r="E87" s="44">
        <v>0</v>
      </c>
      <c r="F87" s="44"/>
      <c r="G87" s="38"/>
      <c r="H87" s="38"/>
      <c r="I87" s="62"/>
      <c r="J87" s="6"/>
      <c r="K87" s="6"/>
      <c r="L87" s="6"/>
    </row>
    <row r="88" spans="1:12" s="7" customFormat="1" hidden="1" x14ac:dyDescent="0.25">
      <c r="A88" s="9"/>
      <c r="B88" s="9" t="s">
        <v>48</v>
      </c>
      <c r="C88" s="9"/>
      <c r="D88" s="44"/>
      <c r="E88" s="44">
        <v>0</v>
      </c>
      <c r="F88" s="44"/>
      <c r="G88" s="38"/>
      <c r="H88" s="38"/>
      <c r="I88" s="62"/>
      <c r="J88" s="6"/>
      <c r="K88" s="6"/>
      <c r="L88" s="6"/>
    </row>
    <row r="89" spans="1:12" hidden="1" x14ac:dyDescent="0.25"/>
    <row r="90" spans="1:12" s="7" customFormat="1" hidden="1" x14ac:dyDescent="0.25">
      <c r="A90" s="9"/>
      <c r="B90" s="9" t="s">
        <v>39</v>
      </c>
      <c r="C90" s="9"/>
      <c r="D90" s="44"/>
      <c r="E90" s="46"/>
      <c r="F90" s="44"/>
      <c r="G90" s="38"/>
      <c r="H90" s="38"/>
      <c r="I90" s="62"/>
      <c r="J90" s="6"/>
      <c r="K90" s="6"/>
      <c r="L90" s="6"/>
    </row>
    <row r="91" spans="1:12" hidden="1" x14ac:dyDescent="0.25"/>
    <row r="92" spans="1:12" hidden="1" x14ac:dyDescent="0.25">
      <c r="A92" s="50"/>
      <c r="B92" s="50" t="s">
        <v>10</v>
      </c>
      <c r="C92" s="50"/>
      <c r="D92" s="52"/>
      <c r="E92" s="52">
        <f>E93*E94+E96*E97</f>
        <v>0</v>
      </c>
      <c r="F92" s="52">
        <f t="shared" ref="F92:H92" si="32">F93*F94+F96*F97</f>
        <v>0</v>
      </c>
      <c r="G92" s="52">
        <f t="shared" si="32"/>
        <v>0</v>
      </c>
      <c r="H92" s="52">
        <f t="shared" si="32"/>
        <v>0</v>
      </c>
    </row>
    <row r="93" spans="1:12" s="7" customFormat="1" hidden="1" x14ac:dyDescent="0.25">
      <c r="A93" s="5"/>
      <c r="B93" s="9" t="s">
        <v>49</v>
      </c>
      <c r="C93" s="5"/>
      <c r="D93" s="44"/>
      <c r="E93" s="44">
        <v>0</v>
      </c>
      <c r="F93" s="44">
        <v>0</v>
      </c>
      <c r="G93" s="44">
        <v>0</v>
      </c>
      <c r="H93" s="44">
        <v>0</v>
      </c>
      <c r="I93" s="62"/>
      <c r="J93" s="6"/>
      <c r="K93" s="6"/>
      <c r="L93" s="6"/>
    </row>
    <row r="94" spans="1:12" s="7" customFormat="1" hidden="1" x14ac:dyDescent="0.25">
      <c r="A94" s="5"/>
      <c r="B94" s="9" t="s">
        <v>50</v>
      </c>
      <c r="C94" s="5"/>
      <c r="D94" s="44"/>
      <c r="E94" s="44">
        <f>Trips!$B$10</f>
        <v>908.23176058823537</v>
      </c>
      <c r="F94" s="44">
        <f>Trips!$B$10</f>
        <v>908.23176058823537</v>
      </c>
      <c r="G94" s="44">
        <f>Trips!$B$10</f>
        <v>908.23176058823537</v>
      </c>
      <c r="H94" s="44">
        <f>Trips!$B$10</f>
        <v>908.23176058823537</v>
      </c>
      <c r="I94" s="62"/>
      <c r="J94" s="6"/>
      <c r="K94" s="6"/>
      <c r="L94" s="6"/>
    </row>
    <row r="95" spans="1:12" hidden="1" x14ac:dyDescent="0.25"/>
    <row r="96" spans="1:12" s="7" customFormat="1" hidden="1" x14ac:dyDescent="0.25">
      <c r="A96" s="5"/>
      <c r="B96" s="9" t="s">
        <v>51</v>
      </c>
      <c r="C96" s="5"/>
      <c r="D96" s="44"/>
      <c r="E96" s="44">
        <v>0</v>
      </c>
      <c r="F96" s="44">
        <v>0</v>
      </c>
      <c r="G96" s="44">
        <v>0</v>
      </c>
      <c r="H96" s="44">
        <f>G96</f>
        <v>0</v>
      </c>
      <c r="I96" s="62"/>
      <c r="J96" s="6"/>
      <c r="K96" s="6"/>
      <c r="L96" s="6"/>
    </row>
    <row r="97" spans="1:12" s="7" customFormat="1" hidden="1" x14ac:dyDescent="0.25">
      <c r="A97" s="5"/>
      <c r="B97" s="9" t="s">
        <v>52</v>
      </c>
      <c r="C97" s="5"/>
      <c r="D97" s="44"/>
      <c r="E97" s="44">
        <f>Trips!$B$5</f>
        <v>52</v>
      </c>
      <c r="F97" s="44">
        <f>Trips!$B$5</f>
        <v>52</v>
      </c>
      <c r="G97" s="44">
        <f>Trips!$B$5</f>
        <v>52</v>
      </c>
      <c r="H97" s="44">
        <f>Trips!$B$5</f>
        <v>52</v>
      </c>
      <c r="I97" s="62"/>
      <c r="J97" s="6"/>
      <c r="K97" s="6"/>
      <c r="L97" s="6"/>
    </row>
    <row r="98" spans="1:12" hidden="1" x14ac:dyDescent="0.25"/>
    <row r="99" spans="1:12" hidden="1" x14ac:dyDescent="0.25"/>
    <row r="100" spans="1:12" hidden="1" x14ac:dyDescent="0.25">
      <c r="A100" s="50"/>
      <c r="B100" s="50" t="s">
        <v>171</v>
      </c>
      <c r="C100" s="50"/>
      <c r="D100" s="52"/>
      <c r="E100" s="52">
        <f>E101*E102</f>
        <v>0</v>
      </c>
      <c r="F100" s="52">
        <f t="shared" ref="F100:H100" si="33">F101*F102</f>
        <v>0</v>
      </c>
      <c r="G100" s="52">
        <f t="shared" si="33"/>
        <v>0</v>
      </c>
      <c r="H100" s="52">
        <f t="shared" si="33"/>
        <v>0</v>
      </c>
    </row>
    <row r="101" spans="1:12" s="7" customFormat="1" hidden="1" x14ac:dyDescent="0.25">
      <c r="A101" s="10"/>
      <c r="B101" s="39" t="s">
        <v>144</v>
      </c>
      <c r="C101" s="10" t="s">
        <v>145</v>
      </c>
      <c r="D101" s="44"/>
      <c r="E101" s="44">
        <v>0</v>
      </c>
      <c r="F101" s="44">
        <v>0</v>
      </c>
      <c r="G101" s="44">
        <v>0</v>
      </c>
      <c r="H101" s="44">
        <v>0</v>
      </c>
      <c r="I101" s="62"/>
      <c r="J101" s="6"/>
      <c r="K101" s="6"/>
      <c r="L101" s="6"/>
    </row>
    <row r="102" spans="1:12" s="7" customFormat="1" hidden="1" x14ac:dyDescent="0.25">
      <c r="A102" s="5"/>
      <c r="B102" s="39" t="s">
        <v>141</v>
      </c>
      <c r="C102" s="5"/>
      <c r="D102" s="44"/>
      <c r="E102" s="44">
        <f>Trips!B41</f>
        <v>631.70365882352939</v>
      </c>
      <c r="F102" s="44">
        <f>E102*(1+index)</f>
        <v>658.86691615294114</v>
      </c>
      <c r="G102" s="44">
        <f>F102*(1+index)</f>
        <v>687.19819354751758</v>
      </c>
      <c r="H102" s="44">
        <f>G102*(1+index)</f>
        <v>716.7477158700608</v>
      </c>
      <c r="I102" s="62"/>
      <c r="J102" s="6"/>
      <c r="K102" s="6"/>
      <c r="L102" s="6"/>
    </row>
    <row r="103" spans="1:12" hidden="1" x14ac:dyDescent="0.25"/>
    <row r="104" spans="1:12" hidden="1" x14ac:dyDescent="0.25">
      <c r="A104" s="50"/>
      <c r="B104" s="50" t="s">
        <v>130</v>
      </c>
      <c r="C104" s="50"/>
      <c r="D104" s="52"/>
      <c r="E104" s="52">
        <f>E105*E106+E107*E108+E109*E110</f>
        <v>0</v>
      </c>
      <c r="F104" s="52">
        <f t="shared" ref="F104:H104" si="34">F105*F106+F107*F108+F109*F110</f>
        <v>0</v>
      </c>
      <c r="G104" s="52">
        <f t="shared" si="34"/>
        <v>0</v>
      </c>
      <c r="H104" s="52">
        <f t="shared" si="34"/>
        <v>0</v>
      </c>
    </row>
    <row r="105" spans="1:12" hidden="1" x14ac:dyDescent="0.25">
      <c r="B105" s="39" t="s">
        <v>131</v>
      </c>
      <c r="C105" s="5" t="s">
        <v>132</v>
      </c>
      <c r="E105" s="44">
        <f>Training!$C$33</f>
        <v>81.10799999999999</v>
      </c>
      <c r="F105" s="44">
        <f>E105*(1+index)</f>
        <v>84.595643999999979</v>
      </c>
      <c r="G105" s="44">
        <f>F105*(1+index)</f>
        <v>88.233256691999969</v>
      </c>
      <c r="H105" s="44">
        <f>G105*(1+index)</f>
        <v>92.027286729755957</v>
      </c>
    </row>
    <row r="106" spans="1:12" hidden="1" x14ac:dyDescent="0.25">
      <c r="B106" s="39" t="s">
        <v>133</v>
      </c>
      <c r="F106" s="44">
        <v>0</v>
      </c>
      <c r="G106" s="44">
        <v>0</v>
      </c>
      <c r="H106" s="44">
        <f t="shared" ref="H106" si="35">H93</f>
        <v>0</v>
      </c>
    </row>
    <row r="107" spans="1:12" hidden="1" x14ac:dyDescent="0.25">
      <c r="B107" s="39" t="s">
        <v>134</v>
      </c>
      <c r="E107" s="44">
        <f>Training!C23</f>
        <v>709.375</v>
      </c>
      <c r="F107" s="44">
        <f>E107*(1+index)</f>
        <v>739.87812499999995</v>
      </c>
      <c r="G107" s="44">
        <f>F107*(1+index)</f>
        <v>771.69288437499995</v>
      </c>
      <c r="H107" s="44">
        <f>G107*(1+index)</f>
        <v>804.87567840312488</v>
      </c>
    </row>
    <row r="108" spans="1:12" hidden="1" x14ac:dyDescent="0.25">
      <c r="B108" s="39" t="s">
        <v>135</v>
      </c>
      <c r="E108" s="44">
        <v>0</v>
      </c>
      <c r="F108" s="44">
        <v>0</v>
      </c>
      <c r="G108" s="33">
        <v>0</v>
      </c>
      <c r="H108" s="33">
        <v>0</v>
      </c>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hidden="1" x14ac:dyDescent="0.25">
      <c r="B111" s="39"/>
    </row>
    <row r="112" spans="1:12" hidden="1" x14ac:dyDescent="0.25">
      <c r="A112" s="50"/>
      <c r="B112" s="50" t="s">
        <v>24</v>
      </c>
      <c r="C112" s="50"/>
      <c r="D112" s="52"/>
      <c r="E112" s="52">
        <f t="shared" ref="E112:H112" si="36">E113*E114</f>
        <v>0</v>
      </c>
      <c r="F112" s="52">
        <f t="shared" si="36"/>
        <v>0</v>
      </c>
      <c r="G112" s="52">
        <f t="shared" si="36"/>
        <v>0</v>
      </c>
      <c r="H112" s="52">
        <f t="shared" si="36"/>
        <v>0</v>
      </c>
    </row>
    <row r="113" spans="1:12" s="7" customFormat="1" hidden="1" x14ac:dyDescent="0.25">
      <c r="A113" s="5"/>
      <c r="B113" s="39" t="s">
        <v>53</v>
      </c>
      <c r="C113" s="5"/>
      <c r="D113" s="44"/>
      <c r="E113" s="44">
        <v>0</v>
      </c>
      <c r="F113" s="44">
        <v>0</v>
      </c>
      <c r="G113" s="44"/>
      <c r="H113" s="44"/>
      <c r="I113" s="62"/>
      <c r="J113" s="6"/>
      <c r="K113" s="6"/>
      <c r="L113" s="6"/>
    </row>
    <row r="114" spans="1:12" s="7" customFormat="1" hidden="1" x14ac:dyDescent="0.25">
      <c r="A114" s="5"/>
      <c r="B114" s="39" t="s">
        <v>54</v>
      </c>
      <c r="C114" s="5"/>
      <c r="D114" s="44"/>
      <c r="E114" s="44">
        <f>'Rates and GI'!D25</f>
        <v>6</v>
      </c>
      <c r="F114" s="44">
        <f>E114*(1+index)</f>
        <v>6.2579999999999991</v>
      </c>
      <c r="G114" s="44">
        <f>F114*(1+index)</f>
        <v>6.5270939999999991</v>
      </c>
      <c r="H114" s="44">
        <f>G114*(1+index)</f>
        <v>6.8077590419999989</v>
      </c>
      <c r="I114" s="62"/>
      <c r="J114" s="6"/>
      <c r="K114" s="6"/>
      <c r="L114" s="6"/>
    </row>
    <row r="115" spans="1:12" hidden="1" x14ac:dyDescent="0.25"/>
    <row r="116" spans="1:12" hidden="1" x14ac:dyDescent="0.25">
      <c r="A116" s="50"/>
      <c r="B116" s="50" t="s">
        <v>7</v>
      </c>
      <c r="C116" s="50"/>
      <c r="D116" s="52"/>
      <c r="E116" s="147"/>
      <c r="F116" s="147"/>
      <c r="G116" s="147"/>
      <c r="H116" s="147"/>
    </row>
    <row r="117" spans="1:12" s="7" customFormat="1" hidden="1" x14ac:dyDescent="0.25">
      <c r="A117" s="5"/>
      <c r="B117" s="4" t="s">
        <v>57</v>
      </c>
      <c r="C117" s="5"/>
      <c r="D117" s="44"/>
      <c r="E117" s="46"/>
      <c r="F117" s="46"/>
      <c r="G117" s="105"/>
      <c r="H117" s="105"/>
      <c r="I117" s="62"/>
      <c r="J117" s="6"/>
      <c r="K117" s="6"/>
      <c r="L117" s="6"/>
    </row>
    <row r="118" spans="1:12" s="43" customFormat="1" hidden="1" x14ac:dyDescent="0.25">
      <c r="A118" s="40"/>
      <c r="B118" s="41" t="s">
        <v>58</v>
      </c>
      <c r="C118" s="40" t="s">
        <v>55</v>
      </c>
      <c r="D118" s="71"/>
      <c r="E118" s="71"/>
      <c r="F118" s="71"/>
      <c r="G118" s="72"/>
      <c r="H118" s="72"/>
      <c r="I118" s="75"/>
      <c r="J118" s="42"/>
      <c r="K118" s="42"/>
      <c r="L118" s="42"/>
    </row>
    <row r="119" spans="1:12" s="40" customFormat="1" hidden="1" x14ac:dyDescent="0.25">
      <c r="B119" s="41" t="s">
        <v>56</v>
      </c>
      <c r="D119" s="71"/>
      <c r="E119" s="71"/>
      <c r="F119" s="71"/>
      <c r="G119" s="72"/>
      <c r="H119" s="72"/>
      <c r="I119" s="75"/>
      <c r="J119" s="42"/>
      <c r="K119" s="42"/>
      <c r="L119" s="42"/>
    </row>
    <row r="120" spans="1:12" s="40" customFormat="1" hidden="1" x14ac:dyDescent="0.25">
      <c r="B120" s="41" t="s">
        <v>59</v>
      </c>
      <c r="D120" s="71"/>
      <c r="E120" s="71"/>
      <c r="F120" s="71"/>
      <c r="G120" s="72"/>
      <c r="H120" s="72"/>
      <c r="I120" s="75"/>
      <c r="J120" s="42"/>
      <c r="K120" s="42"/>
      <c r="L120" s="42"/>
    </row>
    <row r="121" spans="1:12" hidden="1" x14ac:dyDescent="0.25"/>
    <row r="122" spans="1:12" x14ac:dyDescent="0.25">
      <c r="A122" s="50"/>
      <c r="B122" s="50" t="s">
        <v>26</v>
      </c>
      <c r="C122" s="50"/>
      <c r="D122" s="52"/>
      <c r="E122" s="52">
        <f>E123+E126</f>
        <v>0</v>
      </c>
      <c r="F122" s="52">
        <f t="shared" ref="F122:H122" si="37">F123+F126</f>
        <v>252000</v>
      </c>
      <c r="G122" s="52">
        <f t="shared" si="37"/>
        <v>0</v>
      </c>
      <c r="H122" s="52">
        <f t="shared" si="37"/>
        <v>0</v>
      </c>
    </row>
    <row r="123" spans="1:12" s="5" customFormat="1" hidden="1" x14ac:dyDescent="0.25">
      <c r="B123" s="55" t="s">
        <v>60</v>
      </c>
      <c r="D123" s="44"/>
      <c r="E123" s="44"/>
      <c r="F123" s="44"/>
      <c r="G123" s="38"/>
      <c r="H123" s="38"/>
      <c r="I123" s="62"/>
      <c r="J123" s="6"/>
      <c r="K123" s="6"/>
      <c r="L123" s="6"/>
    </row>
    <row r="124" spans="1:12" s="5" customFormat="1" hidden="1" x14ac:dyDescent="0.25">
      <c r="B124" s="41" t="s">
        <v>147</v>
      </c>
      <c r="D124" s="44"/>
      <c r="E124" s="44"/>
      <c r="F124" s="44"/>
      <c r="G124" s="38"/>
      <c r="H124" s="38"/>
      <c r="I124" s="62"/>
      <c r="J124" s="6"/>
      <c r="K124" s="6"/>
      <c r="L124" s="6"/>
    </row>
    <row r="125" spans="1:12" s="5" customFormat="1" hidden="1" x14ac:dyDescent="0.25">
      <c r="B125" s="41" t="s">
        <v>146</v>
      </c>
      <c r="D125" s="44"/>
      <c r="E125" s="44"/>
      <c r="F125" s="44"/>
      <c r="G125" s="38"/>
      <c r="H125" s="38"/>
      <c r="I125" s="62"/>
      <c r="J125" s="6"/>
      <c r="K125" s="6"/>
      <c r="L125" s="6"/>
    </row>
    <row r="126" spans="1:12" s="5" customFormat="1" x14ac:dyDescent="0.25">
      <c r="B126" s="55" t="s">
        <v>123</v>
      </c>
      <c r="D126" s="44"/>
      <c r="E126" s="44">
        <f>E127</f>
        <v>0</v>
      </c>
      <c r="F126" s="44">
        <f t="shared" ref="F126:H126" si="38">F127</f>
        <v>252000</v>
      </c>
      <c r="G126" s="44">
        <f t="shared" si="38"/>
        <v>0</v>
      </c>
      <c r="H126" s="44">
        <f t="shared" si="38"/>
        <v>0</v>
      </c>
      <c r="I126" s="62"/>
      <c r="J126" s="6"/>
      <c r="K126" s="6"/>
      <c r="L126" s="6"/>
    </row>
    <row r="127" spans="1:12" s="5" customFormat="1" ht="27" x14ac:dyDescent="0.25">
      <c r="B127" s="66" t="s">
        <v>266</v>
      </c>
      <c r="D127" s="44"/>
      <c r="E127" s="44">
        <f t="shared" ref="E127" si="39">E128+E132</f>
        <v>0</v>
      </c>
      <c r="F127" s="44">
        <f>F128+F132</f>
        <v>252000</v>
      </c>
      <c r="G127" s="38">
        <f t="shared" ref="G127:H127" si="40">G128+G132</f>
        <v>0</v>
      </c>
      <c r="H127" s="38">
        <f t="shared" si="40"/>
        <v>0</v>
      </c>
      <c r="I127" s="62"/>
      <c r="J127" s="6"/>
      <c r="K127" s="6"/>
      <c r="L127" s="6"/>
    </row>
    <row r="128" spans="1:12" s="5" customFormat="1" x14ac:dyDescent="0.25">
      <c r="B128" s="146" t="s">
        <v>561</v>
      </c>
      <c r="D128" s="44"/>
      <c r="E128" s="44"/>
      <c r="F128" s="44">
        <f>F129*F130</f>
        <v>60000</v>
      </c>
      <c r="G128" s="38"/>
      <c r="H128" s="38"/>
      <c r="I128" s="62"/>
      <c r="J128" s="6"/>
      <c r="K128" s="6"/>
      <c r="L128" s="6"/>
    </row>
    <row r="129" spans="1:12" s="5" customFormat="1" x14ac:dyDescent="0.25">
      <c r="B129" s="41" t="s">
        <v>277</v>
      </c>
      <c r="D129" s="44"/>
      <c r="E129" s="44"/>
      <c r="F129" s="44">
        <v>5000</v>
      </c>
      <c r="G129" s="38"/>
      <c r="H129" s="38"/>
      <c r="I129" s="62"/>
      <c r="J129" s="6"/>
      <c r="K129" s="6"/>
      <c r="L129" s="6"/>
    </row>
    <row r="130" spans="1:12" s="5" customFormat="1" x14ac:dyDescent="0.25">
      <c r="B130" s="41" t="s">
        <v>274</v>
      </c>
      <c r="D130" s="44"/>
      <c r="E130" s="44"/>
      <c r="F130" s="44">
        <v>12</v>
      </c>
      <c r="G130" s="38"/>
      <c r="H130" s="38"/>
      <c r="I130" s="62"/>
      <c r="J130" s="6"/>
      <c r="K130" s="6"/>
      <c r="L130" s="6"/>
    </row>
    <row r="131" spans="1:12" s="5" customFormat="1" x14ac:dyDescent="0.25">
      <c r="B131" s="146"/>
      <c r="D131" s="44"/>
      <c r="E131" s="44"/>
      <c r="F131" s="44"/>
      <c r="G131" s="38"/>
      <c r="H131" s="38"/>
      <c r="I131" s="62"/>
      <c r="J131" s="6"/>
      <c r="K131" s="6"/>
      <c r="L131" s="6"/>
    </row>
    <row r="132" spans="1:12" s="5" customFormat="1" x14ac:dyDescent="0.25">
      <c r="B132" s="55" t="s">
        <v>562</v>
      </c>
      <c r="D132" s="44"/>
      <c r="E132" s="44"/>
      <c r="F132" s="44">
        <f>F133*F134</f>
        <v>192000</v>
      </c>
      <c r="G132" s="38"/>
      <c r="H132" s="38"/>
      <c r="I132" s="62"/>
      <c r="J132" s="6"/>
      <c r="K132" s="6"/>
      <c r="L132" s="6"/>
    </row>
    <row r="133" spans="1:12" s="5" customFormat="1" x14ac:dyDescent="0.25">
      <c r="B133" s="41" t="s">
        <v>277</v>
      </c>
      <c r="D133" s="44"/>
      <c r="E133" s="44"/>
      <c r="F133" s="44">
        <v>16000</v>
      </c>
      <c r="G133" s="38"/>
      <c r="H133" s="38"/>
      <c r="I133" s="62"/>
      <c r="J133" s="6"/>
      <c r="K133" s="6"/>
      <c r="L133" s="6"/>
    </row>
    <row r="134" spans="1:12" s="5" customFormat="1" x14ac:dyDescent="0.25">
      <c r="B134" s="41" t="s">
        <v>274</v>
      </c>
      <c r="D134" s="44"/>
      <c r="E134" s="44"/>
      <c r="F134" s="44">
        <v>12</v>
      </c>
      <c r="G134" s="38"/>
      <c r="H134" s="38"/>
      <c r="I134" s="62"/>
      <c r="J134" s="6"/>
      <c r="K134" s="6"/>
      <c r="L134" s="6"/>
    </row>
    <row r="135" spans="1:12" s="5" customFormat="1" hidden="1" x14ac:dyDescent="0.25">
      <c r="D135" s="44"/>
      <c r="E135" s="44"/>
      <c r="F135" s="44"/>
      <c r="G135" s="44"/>
      <c r="H135" s="44"/>
      <c r="I135" s="62"/>
      <c r="J135" s="6"/>
      <c r="K135" s="6"/>
      <c r="L135" s="6"/>
    </row>
    <row r="136" spans="1:12" s="5" customFormat="1" hidden="1" x14ac:dyDescent="0.25">
      <c r="D136" s="44"/>
      <c r="E136" s="44"/>
      <c r="F136" s="44"/>
      <c r="G136" s="38"/>
      <c r="H136" s="38"/>
      <c r="I136" s="62"/>
      <c r="J136" s="6"/>
      <c r="K136" s="6"/>
      <c r="L136" s="6"/>
    </row>
    <row r="137" spans="1:12" hidden="1" x14ac:dyDescent="0.25">
      <c r="A137" s="50"/>
      <c r="B137" s="50" t="s">
        <v>8</v>
      </c>
      <c r="C137" s="50"/>
      <c r="D137" s="52"/>
      <c r="E137" s="52"/>
      <c r="F137" s="52"/>
      <c r="G137" s="52"/>
      <c r="H137" s="52"/>
    </row>
    <row r="138" spans="1:12" s="5" customFormat="1" hidden="1" x14ac:dyDescent="0.25">
      <c r="B138" s="41" t="s">
        <v>147</v>
      </c>
      <c r="D138" s="44"/>
      <c r="E138" s="44"/>
      <c r="F138" s="44"/>
      <c r="G138" s="38"/>
      <c r="H138" s="38"/>
      <c r="I138" s="62"/>
      <c r="J138" s="6"/>
      <c r="K138" s="6"/>
      <c r="L138" s="6"/>
    </row>
    <row r="139" spans="1:12" s="5" customFormat="1" hidden="1" x14ac:dyDescent="0.25">
      <c r="B139" s="41" t="s">
        <v>146</v>
      </c>
      <c r="D139" s="44"/>
      <c r="E139" s="44"/>
      <c r="F139" s="44"/>
      <c r="G139" s="38"/>
      <c r="H139" s="38"/>
      <c r="I139" s="62"/>
      <c r="J139" s="6"/>
      <c r="K139" s="6"/>
      <c r="L139" s="6"/>
    </row>
    <row r="140" spans="1:12" hidden="1" x14ac:dyDescent="0.25"/>
    <row r="141" spans="1:12" hidden="1" x14ac:dyDescent="0.25">
      <c r="A141" s="50"/>
      <c r="B141" s="50" t="s">
        <v>25</v>
      </c>
      <c r="C141" s="50"/>
      <c r="D141" s="52"/>
      <c r="E141" s="52">
        <f>E142+E145</f>
        <v>0</v>
      </c>
      <c r="F141" s="52">
        <f t="shared" ref="F141:H141" si="41">F142+F145</f>
        <v>0</v>
      </c>
      <c r="G141" s="52">
        <f t="shared" si="41"/>
        <v>0</v>
      </c>
      <c r="H141" s="52">
        <f t="shared" si="41"/>
        <v>0</v>
      </c>
    </row>
    <row r="142" spans="1:12" s="5" customFormat="1" hidden="1" x14ac:dyDescent="0.25">
      <c r="B142" s="5" t="s">
        <v>205</v>
      </c>
      <c r="D142" s="44"/>
      <c r="E142" s="44"/>
      <c r="F142" s="44">
        <v>0</v>
      </c>
      <c r="G142" s="38"/>
      <c r="H142" s="38"/>
      <c r="I142" s="62"/>
      <c r="J142" s="6"/>
      <c r="K142" s="6"/>
      <c r="L142" s="6"/>
    </row>
    <row r="143" spans="1:12" s="5" customFormat="1" hidden="1" x14ac:dyDescent="0.25">
      <c r="B143" s="41"/>
      <c r="D143" s="44"/>
      <c r="E143" s="44"/>
      <c r="F143" s="44"/>
      <c r="G143" s="38"/>
      <c r="H143" s="38"/>
      <c r="I143" s="62"/>
      <c r="J143" s="6"/>
      <c r="K143" s="6"/>
      <c r="L143" s="6"/>
    </row>
    <row r="144" spans="1:12" s="5" customFormat="1" hidden="1" x14ac:dyDescent="0.25">
      <c r="B144" s="41"/>
      <c r="D144" s="44"/>
      <c r="E144" s="44"/>
      <c r="F144" s="44"/>
      <c r="G144" s="38"/>
      <c r="H144" s="38"/>
      <c r="I144" s="62"/>
      <c r="J144" s="6"/>
      <c r="K144" s="6"/>
      <c r="L144" s="6"/>
    </row>
    <row r="145" spans="1:12" s="5" customFormat="1" hidden="1" x14ac:dyDescent="0.25">
      <c r="B145" s="5" t="s">
        <v>154</v>
      </c>
      <c r="D145" s="44"/>
      <c r="E145" s="44">
        <f>E146+E147*E148</f>
        <v>0</v>
      </c>
      <c r="F145" s="44">
        <f>F146+F147*F148</f>
        <v>0</v>
      </c>
      <c r="G145" s="44">
        <f t="shared" ref="G145:H145" si="42">G146+G147*G148</f>
        <v>0</v>
      </c>
      <c r="H145" s="44">
        <f t="shared" si="42"/>
        <v>0</v>
      </c>
      <c r="I145" s="73"/>
    </row>
    <row r="146" spans="1:12" hidden="1" x14ac:dyDescent="0.25">
      <c r="B146" s="41" t="s">
        <v>153</v>
      </c>
      <c r="F146" s="44">
        <f>'Rates and GI'!D46*0</f>
        <v>0</v>
      </c>
    </row>
    <row r="147" spans="1:12" hidden="1" x14ac:dyDescent="0.25">
      <c r="B147" s="41" t="s">
        <v>159</v>
      </c>
      <c r="E147" s="60">
        <f>'Rates and GI'!$D$48</f>
        <v>0.02</v>
      </c>
      <c r="F147" s="60">
        <f>'Rates and GI'!$D$48</f>
        <v>0.02</v>
      </c>
      <c r="G147" s="60">
        <f>'Rates and GI'!$D$48</f>
        <v>0.02</v>
      </c>
      <c r="H147" s="60">
        <f>'Rates and GI'!$D$48</f>
        <v>0.02</v>
      </c>
    </row>
    <row r="148" spans="1:12" hidden="1" x14ac:dyDescent="0.25">
      <c r="B148" s="41" t="s">
        <v>160</v>
      </c>
      <c r="E148" s="44">
        <v>0</v>
      </c>
      <c r="F148" s="44">
        <v>0</v>
      </c>
      <c r="G148" s="44">
        <v>0</v>
      </c>
      <c r="H148" s="44">
        <v>0</v>
      </c>
    </row>
    <row r="149" spans="1:12" s="5" customFormat="1" hidden="1" x14ac:dyDescent="0.25">
      <c r="B149" s="41"/>
      <c r="D149" s="44"/>
      <c r="E149" s="44"/>
      <c r="F149" s="44"/>
      <c r="G149" s="38"/>
      <c r="H149" s="38"/>
      <c r="I149" s="62"/>
      <c r="J149" s="6"/>
      <c r="K149" s="6"/>
      <c r="L149" s="6"/>
    </row>
    <row r="150" spans="1:12" hidden="1" x14ac:dyDescent="0.25">
      <c r="A150" s="50"/>
      <c r="B150" s="50" t="s">
        <v>21</v>
      </c>
      <c r="C150" s="50"/>
      <c r="D150" s="52"/>
      <c r="E150" s="52">
        <f>E151*E152+E153*E154++E155*E156+E157*E158</f>
        <v>0</v>
      </c>
      <c r="F150" s="52">
        <f t="shared" ref="F150:H150" si="43">F151*F152+F153*F154++F155*F156+F157*F158</f>
        <v>0</v>
      </c>
      <c r="G150" s="52">
        <f t="shared" si="43"/>
        <v>0</v>
      </c>
      <c r="H150" s="52">
        <f t="shared" si="43"/>
        <v>0</v>
      </c>
    </row>
    <row r="151" spans="1:12" hidden="1" x14ac:dyDescent="0.25">
      <c r="B151" s="41" t="s">
        <v>150</v>
      </c>
      <c r="G151" s="44">
        <v>0</v>
      </c>
      <c r="H151" s="44"/>
    </row>
    <row r="152" spans="1:12" hidden="1" x14ac:dyDescent="0.25">
      <c r="B152" s="41" t="s">
        <v>151</v>
      </c>
      <c r="E152" s="44">
        <f>'Rates and GI'!$D$58</f>
        <v>5000</v>
      </c>
      <c r="F152" s="44">
        <f>'Rates and GI'!$D$58</f>
        <v>5000</v>
      </c>
      <c r="G152" s="44">
        <f>'Rates and GI'!$D$58</f>
        <v>5000</v>
      </c>
      <c r="H152" s="44">
        <f>'Rates and GI'!$D$58</f>
        <v>5000</v>
      </c>
    </row>
    <row r="153" spans="1:12" hidden="1" x14ac:dyDescent="0.25">
      <c r="B153" s="41" t="s">
        <v>148</v>
      </c>
      <c r="E153" s="44">
        <v>0</v>
      </c>
      <c r="F153" s="44">
        <v>0</v>
      </c>
      <c r="G153" s="44">
        <v>0</v>
      </c>
      <c r="H153" s="44">
        <v>0</v>
      </c>
    </row>
    <row r="154" spans="1:12" hidden="1" x14ac:dyDescent="0.25">
      <c r="B154" s="41" t="s">
        <v>149</v>
      </c>
      <c r="E154" s="44">
        <f>'Rates and GI'!$D$59</f>
        <v>1500</v>
      </c>
      <c r="F154" s="44">
        <f>'Rates and GI'!$D$59</f>
        <v>1500</v>
      </c>
      <c r="G154" s="44">
        <f>'Rates and GI'!$D$59</f>
        <v>1500</v>
      </c>
      <c r="H154" s="44">
        <f>'Rates and GI'!$D$59</f>
        <v>1500</v>
      </c>
    </row>
    <row r="155" spans="1:12" ht="27" hidden="1" x14ac:dyDescent="0.25">
      <c r="B155" s="63" t="s">
        <v>162</v>
      </c>
      <c r="E155" s="44">
        <v>0</v>
      </c>
      <c r="F155" s="44">
        <v>0</v>
      </c>
      <c r="G155" s="44">
        <v>0</v>
      </c>
      <c r="H155" s="44">
        <v>0</v>
      </c>
    </row>
    <row r="156" spans="1:12" ht="27" hidden="1" x14ac:dyDescent="0.25">
      <c r="B156" s="63" t="s">
        <v>161</v>
      </c>
      <c r="E156" s="44">
        <f>'Rates and GI'!$D$60</f>
        <v>200</v>
      </c>
      <c r="F156" s="44">
        <f>'Rates and GI'!$D$60</f>
        <v>200</v>
      </c>
      <c r="G156" s="44">
        <f>'Rates and GI'!$D$60</f>
        <v>200</v>
      </c>
      <c r="H156" s="44">
        <f>'Rates and GI'!$D$60</f>
        <v>200</v>
      </c>
    </row>
    <row r="157" spans="1:12" s="5" customFormat="1" hidden="1" x14ac:dyDescent="0.25">
      <c r="B157" s="41" t="s">
        <v>217</v>
      </c>
      <c r="D157" s="44"/>
      <c r="E157" s="44">
        <v>0</v>
      </c>
      <c r="F157" s="44">
        <v>0</v>
      </c>
      <c r="G157" s="44">
        <v>0</v>
      </c>
      <c r="H157" s="44">
        <v>0</v>
      </c>
      <c r="I157" s="62"/>
      <c r="J157" s="6"/>
      <c r="K157" s="6"/>
      <c r="L157" s="6"/>
    </row>
    <row r="158" spans="1:12" s="5" customFormat="1" hidden="1" x14ac:dyDescent="0.25">
      <c r="B158" s="41" t="s">
        <v>214</v>
      </c>
      <c r="D158" s="44"/>
      <c r="E158" s="44">
        <f>'Rates and GI'!$D$61</f>
        <v>50</v>
      </c>
      <c r="F158" s="44">
        <f>'Rates and GI'!$D$61</f>
        <v>50</v>
      </c>
      <c r="G158" s="38">
        <f>'Rates and GI'!$D$61</f>
        <v>50</v>
      </c>
      <c r="H158" s="38">
        <f>'Rates and GI'!$D$61</f>
        <v>50</v>
      </c>
      <c r="I158" s="62"/>
      <c r="J158" s="6"/>
      <c r="K158" s="6"/>
      <c r="L158" s="6"/>
    </row>
    <row r="159" spans="1:12" hidden="1" x14ac:dyDescent="0.25">
      <c r="A159" s="50"/>
      <c r="B159" s="50"/>
      <c r="C159" s="50"/>
      <c r="D159" s="52"/>
      <c r="E159" s="52"/>
      <c r="F159" s="52"/>
      <c r="G159" s="52"/>
      <c r="H159" s="52"/>
    </row>
    <row r="160" spans="1:12" hidden="1" x14ac:dyDescent="0.25">
      <c r="A160" s="50"/>
      <c r="B160" s="50" t="s">
        <v>194</v>
      </c>
      <c r="C160" s="50"/>
      <c r="D160" s="52"/>
      <c r="E160" s="52">
        <f>E161+E164+E167+E176+E181</f>
        <v>0</v>
      </c>
      <c r="F160" s="52">
        <f t="shared" ref="F160:H160" si="44">F161+F164+F167+F176+F181</f>
        <v>0</v>
      </c>
      <c r="G160" s="52">
        <f t="shared" si="44"/>
        <v>0</v>
      </c>
      <c r="H160" s="52">
        <f t="shared" si="44"/>
        <v>0</v>
      </c>
    </row>
    <row r="161" spans="1:12" s="5" customFormat="1" hidden="1" x14ac:dyDescent="0.25">
      <c r="B161" s="5" t="s">
        <v>173</v>
      </c>
      <c r="D161" s="44"/>
      <c r="E161" s="44">
        <f>E162+E165*E166</f>
        <v>0</v>
      </c>
      <c r="F161" s="44">
        <f>F162+F165*F166</f>
        <v>0</v>
      </c>
      <c r="G161" s="44">
        <f>G162+G165*G166</f>
        <v>0</v>
      </c>
      <c r="H161" s="44">
        <f t="shared" ref="H161" si="45">H162+H165*H166</f>
        <v>0</v>
      </c>
      <c r="I161" s="73"/>
    </row>
    <row r="162" spans="1:12" hidden="1" x14ac:dyDescent="0.25">
      <c r="B162" s="41" t="s">
        <v>184</v>
      </c>
      <c r="F162" s="44">
        <f>('Rates and GI'!$D$45+'Rates and GI'!$D$49)*0</f>
        <v>0</v>
      </c>
      <c r="G162" s="44">
        <f>('Rates and GI'!$D$45+'Rates and GI'!$D$49)*0</f>
        <v>0</v>
      </c>
      <c r="H162" s="44"/>
    </row>
    <row r="163" spans="1:12" hidden="1" x14ac:dyDescent="0.25">
      <c r="B163" s="41" t="s">
        <v>187</v>
      </c>
      <c r="F163" s="44">
        <f>'Rates and GI'!$D$51*0</f>
        <v>0</v>
      </c>
      <c r="G163" s="44">
        <f>'Rates and GI'!$D$51*0</f>
        <v>0</v>
      </c>
      <c r="H163" s="44"/>
    </row>
    <row r="164" spans="1:12" hidden="1" x14ac:dyDescent="0.25">
      <c r="B164" s="5" t="s">
        <v>174</v>
      </c>
      <c r="E164" s="44">
        <f>E165*E166</f>
        <v>0</v>
      </c>
      <c r="F164" s="44">
        <f t="shared" ref="F164:H164" si="46">F165*F166</f>
        <v>0</v>
      </c>
      <c r="G164" s="44">
        <f t="shared" si="46"/>
        <v>0</v>
      </c>
      <c r="H164" s="44">
        <f t="shared" si="46"/>
        <v>0</v>
      </c>
    </row>
    <row r="165" spans="1:12" hidden="1" x14ac:dyDescent="0.25">
      <c r="B165" s="41" t="s">
        <v>164</v>
      </c>
      <c r="F165" s="44">
        <f>'Rates and GI'!$D$54</f>
        <v>24.066499999999998</v>
      </c>
      <c r="G165" s="44">
        <f>'Rates and GI'!$D$54</f>
        <v>24.066499999999998</v>
      </c>
      <c r="H165" s="44">
        <f>'Rates and GI'!$D$54</f>
        <v>24.066499999999998</v>
      </c>
    </row>
    <row r="166" spans="1:12" hidden="1" x14ac:dyDescent="0.25">
      <c r="B166" s="41" t="s">
        <v>163</v>
      </c>
      <c r="F166" s="44">
        <v>0</v>
      </c>
      <c r="G166" s="38">
        <v>0</v>
      </c>
      <c r="H166" s="38">
        <v>0</v>
      </c>
    </row>
    <row r="167" spans="1:12" hidden="1" x14ac:dyDescent="0.25">
      <c r="B167" s="5" t="s">
        <v>175</v>
      </c>
      <c r="E167" s="44">
        <f>E168+E172</f>
        <v>0</v>
      </c>
      <c r="F167" s="44">
        <f t="shared" ref="F167:H167" si="47">F168+F172</f>
        <v>0</v>
      </c>
      <c r="G167" s="44">
        <f t="shared" si="47"/>
        <v>0</v>
      </c>
      <c r="H167" s="44">
        <f t="shared" si="47"/>
        <v>0</v>
      </c>
    </row>
    <row r="168" spans="1:12" hidden="1" x14ac:dyDescent="0.25">
      <c r="B168" s="41" t="s">
        <v>189</v>
      </c>
      <c r="E168" s="44">
        <f>E169*E170</f>
        <v>0</v>
      </c>
      <c r="F168" s="44">
        <f t="shared" ref="F168:H168" si="48">F169*F170</f>
        <v>0</v>
      </c>
      <c r="G168" s="44">
        <f t="shared" si="48"/>
        <v>0</v>
      </c>
      <c r="H168" s="44">
        <f t="shared" si="48"/>
        <v>0</v>
      </c>
    </row>
    <row r="169" spans="1:12" hidden="1" x14ac:dyDescent="0.25">
      <c r="B169" s="41" t="s">
        <v>176</v>
      </c>
      <c r="C169" s="5" t="s">
        <v>177</v>
      </c>
      <c r="E169" s="44">
        <v>0</v>
      </c>
      <c r="F169" s="44">
        <v>0</v>
      </c>
      <c r="G169" s="38">
        <v>0</v>
      </c>
      <c r="H169" s="38">
        <v>0</v>
      </c>
    </row>
    <row r="170" spans="1:12" hidden="1" x14ac:dyDescent="0.25">
      <c r="B170" s="41" t="s">
        <v>178</v>
      </c>
      <c r="E170" s="44">
        <f>'Rates and GI'!$D$52</f>
        <v>150</v>
      </c>
      <c r="F170" s="44">
        <f>'Rates and GI'!$D$52</f>
        <v>150</v>
      </c>
      <c r="G170" s="44">
        <f>'Rates and GI'!$D$52</f>
        <v>150</v>
      </c>
      <c r="H170" s="44">
        <f>'Rates and GI'!$D$52</f>
        <v>150</v>
      </c>
    </row>
    <row r="171" spans="1:12" hidden="1" x14ac:dyDescent="0.25">
      <c r="B171" s="6"/>
    </row>
    <row r="172" spans="1:12" hidden="1" x14ac:dyDescent="0.25">
      <c r="B172" s="41" t="s">
        <v>190</v>
      </c>
      <c r="E172" s="44">
        <f>E173*E174</f>
        <v>0</v>
      </c>
      <c r="F172" s="44">
        <f t="shared" ref="F172:H172" si="49">F173*F174</f>
        <v>0</v>
      </c>
      <c r="G172" s="44">
        <f t="shared" si="49"/>
        <v>0</v>
      </c>
      <c r="H172" s="44">
        <f t="shared" si="49"/>
        <v>0</v>
      </c>
    </row>
    <row r="173" spans="1:12" hidden="1" x14ac:dyDescent="0.25">
      <c r="B173" s="41" t="s">
        <v>176</v>
      </c>
      <c r="C173" s="5" t="s">
        <v>177</v>
      </c>
      <c r="E173" s="44">
        <v>0</v>
      </c>
      <c r="F173" s="44">
        <v>0</v>
      </c>
      <c r="G173" s="38">
        <v>0</v>
      </c>
      <c r="H173" s="38">
        <v>0</v>
      </c>
    </row>
    <row r="174" spans="1:12" s="62" customFormat="1" hidden="1" x14ac:dyDescent="0.25">
      <c r="A174" s="5"/>
      <c r="B174" s="41" t="s">
        <v>178</v>
      </c>
      <c r="C174" s="5"/>
      <c r="D174" s="44"/>
      <c r="E174" s="44">
        <f>'Rates and GI'!$D$53</f>
        <v>20</v>
      </c>
      <c r="F174" s="44">
        <f>'Rates and GI'!$D$53</f>
        <v>20</v>
      </c>
      <c r="G174" s="44">
        <f>'Rates and GI'!$D$53</f>
        <v>20</v>
      </c>
      <c r="H174" s="44">
        <f>'Rates and GI'!$D$53</f>
        <v>20</v>
      </c>
      <c r="J174" s="6"/>
      <c r="K174" s="6"/>
      <c r="L174" s="6"/>
    </row>
    <row r="175" spans="1:12" s="62" customFormat="1" hidden="1" x14ac:dyDescent="0.25">
      <c r="A175" s="5"/>
      <c r="B175" s="6"/>
      <c r="C175" s="5"/>
      <c r="D175" s="44"/>
      <c r="E175" s="44"/>
      <c r="F175" s="44"/>
      <c r="G175" s="38"/>
      <c r="H175" s="38"/>
      <c r="J175" s="6"/>
      <c r="K175" s="6"/>
      <c r="L175" s="6"/>
    </row>
    <row r="176" spans="1:12" s="62" customFormat="1" hidden="1" x14ac:dyDescent="0.25">
      <c r="A176" s="5"/>
      <c r="B176" s="5" t="s">
        <v>179</v>
      </c>
      <c r="C176" s="5"/>
      <c r="D176" s="44"/>
      <c r="E176" s="44">
        <f>E177*E178*E179</f>
        <v>0</v>
      </c>
      <c r="F176" s="44">
        <f t="shared" ref="F176:H176" si="50">F177*F178*F179</f>
        <v>0</v>
      </c>
      <c r="G176" s="44">
        <f t="shared" si="50"/>
        <v>0</v>
      </c>
      <c r="H176" s="44">
        <f t="shared" si="50"/>
        <v>0</v>
      </c>
      <c r="J176" s="6"/>
      <c r="K176" s="6"/>
      <c r="L176" s="6"/>
    </row>
    <row r="177" spans="1:12" s="62" customFormat="1" hidden="1" x14ac:dyDescent="0.25">
      <c r="A177" s="5"/>
      <c r="B177" s="41" t="s">
        <v>191</v>
      </c>
      <c r="C177" s="5"/>
      <c r="D177" s="44"/>
      <c r="E177" s="44"/>
      <c r="F177" s="44">
        <f>'Rates and GI'!$D$55</f>
        <v>300</v>
      </c>
      <c r="G177" s="44">
        <f>'Rates and GI'!$D$55</f>
        <v>300</v>
      </c>
      <c r="H177" s="44">
        <f>'Rates and GI'!$D$55</f>
        <v>300</v>
      </c>
      <c r="J177" s="6"/>
      <c r="K177" s="6"/>
      <c r="L177" s="6"/>
    </row>
    <row r="178" spans="1:12" s="62" customFormat="1" hidden="1" x14ac:dyDescent="0.25">
      <c r="A178" s="5"/>
      <c r="B178" s="41" t="s">
        <v>192</v>
      </c>
      <c r="C178" s="5"/>
      <c r="D178" s="44"/>
      <c r="E178" s="44"/>
      <c r="F178" s="44">
        <v>3</v>
      </c>
      <c r="G178" s="44">
        <v>3</v>
      </c>
      <c r="H178" s="44">
        <v>3</v>
      </c>
      <c r="J178" s="6"/>
      <c r="K178" s="6"/>
      <c r="L178" s="6"/>
    </row>
    <row r="179" spans="1:12" s="62" customFormat="1" hidden="1" x14ac:dyDescent="0.25">
      <c r="A179" s="5"/>
      <c r="B179" s="41" t="s">
        <v>193</v>
      </c>
      <c r="C179" s="5"/>
      <c r="D179" s="44"/>
      <c r="E179" s="44"/>
      <c r="F179" s="44">
        <v>0</v>
      </c>
      <c r="G179" s="44">
        <v>0</v>
      </c>
      <c r="H179" s="44">
        <v>0</v>
      </c>
      <c r="J179" s="6"/>
      <c r="K179" s="6"/>
      <c r="L179" s="6"/>
    </row>
    <row r="180" spans="1:12" hidden="1" x14ac:dyDescent="0.25"/>
    <row r="181" spans="1:12" s="62" customFormat="1" hidden="1" x14ac:dyDescent="0.25">
      <c r="A181" s="5"/>
      <c r="B181" s="5" t="s">
        <v>172</v>
      </c>
      <c r="C181" s="5"/>
      <c r="D181" s="44"/>
      <c r="E181" s="44">
        <f>E182+E183*E184</f>
        <v>0</v>
      </c>
      <c r="F181" s="44">
        <f>F182+F183*F184</f>
        <v>0</v>
      </c>
      <c r="G181" s="44">
        <f>G182+G183*G184</f>
        <v>0</v>
      </c>
      <c r="H181" s="44">
        <f>H182+H183*H184</f>
        <v>0</v>
      </c>
      <c r="J181" s="6"/>
      <c r="K181" s="6"/>
      <c r="L181" s="6"/>
    </row>
    <row r="182" spans="1:12" s="62" customFormat="1" hidden="1" x14ac:dyDescent="0.25">
      <c r="A182" s="5"/>
      <c r="B182" s="41" t="s">
        <v>153</v>
      </c>
      <c r="C182" s="5"/>
      <c r="D182" s="44"/>
      <c r="E182" s="44"/>
      <c r="F182" s="44">
        <f>'Rates and GI'!D46*0</f>
        <v>0</v>
      </c>
      <c r="G182" s="38"/>
      <c r="H182" s="38"/>
      <c r="J182" s="6"/>
      <c r="K182" s="6"/>
      <c r="L182" s="6"/>
    </row>
    <row r="183" spans="1:12" s="62" customFormat="1" hidden="1" x14ac:dyDescent="0.25">
      <c r="A183" s="5"/>
      <c r="B183" s="41" t="s">
        <v>159</v>
      </c>
      <c r="C183" s="5"/>
      <c r="D183" s="44"/>
      <c r="E183" s="44"/>
      <c r="F183" s="65">
        <f>'Rates and GI'!$D$47</f>
        <v>0.05</v>
      </c>
      <c r="G183" s="65">
        <f>'Rates and GI'!$D$47</f>
        <v>0.05</v>
      </c>
      <c r="H183" s="65">
        <f>'Rates and GI'!$D$47</f>
        <v>0.05</v>
      </c>
      <c r="J183" s="6"/>
      <c r="K183" s="6"/>
      <c r="L183" s="6"/>
    </row>
    <row r="184" spans="1:12" s="62" customFormat="1" hidden="1" x14ac:dyDescent="0.25">
      <c r="A184" s="5"/>
      <c r="B184" s="41" t="s">
        <v>160</v>
      </c>
      <c r="C184" s="5"/>
      <c r="D184" s="44"/>
      <c r="E184" s="44"/>
      <c r="F184" s="44">
        <v>0</v>
      </c>
      <c r="G184" s="38">
        <v>0</v>
      </c>
      <c r="H184" s="38"/>
      <c r="J184" s="6"/>
      <c r="K184" s="6"/>
      <c r="L184" s="6"/>
    </row>
    <row r="185" spans="1:12" hidden="1" x14ac:dyDescent="0.25"/>
    <row r="186" spans="1:12" s="62" customFormat="1" hidden="1" x14ac:dyDescent="0.25">
      <c r="A186" s="50"/>
      <c r="B186" s="50" t="s">
        <v>19</v>
      </c>
      <c r="C186" s="50"/>
      <c r="D186" s="52"/>
      <c r="E186" s="52">
        <v>0</v>
      </c>
      <c r="F186" s="52">
        <v>0</v>
      </c>
      <c r="G186" s="52">
        <v>0</v>
      </c>
      <c r="H186" s="52">
        <v>0</v>
      </c>
      <c r="J186" s="6"/>
      <c r="K186" s="6"/>
      <c r="L186" s="6"/>
    </row>
    <row r="187" spans="1:12" hidden="1" x14ac:dyDescent="0.25"/>
    <row r="188" spans="1:12" ht="27" hidden="1" x14ac:dyDescent="0.25">
      <c r="A188" s="50"/>
      <c r="B188" s="132" t="s">
        <v>252</v>
      </c>
      <c r="C188" s="133"/>
      <c r="D188" s="51"/>
      <c r="E188" s="51"/>
      <c r="F188" s="51"/>
      <c r="G188" s="51"/>
      <c r="H188" s="51"/>
    </row>
    <row r="189" spans="1:12" s="62" customFormat="1" x14ac:dyDescent="0.25">
      <c r="A189" s="5"/>
      <c r="B189" s="5"/>
      <c r="C189" s="5"/>
      <c r="D189" s="44"/>
      <c r="E189" s="44"/>
      <c r="F189" s="44"/>
      <c r="G189" s="44"/>
      <c r="H189" s="44"/>
      <c r="J189" s="6"/>
      <c r="K189" s="6"/>
      <c r="L189" s="6"/>
    </row>
    <row r="190" spans="1:12" s="62" customFormat="1" ht="29.25" customHeight="1" x14ac:dyDescent="0.25">
      <c r="A190" s="50"/>
      <c r="B190" s="138" t="s">
        <v>265</v>
      </c>
      <c r="C190" s="133"/>
      <c r="D190" s="52"/>
      <c r="E190" s="52">
        <f>E195+E200</f>
        <v>36000</v>
      </c>
      <c r="F190" s="52">
        <f t="shared" ref="F190:H190" si="51">F195+F200</f>
        <v>900000</v>
      </c>
      <c r="G190" s="52">
        <f t="shared" si="51"/>
        <v>0</v>
      </c>
      <c r="H190" s="52">
        <f t="shared" si="51"/>
        <v>0</v>
      </c>
      <c r="J190" s="6"/>
      <c r="K190" s="6"/>
      <c r="L190" s="6"/>
    </row>
    <row r="191" spans="1:12" s="62" customFormat="1" ht="29.25" customHeight="1" x14ac:dyDescent="0.25">
      <c r="A191" s="5"/>
      <c r="B191" s="174"/>
      <c r="C191" s="73"/>
      <c r="D191" s="44"/>
      <c r="E191" s="44"/>
      <c r="F191" s="44"/>
      <c r="G191" s="44"/>
      <c r="H191" s="44"/>
      <c r="J191" s="6"/>
      <c r="K191" s="6"/>
      <c r="L191" s="6"/>
    </row>
    <row r="192" spans="1:12" ht="27" x14ac:dyDescent="0.25">
      <c r="B192" s="66" t="s">
        <v>263</v>
      </c>
      <c r="C192" s="73"/>
      <c r="G192" s="44"/>
      <c r="H192" s="44"/>
    </row>
    <row r="193" spans="1:8" x14ac:dyDescent="0.25">
      <c r="A193" s="10"/>
      <c r="B193" s="39" t="s">
        <v>253</v>
      </c>
      <c r="C193" s="134">
        <v>3</v>
      </c>
      <c r="E193" s="44">
        <v>3</v>
      </c>
      <c r="F193" s="44">
        <v>0</v>
      </c>
      <c r="G193" s="44">
        <v>0</v>
      </c>
      <c r="H193" s="44">
        <v>0</v>
      </c>
    </row>
    <row r="194" spans="1:8" x14ac:dyDescent="0.25">
      <c r="B194" s="39" t="s">
        <v>254</v>
      </c>
      <c r="C194" s="44">
        <f>C199*4%</f>
        <v>36000</v>
      </c>
      <c r="G194" s="44"/>
      <c r="H194" s="44"/>
    </row>
    <row r="195" spans="1:8" x14ac:dyDescent="0.25">
      <c r="B195" s="39" t="s">
        <v>255</v>
      </c>
      <c r="C195" s="73"/>
      <c r="E195" s="44">
        <f>$C$194/$C$193*E193</f>
        <v>36000</v>
      </c>
      <c r="F195" s="44">
        <f t="shared" ref="F195:H195" si="52">$C$194/$C$193*F193</f>
        <v>0</v>
      </c>
      <c r="G195" s="44">
        <f t="shared" si="52"/>
        <v>0</v>
      </c>
      <c r="H195" s="44">
        <f t="shared" si="52"/>
        <v>0</v>
      </c>
    </row>
    <row r="196" spans="1:8" x14ac:dyDescent="0.25">
      <c r="B196" s="39"/>
      <c r="C196" s="73"/>
      <c r="G196" s="44"/>
      <c r="H196" s="44"/>
    </row>
    <row r="197" spans="1:8" ht="27" x14ac:dyDescent="0.25">
      <c r="B197" s="66" t="s">
        <v>264</v>
      </c>
      <c r="C197" s="73"/>
    </row>
    <row r="198" spans="1:8" x14ac:dyDescent="0.25">
      <c r="B198" s="39" t="s">
        <v>253</v>
      </c>
      <c r="C198" s="134">
        <v>10</v>
      </c>
      <c r="E198" s="44">
        <v>0</v>
      </c>
      <c r="F198" s="44">
        <v>10</v>
      </c>
      <c r="G198" s="44">
        <v>0</v>
      </c>
      <c r="H198" s="44">
        <v>0</v>
      </c>
    </row>
    <row r="199" spans="1:8" x14ac:dyDescent="0.25">
      <c r="B199" s="39" t="s">
        <v>254</v>
      </c>
      <c r="C199" s="44">
        <v>900000</v>
      </c>
      <c r="G199" s="44"/>
      <c r="H199" s="44"/>
    </row>
    <row r="200" spans="1:8" x14ac:dyDescent="0.25">
      <c r="B200" s="39" t="s">
        <v>255</v>
      </c>
      <c r="C200" s="73"/>
      <c r="E200" s="44">
        <f>$C$199/$C$198*E198</f>
        <v>0</v>
      </c>
      <c r="F200" s="44">
        <f t="shared" ref="F200:H200" si="53">$C$199/$C$198*F198</f>
        <v>900000</v>
      </c>
      <c r="G200" s="44">
        <f t="shared" si="53"/>
        <v>0</v>
      </c>
      <c r="H200" s="44">
        <f t="shared" si="53"/>
        <v>0</v>
      </c>
    </row>
    <row r="201" spans="1:8" x14ac:dyDescent="0.25">
      <c r="A201" s="228"/>
      <c r="B201" s="235"/>
      <c r="C201" s="236"/>
      <c r="D201" s="237"/>
      <c r="E201" s="237"/>
      <c r="F201" s="237"/>
      <c r="G201" s="237"/>
      <c r="H201" s="237"/>
    </row>
    <row r="202" spans="1:8" x14ac:dyDescent="0.25">
      <c r="B202" s="140"/>
      <c r="C202" s="141"/>
      <c r="D202" s="33"/>
      <c r="E202" s="33"/>
      <c r="F202" s="33"/>
      <c r="G202" s="33"/>
      <c r="H202" s="33"/>
    </row>
    <row r="203" spans="1:8" x14ac:dyDescent="0.25">
      <c r="B203" s="140"/>
      <c r="C203" s="33"/>
      <c r="D203" s="33"/>
      <c r="E203" s="33"/>
      <c r="F203" s="33"/>
      <c r="G203" s="33"/>
      <c r="H203" s="33"/>
    </row>
    <row r="204" spans="1:8" x14ac:dyDescent="0.25">
      <c r="B204" s="140"/>
      <c r="C204" s="77"/>
      <c r="D204" s="33"/>
      <c r="E204" s="33"/>
      <c r="F204" s="33"/>
      <c r="G204" s="33"/>
      <c r="H204" s="33"/>
    </row>
    <row r="205" spans="1:8" x14ac:dyDescent="0.25">
      <c r="B205" s="139"/>
      <c r="C205" s="77"/>
      <c r="D205" s="33"/>
      <c r="E205" s="33"/>
      <c r="F205" s="33"/>
      <c r="G205" s="28"/>
      <c r="H205" s="28"/>
    </row>
    <row r="206" spans="1:8" x14ac:dyDescent="0.25">
      <c r="B206" s="140"/>
      <c r="C206" s="141"/>
      <c r="D206" s="33"/>
      <c r="E206" s="33"/>
      <c r="F206" s="33"/>
      <c r="G206" s="33"/>
      <c r="H206" s="33"/>
    </row>
    <row r="207" spans="1:8" x14ac:dyDescent="0.25">
      <c r="B207" s="140"/>
      <c r="C207" s="33"/>
      <c r="D207" s="33"/>
      <c r="E207" s="33"/>
      <c r="F207" s="33"/>
      <c r="G207" s="33"/>
      <c r="H207" s="33"/>
    </row>
    <row r="208" spans="1:8" x14ac:dyDescent="0.25">
      <c r="B208" s="140"/>
      <c r="C208" s="77"/>
      <c r="D208" s="33"/>
      <c r="E208" s="33"/>
      <c r="F208" s="33"/>
      <c r="G208" s="33"/>
      <c r="H208" s="33"/>
    </row>
  </sheetData>
  <pageMargins left="0.7" right="0.7" top="0.75" bottom="0.75" header="0.3" footer="0.3"/>
  <pageSetup paperSize="9" scale="55" fitToHeight="0"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11"/>
  <sheetViews>
    <sheetView topLeftCell="A58" zoomScaleNormal="100" workbookViewId="0">
      <selection activeCell="C215" sqref="C215"/>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3.5703125" style="44" bestFit="1" customWidth="1"/>
    <col min="6" max="6" width="11.5703125" style="44" bestFit="1" customWidth="1"/>
    <col min="7" max="7" width="11.85546875" style="38" bestFit="1" customWidth="1"/>
    <col min="8" max="8" width="11.28515625" style="38" bestFit="1" customWidth="1"/>
    <col min="9" max="9" width="9.140625" style="62"/>
    <col min="10" max="16384" width="9.140625" style="6"/>
  </cols>
  <sheetData>
    <row r="1" spans="1:12" s="86" customFormat="1" ht="17.25" x14ac:dyDescent="0.3">
      <c r="A1" s="123">
        <v>15</v>
      </c>
      <c r="B1" s="126" t="s">
        <v>378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4549.8631500000001</v>
      </c>
      <c r="E5" s="44">
        <f>E70</f>
        <v>2227.0500000000002</v>
      </c>
      <c r="F5" s="44">
        <f t="shared" ref="F5:H5" si="1">F70</f>
        <v>2322.81315</v>
      </c>
      <c r="G5" s="44">
        <f t="shared" si="1"/>
        <v>0</v>
      </c>
      <c r="H5" s="44">
        <f t="shared" si="1"/>
        <v>0</v>
      </c>
    </row>
    <row r="6" spans="1:12" x14ac:dyDescent="0.25">
      <c r="B6" s="16" t="s">
        <v>168</v>
      </c>
      <c r="D6" s="44">
        <f t="shared" si="0"/>
        <v>0</v>
      </c>
      <c r="E6" s="44">
        <f>E74</f>
        <v>0</v>
      </c>
      <c r="F6" s="44">
        <f t="shared" ref="F6:H6" si="2">F74</f>
        <v>0</v>
      </c>
      <c r="G6" s="44">
        <f t="shared" si="2"/>
        <v>0</v>
      </c>
      <c r="H6" s="44">
        <f t="shared" si="2"/>
        <v>0</v>
      </c>
    </row>
    <row r="7" spans="1:12" ht="14.25" thickBot="1" x14ac:dyDescent="0.3">
      <c r="A7" s="13"/>
      <c r="B7" s="13" t="s">
        <v>5</v>
      </c>
      <c r="C7" s="13"/>
      <c r="D7" s="47">
        <f>SUBTOTAL(9,D5:D6)</f>
        <v>4549.8631500000001</v>
      </c>
      <c r="E7" s="47">
        <f>SUBTOTAL(9,E5:E6)</f>
        <v>2227.0500000000002</v>
      </c>
      <c r="F7" s="47">
        <f>SUBTOTAL(9,F5:F6)</f>
        <v>2322.81315</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3" si="3">SUM(E10:H10)</f>
        <v>0</v>
      </c>
      <c r="E10" s="44">
        <f>E108</f>
        <v>0</v>
      </c>
      <c r="F10" s="44">
        <f t="shared" ref="F10:H10" si="4">F108</f>
        <v>0</v>
      </c>
      <c r="G10" s="44">
        <f t="shared" si="4"/>
        <v>0</v>
      </c>
      <c r="H10" s="44">
        <f t="shared" si="4"/>
        <v>0</v>
      </c>
    </row>
    <row r="11" spans="1:12" x14ac:dyDescent="0.25">
      <c r="B11" s="16" t="s">
        <v>379</v>
      </c>
      <c r="D11" s="44">
        <f>SUM(E11:H11)</f>
        <v>6277093.5999999996</v>
      </c>
      <c r="E11" s="44">
        <f>E95</f>
        <v>1569273.4</v>
      </c>
      <c r="F11" s="44">
        <f>F95</f>
        <v>1569273.4</v>
      </c>
      <c r="G11" s="44">
        <f>G95</f>
        <v>1569273.4</v>
      </c>
      <c r="H11" s="44">
        <f>H95</f>
        <v>1569273.4</v>
      </c>
    </row>
    <row r="12" spans="1:12" x14ac:dyDescent="0.25">
      <c r="B12" s="16" t="s">
        <v>115</v>
      </c>
      <c r="D12" s="44">
        <f t="shared" si="3"/>
        <v>0</v>
      </c>
      <c r="E12" s="44">
        <v>0</v>
      </c>
      <c r="F12" s="44">
        <v>0</v>
      </c>
      <c r="G12" s="44">
        <v>0</v>
      </c>
      <c r="H12" s="44">
        <v>0</v>
      </c>
    </row>
    <row r="13" spans="1:12" x14ac:dyDescent="0.25">
      <c r="B13" s="16" t="s">
        <v>386</v>
      </c>
      <c r="D13" s="44">
        <f t="shared" si="3"/>
        <v>1043936</v>
      </c>
      <c r="E13" s="44">
        <f>E101</f>
        <v>174775</v>
      </c>
      <c r="F13" s="44">
        <f t="shared" ref="F13:H13" si="5">F101</f>
        <v>233596</v>
      </c>
      <c r="G13" s="44">
        <f t="shared" si="5"/>
        <v>290409</v>
      </c>
      <c r="H13" s="44">
        <f t="shared" si="5"/>
        <v>345156</v>
      </c>
    </row>
    <row r="14" spans="1:12" ht="14.25" thickBot="1" x14ac:dyDescent="0.3">
      <c r="A14" s="13"/>
      <c r="B14" s="13" t="s">
        <v>66</v>
      </c>
      <c r="C14" s="13"/>
      <c r="D14" s="47">
        <f>SUBTOTAL(9,D10:D13)</f>
        <v>7321029.5999999996</v>
      </c>
      <c r="E14" s="47">
        <f>SUBTOTAL(9,E10:E13)</f>
        <v>1744048.4</v>
      </c>
      <c r="F14" s="47">
        <f>SUBTOTAL(9,F10:F13)</f>
        <v>1802869.4</v>
      </c>
      <c r="G14" s="47">
        <f>SUBTOTAL(9,G10:G13)</f>
        <v>1859682.4</v>
      </c>
      <c r="H14" s="47">
        <f>SUBTOTAL(9,H10:H13)</f>
        <v>1914429.4</v>
      </c>
    </row>
    <row r="15" spans="1:12" ht="5.25" customHeight="1" x14ac:dyDescent="0.25"/>
    <row r="16" spans="1:12" x14ac:dyDescent="0.25">
      <c r="A16" s="15"/>
      <c r="B16" s="15" t="s">
        <v>12</v>
      </c>
      <c r="C16" s="15"/>
      <c r="D16" s="53"/>
      <c r="E16" s="53"/>
      <c r="F16" s="53"/>
      <c r="G16" s="54"/>
      <c r="H16" s="54"/>
      <c r="I16" s="61"/>
      <c r="J16" s="12"/>
      <c r="K16" s="12"/>
      <c r="L16" s="12"/>
    </row>
    <row r="17" spans="1:12" x14ac:dyDescent="0.25">
      <c r="B17" s="16" t="s">
        <v>169</v>
      </c>
      <c r="D17" s="44">
        <f t="shared" ref="D17" si="6">SUM(E17:H17)</f>
        <v>0</v>
      </c>
      <c r="E17" s="44">
        <f>E116</f>
        <v>0</v>
      </c>
      <c r="F17" s="44">
        <f t="shared" ref="F17:H17" si="7">F116</f>
        <v>0</v>
      </c>
      <c r="G17" s="44">
        <f t="shared" si="7"/>
        <v>0</v>
      </c>
      <c r="H17" s="44">
        <f t="shared" si="7"/>
        <v>0</v>
      </c>
    </row>
    <row r="18" spans="1:12" x14ac:dyDescent="0.25">
      <c r="B18" s="16" t="s">
        <v>71</v>
      </c>
    </row>
    <row r="19" spans="1:12" ht="14.25" thickBot="1" x14ac:dyDescent="0.3">
      <c r="A19" s="13"/>
      <c r="B19" s="13" t="s">
        <v>74</v>
      </c>
      <c r="C19" s="13"/>
      <c r="D19" s="47">
        <f>SUBTOTAL(9,D17:D18)</f>
        <v>0</v>
      </c>
      <c r="E19" s="47">
        <f t="shared" ref="E19:H19" si="8">SUBTOTAL(9,E17:E18)</f>
        <v>0</v>
      </c>
      <c r="F19" s="47">
        <f t="shared" si="8"/>
        <v>0</v>
      </c>
      <c r="G19" s="47">
        <f t="shared" si="8"/>
        <v>0</v>
      </c>
      <c r="H19" s="47">
        <f t="shared" si="8"/>
        <v>0</v>
      </c>
    </row>
    <row r="20" spans="1:12" ht="6" customHeight="1" x14ac:dyDescent="0.25"/>
    <row r="21" spans="1:12" x14ac:dyDescent="0.25">
      <c r="A21" s="15"/>
      <c r="B21" s="15" t="s">
        <v>138</v>
      </c>
      <c r="C21" s="15"/>
      <c r="D21" s="53"/>
      <c r="E21" s="53"/>
      <c r="F21" s="53"/>
      <c r="G21" s="54"/>
      <c r="H21" s="54"/>
      <c r="I21" s="61"/>
      <c r="J21" s="12"/>
      <c r="K21" s="12"/>
      <c r="L21" s="12"/>
    </row>
    <row r="22" spans="1:12" x14ac:dyDescent="0.25">
      <c r="B22" s="16" t="s">
        <v>130</v>
      </c>
      <c r="D22" s="44">
        <f t="shared" ref="D22" si="9">SUM(E22:H22)</f>
        <v>0</v>
      </c>
      <c r="E22" s="44">
        <f>E120</f>
        <v>0</v>
      </c>
      <c r="F22" s="44">
        <f t="shared" ref="F22:H22" si="10">F120</f>
        <v>0</v>
      </c>
      <c r="G22" s="44">
        <f t="shared" si="10"/>
        <v>0</v>
      </c>
      <c r="H22" s="44">
        <f t="shared" si="10"/>
        <v>0</v>
      </c>
    </row>
    <row r="23" spans="1:12" x14ac:dyDescent="0.25">
      <c r="B23" s="16" t="s">
        <v>139</v>
      </c>
      <c r="D23" s="44">
        <f t="shared" ref="D23" si="11">SUM(E23:H23)</f>
        <v>0</v>
      </c>
    </row>
    <row r="24" spans="1:12" ht="14.25" thickBot="1" x14ac:dyDescent="0.3">
      <c r="A24" s="13"/>
      <c r="B24" s="13" t="s">
        <v>140</v>
      </c>
      <c r="C24" s="13"/>
      <c r="D24" s="47">
        <f>SUBTOTAL(9,D22:D23)</f>
        <v>0</v>
      </c>
      <c r="E24" s="47">
        <f t="shared" ref="E24:H24" si="12">SUBTOTAL(9,E22:E23)</f>
        <v>0</v>
      </c>
      <c r="F24" s="47">
        <f t="shared" si="12"/>
        <v>0</v>
      </c>
      <c r="G24" s="47">
        <f t="shared" si="12"/>
        <v>0</v>
      </c>
      <c r="H24" s="47">
        <f t="shared" si="12"/>
        <v>0</v>
      </c>
    </row>
    <row r="25" spans="1:12" ht="5.25" customHeight="1" x14ac:dyDescent="0.25"/>
    <row r="26" spans="1:12" x14ac:dyDescent="0.25">
      <c r="A26" s="15"/>
      <c r="B26" s="15" t="s">
        <v>72</v>
      </c>
      <c r="C26" s="15"/>
      <c r="D26" s="53"/>
      <c r="E26" s="53"/>
      <c r="F26" s="53"/>
      <c r="G26" s="54"/>
      <c r="H26" s="54"/>
      <c r="I26" s="61"/>
      <c r="J26" s="12"/>
      <c r="K26" s="12"/>
      <c r="L26" s="12"/>
    </row>
    <row r="27" spans="1:12" x14ac:dyDescent="0.25">
      <c r="B27" s="16" t="s">
        <v>24</v>
      </c>
      <c r="D27" s="44">
        <f>SUM(E27:H27)</f>
        <v>0</v>
      </c>
      <c r="E27" s="44">
        <f>E128</f>
        <v>0</v>
      </c>
      <c r="F27" s="44">
        <f t="shared" ref="F27:H27" si="13">F128</f>
        <v>0</v>
      </c>
      <c r="G27" s="44">
        <f t="shared" si="13"/>
        <v>0</v>
      </c>
      <c r="H27" s="44">
        <f t="shared" si="13"/>
        <v>0</v>
      </c>
    </row>
    <row r="28" spans="1:12" x14ac:dyDescent="0.25">
      <c r="B28" s="16" t="s">
        <v>25</v>
      </c>
      <c r="D28" s="44">
        <f t="shared" ref="D28" si="14">SUM(E28:H28)</f>
        <v>0</v>
      </c>
      <c r="E28" s="44">
        <f>E157</f>
        <v>0</v>
      </c>
      <c r="F28" s="44">
        <f t="shared" ref="F28:H28" si="15">F157</f>
        <v>0</v>
      </c>
      <c r="G28" s="44">
        <f t="shared" si="15"/>
        <v>0</v>
      </c>
      <c r="H28" s="44">
        <f t="shared" si="15"/>
        <v>0</v>
      </c>
    </row>
    <row r="29" spans="1:12" x14ac:dyDescent="0.25">
      <c r="B29" s="16" t="s">
        <v>233</v>
      </c>
    </row>
    <row r="30" spans="1:12" ht="14.25" thickBot="1" x14ac:dyDescent="0.3">
      <c r="A30" s="13"/>
      <c r="B30" s="13" t="s">
        <v>73</v>
      </c>
      <c r="C30" s="13"/>
      <c r="D30" s="47">
        <f>SUBTOTAL(9,D27:D29)</f>
        <v>0</v>
      </c>
      <c r="E30" s="47">
        <f t="shared" ref="E30:H30" si="16">SUBTOTAL(9,E27:E29)</f>
        <v>0</v>
      </c>
      <c r="F30" s="47">
        <f t="shared" si="16"/>
        <v>0</v>
      </c>
      <c r="G30" s="47">
        <f t="shared" si="16"/>
        <v>0</v>
      </c>
      <c r="H30" s="47">
        <f t="shared" si="16"/>
        <v>0</v>
      </c>
    </row>
    <row r="31" spans="1:12" ht="6" customHeight="1" x14ac:dyDescent="0.25"/>
    <row r="32" spans="1:12" x14ac:dyDescent="0.25">
      <c r="A32" s="15"/>
      <c r="B32" s="15" t="s">
        <v>7</v>
      </c>
      <c r="C32" s="15"/>
      <c r="D32" s="53"/>
      <c r="E32" s="53"/>
      <c r="F32" s="53"/>
      <c r="G32" s="54"/>
      <c r="H32" s="54"/>
      <c r="I32" s="61"/>
      <c r="J32" s="12"/>
      <c r="K32" s="12"/>
      <c r="L32" s="12"/>
    </row>
    <row r="33" spans="1:12" x14ac:dyDescent="0.25">
      <c r="B33" s="16" t="s">
        <v>57</v>
      </c>
      <c r="D33" s="44">
        <f t="shared" ref="D33:D36" si="17">SUM(E33:H33)</f>
        <v>0</v>
      </c>
    </row>
    <row r="34" spans="1:12" x14ac:dyDescent="0.25">
      <c r="B34" s="16" t="s">
        <v>26</v>
      </c>
      <c r="D34" s="44">
        <f t="shared" si="17"/>
        <v>0</v>
      </c>
      <c r="E34" s="44">
        <f>E138</f>
        <v>0</v>
      </c>
      <c r="F34" s="44">
        <f t="shared" ref="F34:H34" si="18">F138</f>
        <v>0</v>
      </c>
      <c r="G34" s="44">
        <f t="shared" si="18"/>
        <v>0</v>
      </c>
      <c r="H34" s="44">
        <f t="shared" si="18"/>
        <v>0</v>
      </c>
    </row>
    <row r="35" spans="1:12" x14ac:dyDescent="0.25">
      <c r="B35" s="16" t="s">
        <v>8</v>
      </c>
      <c r="D35" s="44">
        <f t="shared" si="17"/>
        <v>0</v>
      </c>
    </row>
    <row r="36" spans="1:12" x14ac:dyDescent="0.25">
      <c r="B36" s="16" t="s">
        <v>9</v>
      </c>
      <c r="D36" s="44">
        <f t="shared" si="17"/>
        <v>0</v>
      </c>
    </row>
    <row r="37" spans="1:12" ht="14.25" thickBot="1" x14ac:dyDescent="0.3">
      <c r="A37" s="13"/>
      <c r="B37" s="13" t="s">
        <v>67</v>
      </c>
      <c r="C37" s="13"/>
      <c r="D37" s="47">
        <f>SUBTOTAL(9,D33:D36)</f>
        <v>0</v>
      </c>
      <c r="E37" s="47">
        <f t="shared" ref="E37:H37" si="19">SUBTOTAL(9,E33:E36)</f>
        <v>0</v>
      </c>
      <c r="F37" s="47">
        <f t="shared" si="19"/>
        <v>0</v>
      </c>
      <c r="G37" s="47">
        <f t="shared" si="19"/>
        <v>0</v>
      </c>
      <c r="H37" s="47">
        <f t="shared" si="19"/>
        <v>0</v>
      </c>
    </row>
    <row r="38" spans="1:12" ht="5.25" customHeight="1" x14ac:dyDescent="0.25"/>
    <row r="39" spans="1:12" x14ac:dyDescent="0.25">
      <c r="A39" s="15"/>
      <c r="B39" s="15" t="s">
        <v>16</v>
      </c>
      <c r="C39" s="15"/>
      <c r="D39" s="53"/>
      <c r="E39" s="53"/>
      <c r="F39" s="53"/>
      <c r="G39" s="54"/>
      <c r="H39" s="54"/>
      <c r="I39" s="61"/>
      <c r="J39" s="12"/>
      <c r="K39" s="12"/>
      <c r="L39" s="12"/>
    </row>
    <row r="40" spans="1:12" x14ac:dyDescent="0.25">
      <c r="A40" s="2"/>
      <c r="B40" s="2" t="s">
        <v>17</v>
      </c>
      <c r="C40" s="2"/>
      <c r="D40" s="44">
        <f t="shared" ref="D40:D44" si="20">SUM(E40:H40)</f>
        <v>0</v>
      </c>
    </row>
    <row r="41" spans="1:12" x14ac:dyDescent="0.25">
      <c r="A41" s="2"/>
      <c r="B41" s="2" t="s">
        <v>18</v>
      </c>
      <c r="C41" s="2"/>
      <c r="D41" s="44">
        <f t="shared" si="20"/>
        <v>0</v>
      </c>
    </row>
    <row r="42" spans="1:12" x14ac:dyDescent="0.25">
      <c r="A42" s="2"/>
      <c r="B42" s="2" t="s">
        <v>19</v>
      </c>
      <c r="C42" s="2"/>
      <c r="D42" s="44">
        <f t="shared" si="20"/>
        <v>0</v>
      </c>
      <c r="E42" s="44">
        <f>E202</f>
        <v>0</v>
      </c>
      <c r="F42" s="44">
        <f t="shared" ref="F42:H42" si="21">F202</f>
        <v>0</v>
      </c>
      <c r="G42" s="44">
        <f t="shared" si="21"/>
        <v>0</v>
      </c>
      <c r="H42" s="44">
        <f t="shared" si="21"/>
        <v>0</v>
      </c>
    </row>
    <row r="43" spans="1:12" x14ac:dyDescent="0.25">
      <c r="A43" s="3"/>
      <c r="B43" s="3" t="s">
        <v>13</v>
      </c>
      <c r="C43" s="3"/>
      <c r="D43" s="44">
        <f t="shared" si="20"/>
        <v>0</v>
      </c>
    </row>
    <row r="44" spans="1:12" x14ac:dyDescent="0.25">
      <c r="A44" s="3"/>
      <c r="B44" s="3" t="s">
        <v>22</v>
      </c>
      <c r="C44" s="3"/>
      <c r="D44" s="44">
        <f t="shared" si="20"/>
        <v>0</v>
      </c>
    </row>
    <row r="45" spans="1:12" ht="14.25" thickBot="1" x14ac:dyDescent="0.3">
      <c r="A45" s="13"/>
      <c r="B45" s="13" t="s">
        <v>68</v>
      </c>
      <c r="C45" s="13"/>
      <c r="D45" s="47">
        <f>SUBTOTAL(9,D40:D44)</f>
        <v>0</v>
      </c>
      <c r="E45" s="47">
        <f t="shared" ref="E45:H45" si="22">SUBTOTAL(9,E40:E44)</f>
        <v>0</v>
      </c>
      <c r="F45" s="47">
        <f t="shared" si="22"/>
        <v>0</v>
      </c>
      <c r="G45" s="47">
        <f t="shared" si="22"/>
        <v>0</v>
      </c>
      <c r="H45" s="47">
        <f t="shared" si="22"/>
        <v>0</v>
      </c>
    </row>
    <row r="46" spans="1:12" ht="5.25" customHeight="1" x14ac:dyDescent="0.25">
      <c r="A46" s="3"/>
      <c r="B46" s="6"/>
      <c r="C46" s="3"/>
    </row>
    <row r="47" spans="1:12" x14ac:dyDescent="0.25">
      <c r="A47" s="15"/>
      <c r="B47" s="15" t="s">
        <v>252</v>
      </c>
      <c r="C47" s="135"/>
      <c r="D47" s="53"/>
      <c r="E47" s="53"/>
      <c r="F47" s="53"/>
      <c r="G47" s="54"/>
      <c r="H47" s="54"/>
      <c r="I47" s="12"/>
      <c r="J47" s="12"/>
      <c r="K47" s="12"/>
      <c r="L47" s="12"/>
    </row>
    <row r="48" spans="1:12" ht="27" x14ac:dyDescent="0.25">
      <c r="A48" s="2"/>
      <c r="B48" s="25" t="s">
        <v>252</v>
      </c>
      <c r="C48" s="1"/>
      <c r="D48" s="44">
        <f t="shared" ref="D48:D49" si="23">SUM(E48:H48)</f>
        <v>0</v>
      </c>
      <c r="E48" s="44">
        <f>E204</f>
        <v>0</v>
      </c>
      <c r="F48" s="44">
        <f t="shared" ref="F48:H48" si="24">F204</f>
        <v>0</v>
      </c>
      <c r="G48" s="44">
        <f t="shared" si="24"/>
        <v>0</v>
      </c>
      <c r="H48" s="44">
        <f t="shared" si="24"/>
        <v>0</v>
      </c>
      <c r="I48" s="6"/>
    </row>
    <row r="49" spans="1:12" ht="27" x14ac:dyDescent="0.25">
      <c r="A49" s="2"/>
      <c r="B49" s="25" t="s">
        <v>265</v>
      </c>
      <c r="C49" s="1"/>
      <c r="D49" s="44">
        <f t="shared" si="23"/>
        <v>0</v>
      </c>
      <c r="E49" s="44">
        <f>E206</f>
        <v>0</v>
      </c>
      <c r="F49" s="44">
        <f t="shared" ref="F49:H49" si="25">F206</f>
        <v>0</v>
      </c>
      <c r="G49" s="44">
        <f t="shared" si="25"/>
        <v>0</v>
      </c>
      <c r="H49" s="44">
        <f t="shared" si="25"/>
        <v>0</v>
      </c>
      <c r="I49" s="6"/>
    </row>
    <row r="50" spans="1:12" ht="14.25" thickBot="1" x14ac:dyDescent="0.3">
      <c r="A50" s="13"/>
      <c r="B50" s="13" t="s">
        <v>256</v>
      </c>
      <c r="C50" s="136"/>
      <c r="D50" s="47">
        <f>SUBTOTAL(9,D48:D49)</f>
        <v>0</v>
      </c>
      <c r="E50" s="47">
        <f>SUBTOTAL(9,E48:E49)</f>
        <v>0</v>
      </c>
      <c r="F50" s="47">
        <f t="shared" ref="F50:H50" si="26">SUBTOTAL(9,F48:F49)</f>
        <v>0</v>
      </c>
      <c r="G50" s="47">
        <f t="shared" si="26"/>
        <v>0</v>
      </c>
      <c r="H50" s="47">
        <f t="shared" si="26"/>
        <v>0</v>
      </c>
      <c r="I50" s="6"/>
    </row>
    <row r="51" spans="1:12" ht="5.25" customHeight="1" x14ac:dyDescent="0.25">
      <c r="A51" s="3"/>
      <c r="B51" s="6"/>
      <c r="C51" s="3"/>
    </row>
    <row r="52" spans="1:12" x14ac:dyDescent="0.25">
      <c r="A52" s="15"/>
      <c r="B52" s="15" t="s">
        <v>20</v>
      </c>
      <c r="C52" s="15"/>
      <c r="D52" s="53"/>
      <c r="E52" s="53"/>
      <c r="F52" s="53"/>
      <c r="G52" s="54"/>
      <c r="H52" s="54"/>
      <c r="I52" s="61"/>
      <c r="J52" s="12"/>
      <c r="K52" s="12"/>
      <c r="L52" s="12"/>
    </row>
    <row r="53" spans="1:12" x14ac:dyDescent="0.25">
      <c r="A53" s="3"/>
      <c r="B53" s="3" t="s">
        <v>194</v>
      </c>
      <c r="C53" s="3"/>
      <c r="D53" s="44">
        <f t="shared" ref="D53:D54" si="27">SUM(E53:H53)</f>
        <v>0</v>
      </c>
      <c r="E53" s="44">
        <f>E176</f>
        <v>0</v>
      </c>
      <c r="F53" s="44">
        <f t="shared" ref="F53:H53" si="28">F176</f>
        <v>0</v>
      </c>
      <c r="G53" s="44">
        <f t="shared" si="28"/>
        <v>0</v>
      </c>
      <c r="H53" s="44">
        <f t="shared" si="28"/>
        <v>0</v>
      </c>
    </row>
    <row r="54" spans="1:12" x14ac:dyDescent="0.25">
      <c r="A54" s="3"/>
      <c r="B54" s="3" t="s">
        <v>21</v>
      </c>
      <c r="C54" s="3"/>
      <c r="D54" s="44">
        <f t="shared" si="27"/>
        <v>0</v>
      </c>
      <c r="E54" s="44">
        <f>E166</f>
        <v>0</v>
      </c>
      <c r="F54" s="44">
        <f t="shared" ref="F54:H54" si="29">F166</f>
        <v>0</v>
      </c>
      <c r="G54" s="44">
        <f t="shared" si="29"/>
        <v>0</v>
      </c>
      <c r="H54" s="44">
        <f t="shared" si="29"/>
        <v>0</v>
      </c>
    </row>
    <row r="55" spans="1:12" ht="14.25" thickBot="1" x14ac:dyDescent="0.3">
      <c r="A55" s="13"/>
      <c r="B55" s="13" t="s">
        <v>69</v>
      </c>
      <c r="C55" s="13"/>
      <c r="D55" s="47">
        <f>SUBTOTAL(9,D53:D54)</f>
        <v>0</v>
      </c>
      <c r="E55" s="47">
        <f>SUBTOTAL(9,E53:E54)</f>
        <v>0</v>
      </c>
      <c r="F55" s="47">
        <f>SUBTOTAL(9,F53:F54)</f>
        <v>0</v>
      </c>
      <c r="G55" s="47">
        <f>SUBTOTAL(9,G53:G54)</f>
        <v>0</v>
      </c>
      <c r="H55" s="47">
        <f>SUBTOTAL(9,H53:H54)</f>
        <v>0</v>
      </c>
    </row>
    <row r="56" spans="1:12" ht="5.25" customHeight="1" x14ac:dyDescent="0.25">
      <c r="A56" s="1"/>
      <c r="B56" s="1"/>
      <c r="C56" s="1"/>
    </row>
    <row r="57" spans="1:12" ht="14.25" thickBot="1" x14ac:dyDescent="0.3">
      <c r="A57" s="48"/>
      <c r="B57" s="48" t="s">
        <v>142</v>
      </c>
      <c r="C57" s="48"/>
      <c r="D57" s="49">
        <f>SUBTOTAL(9,D5:D55)</f>
        <v>7325579.4631499993</v>
      </c>
      <c r="E57" s="49">
        <f>SUBTOTAL(9,E5:E55)</f>
        <v>1746275.45</v>
      </c>
      <c r="F57" s="49">
        <f>SUBTOTAL(9,F5:F55)</f>
        <v>1805192.21315</v>
      </c>
      <c r="G57" s="49">
        <f>SUBTOTAL(9,G5:G55)</f>
        <v>1859682.4</v>
      </c>
      <c r="H57" s="49">
        <f>SUBTOTAL(9,H5:H55)</f>
        <v>1914429.4</v>
      </c>
    </row>
    <row r="58" spans="1:12" ht="14.25" thickBot="1" x14ac:dyDescent="0.3">
      <c r="A58" s="1"/>
      <c r="B58" s="1"/>
      <c r="C58" s="1"/>
      <c r="D58" s="33"/>
      <c r="E58" s="33"/>
      <c r="F58" s="33"/>
      <c r="G58" s="28"/>
      <c r="H58" s="28"/>
      <c r="I58" s="6"/>
    </row>
    <row r="59" spans="1:12" ht="18" thickTop="1" x14ac:dyDescent="0.3">
      <c r="A59" s="120"/>
      <c r="B59" s="121" t="s">
        <v>27</v>
      </c>
      <c r="C59" s="121"/>
      <c r="D59" s="122"/>
      <c r="E59" s="122"/>
      <c r="F59" s="122"/>
      <c r="G59" s="122"/>
      <c r="H59" s="122"/>
      <c r="I59" s="6"/>
    </row>
    <row r="60" spans="1:12" ht="6.75" customHeight="1" x14ac:dyDescent="0.25">
      <c r="A60" s="1"/>
      <c r="B60" s="1"/>
      <c r="C60" s="1"/>
      <c r="D60" s="33"/>
      <c r="E60" s="33"/>
      <c r="F60" s="33"/>
      <c r="G60" s="28"/>
      <c r="H60" s="28"/>
      <c r="I60" s="6"/>
    </row>
    <row r="61" spans="1:12" s="14" customFormat="1" x14ac:dyDescent="0.25">
      <c r="A61" s="81"/>
      <c r="B61" s="81" t="s">
        <v>65</v>
      </c>
      <c r="C61" s="81" t="s">
        <v>64</v>
      </c>
      <c r="D61" s="82"/>
      <c r="E61" s="83">
        <f>start</f>
        <v>43831</v>
      </c>
      <c r="F61" s="83">
        <f>EOMONTH(E61,11)+1</f>
        <v>44197</v>
      </c>
      <c r="G61" s="83">
        <f>EOMONTH(F61,11)+1</f>
        <v>44562</v>
      </c>
      <c r="H61" s="83">
        <f>EOMONTH(G61,11)+1</f>
        <v>44927</v>
      </c>
    </row>
    <row r="62" spans="1:12" ht="6.75" customHeight="1" x14ac:dyDescent="0.25">
      <c r="D62" s="33"/>
      <c r="E62" s="33"/>
      <c r="F62" s="33"/>
      <c r="G62" s="28"/>
      <c r="H62" s="28"/>
      <c r="I62" s="6"/>
    </row>
    <row r="63" spans="1:12" x14ac:dyDescent="0.25">
      <c r="A63" s="50"/>
      <c r="B63" s="50" t="s">
        <v>0</v>
      </c>
      <c r="C63" s="50"/>
      <c r="D63" s="52"/>
      <c r="E63" s="52"/>
      <c r="F63" s="52"/>
      <c r="G63" s="52"/>
      <c r="H63" s="52"/>
    </row>
    <row r="64" spans="1:12" hidden="1" x14ac:dyDescent="0.25">
      <c r="B64" s="5" t="s">
        <v>2</v>
      </c>
      <c r="E64" s="44">
        <f>E65*E66*E67*E68</f>
        <v>0</v>
      </c>
      <c r="F64" s="45"/>
      <c r="G64" s="37"/>
      <c r="H64" s="37"/>
    </row>
    <row r="65" spans="1:12" hidden="1" x14ac:dyDescent="0.25">
      <c r="A65" s="9"/>
      <c r="B65" s="9" t="s">
        <v>36</v>
      </c>
      <c r="C65" s="9"/>
      <c r="E65" s="44">
        <v>0</v>
      </c>
    </row>
    <row r="66" spans="1:12" hidden="1" x14ac:dyDescent="0.25">
      <c r="A66" s="9"/>
      <c r="B66" s="9" t="s">
        <v>37</v>
      </c>
      <c r="C66" s="9"/>
      <c r="D66" s="45"/>
      <c r="E66" s="45">
        <v>0</v>
      </c>
    </row>
    <row r="67" spans="1:12" hidden="1" x14ac:dyDescent="0.25">
      <c r="A67" s="9"/>
      <c r="B67" s="9" t="s">
        <v>38</v>
      </c>
      <c r="C67" s="9"/>
      <c r="E67" s="44">
        <v>0</v>
      </c>
    </row>
    <row r="68" spans="1:12" hidden="1" x14ac:dyDescent="0.25">
      <c r="A68" s="9"/>
      <c r="B68" s="9" t="s">
        <v>39</v>
      </c>
      <c r="C68" s="9"/>
      <c r="E68" s="46">
        <v>0</v>
      </c>
    </row>
    <row r="69" spans="1:12" x14ac:dyDescent="0.25">
      <c r="A69" s="9"/>
      <c r="B69" s="9"/>
      <c r="C69" s="9"/>
    </row>
    <row r="70" spans="1:12" x14ac:dyDescent="0.25">
      <c r="B70" s="5" t="s">
        <v>23</v>
      </c>
      <c r="E70" s="44">
        <f>E71*E72</f>
        <v>2227.0500000000002</v>
      </c>
      <c r="F70" s="44">
        <f t="shared" ref="F70:H70" si="30">F71*F72</f>
        <v>2322.81315</v>
      </c>
      <c r="G70" s="44">
        <f t="shared" si="30"/>
        <v>0</v>
      </c>
      <c r="H70" s="44">
        <f t="shared" si="30"/>
        <v>0</v>
      </c>
    </row>
    <row r="71" spans="1:12" x14ac:dyDescent="0.25">
      <c r="A71" s="9"/>
      <c r="B71" s="9" t="s">
        <v>114</v>
      </c>
      <c r="C71" s="9" t="s">
        <v>113</v>
      </c>
      <c r="E71" s="44">
        <f>21*6</f>
        <v>126</v>
      </c>
      <c r="F71" s="44">
        <f>21*6</f>
        <v>126</v>
      </c>
      <c r="G71" s="44">
        <v>0</v>
      </c>
      <c r="H71" s="44">
        <v>0</v>
      </c>
    </row>
    <row r="72" spans="1:12" x14ac:dyDescent="0.25">
      <c r="A72" s="9"/>
      <c r="B72" s="9" t="s">
        <v>40</v>
      </c>
      <c r="C72" s="9"/>
      <c r="E72" s="44">
        <f>'Rates and GI'!D12</f>
        <v>17.675000000000001</v>
      </c>
      <c r="F72" s="44">
        <f>E72*(1+index)</f>
        <v>18.435025</v>
      </c>
      <c r="G72" s="44">
        <f>F72*(1+index)</f>
        <v>19.227731074999998</v>
      </c>
      <c r="H72" s="44">
        <f>G72*(1+index)</f>
        <v>20.054523511224996</v>
      </c>
    </row>
    <row r="73" spans="1:12" hidden="1" x14ac:dyDescent="0.25"/>
    <row r="74" spans="1:12" s="7" customFormat="1" hidden="1" x14ac:dyDescent="0.25">
      <c r="A74" s="5"/>
      <c r="B74" s="5" t="s">
        <v>168</v>
      </c>
      <c r="C74" s="5"/>
      <c r="D74" s="44"/>
      <c r="E74" s="44">
        <f>E75*E76</f>
        <v>0</v>
      </c>
      <c r="F74" s="44">
        <f t="shared" ref="F74:H74" si="31">F75*F76</f>
        <v>0</v>
      </c>
      <c r="G74" s="44">
        <f t="shared" si="31"/>
        <v>0</v>
      </c>
      <c r="H74" s="44">
        <f t="shared" si="31"/>
        <v>0</v>
      </c>
      <c r="I74" s="62"/>
      <c r="J74" s="6"/>
      <c r="K74" s="6"/>
      <c r="L74" s="6"/>
    </row>
    <row r="75" spans="1:12" s="7" customFormat="1" hidden="1" x14ac:dyDescent="0.25">
      <c r="A75" s="9"/>
      <c r="B75" s="9" t="s">
        <v>170</v>
      </c>
      <c r="C75" s="9" t="s">
        <v>113</v>
      </c>
      <c r="D75" s="44"/>
      <c r="E75" s="44">
        <v>0</v>
      </c>
      <c r="F75" s="44">
        <v>0</v>
      </c>
      <c r="G75" s="44">
        <v>0</v>
      </c>
      <c r="H75" s="44">
        <v>0</v>
      </c>
      <c r="I75" s="62"/>
      <c r="J75" s="6"/>
      <c r="K75" s="6"/>
      <c r="L75" s="6"/>
    </row>
    <row r="76" spans="1:12" s="7" customFormat="1" hidden="1" x14ac:dyDescent="0.25">
      <c r="A76" s="9"/>
      <c r="B76" s="9" t="s">
        <v>40</v>
      </c>
      <c r="C76" s="9"/>
      <c r="D76" s="44"/>
      <c r="E76" s="44">
        <f>'Rates and GI'!D13</f>
        <v>162.21599999999998</v>
      </c>
      <c r="F76" s="44">
        <f>E76*(1+index)</f>
        <v>169.19128799999996</v>
      </c>
      <c r="G76" s="44">
        <f>F76*(1+index)</f>
        <v>176.46651338399994</v>
      </c>
      <c r="H76" s="44">
        <f>G76*(1+index)</f>
        <v>184.05457345951191</v>
      </c>
      <c r="I76" s="62"/>
      <c r="J76" s="6"/>
      <c r="K76" s="6"/>
      <c r="L76" s="6"/>
    </row>
    <row r="77" spans="1:12" hidden="1" x14ac:dyDescent="0.25"/>
    <row r="78" spans="1:12" s="7" customFormat="1" hidden="1" x14ac:dyDescent="0.25">
      <c r="A78" s="5"/>
      <c r="B78" s="5" t="s">
        <v>1</v>
      </c>
      <c r="C78" s="5"/>
      <c r="D78" s="44"/>
      <c r="E78" s="44"/>
      <c r="F78" s="44"/>
      <c r="G78" s="38"/>
      <c r="H78" s="38"/>
      <c r="I78" s="62"/>
      <c r="J78" s="6"/>
      <c r="K78" s="6"/>
      <c r="L78" s="6"/>
    </row>
    <row r="79" spans="1:12" s="7" customFormat="1" hidden="1" x14ac:dyDescent="0.25">
      <c r="A79" s="9"/>
      <c r="B79" s="9" t="s">
        <v>41</v>
      </c>
      <c r="C79" s="9"/>
      <c r="D79" s="44"/>
      <c r="E79" s="44">
        <v>0</v>
      </c>
      <c r="F79" s="44"/>
      <c r="G79" s="38"/>
      <c r="H79" s="38"/>
      <c r="I79" s="62"/>
      <c r="J79" s="6"/>
      <c r="K79" s="6"/>
      <c r="L79" s="6"/>
    </row>
    <row r="80" spans="1:12" s="7" customFormat="1" hidden="1" x14ac:dyDescent="0.25">
      <c r="A80" s="9"/>
      <c r="B80" s="9" t="s">
        <v>42</v>
      </c>
      <c r="C80" s="9"/>
      <c r="D80" s="44"/>
      <c r="E80" s="44">
        <v>0</v>
      </c>
      <c r="F80" s="44"/>
      <c r="G80" s="38"/>
      <c r="H80" s="38"/>
      <c r="I80" s="62"/>
      <c r="J80" s="6"/>
      <c r="K80" s="6"/>
      <c r="L80" s="6"/>
    </row>
    <row r="81" spans="1:12" s="7" customFormat="1" hidden="1" x14ac:dyDescent="0.25">
      <c r="A81" s="9"/>
      <c r="B81" s="9" t="s">
        <v>43</v>
      </c>
      <c r="C81" s="9"/>
      <c r="D81" s="44"/>
      <c r="E81" s="44">
        <v>0</v>
      </c>
      <c r="F81" s="44"/>
      <c r="G81" s="38"/>
      <c r="H81" s="38"/>
      <c r="I81" s="62"/>
      <c r="J81" s="6"/>
      <c r="K81" s="6"/>
      <c r="L81" s="6"/>
    </row>
    <row r="82" spans="1:12" s="7" customFormat="1" hidden="1" x14ac:dyDescent="0.25">
      <c r="A82" s="9"/>
      <c r="B82" s="9" t="s">
        <v>44</v>
      </c>
      <c r="C82" s="9"/>
      <c r="D82" s="44"/>
      <c r="E82" s="44">
        <v>0</v>
      </c>
      <c r="F82" s="44"/>
      <c r="G82" s="38"/>
      <c r="H82" s="38"/>
      <c r="I82" s="62"/>
      <c r="J82" s="6"/>
      <c r="K82" s="6"/>
      <c r="L82" s="6"/>
    </row>
    <row r="83" spans="1:12" hidden="1" x14ac:dyDescent="0.25"/>
    <row r="84" spans="1:12" s="7" customFormat="1" hidden="1" x14ac:dyDescent="0.25">
      <c r="A84" s="5"/>
      <c r="B84" s="5" t="s">
        <v>3</v>
      </c>
      <c r="C84" s="5"/>
      <c r="D84" s="44"/>
      <c r="E84" s="44"/>
      <c r="F84" s="44"/>
      <c r="G84" s="38"/>
      <c r="H84" s="38"/>
      <c r="I84" s="62"/>
      <c r="J84" s="6"/>
      <c r="K84" s="6"/>
      <c r="L84" s="6"/>
    </row>
    <row r="85" spans="1:12" s="7" customFormat="1" hidden="1" x14ac:dyDescent="0.25">
      <c r="A85" s="9"/>
      <c r="B85" s="9" t="s">
        <v>45</v>
      </c>
      <c r="C85" s="9"/>
      <c r="D85" s="44"/>
      <c r="E85" s="44">
        <v>0</v>
      </c>
      <c r="F85" s="44"/>
      <c r="G85" s="38"/>
      <c r="H85" s="38"/>
      <c r="I85" s="62"/>
      <c r="J85" s="6"/>
      <c r="K85" s="6"/>
      <c r="L85" s="6"/>
    </row>
    <row r="86" spans="1:12" s="7" customFormat="1" hidden="1" x14ac:dyDescent="0.25">
      <c r="A86" s="9"/>
      <c r="B86" s="9" t="s">
        <v>46</v>
      </c>
      <c r="C86" s="9"/>
      <c r="D86" s="44"/>
      <c r="E86" s="44">
        <v>0</v>
      </c>
      <c r="F86" s="44"/>
      <c r="G86" s="38"/>
      <c r="H86" s="38"/>
      <c r="I86" s="62"/>
      <c r="J86" s="6"/>
      <c r="K86" s="6"/>
      <c r="L86" s="6"/>
    </row>
    <row r="87" spans="1:12" hidden="1" x14ac:dyDescent="0.25"/>
    <row r="88" spans="1:12" hidden="1" x14ac:dyDescent="0.25">
      <c r="B88" s="5" t="s">
        <v>4</v>
      </c>
    </row>
    <row r="89" spans="1:12" hidden="1" x14ac:dyDescent="0.25">
      <c r="B89" s="9" t="s">
        <v>47</v>
      </c>
      <c r="C89" s="9"/>
      <c r="E89" s="44">
        <v>0</v>
      </c>
    </row>
    <row r="90" spans="1:12" hidden="1" x14ac:dyDescent="0.25">
      <c r="B90" s="9" t="s">
        <v>48</v>
      </c>
      <c r="C90" s="9"/>
      <c r="E90" s="44">
        <v>0</v>
      </c>
    </row>
    <row r="91" spans="1:12" hidden="1" x14ac:dyDescent="0.25"/>
    <row r="92" spans="1:12" hidden="1" x14ac:dyDescent="0.25">
      <c r="B92" s="9" t="s">
        <v>39</v>
      </c>
      <c r="C92" s="9"/>
      <c r="E92" s="46"/>
    </row>
    <row r="93" spans="1:12" hidden="1" x14ac:dyDescent="0.25"/>
    <row r="95" spans="1:12" x14ac:dyDescent="0.25">
      <c r="A95" s="50"/>
      <c r="B95" s="50" t="s">
        <v>379</v>
      </c>
      <c r="C95" s="50"/>
      <c r="D95" s="52"/>
      <c r="E95" s="52">
        <f>E97</f>
        <v>1569273.4</v>
      </c>
      <c r="F95" s="52">
        <f t="shared" ref="F95:H95" si="32">F97</f>
        <v>1569273.4</v>
      </c>
      <c r="G95" s="52">
        <f t="shared" si="32"/>
        <v>1569273.4</v>
      </c>
      <c r="H95" s="52">
        <f t="shared" si="32"/>
        <v>1569273.4</v>
      </c>
    </row>
    <row r="96" spans="1:12" x14ac:dyDescent="0.25">
      <c r="B96" s="5" t="s">
        <v>381</v>
      </c>
    </row>
    <row r="97" spans="1:12" x14ac:dyDescent="0.25">
      <c r="B97" s="9" t="s">
        <v>380</v>
      </c>
      <c r="E97" s="44">
        <f>1569273.4</f>
        <v>1569273.4</v>
      </c>
      <c r="F97" s="44">
        <f>E97</f>
        <v>1569273.4</v>
      </c>
      <c r="G97" s="44">
        <f t="shared" ref="G97:H97" si="33">F97</f>
        <v>1569273.4</v>
      </c>
      <c r="H97" s="44">
        <f t="shared" si="33"/>
        <v>1569273.4</v>
      </c>
    </row>
    <row r="98" spans="1:12" hidden="1" x14ac:dyDescent="0.25"/>
    <row r="99" spans="1:12" s="7" customFormat="1" hidden="1" x14ac:dyDescent="0.25">
      <c r="A99" s="5"/>
      <c r="H99" s="38"/>
      <c r="I99" s="62"/>
      <c r="J99" s="6"/>
      <c r="K99" s="6"/>
      <c r="L99" s="6"/>
    </row>
    <row r="100" spans="1:12" s="7" customFormat="1" x14ac:dyDescent="0.25">
      <c r="A100" s="9"/>
      <c r="H100" s="38"/>
      <c r="I100" s="62"/>
      <c r="J100" s="6"/>
      <c r="K100" s="6"/>
      <c r="L100" s="6"/>
    </row>
    <row r="101" spans="1:12" x14ac:dyDescent="0.25">
      <c r="A101" s="50"/>
      <c r="B101" s="50" t="s">
        <v>386</v>
      </c>
      <c r="C101" s="50"/>
      <c r="D101" s="52"/>
      <c r="E101" s="52">
        <f>E104+E105+E106</f>
        <v>174775</v>
      </c>
      <c r="F101" s="52">
        <f>F104+F105+F106</f>
        <v>233596</v>
      </c>
      <c r="G101" s="52">
        <f t="shared" ref="G101:H101" si="34">G104+G105+G106</f>
        <v>290409</v>
      </c>
      <c r="H101" s="52">
        <f t="shared" si="34"/>
        <v>345156</v>
      </c>
    </row>
    <row r="102" spans="1:12" ht="27" x14ac:dyDescent="0.25">
      <c r="B102" s="159" t="s">
        <v>382</v>
      </c>
      <c r="C102" s="6"/>
      <c r="D102" s="6"/>
      <c r="E102" s="6"/>
      <c r="F102" s="6"/>
      <c r="G102" s="6"/>
    </row>
    <row r="103" spans="1:12" x14ac:dyDescent="0.25">
      <c r="B103" s="7"/>
      <c r="C103" s="6"/>
      <c r="D103" s="6"/>
      <c r="E103" s="6"/>
      <c r="F103" s="6"/>
      <c r="G103" s="6"/>
    </row>
    <row r="104" spans="1:12" x14ac:dyDescent="0.25">
      <c r="B104" s="159" t="s">
        <v>383</v>
      </c>
      <c r="C104" s="6"/>
      <c r="D104" s="6"/>
      <c r="E104" s="44">
        <v>30449</v>
      </c>
      <c r="F104" s="44">
        <v>60141</v>
      </c>
      <c r="G104" s="44">
        <v>89023</v>
      </c>
      <c r="H104" s="44">
        <v>117035</v>
      </c>
    </row>
    <row r="105" spans="1:12" x14ac:dyDescent="0.25">
      <c r="B105" s="159" t="s">
        <v>384</v>
      </c>
      <c r="C105" s="6"/>
      <c r="D105" s="6"/>
      <c r="E105" s="44">
        <v>30326</v>
      </c>
      <c r="F105" s="44">
        <v>59455</v>
      </c>
      <c r="G105" s="44">
        <v>87386</v>
      </c>
      <c r="H105" s="44">
        <v>114121</v>
      </c>
    </row>
    <row r="106" spans="1:12" x14ac:dyDescent="0.25">
      <c r="B106" s="159" t="s">
        <v>385</v>
      </c>
      <c r="C106" s="6"/>
      <c r="D106" s="6"/>
      <c r="E106" s="44">
        <f>40*28500*10%</f>
        <v>114000</v>
      </c>
      <c r="F106" s="44">
        <f t="shared" ref="F106:H106" si="35">40*28500*10%</f>
        <v>114000</v>
      </c>
      <c r="G106" s="44">
        <f t="shared" si="35"/>
        <v>114000</v>
      </c>
      <c r="H106" s="44">
        <f t="shared" si="35"/>
        <v>114000</v>
      </c>
    </row>
    <row r="107" spans="1:12" x14ac:dyDescent="0.25">
      <c r="A107" s="228"/>
      <c r="B107" s="228"/>
      <c r="C107" s="228"/>
      <c r="D107" s="230"/>
      <c r="E107" s="230"/>
      <c r="F107" s="230"/>
      <c r="G107" s="230"/>
      <c r="H107" s="230"/>
    </row>
    <row r="108" spans="1:12" hidden="1" x14ac:dyDescent="0.25">
      <c r="A108" s="50"/>
      <c r="B108" s="50" t="s">
        <v>10</v>
      </c>
      <c r="C108" s="50"/>
      <c r="D108" s="52"/>
      <c r="E108" s="52">
        <f>E109*E110+E112*E113</f>
        <v>0</v>
      </c>
      <c r="F108" s="52">
        <f t="shared" ref="F108:H108" si="36">F109*F110+F112*F113</f>
        <v>0</v>
      </c>
      <c r="G108" s="52">
        <f t="shared" si="36"/>
        <v>0</v>
      </c>
      <c r="H108" s="52">
        <f t="shared" si="36"/>
        <v>0</v>
      </c>
    </row>
    <row r="109" spans="1:12" s="7" customFormat="1" hidden="1" x14ac:dyDescent="0.25">
      <c r="A109" s="5"/>
      <c r="B109" s="9" t="s">
        <v>49</v>
      </c>
      <c r="C109" s="5"/>
      <c r="D109" s="44"/>
      <c r="E109" s="44">
        <v>0</v>
      </c>
      <c r="F109" s="44">
        <v>0</v>
      </c>
      <c r="G109" s="44">
        <v>0</v>
      </c>
      <c r="H109" s="44">
        <v>0</v>
      </c>
      <c r="I109" s="62"/>
      <c r="J109" s="6"/>
      <c r="K109" s="6"/>
      <c r="L109" s="6"/>
    </row>
    <row r="110" spans="1:12" s="7" customFormat="1" hidden="1" x14ac:dyDescent="0.25">
      <c r="A110" s="5"/>
      <c r="B110" s="9" t="s">
        <v>50</v>
      </c>
      <c r="C110" s="5"/>
      <c r="D110" s="44"/>
      <c r="E110" s="44">
        <f>Trips!$B$10</f>
        <v>908.23176058823537</v>
      </c>
      <c r="F110" s="44">
        <f>Trips!$B$10</f>
        <v>908.23176058823537</v>
      </c>
      <c r="G110" s="44">
        <f>Trips!$B$10</f>
        <v>908.23176058823537</v>
      </c>
      <c r="H110" s="44">
        <f>Trips!$B$10</f>
        <v>908.23176058823537</v>
      </c>
      <c r="I110" s="62"/>
      <c r="J110" s="6"/>
      <c r="K110" s="6"/>
      <c r="L110" s="6"/>
    </row>
    <row r="111" spans="1:12" hidden="1" x14ac:dyDescent="0.25"/>
    <row r="112" spans="1:12" s="7" customFormat="1" hidden="1" x14ac:dyDescent="0.25">
      <c r="A112" s="5"/>
      <c r="B112" s="9" t="s">
        <v>51</v>
      </c>
      <c r="C112" s="5"/>
      <c r="D112" s="44"/>
      <c r="E112" s="44">
        <v>0</v>
      </c>
      <c r="F112" s="44">
        <v>0</v>
      </c>
      <c r="G112" s="44">
        <v>0</v>
      </c>
      <c r="H112" s="44">
        <f>G112</f>
        <v>0</v>
      </c>
      <c r="I112" s="62"/>
      <c r="J112" s="6"/>
      <c r="K112" s="6"/>
      <c r="L112" s="6"/>
    </row>
    <row r="113" spans="1:12" s="7" customFormat="1" hidden="1" x14ac:dyDescent="0.25">
      <c r="A113" s="5"/>
      <c r="B113" s="9" t="s">
        <v>52</v>
      </c>
      <c r="C113" s="5"/>
      <c r="D113" s="44"/>
      <c r="E113" s="44">
        <f>Trips!$B$5</f>
        <v>52</v>
      </c>
      <c r="F113" s="44">
        <f>Trips!$B$5</f>
        <v>52</v>
      </c>
      <c r="G113" s="44">
        <f>Trips!$B$5</f>
        <v>52</v>
      </c>
      <c r="H113" s="44">
        <f>Trips!$B$5</f>
        <v>52</v>
      </c>
      <c r="I113" s="62"/>
      <c r="J113" s="6"/>
      <c r="K113" s="6"/>
      <c r="L113" s="6"/>
    </row>
    <row r="114" spans="1:12" hidden="1" x14ac:dyDescent="0.25"/>
    <row r="115" spans="1:12" hidden="1" x14ac:dyDescent="0.25"/>
    <row r="116" spans="1:12" hidden="1" x14ac:dyDescent="0.25">
      <c r="A116" s="50"/>
      <c r="B116" s="50" t="s">
        <v>171</v>
      </c>
      <c r="C116" s="50"/>
      <c r="D116" s="52"/>
      <c r="E116" s="52">
        <f>E117*E118</f>
        <v>0</v>
      </c>
      <c r="F116" s="52">
        <f t="shared" ref="F116:H116" si="37">F117*F118</f>
        <v>0</v>
      </c>
      <c r="G116" s="52">
        <f t="shared" si="37"/>
        <v>0</v>
      </c>
      <c r="H116" s="52">
        <f t="shared" si="37"/>
        <v>0</v>
      </c>
    </row>
    <row r="117" spans="1:12" s="7" customFormat="1" hidden="1" x14ac:dyDescent="0.25">
      <c r="A117" s="10"/>
      <c r="B117" s="39" t="s">
        <v>144</v>
      </c>
      <c r="C117" s="10" t="s">
        <v>145</v>
      </c>
      <c r="D117" s="44"/>
      <c r="E117" s="44">
        <v>0</v>
      </c>
      <c r="F117" s="44">
        <v>0</v>
      </c>
      <c r="G117" s="44">
        <v>0</v>
      </c>
      <c r="H117" s="44">
        <v>0</v>
      </c>
      <c r="I117" s="62"/>
      <c r="J117" s="6"/>
      <c r="K117" s="6"/>
      <c r="L117" s="6"/>
    </row>
    <row r="118" spans="1:12" s="7" customFormat="1" hidden="1" x14ac:dyDescent="0.25">
      <c r="A118" s="5"/>
      <c r="B118" s="39" t="s">
        <v>141</v>
      </c>
      <c r="C118" s="5"/>
      <c r="D118" s="44"/>
      <c r="E118" s="44">
        <f>Trips!B41</f>
        <v>631.70365882352939</v>
      </c>
      <c r="F118" s="44">
        <f>E118*(1+index)</f>
        <v>658.86691615294114</v>
      </c>
      <c r="G118" s="44">
        <f>F118*(1+index)</f>
        <v>687.19819354751758</v>
      </c>
      <c r="H118" s="44">
        <f>G118*(1+index)</f>
        <v>716.7477158700608</v>
      </c>
      <c r="I118" s="62"/>
      <c r="J118" s="6"/>
      <c r="K118" s="6"/>
      <c r="L118" s="6"/>
    </row>
    <row r="119" spans="1:12" hidden="1" x14ac:dyDescent="0.25"/>
    <row r="120" spans="1:12" hidden="1" x14ac:dyDescent="0.25">
      <c r="A120" s="50"/>
      <c r="B120" s="50" t="s">
        <v>130</v>
      </c>
      <c r="C120" s="50"/>
      <c r="D120" s="52"/>
      <c r="E120" s="52">
        <f>E121*E122+E123*E124+E125*E126</f>
        <v>0</v>
      </c>
      <c r="F120" s="52">
        <f t="shared" ref="F120:H120" si="38">F121*F122+F123*F124+F125*F126</f>
        <v>0</v>
      </c>
      <c r="G120" s="52">
        <f t="shared" si="38"/>
        <v>0</v>
      </c>
      <c r="H120" s="52">
        <f t="shared" si="38"/>
        <v>0</v>
      </c>
    </row>
    <row r="121" spans="1:12" hidden="1" x14ac:dyDescent="0.25">
      <c r="B121" s="39" t="s">
        <v>131</v>
      </c>
      <c r="C121" s="5" t="s">
        <v>132</v>
      </c>
      <c r="E121" s="44">
        <f>Training!$C$33</f>
        <v>81.10799999999999</v>
      </c>
      <c r="F121" s="44">
        <f>E121*(1+index)</f>
        <v>84.595643999999979</v>
      </c>
      <c r="G121" s="44">
        <f>F121*(1+index)</f>
        <v>88.233256691999969</v>
      </c>
      <c r="H121" s="44">
        <f>G121*(1+index)</f>
        <v>92.027286729755957</v>
      </c>
    </row>
    <row r="122" spans="1:12" hidden="1" x14ac:dyDescent="0.25">
      <c r="B122" s="39" t="s">
        <v>133</v>
      </c>
      <c r="F122" s="44">
        <v>0</v>
      </c>
      <c r="G122" s="44">
        <v>0</v>
      </c>
      <c r="H122" s="44">
        <f t="shared" ref="H122" si="39">H109</f>
        <v>0</v>
      </c>
    </row>
    <row r="123" spans="1:12" hidden="1" x14ac:dyDescent="0.25">
      <c r="B123" s="39" t="s">
        <v>134</v>
      </c>
      <c r="E123" s="44">
        <f>Training!C23</f>
        <v>709.375</v>
      </c>
      <c r="F123" s="44">
        <f>E123*(1+index)</f>
        <v>739.87812499999995</v>
      </c>
      <c r="G123" s="44">
        <f>F123*(1+index)</f>
        <v>771.69288437499995</v>
      </c>
      <c r="H123" s="44">
        <f>G123*(1+index)</f>
        <v>804.87567840312488</v>
      </c>
    </row>
    <row r="124" spans="1:12" hidden="1" x14ac:dyDescent="0.25">
      <c r="B124" s="39" t="s">
        <v>135</v>
      </c>
      <c r="E124" s="44">
        <v>0</v>
      </c>
      <c r="F124" s="44">
        <v>0</v>
      </c>
      <c r="G124" s="33">
        <v>0</v>
      </c>
      <c r="H124" s="33">
        <v>0</v>
      </c>
    </row>
    <row r="125" spans="1:12" hidden="1" x14ac:dyDescent="0.25">
      <c r="B125" s="39" t="s">
        <v>203</v>
      </c>
      <c r="C125" s="5" t="s">
        <v>137</v>
      </c>
      <c r="G125" s="44"/>
      <c r="H125" s="44"/>
    </row>
    <row r="126" spans="1:12" hidden="1" x14ac:dyDescent="0.25">
      <c r="B126" s="39" t="s">
        <v>133</v>
      </c>
      <c r="E126" s="44">
        <v>0</v>
      </c>
      <c r="F126" s="44">
        <v>0</v>
      </c>
      <c r="G126" s="44">
        <v>0</v>
      </c>
      <c r="H126" s="44">
        <v>0</v>
      </c>
    </row>
    <row r="127" spans="1:12" hidden="1" x14ac:dyDescent="0.25">
      <c r="B127" s="39"/>
    </row>
    <row r="128" spans="1:12" hidden="1" x14ac:dyDescent="0.25">
      <c r="A128" s="50"/>
      <c r="B128" s="50" t="s">
        <v>24</v>
      </c>
      <c r="C128" s="50"/>
      <c r="D128" s="52"/>
      <c r="E128" s="52">
        <f t="shared" ref="E128:H128" si="40">E129*E130</f>
        <v>0</v>
      </c>
      <c r="F128" s="52">
        <f t="shared" si="40"/>
        <v>0</v>
      </c>
      <c r="G128" s="52">
        <f t="shared" si="40"/>
        <v>0</v>
      </c>
      <c r="H128" s="52">
        <f t="shared" si="40"/>
        <v>0</v>
      </c>
    </row>
    <row r="129" spans="1:12" s="7" customFormat="1" hidden="1" x14ac:dyDescent="0.25">
      <c r="A129" s="5"/>
      <c r="B129" s="39" t="s">
        <v>53</v>
      </c>
      <c r="C129" s="5"/>
      <c r="D129" s="44"/>
      <c r="E129" s="44">
        <v>0</v>
      </c>
      <c r="F129" s="44">
        <v>0</v>
      </c>
      <c r="G129" s="44"/>
      <c r="H129" s="44"/>
      <c r="I129" s="62"/>
      <c r="J129" s="6"/>
      <c r="K129" s="6"/>
      <c r="L129" s="6"/>
    </row>
    <row r="130" spans="1:12" s="7" customFormat="1" hidden="1" x14ac:dyDescent="0.25">
      <c r="A130" s="5"/>
      <c r="B130" s="39" t="s">
        <v>54</v>
      </c>
      <c r="C130" s="5"/>
      <c r="D130" s="44"/>
      <c r="E130" s="44">
        <f>'Rates and GI'!D25</f>
        <v>6</v>
      </c>
      <c r="F130" s="44">
        <f>E130*(1+index)</f>
        <v>6.2579999999999991</v>
      </c>
      <c r="G130" s="44">
        <f>F130*(1+index)</f>
        <v>6.5270939999999991</v>
      </c>
      <c r="H130" s="44">
        <f>G130*(1+index)</f>
        <v>6.8077590419999989</v>
      </c>
      <c r="I130" s="62"/>
      <c r="J130" s="6"/>
      <c r="K130" s="6"/>
      <c r="L130" s="6"/>
    </row>
    <row r="131" spans="1:12" hidden="1" x14ac:dyDescent="0.25"/>
    <row r="132" spans="1:12" hidden="1" x14ac:dyDescent="0.25">
      <c r="A132" s="50"/>
      <c r="B132" s="50" t="s">
        <v>7</v>
      </c>
      <c r="C132" s="50"/>
      <c r="D132" s="52"/>
      <c r="E132" s="147"/>
      <c r="F132" s="147"/>
      <c r="G132" s="147"/>
      <c r="H132" s="147"/>
    </row>
    <row r="133" spans="1:12" s="7" customFormat="1" hidden="1" x14ac:dyDescent="0.25">
      <c r="A133" s="5"/>
      <c r="B133" s="4" t="s">
        <v>57</v>
      </c>
      <c r="C133" s="5"/>
      <c r="D133" s="44"/>
      <c r="E133" s="46"/>
      <c r="F133" s="46"/>
      <c r="G133" s="105"/>
      <c r="H133" s="105"/>
      <c r="I133" s="62"/>
      <c r="J133" s="6"/>
      <c r="K133" s="6"/>
      <c r="L133" s="6"/>
    </row>
    <row r="134" spans="1:12" s="43" customFormat="1" hidden="1" x14ac:dyDescent="0.25">
      <c r="A134" s="40"/>
      <c r="B134" s="41" t="s">
        <v>58</v>
      </c>
      <c r="C134" s="40" t="s">
        <v>55</v>
      </c>
      <c r="D134" s="71"/>
      <c r="E134" s="71"/>
      <c r="F134" s="71"/>
      <c r="G134" s="72"/>
      <c r="H134" s="72"/>
      <c r="I134" s="75"/>
      <c r="J134" s="42"/>
      <c r="K134" s="42"/>
      <c r="L134" s="42"/>
    </row>
    <row r="135" spans="1:12" s="40" customFormat="1" hidden="1" x14ac:dyDescent="0.25">
      <c r="B135" s="41" t="s">
        <v>56</v>
      </c>
      <c r="D135" s="71"/>
      <c r="E135" s="71"/>
      <c r="F135" s="71"/>
      <c r="G135" s="72"/>
      <c r="H135" s="72"/>
      <c r="I135" s="75"/>
      <c r="J135" s="42"/>
      <c r="K135" s="42"/>
      <c r="L135" s="42"/>
    </row>
    <row r="136" spans="1:12" s="40" customFormat="1" hidden="1" x14ac:dyDescent="0.25">
      <c r="B136" s="41" t="s">
        <v>59</v>
      </c>
      <c r="D136" s="71"/>
      <c r="E136" s="71"/>
      <c r="F136" s="71"/>
      <c r="G136" s="72"/>
      <c r="H136" s="72"/>
      <c r="I136" s="75"/>
      <c r="J136" s="42"/>
      <c r="K136" s="42"/>
      <c r="L136" s="42"/>
    </row>
    <row r="137" spans="1:12" hidden="1" x14ac:dyDescent="0.25"/>
    <row r="138" spans="1:12" hidden="1" x14ac:dyDescent="0.25">
      <c r="A138" s="50"/>
      <c r="B138" s="50" t="s">
        <v>26</v>
      </c>
      <c r="C138" s="50"/>
      <c r="D138" s="52"/>
      <c r="E138" s="52">
        <f>E139+E142</f>
        <v>0</v>
      </c>
      <c r="F138" s="52">
        <f t="shared" ref="F138:H138" si="41">F139+F142</f>
        <v>0</v>
      </c>
      <c r="G138" s="52">
        <f t="shared" si="41"/>
        <v>0</v>
      </c>
      <c r="H138" s="52">
        <f t="shared" si="41"/>
        <v>0</v>
      </c>
    </row>
    <row r="139" spans="1:12" s="5" customFormat="1" hidden="1" x14ac:dyDescent="0.25">
      <c r="B139" s="55" t="s">
        <v>60</v>
      </c>
      <c r="D139" s="44"/>
      <c r="E139" s="44"/>
      <c r="F139" s="44"/>
      <c r="G139" s="38"/>
      <c r="H139" s="38"/>
      <c r="I139" s="62"/>
      <c r="J139" s="6"/>
      <c r="K139" s="6"/>
      <c r="L139" s="6"/>
    </row>
    <row r="140" spans="1:12" s="5" customFormat="1" hidden="1" x14ac:dyDescent="0.25">
      <c r="B140" s="41" t="s">
        <v>147</v>
      </c>
      <c r="D140" s="44"/>
      <c r="E140" s="44"/>
      <c r="F140" s="44"/>
      <c r="G140" s="38"/>
      <c r="H140" s="38"/>
      <c r="I140" s="62"/>
      <c r="J140" s="6"/>
      <c r="K140" s="6"/>
      <c r="L140" s="6"/>
    </row>
    <row r="141" spans="1:12" s="5" customFormat="1" hidden="1" x14ac:dyDescent="0.25">
      <c r="B141" s="41" t="s">
        <v>146</v>
      </c>
      <c r="D141" s="44"/>
      <c r="E141" s="44"/>
      <c r="F141" s="44"/>
      <c r="G141" s="38"/>
      <c r="H141" s="38"/>
      <c r="I141" s="62"/>
      <c r="J141" s="6"/>
      <c r="K141" s="6"/>
      <c r="L141" s="6"/>
    </row>
    <row r="142" spans="1:12" s="5" customFormat="1" hidden="1" x14ac:dyDescent="0.25">
      <c r="B142" s="55" t="s">
        <v>123</v>
      </c>
      <c r="D142" s="44"/>
      <c r="E142" s="44">
        <f>E143</f>
        <v>0</v>
      </c>
      <c r="F142" s="44">
        <f t="shared" ref="F142:H142" si="42">F143</f>
        <v>0</v>
      </c>
      <c r="G142" s="44">
        <f t="shared" si="42"/>
        <v>0</v>
      </c>
      <c r="H142" s="44">
        <f t="shared" si="42"/>
        <v>0</v>
      </c>
      <c r="I142" s="62"/>
      <c r="J142" s="6"/>
      <c r="K142" s="6"/>
      <c r="L142" s="6"/>
    </row>
    <row r="143" spans="1:12" s="5" customFormat="1" ht="27" hidden="1" x14ac:dyDescent="0.25">
      <c r="B143" s="66" t="s">
        <v>266</v>
      </c>
      <c r="D143" s="44"/>
      <c r="E143" s="44">
        <f t="shared" ref="E143" si="43">E144+E148</f>
        <v>0</v>
      </c>
      <c r="F143" s="44">
        <f>F144+F148</f>
        <v>0</v>
      </c>
      <c r="G143" s="38">
        <f t="shared" ref="G143:H143" si="44">G144+G148</f>
        <v>0</v>
      </c>
      <c r="H143" s="38">
        <f t="shared" si="44"/>
        <v>0</v>
      </c>
      <c r="I143" s="62"/>
      <c r="J143" s="6"/>
      <c r="K143" s="6"/>
      <c r="L143" s="6"/>
    </row>
    <row r="144" spans="1:12" s="5" customFormat="1" hidden="1" x14ac:dyDescent="0.25">
      <c r="B144" s="146" t="s">
        <v>275</v>
      </c>
      <c r="D144" s="44"/>
      <c r="E144" s="44"/>
      <c r="F144" s="44">
        <f>F145*F146</f>
        <v>0</v>
      </c>
      <c r="G144" s="38"/>
      <c r="H144" s="38"/>
      <c r="I144" s="62"/>
      <c r="J144" s="6"/>
      <c r="K144" s="6"/>
      <c r="L144" s="6"/>
    </row>
    <row r="145" spans="1:12" s="5" customFormat="1" hidden="1" x14ac:dyDescent="0.25">
      <c r="B145" s="41" t="s">
        <v>277</v>
      </c>
      <c r="D145" s="44"/>
      <c r="E145" s="44"/>
      <c r="F145" s="44">
        <v>0</v>
      </c>
      <c r="G145" s="38"/>
      <c r="H145" s="38"/>
      <c r="I145" s="62"/>
      <c r="J145" s="6"/>
      <c r="K145" s="6"/>
      <c r="L145" s="6"/>
    </row>
    <row r="146" spans="1:12" s="5" customFormat="1" hidden="1" x14ac:dyDescent="0.25">
      <c r="B146" s="41" t="s">
        <v>274</v>
      </c>
      <c r="D146" s="44"/>
      <c r="E146" s="44"/>
      <c r="F146" s="44">
        <v>0</v>
      </c>
      <c r="G146" s="38"/>
      <c r="H146" s="38"/>
      <c r="I146" s="62"/>
      <c r="J146" s="6"/>
      <c r="K146" s="6"/>
      <c r="L146" s="6"/>
    </row>
    <row r="147" spans="1:12" s="5" customFormat="1" hidden="1" x14ac:dyDescent="0.25">
      <c r="B147" s="146"/>
      <c r="D147" s="44"/>
      <c r="E147" s="44"/>
      <c r="F147" s="44"/>
      <c r="G147" s="38"/>
      <c r="H147" s="38"/>
      <c r="I147" s="62"/>
      <c r="J147" s="6"/>
      <c r="K147" s="6"/>
      <c r="L147" s="6"/>
    </row>
    <row r="148" spans="1:12" s="5" customFormat="1" hidden="1" x14ac:dyDescent="0.25">
      <c r="B148" s="55" t="s">
        <v>276</v>
      </c>
      <c r="D148" s="44"/>
      <c r="E148" s="44"/>
      <c r="F148" s="44">
        <f>F149*F150</f>
        <v>0</v>
      </c>
      <c r="G148" s="38"/>
      <c r="H148" s="38"/>
      <c r="I148" s="62"/>
      <c r="J148" s="6"/>
      <c r="K148" s="6"/>
      <c r="L148" s="6"/>
    </row>
    <row r="149" spans="1:12" s="5" customFormat="1" hidden="1" x14ac:dyDescent="0.25">
      <c r="B149" s="41" t="s">
        <v>277</v>
      </c>
      <c r="D149" s="44"/>
      <c r="E149" s="44"/>
      <c r="F149" s="44">
        <v>0</v>
      </c>
      <c r="G149" s="38"/>
      <c r="H149" s="38"/>
      <c r="I149" s="62"/>
      <c r="J149" s="6"/>
      <c r="K149" s="6"/>
      <c r="L149" s="6"/>
    </row>
    <row r="150" spans="1:12" s="5" customFormat="1" hidden="1" x14ac:dyDescent="0.25">
      <c r="B150" s="41" t="s">
        <v>274</v>
      </c>
      <c r="D150" s="44"/>
      <c r="E150" s="44"/>
      <c r="F150" s="44">
        <v>0</v>
      </c>
      <c r="G150" s="38"/>
      <c r="H150" s="38"/>
      <c r="I150" s="62"/>
      <c r="J150" s="6"/>
      <c r="K150" s="6"/>
      <c r="L150" s="6"/>
    </row>
    <row r="151" spans="1:12" s="5" customFormat="1" hidden="1" x14ac:dyDescent="0.25">
      <c r="D151" s="44"/>
      <c r="E151" s="44"/>
      <c r="F151" s="44"/>
      <c r="G151" s="44"/>
      <c r="H151" s="44"/>
      <c r="I151" s="62"/>
      <c r="J151" s="6"/>
      <c r="K151" s="6"/>
      <c r="L151" s="6"/>
    </row>
    <row r="152" spans="1:12" s="5" customFormat="1" hidden="1" x14ac:dyDescent="0.25">
      <c r="D152" s="44"/>
      <c r="E152" s="44"/>
      <c r="F152" s="44"/>
      <c r="G152" s="38"/>
      <c r="H152" s="38"/>
      <c r="I152" s="62"/>
      <c r="J152" s="6"/>
      <c r="K152" s="6"/>
      <c r="L152" s="6"/>
    </row>
    <row r="153" spans="1:12" hidden="1" x14ac:dyDescent="0.25">
      <c r="A153" s="50"/>
      <c r="B153" s="50" t="s">
        <v>8</v>
      </c>
      <c r="C153" s="50"/>
      <c r="D153" s="52"/>
      <c r="E153" s="52"/>
      <c r="F153" s="52"/>
      <c r="G153" s="52"/>
      <c r="H153" s="52"/>
    </row>
    <row r="154" spans="1:12" s="5" customFormat="1" hidden="1" x14ac:dyDescent="0.25">
      <c r="B154" s="41" t="s">
        <v>147</v>
      </c>
      <c r="D154" s="44"/>
      <c r="E154" s="44"/>
      <c r="F154" s="44"/>
      <c r="G154" s="38"/>
      <c r="H154" s="38"/>
      <c r="I154" s="62"/>
      <c r="J154" s="6"/>
      <c r="K154" s="6"/>
      <c r="L154" s="6"/>
    </row>
    <row r="155" spans="1:12" s="5" customFormat="1" hidden="1" x14ac:dyDescent="0.25">
      <c r="B155" s="41" t="s">
        <v>146</v>
      </c>
      <c r="D155" s="44"/>
      <c r="E155" s="44"/>
      <c r="F155" s="44"/>
      <c r="G155" s="38"/>
      <c r="H155" s="38"/>
      <c r="I155" s="62"/>
      <c r="J155" s="6"/>
      <c r="K155" s="6"/>
      <c r="L155" s="6"/>
    </row>
    <row r="156" spans="1:12" hidden="1" x14ac:dyDescent="0.25"/>
    <row r="157" spans="1:12" hidden="1" x14ac:dyDescent="0.25">
      <c r="A157" s="50"/>
      <c r="B157" s="50" t="s">
        <v>25</v>
      </c>
      <c r="C157" s="50"/>
      <c r="D157" s="52"/>
      <c r="E157" s="52">
        <f>E158+E161</f>
        <v>0</v>
      </c>
      <c r="F157" s="52">
        <f t="shared" ref="F157:H157" si="45">F158+F161</f>
        <v>0</v>
      </c>
      <c r="G157" s="52">
        <f t="shared" si="45"/>
        <v>0</v>
      </c>
      <c r="H157" s="52">
        <f t="shared" si="45"/>
        <v>0</v>
      </c>
    </row>
    <row r="158" spans="1:12" s="5" customFormat="1" hidden="1" x14ac:dyDescent="0.25">
      <c r="B158" s="5" t="s">
        <v>205</v>
      </c>
      <c r="D158" s="44"/>
      <c r="E158" s="44"/>
      <c r="F158" s="44">
        <v>0</v>
      </c>
      <c r="G158" s="38"/>
      <c r="H158" s="38"/>
      <c r="I158" s="62"/>
      <c r="J158" s="6"/>
      <c r="K158" s="6"/>
      <c r="L158" s="6"/>
    </row>
    <row r="159" spans="1:12" s="5" customFormat="1" hidden="1" x14ac:dyDescent="0.25">
      <c r="B159" s="41"/>
      <c r="D159" s="44"/>
      <c r="E159" s="44"/>
      <c r="F159" s="44"/>
      <c r="G159" s="38"/>
      <c r="H159" s="38"/>
      <c r="I159" s="62"/>
      <c r="J159" s="6"/>
      <c r="K159" s="6"/>
      <c r="L159" s="6"/>
    </row>
    <row r="160" spans="1:12" s="5" customFormat="1" hidden="1" x14ac:dyDescent="0.25">
      <c r="B160" s="41"/>
      <c r="D160" s="44"/>
      <c r="E160" s="44"/>
      <c r="F160" s="44"/>
      <c r="G160" s="38"/>
      <c r="H160" s="38"/>
      <c r="I160" s="62"/>
      <c r="J160" s="6"/>
      <c r="K160" s="6"/>
      <c r="L160" s="6"/>
    </row>
    <row r="161" spans="1:12" s="5" customFormat="1" hidden="1" x14ac:dyDescent="0.25">
      <c r="B161" s="5" t="s">
        <v>154</v>
      </c>
      <c r="D161" s="44"/>
      <c r="E161" s="44">
        <f>E162+E163*E164</f>
        <v>0</v>
      </c>
      <c r="F161" s="44">
        <f>F162+F163*F164</f>
        <v>0</v>
      </c>
      <c r="G161" s="44">
        <f t="shared" ref="G161:H161" si="46">G162+G163*G164</f>
        <v>0</v>
      </c>
      <c r="H161" s="44">
        <f t="shared" si="46"/>
        <v>0</v>
      </c>
      <c r="I161" s="73"/>
    </row>
    <row r="162" spans="1:12" hidden="1" x14ac:dyDescent="0.25">
      <c r="B162" s="41" t="s">
        <v>153</v>
      </c>
      <c r="F162" s="44">
        <f>'Rates and GI'!D46*0</f>
        <v>0</v>
      </c>
    </row>
    <row r="163" spans="1:12" hidden="1" x14ac:dyDescent="0.25">
      <c r="B163" s="41" t="s">
        <v>159</v>
      </c>
      <c r="E163" s="60">
        <f>'Rates and GI'!$D$48</f>
        <v>0.02</v>
      </c>
      <c r="F163" s="60">
        <f>'Rates and GI'!$D$48</f>
        <v>0.02</v>
      </c>
      <c r="G163" s="60">
        <f>'Rates and GI'!$D$48</f>
        <v>0.02</v>
      </c>
      <c r="H163" s="60">
        <f>'Rates and GI'!$D$48</f>
        <v>0.02</v>
      </c>
    </row>
    <row r="164" spans="1:12" hidden="1" x14ac:dyDescent="0.25">
      <c r="B164" s="41" t="s">
        <v>160</v>
      </c>
      <c r="E164" s="44">
        <v>0</v>
      </c>
      <c r="F164" s="44">
        <v>0</v>
      </c>
      <c r="G164" s="44">
        <v>0</v>
      </c>
      <c r="H164" s="44">
        <v>0</v>
      </c>
    </row>
    <row r="165" spans="1:12" s="5" customFormat="1" hidden="1" x14ac:dyDescent="0.25">
      <c r="B165" s="41"/>
      <c r="D165" s="44"/>
      <c r="E165" s="44"/>
      <c r="F165" s="44"/>
      <c r="G165" s="38"/>
      <c r="H165" s="38"/>
      <c r="I165" s="62"/>
      <c r="J165" s="6"/>
      <c r="K165" s="6"/>
      <c r="L165" s="6"/>
    </row>
    <row r="166" spans="1:12" hidden="1" x14ac:dyDescent="0.25">
      <c r="A166" s="50"/>
      <c r="B166" s="50" t="s">
        <v>21</v>
      </c>
      <c r="C166" s="50"/>
      <c r="D166" s="52"/>
      <c r="E166" s="52">
        <f>E167*E168+E169*E170++E171*E172+E173*E174</f>
        <v>0</v>
      </c>
      <c r="F166" s="52">
        <f t="shared" ref="F166:H166" si="47">F167*F168+F169*F170++F171*F172+F173*F174</f>
        <v>0</v>
      </c>
      <c r="G166" s="52">
        <f t="shared" si="47"/>
        <v>0</v>
      </c>
      <c r="H166" s="52">
        <f t="shared" si="47"/>
        <v>0</v>
      </c>
    </row>
    <row r="167" spans="1:12" hidden="1" x14ac:dyDescent="0.25">
      <c r="B167" s="41" t="s">
        <v>150</v>
      </c>
      <c r="G167" s="44">
        <v>0</v>
      </c>
      <c r="H167" s="44"/>
    </row>
    <row r="168" spans="1:12" hidden="1" x14ac:dyDescent="0.25">
      <c r="B168" s="41" t="s">
        <v>151</v>
      </c>
      <c r="E168" s="44">
        <f>'Rates and GI'!$D$58</f>
        <v>5000</v>
      </c>
      <c r="F168" s="44">
        <f>'Rates and GI'!$D$58</f>
        <v>5000</v>
      </c>
      <c r="G168" s="44">
        <f>'Rates and GI'!$D$58</f>
        <v>5000</v>
      </c>
      <c r="H168" s="44">
        <f>'Rates and GI'!$D$58</f>
        <v>5000</v>
      </c>
    </row>
    <row r="169" spans="1:12" hidden="1" x14ac:dyDescent="0.25">
      <c r="B169" s="41" t="s">
        <v>148</v>
      </c>
      <c r="E169" s="44">
        <v>0</v>
      </c>
      <c r="F169" s="44">
        <v>0</v>
      </c>
      <c r="G169" s="44">
        <v>0</v>
      </c>
      <c r="H169" s="44">
        <v>0</v>
      </c>
    </row>
    <row r="170" spans="1:12" hidden="1" x14ac:dyDescent="0.25">
      <c r="B170" s="41" t="s">
        <v>149</v>
      </c>
      <c r="E170" s="44">
        <f>'Rates and GI'!$D$59</f>
        <v>1500</v>
      </c>
      <c r="F170" s="44">
        <f>'Rates and GI'!$D$59</f>
        <v>1500</v>
      </c>
      <c r="G170" s="44">
        <f>'Rates and GI'!$D$59</f>
        <v>1500</v>
      </c>
      <c r="H170" s="44">
        <f>'Rates and GI'!$D$59</f>
        <v>1500</v>
      </c>
    </row>
    <row r="171" spans="1:12" ht="27" hidden="1" x14ac:dyDescent="0.25">
      <c r="B171" s="63" t="s">
        <v>162</v>
      </c>
      <c r="E171" s="44">
        <v>0</v>
      </c>
      <c r="F171" s="44">
        <v>0</v>
      </c>
      <c r="G171" s="44">
        <v>0</v>
      </c>
      <c r="H171" s="44">
        <v>0</v>
      </c>
    </row>
    <row r="172" spans="1:12" ht="27" hidden="1" x14ac:dyDescent="0.25">
      <c r="B172" s="63" t="s">
        <v>161</v>
      </c>
      <c r="E172" s="44">
        <f>'Rates and GI'!$D$60</f>
        <v>200</v>
      </c>
      <c r="F172" s="44">
        <f>'Rates and GI'!$D$60</f>
        <v>200</v>
      </c>
      <c r="G172" s="44">
        <f>'Rates and GI'!$D$60</f>
        <v>200</v>
      </c>
      <c r="H172" s="44">
        <f>'Rates and GI'!$D$60</f>
        <v>200</v>
      </c>
    </row>
    <row r="173" spans="1:12" s="5" customFormat="1" hidden="1" x14ac:dyDescent="0.25">
      <c r="B173" s="41" t="s">
        <v>217</v>
      </c>
      <c r="D173" s="44"/>
      <c r="E173" s="44">
        <v>0</v>
      </c>
      <c r="F173" s="44">
        <v>0</v>
      </c>
      <c r="G173" s="44">
        <v>0</v>
      </c>
      <c r="H173" s="44">
        <v>0</v>
      </c>
      <c r="I173" s="62"/>
      <c r="J173" s="6"/>
      <c r="K173" s="6"/>
      <c r="L173" s="6"/>
    </row>
    <row r="174" spans="1:12" s="5" customFormat="1" hidden="1" x14ac:dyDescent="0.25">
      <c r="B174" s="41" t="s">
        <v>214</v>
      </c>
      <c r="D174" s="44"/>
      <c r="E174" s="44">
        <f>'Rates and GI'!$D$61</f>
        <v>50</v>
      </c>
      <c r="F174" s="44">
        <f>'Rates and GI'!$D$61</f>
        <v>50</v>
      </c>
      <c r="G174" s="38">
        <f>'Rates and GI'!$D$61</f>
        <v>50</v>
      </c>
      <c r="H174" s="38">
        <f>'Rates and GI'!$D$61</f>
        <v>50</v>
      </c>
      <c r="I174" s="62"/>
      <c r="J174" s="6"/>
      <c r="K174" s="6"/>
      <c r="L174" s="6"/>
    </row>
    <row r="175" spans="1:12" hidden="1" x14ac:dyDescent="0.25">
      <c r="A175" s="50"/>
      <c r="B175" s="50"/>
      <c r="C175" s="50"/>
      <c r="D175" s="52"/>
      <c r="E175" s="52"/>
      <c r="F175" s="52"/>
      <c r="G175" s="52"/>
      <c r="H175" s="52"/>
    </row>
    <row r="176" spans="1:12" hidden="1" x14ac:dyDescent="0.25">
      <c r="A176" s="50"/>
      <c r="B176" s="50" t="s">
        <v>194</v>
      </c>
      <c r="C176" s="50"/>
      <c r="D176" s="52"/>
      <c r="E176" s="52">
        <f>E177+E180+E183+E192+E197</f>
        <v>0</v>
      </c>
      <c r="F176" s="52">
        <f t="shared" ref="F176:H176" si="48">F177+F180+F183+F192+F197</f>
        <v>0</v>
      </c>
      <c r="G176" s="52">
        <f t="shared" si="48"/>
        <v>0</v>
      </c>
      <c r="H176" s="52">
        <f t="shared" si="48"/>
        <v>0</v>
      </c>
    </row>
    <row r="177" spans="1:12" s="5" customFormat="1" hidden="1" x14ac:dyDescent="0.25">
      <c r="B177" s="5" t="s">
        <v>173</v>
      </c>
      <c r="D177" s="44"/>
      <c r="E177" s="44">
        <f>E178+E181*E182</f>
        <v>0</v>
      </c>
      <c r="F177" s="44">
        <f>F178+F181*F182</f>
        <v>0</v>
      </c>
      <c r="G177" s="44">
        <f>G178+G181*G182</f>
        <v>0</v>
      </c>
      <c r="H177" s="44">
        <f t="shared" ref="H177" si="49">H178+H181*H182</f>
        <v>0</v>
      </c>
      <c r="I177" s="73"/>
    </row>
    <row r="178" spans="1:12" hidden="1" x14ac:dyDescent="0.25">
      <c r="B178" s="41" t="s">
        <v>184</v>
      </c>
      <c r="F178" s="44">
        <f>('Rates and GI'!$D$45+'Rates and GI'!$D$49)*0</f>
        <v>0</v>
      </c>
      <c r="G178" s="44">
        <f>('Rates and GI'!$D$45+'Rates and GI'!$D$49)*0</f>
        <v>0</v>
      </c>
      <c r="H178" s="44"/>
    </row>
    <row r="179" spans="1:12" hidden="1" x14ac:dyDescent="0.25">
      <c r="B179" s="41" t="s">
        <v>187</v>
      </c>
      <c r="F179" s="44">
        <f>'Rates and GI'!$D$51*0</f>
        <v>0</v>
      </c>
      <c r="G179" s="44">
        <f>'Rates and GI'!$D$51*0</f>
        <v>0</v>
      </c>
      <c r="H179" s="44"/>
    </row>
    <row r="180" spans="1:12" hidden="1" x14ac:dyDescent="0.25">
      <c r="B180" s="5" t="s">
        <v>174</v>
      </c>
      <c r="E180" s="44">
        <f>E181*E182</f>
        <v>0</v>
      </c>
      <c r="F180" s="44">
        <f t="shared" ref="F180:H180" si="50">F181*F182</f>
        <v>0</v>
      </c>
      <c r="G180" s="44">
        <f t="shared" si="50"/>
        <v>0</v>
      </c>
      <c r="H180" s="44">
        <f t="shared" si="50"/>
        <v>0</v>
      </c>
    </row>
    <row r="181" spans="1:12" hidden="1" x14ac:dyDescent="0.25">
      <c r="B181" s="41" t="s">
        <v>164</v>
      </c>
      <c r="F181" s="44">
        <f>'Rates and GI'!$D$54</f>
        <v>24.066499999999998</v>
      </c>
      <c r="G181" s="44">
        <f>'Rates and GI'!$D$54</f>
        <v>24.066499999999998</v>
      </c>
      <c r="H181" s="44">
        <f>'Rates and GI'!$D$54</f>
        <v>24.066499999999998</v>
      </c>
    </row>
    <row r="182" spans="1:12" hidden="1" x14ac:dyDescent="0.25">
      <c r="B182" s="41" t="s">
        <v>163</v>
      </c>
      <c r="F182" s="44">
        <v>0</v>
      </c>
      <c r="G182" s="38">
        <v>0</v>
      </c>
      <c r="H182" s="38">
        <v>0</v>
      </c>
    </row>
    <row r="183" spans="1:12" hidden="1" x14ac:dyDescent="0.25">
      <c r="B183" s="5" t="s">
        <v>175</v>
      </c>
      <c r="E183" s="44">
        <f>E184+E188</f>
        <v>0</v>
      </c>
      <c r="F183" s="44">
        <f t="shared" ref="F183:H183" si="51">F184+F188</f>
        <v>0</v>
      </c>
      <c r="G183" s="44">
        <f t="shared" si="51"/>
        <v>0</v>
      </c>
      <c r="H183" s="44">
        <f t="shared" si="51"/>
        <v>0</v>
      </c>
    </row>
    <row r="184" spans="1:12" hidden="1" x14ac:dyDescent="0.25">
      <c r="B184" s="41" t="s">
        <v>189</v>
      </c>
      <c r="E184" s="44">
        <f>E185*E186</f>
        <v>0</v>
      </c>
      <c r="F184" s="44">
        <f t="shared" ref="F184:H184" si="52">F185*F186</f>
        <v>0</v>
      </c>
      <c r="G184" s="44">
        <f t="shared" si="52"/>
        <v>0</v>
      </c>
      <c r="H184" s="44">
        <f t="shared" si="52"/>
        <v>0</v>
      </c>
    </row>
    <row r="185" spans="1:12" hidden="1" x14ac:dyDescent="0.25">
      <c r="B185" s="41" t="s">
        <v>176</v>
      </c>
      <c r="C185" s="5" t="s">
        <v>177</v>
      </c>
      <c r="E185" s="44">
        <v>0</v>
      </c>
      <c r="F185" s="44">
        <v>0</v>
      </c>
      <c r="G185" s="38">
        <v>0</v>
      </c>
      <c r="H185" s="38">
        <v>0</v>
      </c>
    </row>
    <row r="186" spans="1:12" hidden="1" x14ac:dyDescent="0.25">
      <c r="B186" s="41" t="s">
        <v>178</v>
      </c>
      <c r="E186" s="44">
        <f>'Rates and GI'!$D$52</f>
        <v>150</v>
      </c>
      <c r="F186" s="44">
        <f>'Rates and GI'!$D$52</f>
        <v>150</v>
      </c>
      <c r="G186" s="44">
        <f>'Rates and GI'!$D$52</f>
        <v>150</v>
      </c>
      <c r="H186" s="44">
        <f>'Rates and GI'!$D$52</f>
        <v>150</v>
      </c>
    </row>
    <row r="187" spans="1:12" hidden="1" x14ac:dyDescent="0.25">
      <c r="B187" s="6"/>
    </row>
    <row r="188" spans="1:12" hidden="1" x14ac:dyDescent="0.25">
      <c r="B188" s="41" t="s">
        <v>190</v>
      </c>
      <c r="E188" s="44">
        <f>E189*E190</f>
        <v>0</v>
      </c>
      <c r="F188" s="44">
        <f t="shared" ref="F188:H188" si="53">F189*F190</f>
        <v>0</v>
      </c>
      <c r="G188" s="44">
        <f t="shared" si="53"/>
        <v>0</v>
      </c>
      <c r="H188" s="44">
        <f t="shared" si="53"/>
        <v>0</v>
      </c>
    </row>
    <row r="189" spans="1:12" hidden="1" x14ac:dyDescent="0.25">
      <c r="B189" s="41" t="s">
        <v>176</v>
      </c>
      <c r="C189" s="5" t="s">
        <v>177</v>
      </c>
      <c r="E189" s="44">
        <v>0</v>
      </c>
      <c r="F189" s="44">
        <v>0</v>
      </c>
      <c r="G189" s="38">
        <v>0</v>
      </c>
      <c r="H189" s="38">
        <v>0</v>
      </c>
    </row>
    <row r="190" spans="1:12" s="62" customFormat="1" hidden="1" x14ac:dyDescent="0.25">
      <c r="A190" s="5"/>
      <c r="B190" s="41" t="s">
        <v>178</v>
      </c>
      <c r="C190" s="5"/>
      <c r="D190" s="44"/>
      <c r="E190" s="44">
        <f>'Rates and GI'!$D$53</f>
        <v>20</v>
      </c>
      <c r="F190" s="44">
        <f>'Rates and GI'!$D$53</f>
        <v>20</v>
      </c>
      <c r="G190" s="44">
        <f>'Rates and GI'!$D$53</f>
        <v>20</v>
      </c>
      <c r="H190" s="44">
        <f>'Rates and GI'!$D$53</f>
        <v>20</v>
      </c>
      <c r="J190" s="6"/>
      <c r="K190" s="6"/>
      <c r="L190" s="6"/>
    </row>
    <row r="191" spans="1:12" s="62" customFormat="1" hidden="1" x14ac:dyDescent="0.25">
      <c r="A191" s="5"/>
      <c r="B191" s="6"/>
      <c r="C191" s="5"/>
      <c r="D191" s="44"/>
      <c r="E191" s="44"/>
      <c r="F191" s="44"/>
      <c r="G191" s="38"/>
      <c r="H191" s="38"/>
      <c r="J191" s="6"/>
      <c r="K191" s="6"/>
      <c r="L191" s="6"/>
    </row>
    <row r="192" spans="1:12" s="62" customFormat="1" hidden="1" x14ac:dyDescent="0.25">
      <c r="A192" s="5"/>
      <c r="B192" s="5" t="s">
        <v>179</v>
      </c>
      <c r="C192" s="5"/>
      <c r="D192" s="44"/>
      <c r="E192" s="44">
        <f>E193*E194*E195</f>
        <v>0</v>
      </c>
      <c r="F192" s="44">
        <f t="shared" ref="F192:H192" si="54">F193*F194*F195</f>
        <v>0</v>
      </c>
      <c r="G192" s="44">
        <f t="shared" si="54"/>
        <v>0</v>
      </c>
      <c r="H192" s="44">
        <f t="shared" si="54"/>
        <v>0</v>
      </c>
      <c r="J192" s="6"/>
      <c r="K192" s="6"/>
      <c r="L192" s="6"/>
    </row>
    <row r="193" spans="1:12" s="62" customFormat="1" hidden="1" x14ac:dyDescent="0.25">
      <c r="A193" s="5"/>
      <c r="B193" s="41" t="s">
        <v>191</v>
      </c>
      <c r="C193" s="5"/>
      <c r="D193" s="44"/>
      <c r="E193" s="44"/>
      <c r="F193" s="44">
        <f>'Rates and GI'!$D$55</f>
        <v>300</v>
      </c>
      <c r="G193" s="44">
        <f>'Rates and GI'!$D$55</f>
        <v>300</v>
      </c>
      <c r="H193" s="44">
        <f>'Rates and GI'!$D$55</f>
        <v>300</v>
      </c>
      <c r="J193" s="6"/>
      <c r="K193" s="6"/>
      <c r="L193" s="6"/>
    </row>
    <row r="194" spans="1:12" s="62" customFormat="1" hidden="1" x14ac:dyDescent="0.25">
      <c r="A194" s="5"/>
      <c r="B194" s="41" t="s">
        <v>192</v>
      </c>
      <c r="C194" s="5"/>
      <c r="D194" s="44"/>
      <c r="E194" s="44"/>
      <c r="F194" s="44">
        <v>3</v>
      </c>
      <c r="G194" s="44">
        <v>3</v>
      </c>
      <c r="H194" s="44">
        <v>3</v>
      </c>
      <c r="J194" s="6"/>
      <c r="K194" s="6"/>
      <c r="L194" s="6"/>
    </row>
    <row r="195" spans="1:12" s="62" customFormat="1" hidden="1" x14ac:dyDescent="0.25">
      <c r="A195" s="5"/>
      <c r="B195" s="41" t="s">
        <v>193</v>
      </c>
      <c r="C195" s="5"/>
      <c r="D195" s="44"/>
      <c r="E195" s="44"/>
      <c r="F195" s="44">
        <v>0</v>
      </c>
      <c r="G195" s="44">
        <v>0</v>
      </c>
      <c r="H195" s="44">
        <v>0</v>
      </c>
      <c r="J195" s="6"/>
      <c r="K195" s="6"/>
      <c r="L195" s="6"/>
    </row>
    <row r="196" spans="1:12" hidden="1" x14ac:dyDescent="0.25"/>
    <row r="197" spans="1:12" s="62" customFormat="1" hidden="1" x14ac:dyDescent="0.25">
      <c r="A197" s="5"/>
      <c r="B197" s="5" t="s">
        <v>172</v>
      </c>
      <c r="C197" s="5"/>
      <c r="D197" s="44"/>
      <c r="E197" s="44">
        <f>E198+E199*E200</f>
        <v>0</v>
      </c>
      <c r="F197" s="44">
        <f>F198+F199*F200</f>
        <v>0</v>
      </c>
      <c r="G197" s="44">
        <f>G198+G199*G200</f>
        <v>0</v>
      </c>
      <c r="H197" s="44">
        <f>H198+H199*H200</f>
        <v>0</v>
      </c>
      <c r="J197" s="6"/>
      <c r="K197" s="6"/>
      <c r="L197" s="6"/>
    </row>
    <row r="198" spans="1:12" s="62" customFormat="1" hidden="1" x14ac:dyDescent="0.25">
      <c r="A198" s="5"/>
      <c r="B198" s="41" t="s">
        <v>153</v>
      </c>
      <c r="C198" s="5"/>
      <c r="D198" s="44"/>
      <c r="E198" s="44"/>
      <c r="F198" s="44">
        <f>'Rates and GI'!D46*0</f>
        <v>0</v>
      </c>
      <c r="G198" s="38"/>
      <c r="H198" s="38"/>
      <c r="J198" s="6"/>
      <c r="K198" s="6"/>
      <c r="L198" s="6"/>
    </row>
    <row r="199" spans="1:12" s="62" customFormat="1" hidden="1" x14ac:dyDescent="0.25">
      <c r="A199" s="5"/>
      <c r="B199" s="41" t="s">
        <v>159</v>
      </c>
      <c r="C199" s="5"/>
      <c r="D199" s="44"/>
      <c r="E199" s="44"/>
      <c r="F199" s="65">
        <f>'Rates and GI'!$D$47</f>
        <v>0.05</v>
      </c>
      <c r="G199" s="65">
        <f>'Rates and GI'!$D$47</f>
        <v>0.05</v>
      </c>
      <c r="H199" s="65">
        <f>'Rates and GI'!$D$47</f>
        <v>0.05</v>
      </c>
      <c r="J199" s="6"/>
      <c r="K199" s="6"/>
      <c r="L199" s="6"/>
    </row>
    <row r="200" spans="1:12" s="62" customFormat="1" hidden="1" x14ac:dyDescent="0.25">
      <c r="A200" s="5"/>
      <c r="B200" s="41" t="s">
        <v>160</v>
      </c>
      <c r="C200" s="5"/>
      <c r="D200" s="44"/>
      <c r="E200" s="44"/>
      <c r="F200" s="44">
        <v>0</v>
      </c>
      <c r="G200" s="38">
        <v>0</v>
      </c>
      <c r="H200" s="38"/>
      <c r="J200" s="6"/>
      <c r="K200" s="6"/>
      <c r="L200" s="6"/>
    </row>
    <row r="201" spans="1:12" hidden="1" x14ac:dyDescent="0.25"/>
    <row r="202" spans="1:12" s="62" customFormat="1" hidden="1" x14ac:dyDescent="0.25">
      <c r="A202" s="50"/>
      <c r="B202" s="50" t="s">
        <v>19</v>
      </c>
      <c r="C202" s="50"/>
      <c r="D202" s="52"/>
      <c r="E202" s="52">
        <v>0</v>
      </c>
      <c r="F202" s="52">
        <v>0</v>
      </c>
      <c r="G202" s="52">
        <v>0</v>
      </c>
      <c r="H202" s="52">
        <v>0</v>
      </c>
      <c r="J202" s="6"/>
      <c r="K202" s="6"/>
      <c r="L202" s="6"/>
    </row>
    <row r="203" spans="1:12" hidden="1" x14ac:dyDescent="0.25"/>
    <row r="204" spans="1:12" ht="27" hidden="1" x14ac:dyDescent="0.25">
      <c r="A204" s="50"/>
      <c r="B204" s="132" t="s">
        <v>252</v>
      </c>
      <c r="C204" s="133"/>
      <c r="D204" s="51"/>
      <c r="E204" s="51"/>
      <c r="F204" s="51"/>
      <c r="G204" s="51"/>
      <c r="H204" s="51"/>
    </row>
    <row r="205" spans="1:12" s="62" customFormat="1" hidden="1" x14ac:dyDescent="0.25">
      <c r="A205" s="5"/>
      <c r="B205" s="5"/>
      <c r="C205" s="5"/>
      <c r="D205" s="44"/>
      <c r="E205" s="44"/>
      <c r="F205" s="44"/>
      <c r="G205" s="44"/>
      <c r="H205" s="44"/>
      <c r="J205" s="6"/>
      <c r="K205" s="6"/>
      <c r="L205" s="6"/>
    </row>
    <row r="206" spans="1:12" s="62" customFormat="1" ht="29.25" hidden="1" customHeight="1" x14ac:dyDescent="0.25">
      <c r="A206" s="50"/>
      <c r="B206" s="138" t="s">
        <v>265</v>
      </c>
      <c r="C206" s="50"/>
      <c r="D206" s="52"/>
      <c r="E206" s="51">
        <f>E210</f>
        <v>0</v>
      </c>
      <c r="F206" s="51">
        <f t="shared" ref="F206:H206" si="55">F210</f>
        <v>0</v>
      </c>
      <c r="G206" s="51">
        <f t="shared" si="55"/>
        <v>0</v>
      </c>
      <c r="H206" s="51">
        <f t="shared" si="55"/>
        <v>0</v>
      </c>
      <c r="J206" s="6"/>
      <c r="K206" s="6"/>
      <c r="L206" s="6"/>
    </row>
    <row r="207" spans="1:12" ht="27" hidden="1" x14ac:dyDescent="0.25">
      <c r="B207" s="66" t="s">
        <v>263</v>
      </c>
      <c r="C207" s="73"/>
      <c r="D207" s="33"/>
      <c r="E207" s="33"/>
      <c r="F207" s="33"/>
      <c r="G207" s="33"/>
      <c r="H207" s="33"/>
    </row>
    <row r="208" spans="1:12" hidden="1" x14ac:dyDescent="0.25">
      <c r="A208" s="10"/>
      <c r="B208" s="39" t="s">
        <v>253</v>
      </c>
      <c r="C208" s="134">
        <v>3</v>
      </c>
      <c r="D208" s="33"/>
      <c r="E208" s="44">
        <v>0</v>
      </c>
      <c r="F208" s="44">
        <v>0</v>
      </c>
      <c r="G208" s="44">
        <v>0</v>
      </c>
      <c r="H208" s="44">
        <v>0</v>
      </c>
    </row>
    <row r="209" spans="1:12" s="62" customFormat="1" hidden="1" x14ac:dyDescent="0.25">
      <c r="A209" s="5"/>
      <c r="B209" s="39" t="s">
        <v>254</v>
      </c>
      <c r="C209" s="33">
        <v>0</v>
      </c>
      <c r="D209" s="33"/>
      <c r="E209" s="44"/>
      <c r="F209" s="44"/>
      <c r="G209" s="44"/>
      <c r="H209" s="44"/>
      <c r="J209" s="6"/>
      <c r="K209" s="6"/>
      <c r="L209" s="6"/>
    </row>
    <row r="210" spans="1:12" s="62" customFormat="1" hidden="1" x14ac:dyDescent="0.25">
      <c r="A210" s="5"/>
      <c r="B210" s="39" t="s">
        <v>255</v>
      </c>
      <c r="C210" s="73"/>
      <c r="D210" s="33"/>
      <c r="E210" s="33">
        <f>$C$209/$C$208*E208</f>
        <v>0</v>
      </c>
      <c r="F210" s="44">
        <f t="shared" ref="F210:H210" si="56">$C$209/$C$208*F208</f>
        <v>0</v>
      </c>
      <c r="G210" s="44">
        <f t="shared" si="56"/>
        <v>0</v>
      </c>
      <c r="H210" s="44">
        <f t="shared" si="56"/>
        <v>0</v>
      </c>
      <c r="J210" s="6"/>
      <c r="K210" s="6"/>
      <c r="L210" s="6"/>
    </row>
    <row r="211" spans="1:12" hidden="1" x14ac:dyDescent="0.25"/>
  </sheetData>
  <pageMargins left="0.7" right="0.7" top="0.75" bottom="0.75" header="0.3" footer="0.3"/>
  <pageSetup paperSize="9" scale="54" fitToHeight="0"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1"/>
  <sheetViews>
    <sheetView topLeftCell="A25" zoomScaleNormal="100" workbookViewId="0">
      <selection activeCell="B186" sqref="B186"/>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1.28515625" style="44" bestFit="1" customWidth="1"/>
    <col min="7" max="8" width="11.28515625" style="38" bestFit="1" customWidth="1"/>
    <col min="9" max="9" width="9.140625" style="62"/>
    <col min="10" max="16384" width="9.140625" style="6"/>
  </cols>
  <sheetData>
    <row r="1" spans="1:12" s="86" customFormat="1" ht="17.25" x14ac:dyDescent="0.3">
      <c r="A1" s="123">
        <v>17</v>
      </c>
      <c r="B1" s="126" t="s">
        <v>545</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E63</f>
        <v>0</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202620</v>
      </c>
      <c r="E20" s="44">
        <f>E99</f>
        <v>81030</v>
      </c>
      <c r="F20" s="44">
        <f t="shared" ref="F20:H20" si="10">F99</f>
        <v>40530</v>
      </c>
      <c r="G20" s="44">
        <f t="shared" si="10"/>
        <v>40530</v>
      </c>
      <c r="H20" s="44">
        <f t="shared" si="10"/>
        <v>40530</v>
      </c>
    </row>
    <row r="21" spans="1:12" x14ac:dyDescent="0.25">
      <c r="B21" s="16" t="s">
        <v>139</v>
      </c>
      <c r="D21" s="44">
        <f t="shared" ref="D21" si="11">SUM(E21:H21)</f>
        <v>0</v>
      </c>
    </row>
    <row r="22" spans="1:12" ht="14.25" thickBot="1" x14ac:dyDescent="0.3">
      <c r="A22" s="13"/>
      <c r="B22" s="13" t="s">
        <v>140</v>
      </c>
      <c r="C22" s="13"/>
      <c r="D22" s="47">
        <f>SUBTOTAL(9,D20:D21)</f>
        <v>202620</v>
      </c>
      <c r="E22" s="47">
        <f t="shared" ref="E22:H22" si="12">SUBTOTAL(9,E20:E21)</f>
        <v>81030</v>
      </c>
      <c r="F22" s="47">
        <f t="shared" si="12"/>
        <v>40530</v>
      </c>
      <c r="G22" s="47">
        <f t="shared" si="12"/>
        <v>40530</v>
      </c>
      <c r="H22" s="47">
        <f t="shared" si="12"/>
        <v>40530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E178</f>
        <v>0</v>
      </c>
      <c r="F40" s="44">
        <f t="shared" ref="F40:H40" si="20">F178</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E151</f>
        <v>0</v>
      </c>
      <c r="F46" s="44">
        <f t="shared" ref="F46:H46" si="23">F151</f>
        <v>0</v>
      </c>
      <c r="G46" s="44">
        <f t="shared" si="23"/>
        <v>0</v>
      </c>
      <c r="H46" s="44">
        <f t="shared" si="23"/>
        <v>0</v>
      </c>
    </row>
    <row r="47" spans="1:12" x14ac:dyDescent="0.25">
      <c r="A47" s="3"/>
      <c r="B47" s="3" t="s">
        <v>21</v>
      </c>
      <c r="C47" s="3"/>
      <c r="D47" s="44">
        <f t="shared" si="22"/>
        <v>0</v>
      </c>
      <c r="E47" s="44">
        <f>E141</f>
        <v>0</v>
      </c>
      <c r="F47" s="44">
        <f t="shared" ref="F47:H47" si="24">F141</f>
        <v>0</v>
      </c>
      <c r="G47" s="44">
        <f t="shared" si="24"/>
        <v>0</v>
      </c>
      <c r="H47" s="44">
        <f t="shared" si="24"/>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202620</v>
      </c>
      <c r="E50" s="49">
        <f>SUBTOTAL(9,E5:E48)</f>
        <v>81030</v>
      </c>
      <c r="F50" s="49">
        <f>SUBTOTAL(9,F5:F48)</f>
        <v>40530</v>
      </c>
      <c r="G50" s="49">
        <f>SUBTOTAL(9,G5:G48)</f>
        <v>40530</v>
      </c>
      <c r="H50" s="49">
        <f>SUBTOTAL(9,H5:H48)</f>
        <v>40530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hidden="1"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hidden="1" x14ac:dyDescent="0.25">
      <c r="A62" s="9"/>
      <c r="B62" s="9"/>
      <c r="C62" s="9"/>
    </row>
    <row r="63" spans="1:9" hidden="1" x14ac:dyDescent="0.25">
      <c r="B63" s="5" t="s">
        <v>23</v>
      </c>
      <c r="E63" s="44">
        <f>E64*E65</f>
        <v>0</v>
      </c>
      <c r="F63" s="44">
        <f t="shared" ref="F63:H63" si="25">F64*F65</f>
        <v>0</v>
      </c>
      <c r="G63" s="44">
        <f t="shared" si="25"/>
        <v>0</v>
      </c>
      <c r="H63" s="44">
        <f t="shared" si="25"/>
        <v>0</v>
      </c>
    </row>
    <row r="64" spans="1:9" hidden="1" x14ac:dyDescent="0.25">
      <c r="A64" s="9"/>
      <c r="B64" s="9" t="s">
        <v>114</v>
      </c>
      <c r="C64" s="9" t="s">
        <v>113</v>
      </c>
      <c r="E64" s="44">
        <v>0</v>
      </c>
      <c r="F64" s="44">
        <v>0</v>
      </c>
      <c r="G64" s="44">
        <v>0</v>
      </c>
      <c r="H64" s="44">
        <v>0</v>
      </c>
    </row>
    <row r="65" spans="1:12" hidden="1"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x14ac:dyDescent="0.25">
      <c r="A99" s="50"/>
      <c r="B99" s="50" t="s">
        <v>130</v>
      </c>
      <c r="C99" s="50"/>
      <c r="D99" s="52"/>
      <c r="E99" s="52">
        <f>E100*E101+E102*E103+E104+E108</f>
        <v>81030</v>
      </c>
      <c r="F99" s="52">
        <f t="shared" ref="F99:H99" si="29">F100*F101+F102*F103+F104</f>
        <v>40530</v>
      </c>
      <c r="G99" s="52">
        <f t="shared" si="29"/>
        <v>40530</v>
      </c>
      <c r="H99" s="52">
        <f t="shared" si="29"/>
        <v>40530</v>
      </c>
    </row>
    <row r="100" spans="1:12" x14ac:dyDescent="0.25">
      <c r="B100" s="39" t="s">
        <v>131</v>
      </c>
      <c r="C100" s="5" t="s">
        <v>132</v>
      </c>
      <c r="F100" s="44">
        <f>Training!$C$33</f>
        <v>81.10799999999999</v>
      </c>
      <c r="G100" s="44">
        <f>Training!$C$33</f>
        <v>81.10799999999999</v>
      </c>
      <c r="H100" s="44">
        <f>Training!$C$33</f>
        <v>81.10799999999999</v>
      </c>
    </row>
    <row r="101" spans="1:12" x14ac:dyDescent="0.25">
      <c r="B101" s="39" t="s">
        <v>133</v>
      </c>
      <c r="F101" s="44">
        <f>F88</f>
        <v>0</v>
      </c>
      <c r="G101" s="44">
        <f t="shared" ref="G101:H101" si="30">G88</f>
        <v>0</v>
      </c>
      <c r="H101" s="44">
        <f t="shared" si="30"/>
        <v>0</v>
      </c>
    </row>
    <row r="102" spans="1:12" x14ac:dyDescent="0.25">
      <c r="B102" s="39" t="s">
        <v>134</v>
      </c>
      <c r="F102" s="44">
        <f>Training!C$23</f>
        <v>709.375</v>
      </c>
      <c r="G102" s="44">
        <f>F102*(1+index)</f>
        <v>739.87812499999995</v>
      </c>
      <c r="H102" s="44">
        <f>G102*(1+index)</f>
        <v>771.69288437499995</v>
      </c>
    </row>
    <row r="103" spans="1:12" x14ac:dyDescent="0.25">
      <c r="B103" s="39" t="s">
        <v>135</v>
      </c>
      <c r="E103" s="44">
        <v>0</v>
      </c>
      <c r="F103" s="44">
        <v>0</v>
      </c>
      <c r="G103" s="33">
        <v>0</v>
      </c>
      <c r="H103" s="33">
        <v>0</v>
      </c>
    </row>
    <row r="104" spans="1:12" x14ac:dyDescent="0.25">
      <c r="B104" s="130" t="s">
        <v>245</v>
      </c>
      <c r="E104" s="44">
        <f>E108+E110</f>
        <v>40530</v>
      </c>
      <c r="F104" s="44">
        <f t="shared" ref="F104:H104" si="31">F108+F110</f>
        <v>40530</v>
      </c>
      <c r="G104" s="44">
        <f t="shared" si="31"/>
        <v>40530</v>
      </c>
      <c r="H104" s="44">
        <f t="shared" si="31"/>
        <v>40530</v>
      </c>
    </row>
    <row r="105" spans="1:12" x14ac:dyDescent="0.25">
      <c r="B105" s="130" t="s">
        <v>551</v>
      </c>
      <c r="E105" s="44">
        <f>E106*E107</f>
        <v>3600</v>
      </c>
      <c r="F105" s="44">
        <f t="shared" ref="F105:H105" si="32">F106*F107</f>
        <v>7200</v>
      </c>
      <c r="G105" s="44">
        <f t="shared" si="32"/>
        <v>7200</v>
      </c>
      <c r="H105" s="44">
        <f t="shared" si="32"/>
        <v>7200</v>
      </c>
    </row>
    <row r="106" spans="1:12" x14ac:dyDescent="0.25">
      <c r="B106" s="39" t="s">
        <v>549</v>
      </c>
      <c r="C106" s="5" t="s">
        <v>550</v>
      </c>
      <c r="E106" s="44">
        <f>Training!C43</f>
        <v>240</v>
      </c>
      <c r="F106" s="44">
        <f>E106</f>
        <v>240</v>
      </c>
      <c r="G106" s="44">
        <f t="shared" ref="G106:H106" si="33">F106</f>
        <v>240</v>
      </c>
      <c r="H106" s="44">
        <f t="shared" si="33"/>
        <v>240</v>
      </c>
    </row>
    <row r="107" spans="1:12" x14ac:dyDescent="0.25">
      <c r="B107" s="39" t="s">
        <v>133</v>
      </c>
      <c r="E107" s="44">
        <v>15</v>
      </c>
      <c r="F107" s="44">
        <v>30</v>
      </c>
      <c r="G107" s="44">
        <v>30</v>
      </c>
      <c r="H107" s="44">
        <v>30</v>
      </c>
    </row>
    <row r="108" spans="1:12" ht="27" x14ac:dyDescent="0.25">
      <c r="B108" s="67" t="s">
        <v>552</v>
      </c>
      <c r="E108" s="44">
        <f>E109*E110</f>
        <v>40500</v>
      </c>
      <c r="F108" s="44">
        <f t="shared" ref="F108:H108" si="34">F109*F110</f>
        <v>40500</v>
      </c>
      <c r="G108" s="44">
        <f t="shared" si="34"/>
        <v>40500</v>
      </c>
      <c r="H108" s="44">
        <f t="shared" si="34"/>
        <v>40500</v>
      </c>
    </row>
    <row r="109" spans="1:12" x14ac:dyDescent="0.25">
      <c r="B109" s="39" t="s">
        <v>549</v>
      </c>
      <c r="C109" s="5" t="s">
        <v>553</v>
      </c>
      <c r="E109" s="44">
        <f>Training!C44</f>
        <v>1350</v>
      </c>
      <c r="F109" s="44">
        <f>E109</f>
        <v>1350</v>
      </c>
      <c r="G109" s="44">
        <f t="shared" ref="G109:H109" si="35">F109</f>
        <v>1350</v>
      </c>
      <c r="H109" s="44">
        <f t="shared" si="35"/>
        <v>1350</v>
      </c>
    </row>
    <row r="110" spans="1:12" x14ac:dyDescent="0.25">
      <c r="B110" s="39" t="s">
        <v>133</v>
      </c>
      <c r="C110" s="10"/>
      <c r="E110" s="44">
        <v>30</v>
      </c>
      <c r="F110" s="44">
        <v>30</v>
      </c>
      <c r="G110" s="44">
        <v>30</v>
      </c>
      <c r="H110" s="44">
        <v>30</v>
      </c>
    </row>
    <row r="111" spans="1:12" hidden="1" x14ac:dyDescent="0.25">
      <c r="A111" s="50"/>
      <c r="B111" s="50" t="s">
        <v>24</v>
      </c>
      <c r="C111" s="50"/>
      <c r="D111" s="52"/>
      <c r="E111" s="52">
        <f t="shared" ref="E111:H111" si="36">E112*E113</f>
        <v>0</v>
      </c>
      <c r="F111" s="52">
        <f t="shared" si="36"/>
        <v>0</v>
      </c>
      <c r="G111" s="52">
        <f t="shared" si="36"/>
        <v>0</v>
      </c>
      <c r="H111" s="52">
        <f t="shared" si="36"/>
        <v>0</v>
      </c>
    </row>
    <row r="112" spans="1:12" s="7" customFormat="1" hidden="1" x14ac:dyDescent="0.25">
      <c r="A112" s="5"/>
      <c r="B112" s="39" t="s">
        <v>53</v>
      </c>
      <c r="C112" s="5"/>
      <c r="D112" s="44"/>
      <c r="E112" s="44">
        <v>0</v>
      </c>
      <c r="F112" s="44">
        <v>0</v>
      </c>
      <c r="G112" s="44">
        <v>0</v>
      </c>
      <c r="H112" s="44">
        <v>0</v>
      </c>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7">F133+F136</f>
        <v>0</v>
      </c>
      <c r="G132" s="52">
        <f t="shared" si="37"/>
        <v>0</v>
      </c>
      <c r="H132" s="52">
        <f t="shared" si="37"/>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8">G137+G138*G139</f>
        <v>0</v>
      </c>
      <c r="H136" s="44">
        <f t="shared" si="38"/>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hidden="1" x14ac:dyDescent="0.25">
      <c r="A141" s="50"/>
      <c r="B141" s="50" t="s">
        <v>21</v>
      </c>
      <c r="C141" s="50"/>
      <c r="D141" s="52"/>
      <c r="E141" s="52">
        <f>E142*E143+E144*E145++E146*E147+E148*E149</f>
        <v>0</v>
      </c>
      <c r="F141" s="52">
        <f t="shared" ref="F141:H141" si="39">F142*F143+F144*F145++F146*F147+F148*F149</f>
        <v>0</v>
      </c>
      <c r="G141" s="52">
        <f t="shared" si="39"/>
        <v>0</v>
      </c>
      <c r="H141" s="52">
        <f t="shared" si="39"/>
        <v>0</v>
      </c>
    </row>
    <row r="142" spans="1:12" hidden="1" x14ac:dyDescent="0.25">
      <c r="B142" s="41" t="s">
        <v>241</v>
      </c>
      <c r="F142" s="44">
        <v>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127"/>
      <c r="C150" s="50"/>
      <c r="D150" s="52"/>
      <c r="E150" s="52"/>
      <c r="F150" s="52"/>
      <c r="G150" s="52"/>
      <c r="H150" s="52"/>
    </row>
    <row r="151" spans="1:12" hidden="1" x14ac:dyDescent="0.25">
      <c r="A151" s="50"/>
      <c r="B151" s="50" t="s">
        <v>194</v>
      </c>
      <c r="C151" s="50"/>
      <c r="D151" s="52"/>
      <c r="E151" s="52">
        <f>E152+E155+E158+E167+E172</f>
        <v>0</v>
      </c>
      <c r="F151" s="52">
        <f t="shared" ref="F151:H151" si="40">F152+F155+F158+F167+F172</f>
        <v>0</v>
      </c>
      <c r="G151" s="52">
        <f t="shared" si="40"/>
        <v>0</v>
      </c>
      <c r="H151" s="52">
        <f t="shared" si="40"/>
        <v>0</v>
      </c>
    </row>
    <row r="152" spans="1:12" s="5" customFormat="1" hidden="1" x14ac:dyDescent="0.25">
      <c r="B152" s="5" t="s">
        <v>173</v>
      </c>
      <c r="D152" s="44"/>
      <c r="E152" s="44">
        <f>E153+E156*E157</f>
        <v>0</v>
      </c>
      <c r="F152" s="44">
        <f>F153+F156*F157</f>
        <v>0</v>
      </c>
      <c r="G152" s="44">
        <f>G153+G156*G157</f>
        <v>0</v>
      </c>
      <c r="H152" s="44">
        <f t="shared" ref="H152" si="41">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2">F156*F157</f>
        <v>0</v>
      </c>
      <c r="G155" s="44">
        <f t="shared" si="42"/>
        <v>0</v>
      </c>
      <c r="H155" s="44">
        <f t="shared" si="42"/>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3">F159+F163</f>
        <v>0</v>
      </c>
      <c r="G158" s="44">
        <f t="shared" si="43"/>
        <v>0</v>
      </c>
      <c r="H158" s="44">
        <f t="shared" si="43"/>
        <v>0</v>
      </c>
    </row>
    <row r="159" spans="1:12" hidden="1" x14ac:dyDescent="0.25">
      <c r="B159" s="41" t="s">
        <v>189</v>
      </c>
      <c r="E159" s="44">
        <f>E160*E161</f>
        <v>0</v>
      </c>
      <c r="F159" s="44">
        <f t="shared" ref="F159:H159" si="44">F160*F161</f>
        <v>0</v>
      </c>
      <c r="G159" s="44">
        <f t="shared" si="44"/>
        <v>0</v>
      </c>
      <c r="H159" s="44">
        <f t="shared" si="44"/>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5">F164*F165</f>
        <v>0</v>
      </c>
      <c r="G163" s="44">
        <f t="shared" si="45"/>
        <v>0</v>
      </c>
      <c r="H163" s="44">
        <f t="shared" si="45"/>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6">F168*F169*F170</f>
        <v>0</v>
      </c>
      <c r="G167" s="44">
        <f t="shared" si="46"/>
        <v>0</v>
      </c>
      <c r="H167" s="44">
        <f t="shared" si="46"/>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hidden="1" x14ac:dyDescent="0.25"/>
    <row r="178" spans="1:12" s="62" customFormat="1" hidden="1" x14ac:dyDescent="0.25">
      <c r="A178" s="50"/>
      <c r="B178" s="50" t="s">
        <v>19</v>
      </c>
      <c r="C178" s="50"/>
      <c r="D178" s="52"/>
      <c r="E178" s="52">
        <v>0</v>
      </c>
      <c r="F178" s="52">
        <v>0</v>
      </c>
      <c r="G178" s="52">
        <v>0</v>
      </c>
      <c r="H178" s="52">
        <v>0</v>
      </c>
      <c r="J178" s="6"/>
      <c r="K178" s="6"/>
      <c r="L178" s="6"/>
    </row>
    <row r="179" spans="1:12" hidden="1" x14ac:dyDescent="0.25"/>
    <row r="180" spans="1:12" hidden="1" x14ac:dyDescent="0.25"/>
    <row r="181" spans="1:12" x14ac:dyDescent="0.25">
      <c r="A181" s="228"/>
      <c r="B181" s="228"/>
      <c r="C181" s="228"/>
      <c r="D181" s="230"/>
      <c r="E181" s="230"/>
      <c r="F181" s="230"/>
      <c r="G181" s="230"/>
      <c r="H181" s="230"/>
    </row>
  </sheetData>
  <pageMargins left="0.7" right="0.7" top="0.75" bottom="0.75" header="0.3" footer="0.3"/>
  <pageSetup paperSize="9" scale="55" fitToHeight="0"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46"/>
  <sheetViews>
    <sheetView topLeftCell="A156" zoomScaleNormal="100" workbookViewId="0">
      <selection activeCell="B253" sqref="B253"/>
    </sheetView>
  </sheetViews>
  <sheetFormatPr defaultRowHeight="13.5" x14ac:dyDescent="0.25"/>
  <cols>
    <col min="1" max="1" width="5.5703125" style="5" customWidth="1"/>
    <col min="2" max="2" width="81.42578125" style="5" customWidth="1"/>
    <col min="3" max="3" width="15.7109375" style="5" customWidth="1"/>
    <col min="4" max="4" width="14.7109375" style="44" customWidth="1"/>
    <col min="5" max="5" width="12.5703125" style="44" bestFit="1" customWidth="1"/>
    <col min="6" max="6" width="11.5703125" style="44" bestFit="1" customWidth="1"/>
    <col min="7" max="7" width="11.42578125" style="38" bestFit="1" customWidth="1"/>
    <col min="8" max="8" width="10.28515625" style="38" bestFit="1" customWidth="1"/>
    <col min="9" max="9" width="9.140625" style="62"/>
    <col min="10" max="16384" width="9.140625" style="6"/>
  </cols>
  <sheetData>
    <row r="1" spans="1:12" s="86" customFormat="1" ht="17.25" x14ac:dyDescent="0.3">
      <c r="A1" s="123">
        <v>18</v>
      </c>
      <c r="B1" s="126" t="s">
        <v>267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E73</f>
        <v>0</v>
      </c>
      <c r="F5" s="44">
        <f t="shared" ref="F5:H5" si="1">F73</f>
        <v>0</v>
      </c>
      <c r="G5" s="44">
        <f t="shared" si="1"/>
        <v>0</v>
      </c>
      <c r="H5" s="44">
        <f t="shared" si="1"/>
        <v>0</v>
      </c>
    </row>
    <row r="6" spans="1:12" x14ac:dyDescent="0.25">
      <c r="B6" s="16" t="s">
        <v>168</v>
      </c>
      <c r="D6" s="44">
        <f t="shared" si="0"/>
        <v>0</v>
      </c>
      <c r="E6" s="44">
        <f>E77</f>
        <v>0</v>
      </c>
      <c r="F6" s="44">
        <f t="shared" ref="F6:H6" si="2">F77</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E97</f>
        <v>0</v>
      </c>
      <c r="F10" s="44">
        <f t="shared" ref="F10:H10" si="4">F97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E105</f>
        <v>0</v>
      </c>
      <c r="F15" s="44">
        <f t="shared" ref="F15:H15" si="7">F105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14187.5</v>
      </c>
      <c r="E20" s="44">
        <f>E109</f>
        <v>14187.5</v>
      </c>
      <c r="F20" s="44">
        <f t="shared" ref="F20:H20" si="10">F109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14187.5</v>
      </c>
      <c r="E22" s="47">
        <f t="shared" ref="E22:H22" si="12">SUBTOTAL(9,E20:E21)</f>
        <v>14187.5</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E117</f>
        <v>0</v>
      </c>
      <c r="F25" s="44">
        <f t="shared" ref="F25:H25" si="13">F117</f>
        <v>0</v>
      </c>
      <c r="G25" s="44">
        <f t="shared" si="13"/>
        <v>0</v>
      </c>
      <c r="H25" s="44">
        <f t="shared" si="13"/>
        <v>0</v>
      </c>
    </row>
    <row r="26" spans="1:12" x14ac:dyDescent="0.25">
      <c r="B26" s="16" t="s">
        <v>25</v>
      </c>
      <c r="D26" s="44">
        <f t="shared" ref="D26" si="14">SUM(E26:H26)</f>
        <v>0</v>
      </c>
      <c r="E26" s="44">
        <f>E173</f>
        <v>0</v>
      </c>
      <c r="F26" s="44">
        <f t="shared" ref="F26:H26" si="15">F173</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5" si="17">SUM(E31:H31)</f>
        <v>0</v>
      </c>
    </row>
    <row r="32" spans="1:12" x14ac:dyDescent="0.25">
      <c r="B32" s="172" t="s">
        <v>377</v>
      </c>
      <c r="D32" s="44">
        <f t="shared" si="17"/>
        <v>49000</v>
      </c>
      <c r="E32" s="44">
        <f>E123</f>
        <v>49000</v>
      </c>
    </row>
    <row r="33" spans="1:12" x14ac:dyDescent="0.25">
      <c r="B33" s="16" t="s">
        <v>26</v>
      </c>
      <c r="D33" s="44">
        <f t="shared" si="17"/>
        <v>62769</v>
      </c>
      <c r="E33" s="44">
        <f>E130</f>
        <v>62769</v>
      </c>
      <c r="F33" s="44">
        <f t="shared" ref="F33:H33" si="18">F130</f>
        <v>0</v>
      </c>
      <c r="G33" s="44">
        <f t="shared" si="18"/>
        <v>0</v>
      </c>
      <c r="H33" s="44">
        <f t="shared" si="18"/>
        <v>0</v>
      </c>
    </row>
    <row r="34" spans="1:12" x14ac:dyDescent="0.25">
      <c r="B34" s="16" t="s">
        <v>477</v>
      </c>
      <c r="D34" s="44">
        <f t="shared" si="17"/>
        <v>4900</v>
      </c>
      <c r="E34" s="44">
        <f>E162</f>
        <v>4900</v>
      </c>
      <c r="F34" s="44">
        <f t="shared" ref="F34:H34" si="19">F162</f>
        <v>0</v>
      </c>
      <c r="G34" s="44">
        <f t="shared" si="19"/>
        <v>0</v>
      </c>
      <c r="H34" s="44">
        <f t="shared" si="19"/>
        <v>0</v>
      </c>
    </row>
    <row r="35" spans="1:12" x14ac:dyDescent="0.25">
      <c r="B35" s="16" t="s">
        <v>9</v>
      </c>
      <c r="D35" s="44">
        <f t="shared" si="17"/>
        <v>0</v>
      </c>
    </row>
    <row r="36" spans="1:12" ht="14.25" thickBot="1" x14ac:dyDescent="0.3">
      <c r="A36" s="13"/>
      <c r="B36" s="13" t="s">
        <v>67</v>
      </c>
      <c r="C36" s="13"/>
      <c r="D36" s="47">
        <f>SUBTOTAL(9,D31:D35)</f>
        <v>116669</v>
      </c>
      <c r="E36" s="47">
        <f>SUBTOTAL(9,E31:E35)</f>
        <v>116669</v>
      </c>
      <c r="F36" s="47">
        <f t="shared" ref="F36:H36" si="20">SUBTOTAL(9,F31:F35)</f>
        <v>0</v>
      </c>
      <c r="G36" s="47">
        <f t="shared" si="20"/>
        <v>0</v>
      </c>
      <c r="H36" s="47">
        <f t="shared" si="20"/>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21">SUM(E39:H39)</f>
        <v>0</v>
      </c>
    </row>
    <row r="40" spans="1:12" x14ac:dyDescent="0.25">
      <c r="A40" s="2"/>
      <c r="B40" s="2" t="s">
        <v>18</v>
      </c>
      <c r="C40" s="2"/>
      <c r="D40" s="44">
        <f t="shared" si="21"/>
        <v>0</v>
      </c>
    </row>
    <row r="41" spans="1:12" x14ac:dyDescent="0.25">
      <c r="A41" s="2"/>
      <c r="B41" s="2" t="s">
        <v>19</v>
      </c>
      <c r="C41" s="2"/>
      <c r="D41" s="44">
        <f t="shared" si="21"/>
        <v>0</v>
      </c>
      <c r="E41" s="44">
        <f>E218</f>
        <v>0</v>
      </c>
      <c r="F41" s="44">
        <f t="shared" ref="F41:H41" si="22">F218</f>
        <v>0</v>
      </c>
      <c r="G41" s="44">
        <f t="shared" si="22"/>
        <v>0</v>
      </c>
      <c r="H41" s="44">
        <f t="shared" si="22"/>
        <v>0</v>
      </c>
    </row>
    <row r="42" spans="1:12" x14ac:dyDescent="0.25">
      <c r="A42" s="3"/>
      <c r="B42" s="3" t="s">
        <v>13</v>
      </c>
      <c r="C42" s="3"/>
      <c r="D42" s="44">
        <f t="shared" si="21"/>
        <v>0</v>
      </c>
    </row>
    <row r="43" spans="1:12" x14ac:dyDescent="0.25">
      <c r="A43" s="3"/>
      <c r="B43" s="3" t="s">
        <v>22</v>
      </c>
      <c r="C43" s="3"/>
      <c r="D43" s="44">
        <f t="shared" si="21"/>
        <v>0</v>
      </c>
    </row>
    <row r="44" spans="1:12" ht="14.25" thickBot="1" x14ac:dyDescent="0.3">
      <c r="A44" s="13"/>
      <c r="B44" s="13" t="s">
        <v>68</v>
      </c>
      <c r="C44" s="13"/>
      <c r="D44" s="47">
        <f>SUBTOTAL(9,D39:D43)</f>
        <v>0</v>
      </c>
      <c r="E44" s="47">
        <f t="shared" ref="E44:H44" si="23">SUBTOTAL(9,E39:E43)</f>
        <v>0</v>
      </c>
      <c r="F44" s="47">
        <f t="shared" si="23"/>
        <v>0</v>
      </c>
      <c r="G44" s="47">
        <f t="shared" si="23"/>
        <v>0</v>
      </c>
      <c r="H44" s="47">
        <f t="shared" si="23"/>
        <v>0</v>
      </c>
    </row>
    <row r="45" spans="1:12" ht="5.25" customHeight="1" x14ac:dyDescent="0.25">
      <c r="A45" s="3"/>
      <c r="B45" s="6"/>
      <c r="C45" s="3"/>
    </row>
    <row r="46" spans="1:12" x14ac:dyDescent="0.25">
      <c r="A46" s="15"/>
      <c r="B46" s="15" t="s">
        <v>472</v>
      </c>
      <c r="C46" s="15"/>
      <c r="D46" s="53"/>
      <c r="E46" s="53"/>
      <c r="F46" s="53"/>
      <c r="G46" s="54"/>
      <c r="H46" s="54"/>
      <c r="I46" s="61"/>
      <c r="J46" s="12"/>
      <c r="K46" s="12"/>
      <c r="L46" s="12"/>
    </row>
    <row r="47" spans="1:12" x14ac:dyDescent="0.25">
      <c r="A47" s="3"/>
      <c r="B47" s="3" t="s">
        <v>472</v>
      </c>
      <c r="C47" s="3"/>
      <c r="D47" s="44">
        <f t="shared" ref="D47" si="24">SUM(E47:H47)</f>
        <v>43000</v>
      </c>
      <c r="E47" s="44">
        <f>E169</f>
        <v>7000</v>
      </c>
      <c r="F47" s="44">
        <f t="shared" ref="F47:H47" si="25">F169</f>
        <v>12000</v>
      </c>
      <c r="G47" s="44">
        <f t="shared" si="25"/>
        <v>12000</v>
      </c>
      <c r="H47" s="44">
        <f t="shared" si="25"/>
        <v>12000</v>
      </c>
    </row>
    <row r="48" spans="1:12" ht="14.25" thickBot="1" x14ac:dyDescent="0.3">
      <c r="A48" s="13"/>
      <c r="B48" s="13" t="s">
        <v>473</v>
      </c>
      <c r="C48" s="13"/>
      <c r="D48" s="47">
        <f>SUBTOTAL(9,D47:D47)</f>
        <v>43000</v>
      </c>
      <c r="E48" s="47">
        <f>SUBTOTAL(9,E47:E47)</f>
        <v>7000</v>
      </c>
      <c r="F48" s="47">
        <f>SUBTOTAL(9,F47:F47)</f>
        <v>12000</v>
      </c>
      <c r="G48" s="47">
        <f>SUBTOTAL(9,G47:G47)</f>
        <v>12000</v>
      </c>
      <c r="H48" s="47">
        <f>SUBTOTAL(9,H47:H47)</f>
        <v>12000</v>
      </c>
    </row>
    <row r="49" spans="1:12" ht="7.5" customHeight="1" x14ac:dyDescent="0.25">
      <c r="A49" s="167"/>
      <c r="B49" s="167"/>
      <c r="C49" s="167"/>
      <c r="D49" s="151"/>
      <c r="E49" s="151"/>
      <c r="F49" s="151"/>
      <c r="G49" s="151"/>
      <c r="H49" s="151"/>
    </row>
    <row r="50" spans="1:12" x14ac:dyDescent="0.25">
      <c r="A50" s="15"/>
      <c r="B50" s="15" t="s">
        <v>252</v>
      </c>
      <c r="C50" s="135"/>
      <c r="D50" s="53"/>
      <c r="E50" s="53"/>
      <c r="F50" s="53"/>
      <c r="G50" s="54"/>
      <c r="H50" s="54"/>
      <c r="I50" s="12"/>
      <c r="J50" s="12"/>
      <c r="K50" s="12"/>
      <c r="L50" s="12"/>
    </row>
    <row r="51" spans="1:12" ht="27" x14ac:dyDescent="0.25">
      <c r="A51" s="2"/>
      <c r="B51" s="25" t="s">
        <v>252</v>
      </c>
      <c r="C51" s="1"/>
      <c r="D51" s="44">
        <f t="shared" ref="D51:D52" si="26">SUM(E51:H51)</f>
        <v>0</v>
      </c>
      <c r="E51" s="44">
        <f>E220</f>
        <v>0</v>
      </c>
      <c r="F51" s="44">
        <f t="shared" ref="F51:H51" si="27">F220</f>
        <v>0</v>
      </c>
      <c r="G51" s="44">
        <f t="shared" si="27"/>
        <v>0</v>
      </c>
      <c r="H51" s="44">
        <f t="shared" si="27"/>
        <v>0</v>
      </c>
      <c r="I51" s="6"/>
    </row>
    <row r="52" spans="1:12" ht="27" x14ac:dyDescent="0.25">
      <c r="A52" s="2"/>
      <c r="B52" s="25" t="s">
        <v>265</v>
      </c>
      <c r="C52" s="1"/>
      <c r="D52" s="44">
        <f t="shared" si="26"/>
        <v>0</v>
      </c>
      <c r="E52" s="44">
        <f>E237</f>
        <v>0</v>
      </c>
      <c r="F52" s="44">
        <f t="shared" ref="F52:H52" si="28">F237</f>
        <v>0</v>
      </c>
      <c r="G52" s="44">
        <f t="shared" si="28"/>
        <v>0</v>
      </c>
      <c r="H52" s="44">
        <f t="shared" si="28"/>
        <v>0</v>
      </c>
      <c r="I52" s="6"/>
    </row>
    <row r="53" spans="1:12" ht="14.25" thickBot="1" x14ac:dyDescent="0.3">
      <c r="A53" s="13"/>
      <c r="B53" s="13" t="s">
        <v>256</v>
      </c>
      <c r="C53" s="136"/>
      <c r="D53" s="47">
        <f>SUBTOTAL(9,D51:D52)</f>
        <v>0</v>
      </c>
      <c r="E53" s="47">
        <f>SUBTOTAL(9,E51:E52)</f>
        <v>0</v>
      </c>
      <c r="F53" s="47">
        <f t="shared" ref="F53:H53" si="29">SUBTOTAL(9,F51:F52)</f>
        <v>0</v>
      </c>
      <c r="G53" s="47">
        <f t="shared" si="29"/>
        <v>0</v>
      </c>
      <c r="H53" s="47">
        <f t="shared" si="29"/>
        <v>0</v>
      </c>
      <c r="I53" s="6"/>
    </row>
    <row r="54" spans="1:12" ht="5.25" customHeight="1" x14ac:dyDescent="0.25">
      <c r="A54" s="3"/>
      <c r="B54" s="6"/>
      <c r="C54" s="3"/>
    </row>
    <row r="55" spans="1:12" x14ac:dyDescent="0.25">
      <c r="A55" s="15"/>
      <c r="B55" s="15" t="s">
        <v>20</v>
      </c>
      <c r="C55" s="15"/>
      <c r="D55" s="53"/>
      <c r="E55" s="53"/>
      <c r="F55" s="53"/>
      <c r="G55" s="54"/>
      <c r="H55" s="54"/>
      <c r="I55" s="61"/>
      <c r="J55" s="12"/>
      <c r="K55" s="12"/>
      <c r="L55" s="12"/>
    </row>
    <row r="56" spans="1:12" x14ac:dyDescent="0.25">
      <c r="A56" s="3"/>
      <c r="B56" s="3" t="s">
        <v>194</v>
      </c>
      <c r="C56" s="3"/>
      <c r="D56" s="44">
        <f t="shared" ref="D56:D57" si="30">SUM(E56:H56)</f>
        <v>0</v>
      </c>
      <c r="E56" s="44">
        <f>E192</f>
        <v>0</v>
      </c>
      <c r="F56" s="44">
        <f t="shared" ref="F56:H56" si="31">F192</f>
        <v>0</v>
      </c>
      <c r="G56" s="44">
        <f t="shared" si="31"/>
        <v>0</v>
      </c>
      <c r="H56" s="44">
        <f t="shared" si="31"/>
        <v>0</v>
      </c>
    </row>
    <row r="57" spans="1:12" x14ac:dyDescent="0.25">
      <c r="A57" s="3"/>
      <c r="B57" s="3" t="s">
        <v>21</v>
      </c>
      <c r="C57" s="3"/>
      <c r="D57" s="44">
        <f t="shared" si="30"/>
        <v>0</v>
      </c>
      <c r="E57" s="44">
        <f>E182</f>
        <v>0</v>
      </c>
      <c r="F57" s="44">
        <f t="shared" ref="F57:H57" si="32">F182</f>
        <v>0</v>
      </c>
      <c r="G57" s="44">
        <f t="shared" si="32"/>
        <v>0</v>
      </c>
      <c r="H57" s="44">
        <f t="shared" si="32"/>
        <v>0</v>
      </c>
    </row>
    <row r="58" spans="1:12" ht="14.25" thickBot="1" x14ac:dyDescent="0.3">
      <c r="A58" s="13"/>
      <c r="B58" s="13" t="s">
        <v>69</v>
      </c>
      <c r="C58" s="13"/>
      <c r="D58" s="47">
        <f>SUBTOTAL(9,D56:D57)</f>
        <v>0</v>
      </c>
      <c r="E58" s="47">
        <f>SUBTOTAL(9,E56:E57)</f>
        <v>0</v>
      </c>
      <c r="F58" s="47">
        <f>SUBTOTAL(9,F56:F57)</f>
        <v>0</v>
      </c>
      <c r="G58" s="47">
        <f>SUBTOTAL(9,G56:G57)</f>
        <v>0</v>
      </c>
      <c r="H58" s="47">
        <f>SUBTOTAL(9,H56:H57)</f>
        <v>0</v>
      </c>
    </row>
    <row r="59" spans="1:12" ht="5.25" customHeight="1" x14ac:dyDescent="0.25">
      <c r="A59" s="1"/>
      <c r="B59" s="1"/>
      <c r="C59" s="1"/>
    </row>
    <row r="60" spans="1:12" ht="14.25" thickBot="1" x14ac:dyDescent="0.3">
      <c r="A60" s="48"/>
      <c r="B60" s="48" t="s">
        <v>142</v>
      </c>
      <c r="C60" s="48"/>
      <c r="D60" s="49">
        <f>SUBTOTAL(9,D5:D58)</f>
        <v>173856.5</v>
      </c>
      <c r="E60" s="49">
        <f>SUBTOTAL(9,E5:E58)</f>
        <v>137856.5</v>
      </c>
      <c r="F60" s="49">
        <f>SUBTOTAL(9,F5:F58)</f>
        <v>12000</v>
      </c>
      <c r="G60" s="49">
        <f>SUBTOTAL(9,G5:G58)</f>
        <v>12000</v>
      </c>
      <c r="H60" s="49">
        <f>SUBTOTAL(9,H5:H58)</f>
        <v>12000</v>
      </c>
    </row>
    <row r="61" spans="1:12" ht="14.25" thickBot="1" x14ac:dyDescent="0.3">
      <c r="A61" s="1"/>
      <c r="B61" s="1"/>
      <c r="C61" s="1"/>
      <c r="D61" s="33"/>
      <c r="E61" s="33"/>
      <c r="F61" s="33"/>
      <c r="G61" s="28"/>
      <c r="H61" s="28"/>
      <c r="I61" s="6"/>
    </row>
    <row r="62" spans="1:12" ht="18" thickTop="1" x14ac:dyDescent="0.3">
      <c r="A62" s="120"/>
      <c r="B62" s="121" t="s">
        <v>27</v>
      </c>
      <c r="C62" s="121"/>
      <c r="D62" s="122"/>
      <c r="E62" s="122"/>
      <c r="F62" s="122"/>
      <c r="G62" s="122"/>
      <c r="H62" s="122"/>
      <c r="I62" s="6"/>
    </row>
    <row r="63" spans="1:12" ht="6.75" customHeight="1" x14ac:dyDescent="0.25">
      <c r="A63" s="1"/>
      <c r="B63" s="1"/>
      <c r="C63" s="1"/>
      <c r="D63" s="33"/>
      <c r="E63" s="33"/>
      <c r="F63" s="33"/>
      <c r="G63" s="28"/>
      <c r="H63" s="28"/>
      <c r="I63" s="6"/>
    </row>
    <row r="64" spans="1:12" s="14" customFormat="1" x14ac:dyDescent="0.25">
      <c r="A64" s="81"/>
      <c r="B64" s="81" t="s">
        <v>65</v>
      </c>
      <c r="C64" s="81" t="s">
        <v>64</v>
      </c>
      <c r="D64" s="82"/>
      <c r="E64" s="83">
        <f>start</f>
        <v>43831</v>
      </c>
      <c r="F64" s="83">
        <f>EOMONTH(E64,11)+1</f>
        <v>44197</v>
      </c>
      <c r="G64" s="83">
        <f>EOMONTH(F64,11)+1</f>
        <v>44562</v>
      </c>
      <c r="H64" s="83">
        <f>EOMONTH(G64,11)+1</f>
        <v>44927</v>
      </c>
    </row>
    <row r="65" spans="1:12" ht="6.75" customHeight="1" x14ac:dyDescent="0.25">
      <c r="D65" s="33"/>
      <c r="E65" s="33"/>
      <c r="F65" s="33"/>
      <c r="G65" s="28"/>
      <c r="H65" s="28"/>
      <c r="I65" s="6"/>
    </row>
    <row r="66" spans="1:12" hidden="1" x14ac:dyDescent="0.25">
      <c r="A66" s="50"/>
      <c r="B66" s="50" t="s">
        <v>0</v>
      </c>
      <c r="C66" s="50"/>
      <c r="D66" s="52"/>
      <c r="E66" s="52"/>
      <c r="F66" s="52"/>
      <c r="G66" s="52"/>
      <c r="H66" s="52"/>
    </row>
    <row r="67" spans="1:12" hidden="1" x14ac:dyDescent="0.25">
      <c r="B67" s="5" t="s">
        <v>2</v>
      </c>
      <c r="E67" s="44">
        <f>E68*E69*E70*E71</f>
        <v>0</v>
      </c>
      <c r="F67" s="45"/>
      <c r="G67" s="37"/>
      <c r="H67" s="37"/>
    </row>
    <row r="68" spans="1:12" hidden="1" x14ac:dyDescent="0.25">
      <c r="A68" s="9"/>
      <c r="B68" s="9" t="s">
        <v>36</v>
      </c>
      <c r="C68" s="9"/>
      <c r="E68" s="44">
        <v>0</v>
      </c>
    </row>
    <row r="69" spans="1:12" hidden="1" x14ac:dyDescent="0.25">
      <c r="A69" s="9"/>
      <c r="B69" s="9" t="s">
        <v>37</v>
      </c>
      <c r="C69" s="9"/>
      <c r="D69" s="45"/>
      <c r="E69" s="45">
        <v>0</v>
      </c>
    </row>
    <row r="70" spans="1:12" hidden="1" x14ac:dyDescent="0.25">
      <c r="A70" s="9"/>
      <c r="B70" s="9" t="s">
        <v>38</v>
      </c>
      <c r="C70" s="9"/>
      <c r="E70" s="44">
        <v>0</v>
      </c>
    </row>
    <row r="71" spans="1:12" hidden="1" x14ac:dyDescent="0.25">
      <c r="A71" s="9"/>
      <c r="B71" s="9" t="s">
        <v>39</v>
      </c>
      <c r="C71" s="9"/>
      <c r="E71" s="46">
        <v>0</v>
      </c>
    </row>
    <row r="72" spans="1:12" hidden="1" x14ac:dyDescent="0.25">
      <c r="A72" s="9"/>
      <c r="B72" s="9"/>
      <c r="C72" s="9"/>
    </row>
    <row r="73" spans="1:12" hidden="1" x14ac:dyDescent="0.25">
      <c r="B73" s="5" t="s">
        <v>23</v>
      </c>
      <c r="E73" s="44">
        <f>E74*E75</f>
        <v>0</v>
      </c>
      <c r="F73" s="44">
        <f t="shared" ref="F73:H73" si="33">F74*F75</f>
        <v>0</v>
      </c>
      <c r="G73" s="44">
        <f t="shared" si="33"/>
        <v>0</v>
      </c>
      <c r="H73" s="44">
        <f t="shared" si="33"/>
        <v>0</v>
      </c>
    </row>
    <row r="74" spans="1:12" hidden="1" x14ac:dyDescent="0.25">
      <c r="A74" s="9"/>
      <c r="B74" s="9" t="s">
        <v>114</v>
      </c>
      <c r="C74" s="9" t="s">
        <v>113</v>
      </c>
      <c r="E74" s="44">
        <v>0</v>
      </c>
      <c r="F74" s="44">
        <v>0</v>
      </c>
      <c r="G74" s="44">
        <v>0</v>
      </c>
      <c r="H74" s="44">
        <v>0</v>
      </c>
    </row>
    <row r="75" spans="1:12" hidden="1" x14ac:dyDescent="0.25">
      <c r="A75" s="9"/>
      <c r="B75" s="9" t="s">
        <v>40</v>
      </c>
      <c r="C75" s="9"/>
      <c r="E75" s="44">
        <f>'Rates and GI'!D12</f>
        <v>17.675000000000001</v>
      </c>
      <c r="F75" s="44">
        <f>E75*(1+index)</f>
        <v>18.435025</v>
      </c>
      <c r="G75" s="44">
        <f>F75*(1+index)</f>
        <v>19.227731074999998</v>
      </c>
      <c r="H75" s="44">
        <f>G75*(1+index)</f>
        <v>20.054523511224996</v>
      </c>
    </row>
    <row r="76" spans="1:12" hidden="1" x14ac:dyDescent="0.25"/>
    <row r="77" spans="1:12" s="7" customFormat="1" hidden="1" x14ac:dyDescent="0.25">
      <c r="A77" s="5"/>
      <c r="B77" s="5" t="s">
        <v>168</v>
      </c>
      <c r="C77" s="5"/>
      <c r="D77" s="44"/>
      <c r="E77" s="44">
        <f>E78*E79</f>
        <v>0</v>
      </c>
      <c r="F77" s="44">
        <f t="shared" ref="F77:H77" si="34">F78*F79</f>
        <v>0</v>
      </c>
      <c r="G77" s="44">
        <f t="shared" si="34"/>
        <v>0</v>
      </c>
      <c r="H77" s="44">
        <f t="shared" si="34"/>
        <v>0</v>
      </c>
      <c r="I77" s="62"/>
      <c r="J77" s="6"/>
      <c r="K77" s="6"/>
      <c r="L77" s="6"/>
    </row>
    <row r="78" spans="1:12" s="7" customFormat="1" hidden="1" x14ac:dyDescent="0.25">
      <c r="A78" s="9"/>
      <c r="B78" s="9" t="s">
        <v>170</v>
      </c>
      <c r="C78" s="9" t="s">
        <v>113</v>
      </c>
      <c r="D78" s="44"/>
      <c r="E78" s="44">
        <v>0</v>
      </c>
      <c r="F78" s="44">
        <v>0</v>
      </c>
      <c r="G78" s="44">
        <v>0</v>
      </c>
      <c r="H78" s="44">
        <v>0</v>
      </c>
      <c r="I78" s="62"/>
      <c r="J78" s="6"/>
      <c r="K78" s="6"/>
      <c r="L78" s="6"/>
    </row>
    <row r="79" spans="1:12" s="7" customFormat="1" hidden="1" x14ac:dyDescent="0.25">
      <c r="A79" s="9"/>
      <c r="B79" s="9" t="s">
        <v>40</v>
      </c>
      <c r="C79" s="9"/>
      <c r="D79" s="44"/>
      <c r="E79" s="44">
        <f>'Rates and GI'!D13</f>
        <v>162.21599999999998</v>
      </c>
      <c r="F79" s="44">
        <f>E79*(1+index)</f>
        <v>169.19128799999996</v>
      </c>
      <c r="G79" s="44">
        <f>F79*(1+index)</f>
        <v>176.46651338399994</v>
      </c>
      <c r="H79" s="44">
        <f>G79*(1+index)</f>
        <v>184.05457345951191</v>
      </c>
      <c r="I79" s="62"/>
      <c r="J79" s="6"/>
      <c r="K79" s="6"/>
      <c r="L79" s="6"/>
    </row>
    <row r="80" spans="1:12" hidden="1" x14ac:dyDescent="0.25"/>
    <row r="81" spans="1:12" s="7" customFormat="1" hidden="1" x14ac:dyDescent="0.25">
      <c r="A81" s="5"/>
      <c r="B81" s="5" t="s">
        <v>1</v>
      </c>
      <c r="C81" s="5"/>
      <c r="D81" s="44"/>
      <c r="E81" s="44"/>
      <c r="F81" s="44"/>
      <c r="G81" s="38"/>
      <c r="H81" s="38"/>
      <c r="I81" s="62"/>
      <c r="J81" s="6"/>
      <c r="K81" s="6"/>
      <c r="L81" s="6"/>
    </row>
    <row r="82" spans="1:12" s="7" customFormat="1" hidden="1" x14ac:dyDescent="0.25">
      <c r="A82" s="9"/>
      <c r="B82" s="9" t="s">
        <v>41</v>
      </c>
      <c r="C82" s="9"/>
      <c r="D82" s="44"/>
      <c r="E82" s="44">
        <v>0</v>
      </c>
      <c r="F82" s="44"/>
      <c r="G82" s="38"/>
      <c r="H82" s="38"/>
      <c r="I82" s="62"/>
      <c r="J82" s="6"/>
      <c r="K82" s="6"/>
      <c r="L82" s="6"/>
    </row>
    <row r="83" spans="1:12" s="7" customFormat="1" hidden="1" x14ac:dyDescent="0.25">
      <c r="A83" s="9"/>
      <c r="B83" s="9" t="s">
        <v>42</v>
      </c>
      <c r="C83" s="9"/>
      <c r="D83" s="44"/>
      <c r="E83" s="44">
        <v>0</v>
      </c>
      <c r="F83" s="44"/>
      <c r="G83" s="38"/>
      <c r="H83" s="38"/>
      <c r="I83" s="62"/>
      <c r="J83" s="6"/>
      <c r="K83" s="6"/>
      <c r="L83" s="6"/>
    </row>
    <row r="84" spans="1:12" s="7" customFormat="1" hidden="1" x14ac:dyDescent="0.25">
      <c r="A84" s="9"/>
      <c r="B84" s="9" t="s">
        <v>43</v>
      </c>
      <c r="C84" s="9"/>
      <c r="D84" s="44"/>
      <c r="E84" s="44">
        <v>0</v>
      </c>
      <c r="F84" s="44"/>
      <c r="G84" s="38"/>
      <c r="H84" s="38"/>
      <c r="I84" s="62"/>
      <c r="J84" s="6"/>
      <c r="K84" s="6"/>
      <c r="L84" s="6"/>
    </row>
    <row r="85" spans="1:12" s="7" customFormat="1" hidden="1" x14ac:dyDescent="0.25">
      <c r="A85" s="9"/>
      <c r="B85" s="9" t="s">
        <v>44</v>
      </c>
      <c r="C85" s="9"/>
      <c r="D85" s="44"/>
      <c r="E85" s="44">
        <v>0</v>
      </c>
      <c r="F85" s="44"/>
      <c r="G85" s="38"/>
      <c r="H85" s="38"/>
      <c r="I85" s="62"/>
      <c r="J85" s="6"/>
      <c r="K85" s="6"/>
      <c r="L85" s="6"/>
    </row>
    <row r="86" spans="1:12" hidden="1" x14ac:dyDescent="0.25"/>
    <row r="87" spans="1:12" s="7" customFormat="1" hidden="1" x14ac:dyDescent="0.25">
      <c r="A87" s="5"/>
      <c r="B87" s="5" t="s">
        <v>3</v>
      </c>
      <c r="C87" s="5"/>
      <c r="D87" s="44"/>
      <c r="E87" s="44"/>
      <c r="F87" s="44"/>
      <c r="G87" s="38"/>
      <c r="H87" s="38"/>
      <c r="I87" s="62"/>
      <c r="J87" s="6"/>
      <c r="K87" s="6"/>
      <c r="L87" s="6"/>
    </row>
    <row r="88" spans="1:12" s="7" customFormat="1" hidden="1" x14ac:dyDescent="0.25">
      <c r="A88" s="9"/>
      <c r="B88" s="9" t="s">
        <v>45</v>
      </c>
      <c r="C88" s="9"/>
      <c r="D88" s="44"/>
      <c r="E88" s="44">
        <v>0</v>
      </c>
      <c r="F88" s="44"/>
      <c r="G88" s="38"/>
      <c r="H88" s="38"/>
      <c r="I88" s="62"/>
      <c r="J88" s="6"/>
      <c r="K88" s="6"/>
      <c r="L88" s="6"/>
    </row>
    <row r="89" spans="1:12" s="7" customFormat="1" hidden="1" x14ac:dyDescent="0.25">
      <c r="A89" s="9"/>
      <c r="B89" s="9" t="s">
        <v>46</v>
      </c>
      <c r="C89" s="9"/>
      <c r="D89" s="44"/>
      <c r="E89" s="44">
        <v>0</v>
      </c>
      <c r="F89" s="44"/>
      <c r="G89" s="38"/>
      <c r="H89" s="38"/>
      <c r="I89" s="62"/>
      <c r="J89" s="6"/>
      <c r="K89" s="6"/>
      <c r="L89" s="6"/>
    </row>
    <row r="90" spans="1:12" hidden="1" x14ac:dyDescent="0.25"/>
    <row r="91" spans="1:12" s="7" customFormat="1" hidden="1" x14ac:dyDescent="0.25">
      <c r="A91" s="5"/>
      <c r="B91" s="5" t="s">
        <v>4</v>
      </c>
      <c r="C91" s="5"/>
      <c r="D91" s="44"/>
      <c r="E91" s="44"/>
      <c r="F91" s="44"/>
      <c r="G91" s="38"/>
      <c r="H91" s="38"/>
      <c r="I91" s="62"/>
      <c r="J91" s="6"/>
      <c r="K91" s="6"/>
      <c r="L91" s="6"/>
    </row>
    <row r="92" spans="1:12" s="7" customFormat="1" hidden="1" x14ac:dyDescent="0.25">
      <c r="A92" s="9"/>
      <c r="B92" s="9" t="s">
        <v>47</v>
      </c>
      <c r="C92" s="9"/>
      <c r="D92" s="44"/>
      <c r="E92" s="44">
        <v>0</v>
      </c>
      <c r="F92" s="44"/>
      <c r="G92" s="38"/>
      <c r="H92" s="38"/>
      <c r="I92" s="62"/>
      <c r="J92" s="6"/>
      <c r="K92" s="6"/>
      <c r="L92" s="6"/>
    </row>
    <row r="93" spans="1:12" s="7" customFormat="1" hidden="1" x14ac:dyDescent="0.25">
      <c r="A93" s="9"/>
      <c r="B93" s="9" t="s">
        <v>48</v>
      </c>
      <c r="C93" s="9"/>
      <c r="D93" s="44"/>
      <c r="E93" s="44">
        <v>0</v>
      </c>
      <c r="F93" s="44"/>
      <c r="G93" s="38"/>
      <c r="H93" s="38"/>
      <c r="I93" s="62"/>
      <c r="J93" s="6"/>
      <c r="K93" s="6"/>
      <c r="L93" s="6"/>
    </row>
    <row r="94" spans="1:12" hidden="1" x14ac:dyDescent="0.25"/>
    <row r="95" spans="1:12" s="7" customFormat="1" hidden="1" x14ac:dyDescent="0.25">
      <c r="A95" s="9"/>
      <c r="B95" s="9" t="s">
        <v>39</v>
      </c>
      <c r="C95" s="9"/>
      <c r="D95" s="44"/>
      <c r="E95" s="46"/>
      <c r="F95" s="44"/>
      <c r="G95" s="38"/>
      <c r="H95" s="38"/>
      <c r="I95" s="62"/>
      <c r="J95" s="6"/>
      <c r="K95" s="6"/>
      <c r="L95" s="6"/>
    </row>
    <row r="96" spans="1:12" hidden="1" x14ac:dyDescent="0.25"/>
    <row r="97" spans="1:12" hidden="1" x14ac:dyDescent="0.25">
      <c r="A97" s="50"/>
      <c r="B97" s="50" t="s">
        <v>10</v>
      </c>
      <c r="C97" s="50"/>
      <c r="D97" s="52"/>
      <c r="E97" s="52">
        <f>E98*E99+E101*E102</f>
        <v>0</v>
      </c>
      <c r="F97" s="52">
        <f t="shared" ref="F97:H97" si="35">F98*F99+F101*F102</f>
        <v>0</v>
      </c>
      <c r="G97" s="52">
        <f t="shared" si="35"/>
        <v>0</v>
      </c>
      <c r="H97" s="52">
        <f t="shared" si="35"/>
        <v>0</v>
      </c>
    </row>
    <row r="98" spans="1:12" s="7" customFormat="1" hidden="1" x14ac:dyDescent="0.25">
      <c r="A98" s="5"/>
      <c r="B98" s="9" t="s">
        <v>49</v>
      </c>
      <c r="C98" s="5"/>
      <c r="D98" s="44"/>
      <c r="E98" s="44">
        <v>0</v>
      </c>
      <c r="F98" s="44">
        <v>0</v>
      </c>
      <c r="G98" s="44">
        <v>0</v>
      </c>
      <c r="H98" s="44">
        <v>0</v>
      </c>
      <c r="I98" s="62"/>
      <c r="J98" s="6"/>
      <c r="K98" s="6"/>
      <c r="L98" s="6"/>
    </row>
    <row r="99" spans="1:12" s="7" customFormat="1" hidden="1" x14ac:dyDescent="0.25">
      <c r="A99" s="5"/>
      <c r="B99" s="9" t="s">
        <v>50</v>
      </c>
      <c r="C99" s="5"/>
      <c r="D99" s="44"/>
      <c r="E99" s="44">
        <f>Trips!$B$10</f>
        <v>908.23176058823537</v>
      </c>
      <c r="F99" s="44">
        <f>Trips!$B$10</f>
        <v>908.23176058823537</v>
      </c>
      <c r="G99" s="44">
        <f>Trips!$B$10</f>
        <v>908.23176058823537</v>
      </c>
      <c r="H99" s="44">
        <f>Trips!$B$10</f>
        <v>908.23176058823537</v>
      </c>
      <c r="I99" s="62"/>
      <c r="J99" s="6"/>
      <c r="K99" s="6"/>
      <c r="L99" s="6"/>
    </row>
    <row r="100" spans="1:12" hidden="1" x14ac:dyDescent="0.25"/>
    <row r="101" spans="1:12" s="7" customFormat="1" hidden="1" x14ac:dyDescent="0.25">
      <c r="A101" s="5"/>
      <c r="B101" s="9" t="s">
        <v>51</v>
      </c>
      <c r="C101" s="5"/>
      <c r="D101" s="44"/>
      <c r="E101" s="44">
        <v>0</v>
      </c>
      <c r="F101" s="44">
        <v>0</v>
      </c>
      <c r="G101" s="44">
        <v>0</v>
      </c>
      <c r="H101" s="44">
        <f>G101</f>
        <v>0</v>
      </c>
      <c r="I101" s="62"/>
      <c r="J101" s="6"/>
      <c r="K101" s="6"/>
      <c r="L101" s="6"/>
    </row>
    <row r="102" spans="1:12" s="7" customFormat="1" hidden="1" x14ac:dyDescent="0.25">
      <c r="A102" s="5"/>
      <c r="B102" s="9" t="s">
        <v>52</v>
      </c>
      <c r="C102" s="5"/>
      <c r="D102" s="44"/>
      <c r="E102" s="44">
        <f>Trips!$B$5</f>
        <v>52</v>
      </c>
      <c r="F102" s="44">
        <f>Trips!$B$5</f>
        <v>52</v>
      </c>
      <c r="G102" s="44">
        <f>Trips!$B$5</f>
        <v>52</v>
      </c>
      <c r="H102" s="44">
        <f>Trips!$B$5</f>
        <v>52</v>
      </c>
      <c r="I102" s="62"/>
      <c r="J102" s="6"/>
      <c r="K102" s="6"/>
      <c r="L102" s="6"/>
    </row>
    <row r="103" spans="1:12" hidden="1" x14ac:dyDescent="0.25"/>
    <row r="104" spans="1:12" hidden="1" x14ac:dyDescent="0.25"/>
    <row r="105" spans="1:12" hidden="1" x14ac:dyDescent="0.25">
      <c r="A105" s="50"/>
      <c r="B105" s="50" t="s">
        <v>171</v>
      </c>
      <c r="C105" s="50"/>
      <c r="D105" s="52"/>
      <c r="E105" s="52">
        <f>E106*E107</f>
        <v>0</v>
      </c>
      <c r="F105" s="52">
        <f t="shared" ref="F105:H105" si="36">F106*F107</f>
        <v>0</v>
      </c>
      <c r="G105" s="52">
        <f t="shared" si="36"/>
        <v>0</v>
      </c>
      <c r="H105" s="52">
        <f t="shared" si="36"/>
        <v>0</v>
      </c>
    </row>
    <row r="106" spans="1:12" s="7" customFormat="1" hidden="1" x14ac:dyDescent="0.25">
      <c r="A106" s="10"/>
      <c r="B106" s="39" t="s">
        <v>144</v>
      </c>
      <c r="C106" s="10" t="s">
        <v>145</v>
      </c>
      <c r="D106" s="44"/>
      <c r="E106" s="44">
        <v>0</v>
      </c>
      <c r="F106" s="44">
        <v>0</v>
      </c>
      <c r="G106" s="44">
        <v>0</v>
      </c>
      <c r="H106" s="44">
        <v>0</v>
      </c>
      <c r="I106" s="62"/>
      <c r="J106" s="6"/>
      <c r="K106" s="6"/>
      <c r="L106" s="6"/>
    </row>
    <row r="107" spans="1:12" s="7" customFormat="1" hidden="1" x14ac:dyDescent="0.25">
      <c r="A107" s="5"/>
      <c r="B107" s="39" t="s">
        <v>141</v>
      </c>
      <c r="C107" s="5"/>
      <c r="D107" s="44"/>
      <c r="E107" s="44">
        <f>Trips!B41</f>
        <v>631.70365882352939</v>
      </c>
      <c r="F107" s="44">
        <f>E107*(1+index)</f>
        <v>658.86691615294114</v>
      </c>
      <c r="G107" s="44">
        <f>F107*(1+index)</f>
        <v>687.19819354751758</v>
      </c>
      <c r="H107" s="44">
        <f>G107*(1+index)</f>
        <v>716.7477158700608</v>
      </c>
      <c r="I107" s="62"/>
      <c r="J107" s="6"/>
      <c r="K107" s="6"/>
      <c r="L107" s="6"/>
    </row>
    <row r="108" spans="1:12" hidden="1" x14ac:dyDescent="0.25"/>
    <row r="109" spans="1:12" x14ac:dyDescent="0.25">
      <c r="A109" s="50"/>
      <c r="B109" s="50" t="s">
        <v>130</v>
      </c>
      <c r="C109" s="50"/>
      <c r="D109" s="52"/>
      <c r="E109" s="52">
        <f>E110*E111+E112*E113+E114*E115</f>
        <v>14187.5</v>
      </c>
      <c r="F109" s="52">
        <f t="shared" ref="F109:H109" si="37">F110*F111+F112*F113+F114*F115</f>
        <v>0</v>
      </c>
      <c r="G109" s="52">
        <f t="shared" si="37"/>
        <v>0</v>
      </c>
      <c r="H109" s="52">
        <f t="shared" si="37"/>
        <v>0</v>
      </c>
    </row>
    <row r="110" spans="1:12" x14ac:dyDescent="0.25">
      <c r="B110" s="39" t="s">
        <v>131</v>
      </c>
      <c r="C110" s="5" t="s">
        <v>132</v>
      </c>
      <c r="E110" s="44">
        <f>Training!$C$33</f>
        <v>81.10799999999999</v>
      </c>
      <c r="F110" s="44">
        <f>E110*(1+index)</f>
        <v>84.595643999999979</v>
      </c>
      <c r="G110" s="44">
        <f>F110*(1+index)</f>
        <v>88.233256691999969</v>
      </c>
      <c r="H110" s="44">
        <f>G110*(1+index)</f>
        <v>92.027286729755957</v>
      </c>
    </row>
    <row r="111" spans="1:12" x14ac:dyDescent="0.25">
      <c r="B111" s="39" t="s">
        <v>133</v>
      </c>
      <c r="F111" s="44">
        <v>0</v>
      </c>
      <c r="G111" s="44">
        <v>0</v>
      </c>
      <c r="H111" s="44">
        <f t="shared" ref="H111" si="38">H98</f>
        <v>0</v>
      </c>
    </row>
    <row r="112" spans="1:12" x14ac:dyDescent="0.25">
      <c r="B112" s="39" t="s">
        <v>134</v>
      </c>
      <c r="E112" s="44">
        <f>Training!C23*2</f>
        <v>1418.75</v>
      </c>
      <c r="F112" s="44">
        <f>E112*(1+index)</f>
        <v>1479.7562499999999</v>
      </c>
      <c r="G112" s="44">
        <f>F112*(1+index)</f>
        <v>1543.3857687499999</v>
      </c>
      <c r="H112" s="44">
        <f>G112*(1+index)</f>
        <v>1609.7513568062498</v>
      </c>
    </row>
    <row r="113" spans="1:12" x14ac:dyDescent="0.25">
      <c r="B113" s="39" t="s">
        <v>135</v>
      </c>
      <c r="C113" s="5" t="s">
        <v>471</v>
      </c>
      <c r="E113" s="44">
        <f>200/20</f>
        <v>10</v>
      </c>
      <c r="F113" s="44">
        <v>0</v>
      </c>
      <c r="G113" s="33">
        <v>0</v>
      </c>
      <c r="H113" s="33">
        <v>0</v>
      </c>
    </row>
    <row r="114" spans="1:12" hidden="1" x14ac:dyDescent="0.25">
      <c r="B114" s="39" t="s">
        <v>203</v>
      </c>
      <c r="C114" s="5" t="s">
        <v>137</v>
      </c>
      <c r="G114" s="44"/>
      <c r="H114" s="44"/>
    </row>
    <row r="115" spans="1:12" hidden="1" x14ac:dyDescent="0.25">
      <c r="B115" s="39" t="s">
        <v>133</v>
      </c>
      <c r="E115" s="44">
        <v>0</v>
      </c>
      <c r="F115" s="44">
        <v>0</v>
      </c>
      <c r="G115" s="44">
        <v>0</v>
      </c>
      <c r="H115" s="44">
        <v>0</v>
      </c>
    </row>
    <row r="116" spans="1:12" x14ac:dyDescent="0.25">
      <c r="B116" s="39"/>
    </row>
    <row r="117" spans="1:12" hidden="1" x14ac:dyDescent="0.25">
      <c r="A117" s="50"/>
      <c r="B117" s="50" t="s">
        <v>24</v>
      </c>
      <c r="C117" s="50"/>
      <c r="D117" s="52"/>
      <c r="E117" s="52">
        <f t="shared" ref="E117:H117" si="39">E118*E119</f>
        <v>0</v>
      </c>
      <c r="F117" s="52">
        <f t="shared" si="39"/>
        <v>0</v>
      </c>
      <c r="G117" s="52">
        <f t="shared" si="39"/>
        <v>0</v>
      </c>
      <c r="H117" s="52">
        <f t="shared" si="39"/>
        <v>0</v>
      </c>
    </row>
    <row r="118" spans="1:12" s="7" customFormat="1" hidden="1" x14ac:dyDescent="0.25">
      <c r="A118" s="5"/>
      <c r="B118" s="39" t="s">
        <v>53</v>
      </c>
      <c r="C118" s="5"/>
      <c r="D118" s="44"/>
      <c r="E118" s="44">
        <v>0</v>
      </c>
      <c r="F118" s="44">
        <v>0</v>
      </c>
      <c r="G118" s="44"/>
      <c r="H118" s="44"/>
      <c r="I118" s="62"/>
      <c r="J118" s="6"/>
      <c r="K118" s="6"/>
      <c r="L118" s="6"/>
    </row>
    <row r="119" spans="1:12" s="7" customFormat="1" hidden="1" x14ac:dyDescent="0.25">
      <c r="A119" s="5"/>
      <c r="B119" s="39" t="s">
        <v>54</v>
      </c>
      <c r="C119" s="5"/>
      <c r="D119" s="44"/>
      <c r="E119" s="44">
        <f>'Rates and GI'!D25</f>
        <v>6</v>
      </c>
      <c r="F119" s="44">
        <f>E119*(1+index)</f>
        <v>6.2579999999999991</v>
      </c>
      <c r="G119" s="44">
        <f>F119*(1+index)</f>
        <v>6.5270939999999991</v>
      </c>
      <c r="H119" s="44">
        <f>G119*(1+index)</f>
        <v>6.8077590419999989</v>
      </c>
      <c r="I119" s="62"/>
      <c r="J119" s="6"/>
      <c r="K119" s="6"/>
      <c r="L119" s="6"/>
    </row>
    <row r="120" spans="1:12" hidden="1" x14ac:dyDescent="0.25"/>
    <row r="121" spans="1:12" x14ac:dyDescent="0.25">
      <c r="A121" s="50"/>
      <c r="B121" s="50" t="s">
        <v>7</v>
      </c>
      <c r="C121" s="50"/>
      <c r="D121" s="52"/>
      <c r="E121" s="52"/>
      <c r="F121" s="52"/>
      <c r="G121" s="52"/>
      <c r="H121" s="52"/>
    </row>
    <row r="122" spans="1:12" s="7" customFormat="1" x14ac:dyDescent="0.25">
      <c r="A122" s="5"/>
      <c r="B122" s="158" t="s">
        <v>57</v>
      </c>
      <c r="C122" s="5"/>
      <c r="D122" s="44"/>
      <c r="E122" s="46"/>
      <c r="F122" s="46"/>
      <c r="G122" s="105"/>
      <c r="H122" s="105"/>
      <c r="I122" s="62"/>
      <c r="J122" s="6"/>
      <c r="K122" s="6"/>
      <c r="L122" s="6"/>
    </row>
    <row r="123" spans="1:12" s="7" customFormat="1" x14ac:dyDescent="0.25">
      <c r="A123" s="5"/>
      <c r="B123" s="158" t="s">
        <v>377</v>
      </c>
      <c r="C123" s="5"/>
      <c r="D123" s="44"/>
      <c r="E123" s="46">
        <v>49000</v>
      </c>
      <c r="F123" s="46"/>
      <c r="G123" s="105"/>
      <c r="H123" s="105"/>
      <c r="I123" s="62"/>
      <c r="J123" s="6"/>
      <c r="K123" s="6"/>
      <c r="L123" s="6"/>
    </row>
    <row r="124" spans="1:12" s="7" customFormat="1" hidden="1" x14ac:dyDescent="0.25">
      <c r="A124" s="5"/>
      <c r="B124" s="4"/>
      <c r="C124" s="5"/>
      <c r="D124" s="44"/>
      <c r="E124" s="46"/>
      <c r="F124" s="46"/>
      <c r="G124" s="105"/>
      <c r="H124" s="105"/>
      <c r="I124" s="62"/>
      <c r="J124" s="6"/>
      <c r="K124" s="6"/>
      <c r="L124" s="6"/>
    </row>
    <row r="125" spans="1:12" s="7" customFormat="1" hidden="1" x14ac:dyDescent="0.25">
      <c r="A125" s="5"/>
      <c r="B125" s="4"/>
      <c r="C125" s="5"/>
      <c r="D125" s="44"/>
      <c r="E125" s="46"/>
      <c r="F125" s="46"/>
      <c r="G125" s="105"/>
      <c r="H125" s="105"/>
      <c r="I125" s="62"/>
      <c r="J125" s="6"/>
      <c r="K125" s="6"/>
      <c r="L125" s="6"/>
    </row>
    <row r="126" spans="1:12" s="43" customFormat="1" hidden="1" x14ac:dyDescent="0.25">
      <c r="A126" s="40"/>
      <c r="B126" s="41" t="s">
        <v>58</v>
      </c>
      <c r="C126" s="40" t="s">
        <v>55</v>
      </c>
      <c r="D126" s="71"/>
      <c r="E126" s="71"/>
      <c r="F126" s="71"/>
      <c r="G126" s="72"/>
      <c r="H126" s="72"/>
      <c r="I126" s="75"/>
      <c r="J126" s="42"/>
      <c r="K126" s="42"/>
      <c r="L126" s="42"/>
    </row>
    <row r="127" spans="1:12" s="40" customFormat="1" hidden="1" x14ac:dyDescent="0.25">
      <c r="B127" s="41" t="s">
        <v>56</v>
      </c>
      <c r="D127" s="71"/>
      <c r="E127" s="71"/>
      <c r="F127" s="71"/>
      <c r="G127" s="72"/>
      <c r="H127" s="72"/>
      <c r="I127" s="75"/>
      <c r="J127" s="42"/>
      <c r="K127" s="42"/>
      <c r="L127" s="42"/>
    </row>
    <row r="128" spans="1:12" s="40" customFormat="1" hidden="1" x14ac:dyDescent="0.25">
      <c r="B128" s="41" t="s">
        <v>59</v>
      </c>
      <c r="D128" s="71"/>
      <c r="E128" s="71"/>
      <c r="F128" s="71"/>
      <c r="G128" s="72"/>
      <c r="H128" s="72"/>
      <c r="I128" s="75"/>
      <c r="J128" s="42"/>
      <c r="K128" s="42"/>
      <c r="L128" s="42"/>
    </row>
    <row r="130" spans="1:12" x14ac:dyDescent="0.25">
      <c r="A130" s="50"/>
      <c r="B130" s="50" t="s">
        <v>26</v>
      </c>
      <c r="C130" s="50"/>
      <c r="D130" s="52"/>
      <c r="E130" s="52">
        <f>E131</f>
        <v>62769</v>
      </c>
      <c r="F130" s="52">
        <f t="shared" ref="F130:H130" si="40">F131</f>
        <v>0</v>
      </c>
      <c r="G130" s="52">
        <f t="shared" si="40"/>
        <v>0</v>
      </c>
      <c r="H130" s="52">
        <f t="shared" si="40"/>
        <v>0</v>
      </c>
    </row>
    <row r="131" spans="1:12" x14ac:dyDescent="0.25">
      <c r="B131" s="4" t="s">
        <v>270</v>
      </c>
      <c r="E131" s="44">
        <f>E132+E135+E138+E141+E144+E147+E150+E151+E154+E157</f>
        <v>62769</v>
      </c>
      <c r="G131" s="44"/>
      <c r="H131" s="44"/>
    </row>
    <row r="132" spans="1:12" s="5" customFormat="1" x14ac:dyDescent="0.25">
      <c r="B132" s="1" t="s">
        <v>360</v>
      </c>
      <c r="D132" s="44"/>
      <c r="E132" s="44">
        <f>E133*E134</f>
        <v>31850</v>
      </c>
      <c r="F132" s="44"/>
      <c r="G132" s="38"/>
      <c r="H132" s="38"/>
      <c r="I132" s="62"/>
      <c r="J132" s="6"/>
      <c r="K132" s="6"/>
      <c r="L132" s="6"/>
    </row>
    <row r="133" spans="1:12" s="5" customFormat="1" x14ac:dyDescent="0.25">
      <c r="B133" s="41" t="s">
        <v>362</v>
      </c>
      <c r="D133" s="44"/>
      <c r="E133" s="44">
        <f>13*5</f>
        <v>65</v>
      </c>
      <c r="F133" s="44"/>
      <c r="G133" s="38"/>
      <c r="H133" s="38"/>
      <c r="I133" s="62"/>
      <c r="J133" s="6"/>
      <c r="K133" s="6"/>
      <c r="L133" s="6"/>
    </row>
    <row r="134" spans="1:12" s="5" customFormat="1" x14ac:dyDescent="0.25">
      <c r="B134" s="41" t="s">
        <v>277</v>
      </c>
      <c r="D134" s="44"/>
      <c r="E134" s="44">
        <v>490</v>
      </c>
      <c r="F134" s="44"/>
      <c r="G134" s="38"/>
      <c r="H134" s="38"/>
      <c r="I134" s="62"/>
      <c r="J134" s="6"/>
      <c r="K134" s="6"/>
      <c r="L134" s="6"/>
    </row>
    <row r="135" spans="1:12" s="5" customFormat="1" x14ac:dyDescent="0.25">
      <c r="B135" s="1" t="s">
        <v>361</v>
      </c>
      <c r="D135" s="44"/>
      <c r="E135" s="44">
        <f>E136*E137</f>
        <v>637</v>
      </c>
      <c r="F135" s="44"/>
      <c r="G135" s="38"/>
      <c r="H135" s="38"/>
      <c r="I135" s="62"/>
      <c r="J135" s="6"/>
      <c r="K135" s="6"/>
      <c r="L135" s="6"/>
    </row>
    <row r="136" spans="1:12" s="5" customFormat="1" x14ac:dyDescent="0.25">
      <c r="B136" s="41" t="s">
        <v>362</v>
      </c>
      <c r="D136" s="44"/>
      <c r="E136" s="44">
        <v>130</v>
      </c>
      <c r="F136" s="44"/>
      <c r="G136" s="38"/>
      <c r="H136" s="38"/>
      <c r="I136" s="62"/>
      <c r="J136" s="6"/>
      <c r="K136" s="6"/>
      <c r="L136" s="6"/>
    </row>
    <row r="137" spans="1:12" s="5" customFormat="1" x14ac:dyDescent="0.25">
      <c r="B137" s="41" t="s">
        <v>277</v>
      </c>
      <c r="D137" s="44"/>
      <c r="E137" s="44">
        <v>4.9000000000000004</v>
      </c>
      <c r="F137" s="44"/>
      <c r="G137" s="38"/>
      <c r="H137" s="38"/>
      <c r="I137" s="62"/>
      <c r="J137" s="6"/>
      <c r="K137" s="6"/>
      <c r="L137" s="6"/>
    </row>
    <row r="138" spans="1:12" s="5" customFormat="1" x14ac:dyDescent="0.25">
      <c r="B138" s="1" t="s">
        <v>363</v>
      </c>
      <c r="D138" s="44"/>
      <c r="E138" s="44">
        <f>E139*E140</f>
        <v>3430</v>
      </c>
      <c r="F138" s="44"/>
      <c r="G138" s="38"/>
      <c r="H138" s="38"/>
      <c r="I138" s="62"/>
      <c r="J138" s="6"/>
      <c r="K138" s="6"/>
      <c r="L138" s="6"/>
    </row>
    <row r="139" spans="1:12" s="5" customFormat="1" x14ac:dyDescent="0.25">
      <c r="B139" s="41" t="s">
        <v>365</v>
      </c>
      <c r="C139" s="5" t="s">
        <v>364</v>
      </c>
      <c r="D139" s="44"/>
      <c r="E139" s="44">
        <f>12+2</f>
        <v>14</v>
      </c>
      <c r="F139" s="44"/>
      <c r="G139" s="38"/>
      <c r="H139" s="38"/>
      <c r="I139" s="62"/>
      <c r="J139" s="6"/>
      <c r="K139" s="6"/>
      <c r="L139" s="6"/>
    </row>
    <row r="140" spans="1:12" s="5" customFormat="1" x14ac:dyDescent="0.25">
      <c r="B140" s="41" t="s">
        <v>277</v>
      </c>
      <c r="D140" s="44"/>
      <c r="E140" s="5">
        <v>245</v>
      </c>
      <c r="F140" s="44"/>
      <c r="G140" s="38"/>
      <c r="H140" s="38"/>
      <c r="I140" s="62"/>
      <c r="J140" s="6"/>
      <c r="K140" s="6"/>
      <c r="L140" s="6"/>
    </row>
    <row r="141" spans="1:12" s="5" customFormat="1" x14ac:dyDescent="0.25">
      <c r="B141" s="1" t="s">
        <v>366</v>
      </c>
      <c r="D141" s="44"/>
      <c r="E141" s="44">
        <f>E142*E143</f>
        <v>1372</v>
      </c>
      <c r="F141" s="44"/>
      <c r="G141" s="44"/>
      <c r="H141" s="44"/>
      <c r="I141" s="62"/>
      <c r="J141" s="6"/>
      <c r="K141" s="6"/>
      <c r="L141" s="6"/>
    </row>
    <row r="142" spans="1:12" s="5" customFormat="1" x14ac:dyDescent="0.25">
      <c r="B142" s="41" t="s">
        <v>365</v>
      </c>
      <c r="C142" s="5" t="s">
        <v>364</v>
      </c>
      <c r="D142" s="44"/>
      <c r="E142" s="44">
        <f>12+2</f>
        <v>14</v>
      </c>
      <c r="F142" s="44"/>
      <c r="G142" s="44"/>
      <c r="H142" s="44"/>
      <c r="I142" s="62"/>
      <c r="J142" s="6"/>
      <c r="K142" s="6"/>
      <c r="L142" s="6"/>
    </row>
    <row r="143" spans="1:12" s="5" customFormat="1" x14ac:dyDescent="0.25">
      <c r="B143" s="41" t="s">
        <v>277</v>
      </c>
      <c r="D143" s="44"/>
      <c r="E143" s="44">
        <v>98</v>
      </c>
      <c r="F143" s="44"/>
      <c r="G143" s="44"/>
      <c r="H143" s="44"/>
      <c r="I143" s="62"/>
      <c r="J143" s="6"/>
      <c r="K143" s="6"/>
      <c r="L143" s="6"/>
    </row>
    <row r="144" spans="1:12" s="5" customFormat="1" x14ac:dyDescent="0.25">
      <c r="B144" s="1" t="s">
        <v>367</v>
      </c>
      <c r="D144" s="44"/>
      <c r="E144" s="44">
        <f>E145*E146</f>
        <v>3430</v>
      </c>
      <c r="F144" s="44"/>
      <c r="G144" s="44"/>
      <c r="H144" s="44"/>
      <c r="I144" s="62"/>
      <c r="J144" s="6"/>
      <c r="K144" s="6"/>
      <c r="L144" s="6"/>
    </row>
    <row r="145" spans="2:12" s="5" customFormat="1" x14ac:dyDescent="0.25">
      <c r="B145" s="41" t="s">
        <v>365</v>
      </c>
      <c r="C145" s="5" t="s">
        <v>364</v>
      </c>
      <c r="D145" s="44"/>
      <c r="E145" s="44">
        <f>12+2</f>
        <v>14</v>
      </c>
      <c r="F145" s="44"/>
      <c r="G145" s="44"/>
      <c r="H145" s="44"/>
      <c r="I145" s="62"/>
      <c r="J145" s="6"/>
      <c r="K145" s="6"/>
      <c r="L145" s="6"/>
    </row>
    <row r="146" spans="2:12" s="5" customFormat="1" x14ac:dyDescent="0.25">
      <c r="B146" s="41" t="s">
        <v>277</v>
      </c>
      <c r="D146" s="44"/>
      <c r="E146" s="44">
        <v>245</v>
      </c>
      <c r="F146" s="44"/>
      <c r="G146" s="44"/>
      <c r="H146" s="44"/>
      <c r="I146" s="62"/>
      <c r="J146" s="6"/>
      <c r="K146" s="6"/>
      <c r="L146" s="6"/>
    </row>
    <row r="147" spans="2:12" s="5" customFormat="1" x14ac:dyDescent="0.25">
      <c r="B147" s="1" t="s">
        <v>368</v>
      </c>
      <c r="D147" s="44"/>
      <c r="E147" s="44">
        <f>E148*E149</f>
        <v>7840</v>
      </c>
      <c r="F147" s="44"/>
      <c r="G147" s="44"/>
      <c r="H147" s="44"/>
      <c r="I147" s="62"/>
      <c r="J147" s="6"/>
      <c r="K147" s="6"/>
      <c r="L147" s="6"/>
    </row>
    <row r="148" spans="2:12" s="5" customFormat="1" x14ac:dyDescent="0.25">
      <c r="B148" s="41" t="s">
        <v>371</v>
      </c>
      <c r="C148" s="5" t="s">
        <v>369</v>
      </c>
      <c r="D148" s="44"/>
      <c r="E148" s="44">
        <v>2</v>
      </c>
      <c r="F148" s="44"/>
      <c r="G148" s="44"/>
      <c r="H148" s="44"/>
      <c r="I148" s="62"/>
      <c r="J148" s="6"/>
      <c r="K148" s="6"/>
      <c r="L148" s="6"/>
    </row>
    <row r="149" spans="2:12" s="5" customFormat="1" x14ac:dyDescent="0.25">
      <c r="B149" s="41" t="s">
        <v>277</v>
      </c>
      <c r="C149" s="5" t="s">
        <v>370</v>
      </c>
      <c r="D149" s="44"/>
      <c r="E149" s="44">
        <v>3920</v>
      </c>
      <c r="F149" s="44"/>
      <c r="G149" s="44"/>
      <c r="H149" s="44"/>
      <c r="I149" s="62"/>
      <c r="J149" s="6"/>
      <c r="K149" s="6"/>
      <c r="L149" s="6"/>
    </row>
    <row r="150" spans="2:12" s="5" customFormat="1" x14ac:dyDescent="0.25">
      <c r="B150" s="1" t="s">
        <v>372</v>
      </c>
      <c r="D150" s="44"/>
      <c r="E150" s="44">
        <v>7350</v>
      </c>
      <c r="F150" s="44"/>
      <c r="G150" s="44"/>
      <c r="H150" s="44"/>
      <c r="I150" s="62"/>
      <c r="J150" s="6"/>
      <c r="K150" s="6"/>
      <c r="L150" s="6"/>
    </row>
    <row r="151" spans="2:12" s="5" customFormat="1" ht="27" x14ac:dyDescent="0.25">
      <c r="B151" s="157" t="s">
        <v>373</v>
      </c>
      <c r="D151" s="44"/>
      <c r="E151" s="44">
        <f>E152*E153</f>
        <v>3430</v>
      </c>
      <c r="F151" s="44"/>
      <c r="G151" s="44"/>
      <c r="H151" s="44"/>
      <c r="I151" s="62"/>
      <c r="J151" s="6"/>
      <c r="K151" s="6"/>
      <c r="L151" s="6"/>
    </row>
    <row r="152" spans="2:12" s="5" customFormat="1" x14ac:dyDescent="0.25">
      <c r="B152" s="41" t="s">
        <v>371</v>
      </c>
      <c r="D152" s="44"/>
      <c r="E152" s="44">
        <v>2</v>
      </c>
      <c r="F152" s="44"/>
      <c r="G152" s="44"/>
      <c r="H152" s="44"/>
      <c r="I152" s="62"/>
      <c r="J152" s="6"/>
      <c r="K152" s="6"/>
      <c r="L152" s="6"/>
    </row>
    <row r="153" spans="2:12" s="5" customFormat="1" x14ac:dyDescent="0.25">
      <c r="B153" s="41" t="s">
        <v>277</v>
      </c>
      <c r="D153" s="44"/>
      <c r="E153" s="44">
        <v>1715</v>
      </c>
      <c r="F153" s="44"/>
      <c r="G153" s="44"/>
      <c r="H153" s="44"/>
      <c r="I153" s="62"/>
      <c r="J153" s="6"/>
      <c r="K153" s="6"/>
      <c r="L153" s="6"/>
    </row>
    <row r="154" spans="2:12" s="5" customFormat="1" x14ac:dyDescent="0.25">
      <c r="B154" s="5" t="s">
        <v>374</v>
      </c>
      <c r="D154" s="44"/>
      <c r="E154" s="44">
        <f>E155*E156</f>
        <v>1470</v>
      </c>
      <c r="F154" s="44"/>
      <c r="G154" s="44"/>
      <c r="H154" s="44"/>
      <c r="I154" s="62"/>
      <c r="J154" s="6"/>
      <c r="K154" s="6"/>
      <c r="L154" s="6"/>
    </row>
    <row r="155" spans="2:12" s="5" customFormat="1" x14ac:dyDescent="0.25">
      <c r="B155" s="41" t="s">
        <v>371</v>
      </c>
      <c r="D155" s="44"/>
      <c r="E155" s="44">
        <v>2</v>
      </c>
      <c r="F155" s="44"/>
      <c r="G155" s="44"/>
      <c r="H155" s="44"/>
      <c r="I155" s="62"/>
      <c r="J155" s="6"/>
      <c r="K155" s="6"/>
      <c r="L155" s="6"/>
    </row>
    <row r="156" spans="2:12" s="5" customFormat="1" x14ac:dyDescent="0.25">
      <c r="B156" s="41" t="s">
        <v>277</v>
      </c>
      <c r="D156" s="44"/>
      <c r="E156" s="44">
        <v>735</v>
      </c>
      <c r="F156" s="44"/>
      <c r="G156" s="44"/>
      <c r="H156" s="44"/>
      <c r="I156" s="62"/>
      <c r="J156" s="6"/>
      <c r="K156" s="6"/>
      <c r="L156" s="6"/>
    </row>
    <row r="157" spans="2:12" s="5" customFormat="1" x14ac:dyDescent="0.25">
      <c r="B157" s="5" t="s">
        <v>375</v>
      </c>
      <c r="D157" s="44"/>
      <c r="E157" s="44">
        <f>E158*E159</f>
        <v>1960</v>
      </c>
      <c r="F157" s="44"/>
      <c r="G157" s="44"/>
      <c r="H157" s="44"/>
      <c r="I157" s="62"/>
      <c r="J157" s="6"/>
      <c r="K157" s="6"/>
      <c r="L157" s="6"/>
    </row>
    <row r="158" spans="2:12" s="5" customFormat="1" x14ac:dyDescent="0.25">
      <c r="B158" s="41" t="s">
        <v>371</v>
      </c>
      <c r="D158" s="44"/>
      <c r="E158" s="44">
        <v>2</v>
      </c>
      <c r="F158" s="44"/>
      <c r="G158" s="44"/>
      <c r="H158" s="44"/>
      <c r="I158" s="62"/>
      <c r="J158" s="6"/>
      <c r="K158" s="6"/>
      <c r="L158" s="6"/>
    </row>
    <row r="159" spans="2:12" s="5" customFormat="1" x14ac:dyDescent="0.25">
      <c r="B159" s="41" t="s">
        <v>277</v>
      </c>
      <c r="D159" s="44"/>
      <c r="E159" s="44">
        <v>980</v>
      </c>
      <c r="F159" s="44"/>
      <c r="G159" s="44"/>
      <c r="H159" s="44"/>
      <c r="I159" s="62"/>
      <c r="J159" s="6"/>
      <c r="K159" s="6"/>
      <c r="L159" s="6"/>
    </row>
    <row r="160" spans="2:12" s="5" customFormat="1" x14ac:dyDescent="0.25">
      <c r="B160" s="41"/>
      <c r="D160" s="44"/>
      <c r="E160" s="44"/>
      <c r="F160" s="44"/>
      <c r="G160" s="44"/>
      <c r="H160" s="44"/>
      <c r="I160" s="62"/>
      <c r="J160" s="6"/>
      <c r="K160" s="6"/>
      <c r="L160" s="6"/>
    </row>
    <row r="161" spans="1:12" s="5" customFormat="1" x14ac:dyDescent="0.25">
      <c r="B161" s="41"/>
      <c r="D161" s="44"/>
      <c r="E161" s="44"/>
      <c r="F161" s="44"/>
      <c r="G161" s="44"/>
      <c r="H161" s="44"/>
      <c r="I161" s="62"/>
      <c r="J161" s="6"/>
      <c r="K161" s="6"/>
      <c r="L161" s="6"/>
    </row>
    <row r="162" spans="1:12" x14ac:dyDescent="0.25">
      <c r="A162" s="50"/>
      <c r="B162" s="50" t="s">
        <v>8</v>
      </c>
      <c r="C162" s="50"/>
      <c r="D162" s="52"/>
      <c r="E162" s="52">
        <f>E163</f>
        <v>4900</v>
      </c>
      <c r="F162" s="52">
        <f t="shared" ref="F162:H162" si="41">F163</f>
        <v>0</v>
      </c>
      <c r="G162" s="52">
        <f t="shared" si="41"/>
        <v>0</v>
      </c>
      <c r="H162" s="52">
        <f t="shared" si="41"/>
        <v>0</v>
      </c>
    </row>
    <row r="163" spans="1:12" x14ac:dyDescent="0.25">
      <c r="B163" s="66" t="s">
        <v>376</v>
      </c>
      <c r="E163" s="44">
        <v>4900</v>
      </c>
      <c r="G163" s="44"/>
      <c r="H163" s="44"/>
    </row>
    <row r="164" spans="1:12" s="5" customFormat="1" hidden="1" x14ac:dyDescent="0.25">
      <c r="B164" s="41" t="s">
        <v>147</v>
      </c>
      <c r="D164" s="44"/>
      <c r="E164" s="44"/>
      <c r="F164" s="44"/>
      <c r="G164" s="38"/>
      <c r="H164" s="38"/>
      <c r="I164" s="62"/>
      <c r="J164" s="6"/>
      <c r="K164" s="6"/>
      <c r="L164" s="6"/>
    </row>
    <row r="165" spans="1:12" s="5" customFormat="1" hidden="1" x14ac:dyDescent="0.25">
      <c r="B165" s="41" t="s">
        <v>146</v>
      </c>
      <c r="D165" s="44"/>
      <c r="E165" s="44"/>
      <c r="F165" s="44"/>
      <c r="G165" s="38"/>
      <c r="H165" s="38"/>
      <c r="I165" s="62"/>
      <c r="J165" s="6"/>
      <c r="K165" s="6"/>
      <c r="L165" s="6"/>
    </row>
    <row r="166" spans="1:12" s="5" customFormat="1" ht="40.5" hidden="1" x14ac:dyDescent="0.25">
      <c r="B166" s="63" t="s">
        <v>476</v>
      </c>
      <c r="D166" s="44"/>
      <c r="E166" s="44"/>
      <c r="F166" s="44"/>
      <c r="G166" s="38"/>
      <c r="H166" s="38"/>
      <c r="I166" s="62"/>
      <c r="J166" s="6"/>
      <c r="K166" s="6"/>
      <c r="L166" s="6"/>
    </row>
    <row r="167" spans="1:12" hidden="1" x14ac:dyDescent="0.25">
      <c r="B167" s="66"/>
    </row>
    <row r="168" spans="1:12" x14ac:dyDescent="0.25">
      <c r="B168" s="66"/>
    </row>
    <row r="169" spans="1:12" x14ac:dyDescent="0.25">
      <c r="A169" s="50"/>
      <c r="B169" s="50" t="s">
        <v>474</v>
      </c>
      <c r="C169" s="50"/>
      <c r="D169" s="52"/>
      <c r="E169" s="52">
        <f>E170*E171</f>
        <v>7000</v>
      </c>
      <c r="F169" s="52">
        <f t="shared" ref="F169:H169" si="42">F170*F171</f>
        <v>12000</v>
      </c>
      <c r="G169" s="52">
        <f t="shared" si="42"/>
        <v>12000</v>
      </c>
      <c r="H169" s="52">
        <f t="shared" si="42"/>
        <v>12000</v>
      </c>
    </row>
    <row r="170" spans="1:12" x14ac:dyDescent="0.25">
      <c r="B170" s="41" t="s">
        <v>475</v>
      </c>
      <c r="E170" s="44">
        <v>1000</v>
      </c>
      <c r="F170" s="44">
        <v>1000</v>
      </c>
      <c r="G170" s="44">
        <v>1000</v>
      </c>
      <c r="H170" s="44">
        <v>1000</v>
      </c>
    </row>
    <row r="171" spans="1:12" x14ac:dyDescent="0.25">
      <c r="B171" s="41" t="s">
        <v>39</v>
      </c>
      <c r="E171" s="44">
        <v>7</v>
      </c>
      <c r="F171" s="44">
        <v>12</v>
      </c>
      <c r="G171" s="44">
        <v>12</v>
      </c>
      <c r="H171" s="44">
        <v>12</v>
      </c>
    </row>
    <row r="172" spans="1:12" x14ac:dyDescent="0.25">
      <c r="A172" s="228"/>
      <c r="B172" s="238"/>
      <c r="C172" s="228"/>
      <c r="D172" s="230"/>
      <c r="E172" s="230"/>
      <c r="F172" s="230"/>
      <c r="G172" s="230"/>
      <c r="H172" s="230"/>
    </row>
    <row r="173" spans="1:12" hidden="1" x14ac:dyDescent="0.25">
      <c r="A173" s="50"/>
      <c r="B173" s="50" t="s">
        <v>25</v>
      </c>
      <c r="C173" s="50"/>
      <c r="D173" s="52"/>
      <c r="E173" s="52">
        <f>E174+E177</f>
        <v>0</v>
      </c>
      <c r="F173" s="52">
        <f t="shared" ref="F173:H173" si="43">F174+F177</f>
        <v>0</v>
      </c>
      <c r="G173" s="52">
        <f t="shared" si="43"/>
        <v>0</v>
      </c>
      <c r="H173" s="52">
        <f t="shared" si="43"/>
        <v>0</v>
      </c>
    </row>
    <row r="174" spans="1:12" s="5" customFormat="1" hidden="1" x14ac:dyDescent="0.25">
      <c r="B174" s="5" t="s">
        <v>205</v>
      </c>
      <c r="D174" s="44"/>
      <c r="E174" s="44"/>
      <c r="F174" s="44">
        <v>0</v>
      </c>
      <c r="G174" s="38"/>
      <c r="H174" s="38"/>
      <c r="I174" s="62"/>
      <c r="J174" s="6"/>
      <c r="K174" s="6"/>
      <c r="L174" s="6"/>
    </row>
    <row r="175" spans="1:12" s="5" customFormat="1" hidden="1" x14ac:dyDescent="0.25">
      <c r="B175" s="41"/>
      <c r="D175" s="44"/>
      <c r="E175" s="44"/>
      <c r="F175" s="44"/>
      <c r="G175" s="38"/>
      <c r="H175" s="38"/>
      <c r="I175" s="62"/>
      <c r="J175" s="6"/>
      <c r="K175" s="6"/>
      <c r="L175" s="6"/>
    </row>
    <row r="176" spans="1:12" s="5" customFormat="1" hidden="1" x14ac:dyDescent="0.25">
      <c r="B176" s="41"/>
      <c r="D176" s="44"/>
      <c r="E176" s="44"/>
      <c r="F176" s="44"/>
      <c r="G176" s="38"/>
      <c r="H176" s="38"/>
      <c r="I176" s="62"/>
      <c r="J176" s="6"/>
      <c r="K176" s="6"/>
      <c r="L176" s="6"/>
    </row>
    <row r="177" spans="1:12" s="5" customFormat="1" hidden="1" x14ac:dyDescent="0.25">
      <c r="B177" s="5" t="s">
        <v>154</v>
      </c>
      <c r="D177" s="44"/>
      <c r="E177" s="44">
        <f>E178+E179*E180</f>
        <v>0</v>
      </c>
      <c r="F177" s="44">
        <f>F178+F179*F180</f>
        <v>0</v>
      </c>
      <c r="G177" s="44">
        <f t="shared" ref="G177:H177" si="44">G178+G179*G180</f>
        <v>0</v>
      </c>
      <c r="H177" s="44">
        <f t="shared" si="44"/>
        <v>0</v>
      </c>
      <c r="I177" s="73"/>
    </row>
    <row r="178" spans="1:12" hidden="1" x14ac:dyDescent="0.25">
      <c r="B178" s="41" t="s">
        <v>153</v>
      </c>
      <c r="F178" s="44">
        <f>'Rates and GI'!D46*0</f>
        <v>0</v>
      </c>
    </row>
    <row r="179" spans="1:12" hidden="1" x14ac:dyDescent="0.25">
      <c r="B179" s="41" t="s">
        <v>159</v>
      </c>
      <c r="E179" s="60">
        <f>'Rates and GI'!$D$48</f>
        <v>0.02</v>
      </c>
      <c r="F179" s="60">
        <f>'Rates and GI'!$D$48</f>
        <v>0.02</v>
      </c>
      <c r="G179" s="60">
        <f>'Rates and GI'!$D$48</f>
        <v>0.02</v>
      </c>
      <c r="H179" s="60">
        <f>'Rates and GI'!$D$48</f>
        <v>0.02</v>
      </c>
    </row>
    <row r="180" spans="1:12" hidden="1" x14ac:dyDescent="0.25">
      <c r="B180" s="41" t="s">
        <v>160</v>
      </c>
      <c r="E180" s="44">
        <v>0</v>
      </c>
      <c r="F180" s="44">
        <v>0</v>
      </c>
      <c r="G180" s="44">
        <v>0</v>
      </c>
      <c r="H180" s="44">
        <v>0</v>
      </c>
    </row>
    <row r="181" spans="1:12" s="5" customFormat="1" hidden="1" x14ac:dyDescent="0.25">
      <c r="B181" s="41"/>
      <c r="D181" s="44"/>
      <c r="E181" s="44"/>
      <c r="F181" s="44"/>
      <c r="G181" s="38"/>
      <c r="H181" s="38"/>
      <c r="I181" s="62"/>
      <c r="J181" s="6"/>
      <c r="K181" s="6"/>
      <c r="L181" s="6"/>
    </row>
    <row r="182" spans="1:12" hidden="1" x14ac:dyDescent="0.25">
      <c r="A182" s="50"/>
      <c r="B182" s="50" t="s">
        <v>21</v>
      </c>
      <c r="C182" s="50"/>
      <c r="D182" s="52"/>
      <c r="E182" s="52">
        <f>E183*E184+E185*E186++E187*E188+E189*E190</f>
        <v>0</v>
      </c>
      <c r="F182" s="52">
        <f t="shared" ref="F182:H182" si="45">F183*F184+F185*F186++F187*F188+F189*F190</f>
        <v>0</v>
      </c>
      <c r="G182" s="52">
        <f t="shared" si="45"/>
        <v>0</v>
      </c>
      <c r="H182" s="52">
        <f t="shared" si="45"/>
        <v>0</v>
      </c>
    </row>
    <row r="183" spans="1:12" hidden="1" x14ac:dyDescent="0.25">
      <c r="B183" s="41" t="s">
        <v>150</v>
      </c>
      <c r="G183" s="44">
        <v>0</v>
      </c>
      <c r="H183" s="44"/>
    </row>
    <row r="184" spans="1:12" hidden="1" x14ac:dyDescent="0.25">
      <c r="B184" s="41" t="s">
        <v>151</v>
      </c>
      <c r="E184" s="44">
        <f>'Rates and GI'!$D$58</f>
        <v>5000</v>
      </c>
      <c r="F184" s="44">
        <f>'Rates and GI'!$D$58</f>
        <v>5000</v>
      </c>
      <c r="G184" s="44">
        <f>'Rates and GI'!$D$58</f>
        <v>5000</v>
      </c>
      <c r="H184" s="44">
        <f>'Rates and GI'!$D$58</f>
        <v>5000</v>
      </c>
    </row>
    <row r="185" spans="1:12" hidden="1" x14ac:dyDescent="0.25">
      <c r="B185" s="41" t="s">
        <v>148</v>
      </c>
      <c r="E185" s="44">
        <v>0</v>
      </c>
      <c r="F185" s="44">
        <v>0</v>
      </c>
      <c r="G185" s="44">
        <v>0</v>
      </c>
      <c r="H185" s="44">
        <v>0</v>
      </c>
    </row>
    <row r="186" spans="1:12" hidden="1" x14ac:dyDescent="0.25">
      <c r="B186" s="41" t="s">
        <v>149</v>
      </c>
      <c r="E186" s="44">
        <f>'Rates and GI'!$D$59</f>
        <v>1500</v>
      </c>
      <c r="F186" s="44">
        <f>'Rates and GI'!$D$59</f>
        <v>1500</v>
      </c>
      <c r="G186" s="44">
        <f>'Rates and GI'!$D$59</f>
        <v>1500</v>
      </c>
      <c r="H186" s="44">
        <f>'Rates and GI'!$D$59</f>
        <v>1500</v>
      </c>
    </row>
    <row r="187" spans="1:12" ht="27" hidden="1" x14ac:dyDescent="0.25">
      <c r="B187" s="63" t="s">
        <v>162</v>
      </c>
      <c r="E187" s="44">
        <v>0</v>
      </c>
      <c r="F187" s="44">
        <v>0</v>
      </c>
      <c r="G187" s="44">
        <v>0</v>
      </c>
      <c r="H187" s="44">
        <v>0</v>
      </c>
    </row>
    <row r="188" spans="1:12" ht="27" hidden="1" x14ac:dyDescent="0.25">
      <c r="B188" s="63" t="s">
        <v>161</v>
      </c>
      <c r="E188" s="44">
        <f>'Rates and GI'!$D$60</f>
        <v>200</v>
      </c>
      <c r="F188" s="44">
        <f>'Rates and GI'!$D$60</f>
        <v>200</v>
      </c>
      <c r="G188" s="44">
        <f>'Rates and GI'!$D$60</f>
        <v>200</v>
      </c>
      <c r="H188" s="44">
        <f>'Rates and GI'!$D$60</f>
        <v>200</v>
      </c>
    </row>
    <row r="189" spans="1:12" s="5" customFormat="1" hidden="1" x14ac:dyDescent="0.25">
      <c r="B189" s="41" t="s">
        <v>217</v>
      </c>
      <c r="D189" s="44"/>
      <c r="E189" s="44">
        <v>0</v>
      </c>
      <c r="F189" s="44">
        <v>0</v>
      </c>
      <c r="G189" s="44">
        <v>0</v>
      </c>
      <c r="H189" s="44">
        <v>0</v>
      </c>
      <c r="I189" s="62"/>
      <c r="J189" s="6"/>
      <c r="K189" s="6"/>
      <c r="L189" s="6"/>
    </row>
    <row r="190" spans="1:12" s="5" customFormat="1" hidden="1" x14ac:dyDescent="0.25">
      <c r="B190" s="41" t="s">
        <v>214</v>
      </c>
      <c r="D190" s="44"/>
      <c r="E190" s="44">
        <f>'Rates and GI'!$D$61</f>
        <v>50</v>
      </c>
      <c r="F190" s="44">
        <f>'Rates and GI'!$D$61</f>
        <v>50</v>
      </c>
      <c r="G190" s="38">
        <f>'Rates and GI'!$D$61</f>
        <v>50</v>
      </c>
      <c r="H190" s="38">
        <f>'Rates and GI'!$D$61</f>
        <v>50</v>
      </c>
      <c r="I190" s="62"/>
      <c r="J190" s="6"/>
      <c r="K190" s="6"/>
      <c r="L190" s="6"/>
    </row>
    <row r="191" spans="1:12" hidden="1" x14ac:dyDescent="0.25">
      <c r="A191" s="50"/>
      <c r="B191" s="50"/>
      <c r="C191" s="50"/>
      <c r="D191" s="52"/>
      <c r="E191" s="52"/>
      <c r="F191" s="52"/>
      <c r="G191" s="52"/>
      <c r="H191" s="52"/>
    </row>
    <row r="192" spans="1:12" hidden="1" x14ac:dyDescent="0.25">
      <c r="A192" s="50"/>
      <c r="B192" s="50" t="s">
        <v>194</v>
      </c>
      <c r="C192" s="50"/>
      <c r="D192" s="52"/>
      <c r="E192" s="52">
        <f>E193+E196+E199+E208+E213</f>
        <v>0</v>
      </c>
      <c r="F192" s="52">
        <f t="shared" ref="F192:H192" si="46">F193+F196+F199+F208+F213</f>
        <v>0</v>
      </c>
      <c r="G192" s="52">
        <f t="shared" si="46"/>
        <v>0</v>
      </c>
      <c r="H192" s="52">
        <f t="shared" si="46"/>
        <v>0</v>
      </c>
    </row>
    <row r="193" spans="1:12" s="5" customFormat="1" hidden="1" x14ac:dyDescent="0.25">
      <c r="B193" s="5" t="s">
        <v>173</v>
      </c>
      <c r="D193" s="44"/>
      <c r="E193" s="44">
        <f>E194+E197*E198</f>
        <v>0</v>
      </c>
      <c r="F193" s="44">
        <f>F194+F197*F198</f>
        <v>0</v>
      </c>
      <c r="G193" s="44">
        <f>G194+G197*G198</f>
        <v>0</v>
      </c>
      <c r="H193" s="44">
        <f t="shared" ref="H193" si="47">H194+H197*H198</f>
        <v>0</v>
      </c>
      <c r="I193" s="73"/>
    </row>
    <row r="194" spans="1:12" hidden="1" x14ac:dyDescent="0.25">
      <c r="B194" s="41" t="s">
        <v>184</v>
      </c>
      <c r="F194" s="44">
        <f>('Rates and GI'!$D$45+'Rates and GI'!$D$49)*0</f>
        <v>0</v>
      </c>
      <c r="G194" s="44">
        <f>('Rates and GI'!$D$45+'Rates and GI'!$D$49)*0</f>
        <v>0</v>
      </c>
      <c r="H194" s="44"/>
    </row>
    <row r="195" spans="1:12" hidden="1" x14ac:dyDescent="0.25">
      <c r="B195" s="41" t="s">
        <v>187</v>
      </c>
      <c r="F195" s="44">
        <f>'Rates and GI'!$D$51*0</f>
        <v>0</v>
      </c>
      <c r="G195" s="44">
        <f>'Rates and GI'!$D$51*0</f>
        <v>0</v>
      </c>
      <c r="H195" s="44"/>
    </row>
    <row r="196" spans="1:12" hidden="1" x14ac:dyDescent="0.25">
      <c r="B196" s="5" t="s">
        <v>174</v>
      </c>
      <c r="E196" s="44">
        <f>E197*E198</f>
        <v>0</v>
      </c>
      <c r="F196" s="44">
        <f t="shared" ref="F196:H196" si="48">F197*F198</f>
        <v>0</v>
      </c>
      <c r="G196" s="44">
        <f t="shared" si="48"/>
        <v>0</v>
      </c>
      <c r="H196" s="44">
        <f t="shared" si="48"/>
        <v>0</v>
      </c>
    </row>
    <row r="197" spans="1:12" hidden="1" x14ac:dyDescent="0.25">
      <c r="B197" s="41" t="s">
        <v>164</v>
      </c>
      <c r="F197" s="44">
        <f>'Rates and GI'!$D$54</f>
        <v>24.066499999999998</v>
      </c>
      <c r="G197" s="44">
        <f>'Rates and GI'!$D$54</f>
        <v>24.066499999999998</v>
      </c>
      <c r="H197" s="44">
        <f>'Rates and GI'!$D$54</f>
        <v>24.066499999999998</v>
      </c>
    </row>
    <row r="198" spans="1:12" hidden="1" x14ac:dyDescent="0.25">
      <c r="B198" s="41" t="s">
        <v>163</v>
      </c>
      <c r="F198" s="44">
        <v>0</v>
      </c>
      <c r="G198" s="38">
        <v>0</v>
      </c>
      <c r="H198" s="38">
        <v>0</v>
      </c>
    </row>
    <row r="199" spans="1:12" hidden="1" x14ac:dyDescent="0.25">
      <c r="B199" s="5" t="s">
        <v>175</v>
      </c>
      <c r="E199" s="44">
        <f>E200+E204</f>
        <v>0</v>
      </c>
      <c r="F199" s="44">
        <f t="shared" ref="F199:H199" si="49">F200+F204</f>
        <v>0</v>
      </c>
      <c r="G199" s="44">
        <f t="shared" si="49"/>
        <v>0</v>
      </c>
      <c r="H199" s="44">
        <f t="shared" si="49"/>
        <v>0</v>
      </c>
    </row>
    <row r="200" spans="1:12" hidden="1" x14ac:dyDescent="0.25">
      <c r="B200" s="41" t="s">
        <v>189</v>
      </c>
      <c r="E200" s="44">
        <f>E201*E202</f>
        <v>0</v>
      </c>
      <c r="F200" s="44">
        <f t="shared" ref="F200:H200" si="50">F201*F202</f>
        <v>0</v>
      </c>
      <c r="G200" s="44">
        <f t="shared" si="50"/>
        <v>0</v>
      </c>
      <c r="H200" s="44">
        <f t="shared" si="50"/>
        <v>0</v>
      </c>
    </row>
    <row r="201" spans="1:12" hidden="1" x14ac:dyDescent="0.25">
      <c r="B201" s="41" t="s">
        <v>176</v>
      </c>
      <c r="C201" s="5" t="s">
        <v>177</v>
      </c>
      <c r="E201" s="44">
        <v>0</v>
      </c>
      <c r="F201" s="44">
        <v>0</v>
      </c>
      <c r="G201" s="38">
        <v>0</v>
      </c>
      <c r="H201" s="38">
        <v>0</v>
      </c>
    </row>
    <row r="202" spans="1:12" hidden="1" x14ac:dyDescent="0.25">
      <c r="B202" s="41" t="s">
        <v>178</v>
      </c>
      <c r="E202" s="44">
        <f>'Rates and GI'!$D$52</f>
        <v>150</v>
      </c>
      <c r="F202" s="44">
        <f>'Rates and GI'!$D$52</f>
        <v>150</v>
      </c>
      <c r="G202" s="44">
        <f>'Rates and GI'!$D$52</f>
        <v>150</v>
      </c>
      <c r="H202" s="44">
        <f>'Rates and GI'!$D$52</f>
        <v>150</v>
      </c>
    </row>
    <row r="203" spans="1:12" hidden="1" x14ac:dyDescent="0.25">
      <c r="B203" s="6"/>
    </row>
    <row r="204" spans="1:12" hidden="1" x14ac:dyDescent="0.25">
      <c r="B204" s="41" t="s">
        <v>190</v>
      </c>
      <c r="E204" s="44">
        <f>E205*E206</f>
        <v>0</v>
      </c>
      <c r="F204" s="44">
        <f t="shared" ref="F204:H204" si="51">F205*F206</f>
        <v>0</v>
      </c>
      <c r="G204" s="44">
        <f t="shared" si="51"/>
        <v>0</v>
      </c>
      <c r="H204" s="44">
        <f t="shared" si="51"/>
        <v>0</v>
      </c>
    </row>
    <row r="205" spans="1:12" hidden="1" x14ac:dyDescent="0.25">
      <c r="B205" s="41" t="s">
        <v>176</v>
      </c>
      <c r="C205" s="5" t="s">
        <v>177</v>
      </c>
      <c r="E205" s="44">
        <v>0</v>
      </c>
      <c r="F205" s="44">
        <v>0</v>
      </c>
      <c r="G205" s="38">
        <v>0</v>
      </c>
      <c r="H205" s="38">
        <v>0</v>
      </c>
    </row>
    <row r="206" spans="1:12" s="62" customFormat="1" hidden="1" x14ac:dyDescent="0.25">
      <c r="A206" s="5"/>
      <c r="B206" s="41" t="s">
        <v>178</v>
      </c>
      <c r="C206" s="5"/>
      <c r="D206" s="44"/>
      <c r="E206" s="44">
        <f>'Rates and GI'!$D$53</f>
        <v>20</v>
      </c>
      <c r="F206" s="44">
        <f>'Rates and GI'!$D$53</f>
        <v>20</v>
      </c>
      <c r="G206" s="44">
        <f>'Rates and GI'!$D$53</f>
        <v>20</v>
      </c>
      <c r="H206" s="44">
        <f>'Rates and GI'!$D$53</f>
        <v>20</v>
      </c>
      <c r="J206" s="6"/>
      <c r="K206" s="6"/>
      <c r="L206" s="6"/>
    </row>
    <row r="207" spans="1:12" s="62" customFormat="1" hidden="1" x14ac:dyDescent="0.25">
      <c r="A207" s="5"/>
      <c r="B207" s="6"/>
      <c r="C207" s="5"/>
      <c r="D207" s="44"/>
      <c r="E207" s="44"/>
      <c r="F207" s="44"/>
      <c r="G207" s="38"/>
      <c r="H207" s="38"/>
      <c r="J207" s="6"/>
      <c r="K207" s="6"/>
      <c r="L207" s="6"/>
    </row>
    <row r="208" spans="1:12" s="62" customFormat="1" hidden="1" x14ac:dyDescent="0.25">
      <c r="A208" s="5"/>
      <c r="B208" s="5" t="s">
        <v>179</v>
      </c>
      <c r="C208" s="5"/>
      <c r="D208" s="44"/>
      <c r="E208" s="44">
        <f>E209*E210*E211</f>
        <v>0</v>
      </c>
      <c r="F208" s="44">
        <f t="shared" ref="F208:H208" si="52">F209*F210*F211</f>
        <v>0</v>
      </c>
      <c r="G208" s="44">
        <f t="shared" si="52"/>
        <v>0</v>
      </c>
      <c r="H208" s="44">
        <f t="shared" si="52"/>
        <v>0</v>
      </c>
      <c r="J208" s="6"/>
      <c r="K208" s="6"/>
      <c r="L208" s="6"/>
    </row>
    <row r="209" spans="1:12" s="62" customFormat="1" hidden="1" x14ac:dyDescent="0.25">
      <c r="A209" s="5"/>
      <c r="B209" s="41" t="s">
        <v>191</v>
      </c>
      <c r="C209" s="5"/>
      <c r="D209" s="44"/>
      <c r="E209" s="44"/>
      <c r="F209" s="44">
        <f>'Rates and GI'!$D$55</f>
        <v>300</v>
      </c>
      <c r="G209" s="44">
        <f>'Rates and GI'!$D$55</f>
        <v>300</v>
      </c>
      <c r="H209" s="44">
        <f>'Rates and GI'!$D$55</f>
        <v>300</v>
      </c>
      <c r="J209" s="6"/>
      <c r="K209" s="6"/>
      <c r="L209" s="6"/>
    </row>
    <row r="210" spans="1:12" s="62" customFormat="1" hidden="1" x14ac:dyDescent="0.25">
      <c r="A210" s="5"/>
      <c r="B210" s="41" t="s">
        <v>192</v>
      </c>
      <c r="C210" s="5"/>
      <c r="D210" s="44"/>
      <c r="E210" s="44"/>
      <c r="F210" s="44">
        <v>3</v>
      </c>
      <c r="G210" s="44">
        <v>3</v>
      </c>
      <c r="H210" s="44">
        <v>3</v>
      </c>
      <c r="J210" s="6"/>
      <c r="K210" s="6"/>
      <c r="L210" s="6"/>
    </row>
    <row r="211" spans="1:12" s="62" customFormat="1" hidden="1" x14ac:dyDescent="0.25">
      <c r="A211" s="5"/>
      <c r="B211" s="41" t="s">
        <v>193</v>
      </c>
      <c r="C211" s="5"/>
      <c r="D211" s="44"/>
      <c r="E211" s="44"/>
      <c r="F211" s="44">
        <v>0</v>
      </c>
      <c r="G211" s="44">
        <v>0</v>
      </c>
      <c r="H211" s="44">
        <v>0</v>
      </c>
      <c r="J211" s="6"/>
      <c r="K211" s="6"/>
      <c r="L211" s="6"/>
    </row>
    <row r="212" spans="1:12" hidden="1" x14ac:dyDescent="0.25"/>
    <row r="213" spans="1:12" s="62" customFormat="1" hidden="1" x14ac:dyDescent="0.25">
      <c r="A213" s="5"/>
      <c r="B213" s="5" t="s">
        <v>172</v>
      </c>
      <c r="C213" s="5"/>
      <c r="D213" s="44"/>
      <c r="E213" s="44">
        <f>E214+E215*E216</f>
        <v>0</v>
      </c>
      <c r="F213" s="44">
        <f>F214+F215*F216</f>
        <v>0</v>
      </c>
      <c r="G213" s="44">
        <f>G214+G215*G216</f>
        <v>0</v>
      </c>
      <c r="H213" s="44">
        <f>H214+H215*H216</f>
        <v>0</v>
      </c>
      <c r="J213" s="6"/>
      <c r="K213" s="6"/>
      <c r="L213" s="6"/>
    </row>
    <row r="214" spans="1:12" s="62" customFormat="1" hidden="1" x14ac:dyDescent="0.25">
      <c r="A214" s="5"/>
      <c r="B214" s="41" t="s">
        <v>153</v>
      </c>
      <c r="C214" s="5"/>
      <c r="D214" s="44"/>
      <c r="E214" s="44"/>
      <c r="F214" s="44">
        <f>'Rates and GI'!D46*0</f>
        <v>0</v>
      </c>
      <c r="G214" s="38"/>
      <c r="H214" s="38"/>
      <c r="J214" s="6"/>
      <c r="K214" s="6"/>
      <c r="L214" s="6"/>
    </row>
    <row r="215" spans="1:12" s="62" customFormat="1" hidden="1" x14ac:dyDescent="0.25">
      <c r="A215" s="5"/>
      <c r="B215" s="41" t="s">
        <v>159</v>
      </c>
      <c r="C215" s="5"/>
      <c r="D215" s="44"/>
      <c r="E215" s="44"/>
      <c r="F215" s="65">
        <f>'Rates and GI'!$D$47</f>
        <v>0.05</v>
      </c>
      <c r="G215" s="65">
        <f>'Rates and GI'!$D$47</f>
        <v>0.05</v>
      </c>
      <c r="H215" s="65">
        <f>'Rates and GI'!$D$47</f>
        <v>0.05</v>
      </c>
      <c r="J215" s="6"/>
      <c r="K215" s="6"/>
      <c r="L215" s="6"/>
    </row>
    <row r="216" spans="1:12" s="62" customFormat="1" hidden="1" x14ac:dyDescent="0.25">
      <c r="A216" s="5"/>
      <c r="B216" s="41" t="s">
        <v>160</v>
      </c>
      <c r="C216" s="5"/>
      <c r="D216" s="44"/>
      <c r="E216" s="44"/>
      <c r="F216" s="44">
        <v>0</v>
      </c>
      <c r="G216" s="38">
        <v>0</v>
      </c>
      <c r="H216" s="38"/>
      <c r="J216" s="6"/>
      <c r="K216" s="6"/>
      <c r="L216" s="6"/>
    </row>
    <row r="217" spans="1:12" hidden="1" x14ac:dyDescent="0.25"/>
    <row r="218" spans="1:12" s="62" customFormat="1" hidden="1" x14ac:dyDescent="0.25">
      <c r="A218" s="50"/>
      <c r="B218" s="50" t="s">
        <v>19</v>
      </c>
      <c r="C218" s="50"/>
      <c r="D218" s="52"/>
      <c r="E218" s="52">
        <v>0</v>
      </c>
      <c r="F218" s="52">
        <v>0</v>
      </c>
      <c r="G218" s="52">
        <v>0</v>
      </c>
      <c r="H218" s="52">
        <v>0</v>
      </c>
      <c r="J218" s="6"/>
      <c r="K218" s="6"/>
      <c r="L218" s="6"/>
    </row>
    <row r="219" spans="1:12" hidden="1" x14ac:dyDescent="0.25"/>
    <row r="220" spans="1:12" ht="27" hidden="1" x14ac:dyDescent="0.25">
      <c r="A220" s="50"/>
      <c r="B220" s="132" t="s">
        <v>252</v>
      </c>
      <c r="C220" s="133"/>
      <c r="D220" s="51"/>
      <c r="E220" s="52">
        <f>E224+E228+E232</f>
        <v>0</v>
      </c>
      <c r="F220" s="52">
        <f t="shared" ref="F220:H220" si="53">F224+F228+F232</f>
        <v>0</v>
      </c>
      <c r="G220" s="52">
        <f t="shared" si="53"/>
        <v>0</v>
      </c>
      <c r="H220" s="52">
        <f t="shared" si="53"/>
        <v>0</v>
      </c>
    </row>
    <row r="221" spans="1:12" hidden="1" x14ac:dyDescent="0.25">
      <c r="B221" s="142" t="s">
        <v>268</v>
      </c>
      <c r="C221" s="73"/>
      <c r="D221" s="33"/>
      <c r="E221" s="33"/>
      <c r="F221" s="33"/>
      <c r="G221" s="33"/>
      <c r="H221" s="33"/>
    </row>
    <row r="222" spans="1:12" hidden="1" x14ac:dyDescent="0.25">
      <c r="A222" s="10"/>
      <c r="B222" s="39" t="s">
        <v>253</v>
      </c>
      <c r="C222" s="134">
        <v>3</v>
      </c>
      <c r="D222" s="33"/>
      <c r="E222" s="44">
        <v>3</v>
      </c>
      <c r="F222" s="44">
        <v>0</v>
      </c>
      <c r="G222" s="44">
        <v>0</v>
      </c>
      <c r="H222" s="44">
        <v>0</v>
      </c>
    </row>
    <row r="223" spans="1:12" hidden="1" x14ac:dyDescent="0.25">
      <c r="B223" s="39" t="s">
        <v>254</v>
      </c>
      <c r="C223" s="46">
        <v>0</v>
      </c>
      <c r="D223" s="33"/>
      <c r="G223" s="44"/>
      <c r="H223" s="44"/>
    </row>
    <row r="224" spans="1:12" hidden="1" x14ac:dyDescent="0.25">
      <c r="B224" s="39" t="s">
        <v>255</v>
      </c>
      <c r="C224" s="77"/>
      <c r="D224" s="33"/>
      <c r="E224" s="44">
        <f>$C$223/$C$222*E222</f>
        <v>0</v>
      </c>
      <c r="F224" s="44">
        <f>$C$223/$C$222*F222</f>
        <v>0</v>
      </c>
      <c r="G224" s="44">
        <f>$C$223/$C$222*G222</f>
        <v>0</v>
      </c>
      <c r="H224" s="44">
        <f>$C$223/$C$222*H222</f>
        <v>0</v>
      </c>
    </row>
    <row r="225" spans="1:12" ht="27" hidden="1" x14ac:dyDescent="0.25">
      <c r="B225" s="143" t="s">
        <v>269</v>
      </c>
      <c r="C225" s="77"/>
    </row>
    <row r="226" spans="1:12" hidden="1" x14ac:dyDescent="0.25">
      <c r="B226" s="39" t="s">
        <v>253</v>
      </c>
      <c r="C226" s="134">
        <v>2</v>
      </c>
      <c r="D226" s="33"/>
      <c r="E226" s="44">
        <v>2</v>
      </c>
      <c r="F226" s="44">
        <v>0</v>
      </c>
      <c r="G226" s="44">
        <v>0</v>
      </c>
      <c r="H226" s="44">
        <v>0</v>
      </c>
    </row>
    <row r="227" spans="1:12" hidden="1" x14ac:dyDescent="0.25">
      <c r="B227" s="39" t="s">
        <v>254</v>
      </c>
      <c r="C227" s="169"/>
      <c r="D227" s="33"/>
      <c r="G227" s="44"/>
      <c r="H227" s="44"/>
    </row>
    <row r="228" spans="1:12" hidden="1" x14ac:dyDescent="0.25">
      <c r="B228" s="39" t="s">
        <v>255</v>
      </c>
      <c r="C228" s="77"/>
      <c r="D228" s="33"/>
      <c r="E228" s="44">
        <f>$C$227/$C$226*E226</f>
        <v>0</v>
      </c>
      <c r="F228" s="33">
        <f>$C$227/$C$226*F226</f>
        <v>0</v>
      </c>
      <c r="G228" s="44">
        <f>$C$227/$C$226*G226</f>
        <v>0</v>
      </c>
      <c r="H228" s="44">
        <f>$C$227/$C$226*H226</f>
        <v>0</v>
      </c>
    </row>
    <row r="229" spans="1:12" ht="27" hidden="1" x14ac:dyDescent="0.25">
      <c r="B229" s="143" t="s">
        <v>271</v>
      </c>
      <c r="C229" s="77"/>
    </row>
    <row r="230" spans="1:12" hidden="1" x14ac:dyDescent="0.25">
      <c r="B230" s="39" t="s">
        <v>253</v>
      </c>
      <c r="C230" s="141">
        <v>18</v>
      </c>
      <c r="D230" s="33"/>
      <c r="E230" s="44">
        <v>6</v>
      </c>
      <c r="F230" s="44">
        <v>12</v>
      </c>
      <c r="G230" s="44">
        <v>0</v>
      </c>
      <c r="H230" s="44">
        <v>0</v>
      </c>
    </row>
    <row r="231" spans="1:12" hidden="1" x14ac:dyDescent="0.25">
      <c r="B231" s="39" t="s">
        <v>254</v>
      </c>
      <c r="C231" s="169">
        <v>0</v>
      </c>
      <c r="D231" s="33"/>
      <c r="G231" s="44"/>
      <c r="H231" s="44"/>
    </row>
    <row r="232" spans="1:12" hidden="1" x14ac:dyDescent="0.25">
      <c r="B232" s="39" t="s">
        <v>255</v>
      </c>
      <c r="C232" s="77"/>
      <c r="D232" s="33"/>
      <c r="E232" s="44">
        <f>$C$231/$C$230*E230</f>
        <v>0</v>
      </c>
      <c r="F232" s="44">
        <f>$C$231/$C$230*F230</f>
        <v>0</v>
      </c>
      <c r="G232" s="44">
        <f>$C$231/$C$230*G230</f>
        <v>0</v>
      </c>
      <c r="H232" s="44">
        <f>$C$231/$C$230*H230</f>
        <v>0</v>
      </c>
    </row>
    <row r="233" spans="1:12" s="62" customFormat="1" hidden="1" x14ac:dyDescent="0.25">
      <c r="A233" s="5"/>
      <c r="B233" s="5"/>
      <c r="C233" s="5"/>
      <c r="D233" s="44"/>
      <c r="E233" s="44"/>
      <c r="F233" s="44"/>
      <c r="G233" s="44"/>
      <c r="H233" s="44"/>
      <c r="J233" s="6"/>
      <c r="K233" s="6"/>
      <c r="L233" s="6"/>
    </row>
    <row r="234" spans="1:12" s="62" customFormat="1" hidden="1" x14ac:dyDescent="0.25">
      <c r="A234" s="5"/>
      <c r="B234" s="5"/>
      <c r="C234" s="5"/>
      <c r="D234" s="44"/>
      <c r="E234" s="44"/>
      <c r="F234" s="44"/>
      <c r="G234" s="44"/>
      <c r="H234" s="44"/>
      <c r="J234" s="6"/>
      <c r="K234" s="6"/>
      <c r="L234" s="6"/>
    </row>
    <row r="235" spans="1:12" s="62" customFormat="1" hidden="1" x14ac:dyDescent="0.25">
      <c r="A235" s="5"/>
      <c r="B235" s="5"/>
      <c r="C235" s="5"/>
      <c r="D235" s="44"/>
      <c r="E235" s="44"/>
      <c r="F235" s="44"/>
      <c r="G235" s="44"/>
      <c r="H235" s="44"/>
      <c r="J235" s="6"/>
      <c r="K235" s="6"/>
      <c r="L235" s="6"/>
    </row>
    <row r="236" spans="1:12" s="62" customFormat="1" hidden="1" x14ac:dyDescent="0.25">
      <c r="A236" s="5"/>
      <c r="B236" s="5"/>
      <c r="C236" s="5"/>
      <c r="D236" s="44"/>
      <c r="E236" s="44"/>
      <c r="F236" s="44"/>
      <c r="G236" s="44"/>
      <c r="H236" s="44"/>
      <c r="J236" s="6"/>
      <c r="K236" s="6"/>
      <c r="L236" s="6"/>
    </row>
    <row r="237" spans="1:12" s="62" customFormat="1" ht="29.25" hidden="1" customHeight="1" x14ac:dyDescent="0.25">
      <c r="A237" s="50"/>
      <c r="B237" s="138" t="s">
        <v>265</v>
      </c>
      <c r="C237" s="50"/>
      <c r="D237" s="52"/>
      <c r="E237" s="52">
        <f>E240+E244</f>
        <v>0</v>
      </c>
      <c r="F237" s="52">
        <f t="shared" ref="F237:H237" si="54">F240+F244</f>
        <v>0</v>
      </c>
      <c r="G237" s="52">
        <f t="shared" si="54"/>
        <v>0</v>
      </c>
      <c r="H237" s="52">
        <f t="shared" si="54"/>
        <v>0</v>
      </c>
      <c r="J237" s="6"/>
      <c r="K237" s="6"/>
      <c r="L237" s="6"/>
    </row>
    <row r="238" spans="1:12" hidden="1" x14ac:dyDescent="0.25">
      <c r="B238" s="144" t="s">
        <v>253</v>
      </c>
      <c r="C238" s="134">
        <v>1</v>
      </c>
      <c r="E238" s="44">
        <v>0</v>
      </c>
      <c r="F238" s="44">
        <v>0</v>
      </c>
      <c r="G238" s="44">
        <v>0</v>
      </c>
      <c r="H238" s="44">
        <v>0</v>
      </c>
    </row>
    <row r="239" spans="1:12" hidden="1" x14ac:dyDescent="0.25">
      <c r="B239" s="144" t="s">
        <v>254</v>
      </c>
      <c r="C239" s="44">
        <v>0</v>
      </c>
      <c r="G239" s="44"/>
      <c r="H239" s="44"/>
    </row>
    <row r="240" spans="1:12" hidden="1" x14ac:dyDescent="0.25">
      <c r="B240" s="144" t="s">
        <v>255</v>
      </c>
      <c r="C240" s="73"/>
      <c r="E240" s="44">
        <f>$C$239/$C$238*E238</f>
        <v>0</v>
      </c>
      <c r="F240" s="44">
        <f>$C$223/$C$222*F238</f>
        <v>0</v>
      </c>
      <c r="G240" s="44">
        <f>$C$223/$C$222*G238</f>
        <v>0</v>
      </c>
      <c r="H240" s="44">
        <f>$C$223/$C$222*H238</f>
        <v>0</v>
      </c>
    </row>
    <row r="241" spans="2:8" hidden="1" x14ac:dyDescent="0.25">
      <c r="B241" s="142"/>
      <c r="C241" s="73"/>
    </row>
    <row r="242" spans="2:8" hidden="1" x14ac:dyDescent="0.25">
      <c r="B242" s="144" t="s">
        <v>253</v>
      </c>
      <c r="C242" s="134">
        <v>1</v>
      </c>
      <c r="E242" s="44">
        <v>0</v>
      </c>
      <c r="F242" s="44">
        <v>0</v>
      </c>
      <c r="G242" s="44">
        <v>0</v>
      </c>
      <c r="H242" s="44">
        <v>0</v>
      </c>
    </row>
    <row r="243" spans="2:8" hidden="1" x14ac:dyDescent="0.25">
      <c r="B243" s="144" t="s">
        <v>254</v>
      </c>
      <c r="C243" s="44">
        <v>0</v>
      </c>
      <c r="G243" s="44"/>
      <c r="H243" s="44"/>
    </row>
    <row r="244" spans="2:8" hidden="1" x14ac:dyDescent="0.25">
      <c r="B244" s="144" t="s">
        <v>255</v>
      </c>
      <c r="C244" s="73"/>
      <c r="E244" s="44">
        <f>$C$243/$C$242*E242</f>
        <v>0</v>
      </c>
      <c r="F244" s="44">
        <f t="shared" ref="F244:H244" si="55">$C$243/$C$242*F242</f>
        <v>0</v>
      </c>
      <c r="G244" s="44">
        <f t="shared" si="55"/>
        <v>0</v>
      </c>
      <c r="H244" s="44">
        <f t="shared" si="55"/>
        <v>0</v>
      </c>
    </row>
    <row r="245" spans="2:8" hidden="1" x14ac:dyDescent="0.25">
      <c r="B245" s="73"/>
      <c r="C245" s="73"/>
    </row>
    <row r="246" spans="2:8" x14ac:dyDescent="0.25">
      <c r="B246" s="73"/>
      <c r="C246" s="73"/>
    </row>
  </sheetData>
  <pageMargins left="0.7" right="0.7" top="0.75" bottom="0.75" header="0.3" footer="0.3"/>
  <pageSetup paperSize="9" scale="54" fitToHeight="0"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2"/>
  <sheetViews>
    <sheetView topLeftCell="A103" workbookViewId="0">
      <selection activeCell="B185" sqref="B185"/>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0" width="10" style="6" bestFit="1" customWidth="1"/>
    <col min="11" max="16384" width="9.140625" style="6"/>
  </cols>
  <sheetData>
    <row r="1" spans="1:12" s="86" customFormat="1" ht="17.25" x14ac:dyDescent="0.3">
      <c r="A1" s="123">
        <v>19</v>
      </c>
      <c r="B1" s="126" t="s">
        <v>251</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4082.9250000000002</v>
      </c>
      <c r="E5" s="44">
        <f>E67</f>
        <v>4082.9250000000002</v>
      </c>
      <c r="F5" s="44">
        <f t="shared" ref="F5:H5" si="1">F67</f>
        <v>0</v>
      </c>
      <c r="G5" s="44">
        <f t="shared" si="1"/>
        <v>0</v>
      </c>
      <c r="H5" s="44">
        <f t="shared" si="1"/>
        <v>0</v>
      </c>
    </row>
    <row r="6" spans="1:12" x14ac:dyDescent="0.25">
      <c r="B6" s="16" t="s">
        <v>168</v>
      </c>
      <c r="D6" s="44">
        <f t="shared" si="0"/>
        <v>6813.0719999999992</v>
      </c>
      <c r="E6" s="44">
        <f>E71</f>
        <v>6813.0719999999992</v>
      </c>
      <c r="F6" s="44">
        <f t="shared" ref="F6:H6" si="2">F71</f>
        <v>0</v>
      </c>
      <c r="G6" s="44">
        <f t="shared" si="2"/>
        <v>0</v>
      </c>
      <c r="H6" s="44">
        <f t="shared" si="2"/>
        <v>0</v>
      </c>
    </row>
    <row r="7" spans="1:12" ht="14.25" thickBot="1" x14ac:dyDescent="0.3">
      <c r="A7" s="13"/>
      <c r="B7" s="13" t="s">
        <v>5</v>
      </c>
      <c r="C7" s="13"/>
      <c r="D7" s="47">
        <f>SUBTOTAL(9,D5:D6)</f>
        <v>10895.996999999999</v>
      </c>
      <c r="E7" s="47">
        <f>SUBTOTAL(9,E5:E6)</f>
        <v>10895.996999999999</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1040</v>
      </c>
      <c r="E10" s="44">
        <f>E91</f>
        <v>1040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1040</v>
      </c>
      <c r="E12" s="47">
        <f t="shared" ref="E12:H12" si="5">SUBTOTAL(9,E10:E11)</f>
        <v>1040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631.70365882352939</v>
      </c>
      <c r="E15" s="44">
        <f>E99</f>
        <v>631.70365882352939</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631.70365882352939</v>
      </c>
      <c r="E17" s="47">
        <f t="shared" ref="E17:H17" si="8">SUBTOTAL(9,E15:E16)</f>
        <v>631.70365882352939</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2128.125</v>
      </c>
      <c r="E20" s="44">
        <f>E103</f>
        <v>2128.125</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2128.125</v>
      </c>
      <c r="E22" s="47">
        <f t="shared" ref="E22:H22" si="12">SUBTOTAL(9,E20:E21)</f>
        <v>2128.125</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240</v>
      </c>
      <c r="E25" s="44">
        <f>E111</f>
        <v>240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240</v>
      </c>
      <c r="E28" s="47">
        <f t="shared" ref="E28:H28" si="16">SUBTOTAL(9,E25:E27)</f>
        <v>240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27036</v>
      </c>
      <c r="E46" s="44">
        <f>E182</f>
        <v>27036</v>
      </c>
      <c r="F46" s="44">
        <f t="shared" ref="F46:H46" si="23">F182</f>
        <v>0</v>
      </c>
      <c r="G46" s="44">
        <f t="shared" si="23"/>
        <v>0</v>
      </c>
      <c r="H46" s="44">
        <f t="shared" si="23"/>
        <v>0</v>
      </c>
      <c r="I46" s="6"/>
    </row>
    <row r="47" spans="1:12" ht="14.25" thickBot="1" x14ac:dyDescent="0.3">
      <c r="A47" s="13"/>
      <c r="B47" s="13" t="s">
        <v>256</v>
      </c>
      <c r="C47" s="136"/>
      <c r="D47" s="47">
        <f>SUBTOTAL(9,D46)</f>
        <v>27036</v>
      </c>
      <c r="E47" s="47">
        <f t="shared" ref="E47:H47" si="24">SUBTOTAL(9,E46)</f>
        <v>27036</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400</v>
      </c>
      <c r="E51" s="44">
        <f>E141</f>
        <v>400</v>
      </c>
      <c r="F51" s="44">
        <f t="shared" ref="F51:H51" si="27">F141</f>
        <v>0</v>
      </c>
      <c r="G51" s="44">
        <f t="shared" si="27"/>
        <v>0</v>
      </c>
      <c r="H51" s="44">
        <f t="shared" si="27"/>
        <v>0</v>
      </c>
    </row>
    <row r="52" spans="1:12" ht="14.25" thickBot="1" x14ac:dyDescent="0.3">
      <c r="A52" s="13"/>
      <c r="B52" s="13" t="s">
        <v>69</v>
      </c>
      <c r="C52" s="13"/>
      <c r="D52" s="47">
        <f>SUBTOTAL(9,D50:D51)</f>
        <v>400</v>
      </c>
      <c r="E52" s="47">
        <f>SUBTOTAL(9,E50:E51)</f>
        <v>400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42371.825658823531</v>
      </c>
      <c r="E54" s="49">
        <f>SUBTOTAL(9,E5:E52)</f>
        <v>42371.825658823531</v>
      </c>
      <c r="F54" s="49">
        <f>SUBTOTAL(9,F5:F52)</f>
        <v>0</v>
      </c>
      <c r="G54" s="49">
        <f>SUBTOTAL(9,G5:G52)</f>
        <v>0</v>
      </c>
      <c r="H54" s="49">
        <f>SUBTOTAL(9,H5:H52)</f>
        <v>0</v>
      </c>
      <c r="J54" s="204"/>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4082.9250000000002</v>
      </c>
      <c r="F67" s="44">
        <f t="shared" ref="F67:H67" si="28">F68*F69</f>
        <v>0</v>
      </c>
      <c r="G67" s="44">
        <f t="shared" si="28"/>
        <v>0</v>
      </c>
      <c r="H67" s="44">
        <f t="shared" si="28"/>
        <v>0</v>
      </c>
    </row>
    <row r="68" spans="1:12" x14ac:dyDescent="0.25">
      <c r="A68" s="9"/>
      <c r="B68" s="9" t="s">
        <v>114</v>
      </c>
      <c r="C68" s="9" t="s">
        <v>113</v>
      </c>
      <c r="E68" s="44">
        <f>11*21</f>
        <v>231</v>
      </c>
      <c r="F68" s="44">
        <v>0</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6813.0719999999992</v>
      </c>
      <c r="F71" s="44">
        <f t="shared" ref="F71:H71" si="29">F72*F73</f>
        <v>0</v>
      </c>
      <c r="G71" s="44">
        <f t="shared" si="29"/>
        <v>0</v>
      </c>
      <c r="H71" s="44">
        <f t="shared" si="29"/>
        <v>0</v>
      </c>
      <c r="I71" s="62"/>
      <c r="J71" s="6"/>
      <c r="K71" s="6"/>
      <c r="L71" s="6"/>
    </row>
    <row r="72" spans="1:12" s="7" customFormat="1" x14ac:dyDescent="0.25">
      <c r="A72" s="9"/>
      <c r="B72" s="9" t="s">
        <v>170</v>
      </c>
      <c r="C72" s="9" t="s">
        <v>113</v>
      </c>
      <c r="D72" s="44"/>
      <c r="E72" s="44">
        <f>2*21</f>
        <v>42</v>
      </c>
      <c r="F72" s="44">
        <v>0</v>
      </c>
      <c r="G72" s="44">
        <v>0</v>
      </c>
      <c r="H72" s="44">
        <v>0</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1040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x14ac:dyDescent="0.25">
      <c r="A95" s="5"/>
      <c r="B95" s="9" t="s">
        <v>51</v>
      </c>
      <c r="C95" s="5"/>
      <c r="D95" s="44"/>
      <c r="E95" s="44">
        <v>20</v>
      </c>
      <c r="F95" s="44">
        <v>0</v>
      </c>
      <c r="G95" s="44">
        <v>0</v>
      </c>
      <c r="H95" s="44">
        <v>0</v>
      </c>
      <c r="I95" s="62"/>
      <c r="J95" s="6"/>
      <c r="K95" s="6"/>
      <c r="L95" s="6"/>
    </row>
    <row r="96" spans="1:12" s="7" customFormat="1" x14ac:dyDescent="0.25">
      <c r="A96" s="5"/>
      <c r="B96" s="9" t="s">
        <v>52</v>
      </c>
      <c r="C96" s="5"/>
      <c r="D96" s="44"/>
      <c r="E96" s="44">
        <f>Trips!$B$5</f>
        <v>52</v>
      </c>
      <c r="F96" s="44">
        <f>Trips!$B$5</f>
        <v>52</v>
      </c>
      <c r="G96" s="44">
        <f>Trips!$B$5</f>
        <v>52</v>
      </c>
      <c r="H96" s="44">
        <f>Trips!$B$5</f>
        <v>52</v>
      </c>
      <c r="I96" s="62"/>
      <c r="J96" s="6"/>
      <c r="K96" s="6"/>
      <c r="L96" s="6"/>
    </row>
    <row r="97" spans="1:12" hidden="1" x14ac:dyDescent="0.25"/>
    <row r="99" spans="1:12" x14ac:dyDescent="0.25">
      <c r="A99" s="50"/>
      <c r="B99" s="50" t="s">
        <v>171</v>
      </c>
      <c r="C99" s="50"/>
      <c r="D99" s="52"/>
      <c r="E99" s="52">
        <f>E100*E101</f>
        <v>631.70365882352939</v>
      </c>
      <c r="F99" s="52">
        <f t="shared" ref="F99:H99" si="31">F100*F101</f>
        <v>0</v>
      </c>
      <c r="G99" s="52">
        <f t="shared" si="31"/>
        <v>0</v>
      </c>
      <c r="H99" s="52">
        <f t="shared" si="31"/>
        <v>0</v>
      </c>
    </row>
    <row r="100" spans="1:12" s="7" customFormat="1" x14ac:dyDescent="0.25">
      <c r="A100" s="10"/>
      <c r="B100" s="39" t="s">
        <v>144</v>
      </c>
      <c r="C100" s="10" t="s">
        <v>145</v>
      </c>
      <c r="D100" s="44"/>
      <c r="E100" s="44">
        <v>1</v>
      </c>
      <c r="F100" s="44">
        <v>0</v>
      </c>
      <c r="G100" s="44">
        <v>0</v>
      </c>
      <c r="H100" s="44">
        <v>0</v>
      </c>
      <c r="I100" s="62"/>
      <c r="J100" s="6"/>
      <c r="K100" s="6"/>
      <c r="L100" s="6"/>
    </row>
    <row r="101" spans="1:12" s="7" customFormat="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3" spans="1:12" x14ac:dyDescent="0.25">
      <c r="A103" s="50"/>
      <c r="B103" s="50" t="s">
        <v>130</v>
      </c>
      <c r="C103" s="50"/>
      <c r="D103" s="52"/>
      <c r="E103" s="52">
        <f>E104*E105+E106*E107+E108*E109</f>
        <v>2128.125</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x14ac:dyDescent="0.25">
      <c r="B106" s="39" t="s">
        <v>134</v>
      </c>
      <c r="E106" s="44">
        <f>Training!C23</f>
        <v>709.375</v>
      </c>
      <c r="F106" s="44">
        <f>E106*(1+index)</f>
        <v>739.87812499999995</v>
      </c>
      <c r="G106" s="44">
        <f>F106*(1+index)</f>
        <v>771.69288437499995</v>
      </c>
      <c r="H106" s="44">
        <f>G106*(1+index)</f>
        <v>804.87567840312488</v>
      </c>
    </row>
    <row r="107" spans="1:12" x14ac:dyDescent="0.25">
      <c r="B107" s="39" t="s">
        <v>135</v>
      </c>
      <c r="E107" s="44">
        <v>3</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B110" s="39"/>
    </row>
    <row r="111" spans="1:12" x14ac:dyDescent="0.25">
      <c r="A111" s="50"/>
      <c r="B111" s="50" t="s">
        <v>24</v>
      </c>
      <c r="C111" s="50"/>
      <c r="D111" s="52"/>
      <c r="E111" s="52">
        <f t="shared" ref="E111:H111" si="34">E112*E113</f>
        <v>240</v>
      </c>
      <c r="F111" s="52">
        <f t="shared" si="34"/>
        <v>0</v>
      </c>
      <c r="G111" s="52">
        <f t="shared" si="34"/>
        <v>0</v>
      </c>
      <c r="H111" s="52">
        <f t="shared" si="34"/>
        <v>0</v>
      </c>
    </row>
    <row r="112" spans="1:12" s="7" customFormat="1" x14ac:dyDescent="0.25">
      <c r="A112" s="5"/>
      <c r="B112" s="39" t="s">
        <v>53</v>
      </c>
      <c r="C112" s="5"/>
      <c r="D112" s="44"/>
      <c r="E112" s="44">
        <v>40</v>
      </c>
      <c r="F112" s="44">
        <v>0</v>
      </c>
      <c r="G112" s="44"/>
      <c r="H112" s="44"/>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400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x14ac:dyDescent="0.25">
      <c r="B146" s="63" t="s">
        <v>162</v>
      </c>
      <c r="E146" s="44">
        <v>2</v>
      </c>
      <c r="F146" s="44">
        <v>0</v>
      </c>
      <c r="G146" s="44">
        <v>0</v>
      </c>
      <c r="H146" s="44">
        <v>0</v>
      </c>
    </row>
    <row r="147" spans="1:12" ht="27"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x14ac:dyDescent="0.25">
      <c r="A179" s="50"/>
      <c r="B179" s="132" t="s">
        <v>252</v>
      </c>
      <c r="C179" s="133"/>
      <c r="D179" s="51"/>
      <c r="E179" s="51"/>
      <c r="F179" s="51"/>
      <c r="G179" s="51"/>
      <c r="H179" s="51"/>
    </row>
    <row r="180" spans="1:12" x14ac:dyDescent="0.25">
      <c r="A180" s="10"/>
      <c r="B180" s="39" t="s">
        <v>253</v>
      </c>
      <c r="C180" s="134">
        <v>9</v>
      </c>
      <c r="D180" s="33"/>
      <c r="E180" s="44">
        <v>9</v>
      </c>
      <c r="F180" s="44">
        <v>0</v>
      </c>
      <c r="G180" s="44">
        <v>0</v>
      </c>
      <c r="H180" s="44">
        <v>0</v>
      </c>
    </row>
    <row r="181" spans="1:12" x14ac:dyDescent="0.25">
      <c r="B181" s="39" t="s">
        <v>254</v>
      </c>
      <c r="C181" s="44">
        <f>50000*eur</f>
        <v>27036</v>
      </c>
      <c r="D181" s="33"/>
      <c r="G181" s="44"/>
      <c r="H181" s="44"/>
    </row>
    <row r="182" spans="1:12" x14ac:dyDescent="0.25">
      <c r="A182" s="228"/>
      <c r="B182" s="239" t="s">
        <v>255</v>
      </c>
      <c r="C182" s="240"/>
      <c r="D182" s="237"/>
      <c r="E182" s="230">
        <f>$C$181/$C$180*E180</f>
        <v>27036</v>
      </c>
      <c r="F182" s="230">
        <f t="shared" ref="F182:H182" si="45">$C$181/$C$180*F180</f>
        <v>0</v>
      </c>
      <c r="G182" s="230">
        <f t="shared" si="45"/>
        <v>0</v>
      </c>
      <c r="H182" s="230">
        <f t="shared" si="45"/>
        <v>0</v>
      </c>
    </row>
  </sheetData>
  <pageMargins left="0.7" right="0.7" top="0.75" bottom="0.75" header="0.3" footer="0.3"/>
  <pageSetup paperSize="9" scale="56" fitToHeight="0"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2"/>
  <sheetViews>
    <sheetView topLeftCell="A103" workbookViewId="0">
      <selection activeCell="B184" sqref="B184"/>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20</v>
      </c>
      <c r="B1" s="126" t="s">
        <v>261</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1025.1500000000001</v>
      </c>
      <c r="E5" s="44">
        <f>E67</f>
        <v>1025.1500000000001</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1025.1500000000001</v>
      </c>
      <c r="E7" s="47">
        <f>SUBTOTAL(9,E5:E6)</f>
        <v>1025.1500000000001</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150</v>
      </c>
      <c r="E10" s="44">
        <f>E91</f>
        <v>150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150</v>
      </c>
      <c r="E12" s="47">
        <f t="shared" ref="E12:H12" si="5">SUBTOTAL(9,E10:E11)</f>
        <v>150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1418.75</v>
      </c>
      <c r="E20" s="44">
        <f>E103</f>
        <v>1418.75</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1418.75</v>
      </c>
      <c r="E22" s="47">
        <f t="shared" ref="E22:H22" si="12">SUBTOTAL(9,E20:E21)</f>
        <v>1418.75</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310</v>
      </c>
      <c r="E26" s="44">
        <f>E132</f>
        <v>310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310</v>
      </c>
      <c r="E28" s="47">
        <f t="shared" ref="E28:H28" si="16">SUBTOTAL(9,E25:E27)</f>
        <v>310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5407.2</v>
      </c>
      <c r="E46" s="44">
        <f>E182</f>
        <v>5407.2</v>
      </c>
      <c r="F46" s="44">
        <f t="shared" ref="F46:H46" si="23">F182</f>
        <v>0</v>
      </c>
      <c r="G46" s="44">
        <f t="shared" si="23"/>
        <v>0</v>
      </c>
      <c r="H46" s="44">
        <f t="shared" si="23"/>
        <v>0</v>
      </c>
      <c r="I46" s="6"/>
    </row>
    <row r="47" spans="1:12" ht="14.25" thickBot="1" x14ac:dyDescent="0.3">
      <c r="A47" s="13"/>
      <c r="B47" s="13" t="s">
        <v>256</v>
      </c>
      <c r="C47" s="136"/>
      <c r="D47" s="47">
        <f>SUBTOTAL(9,D46)</f>
        <v>5407.2</v>
      </c>
      <c r="E47" s="47">
        <f t="shared" ref="E47:H47" si="24">SUBTOTAL(9,E46)</f>
        <v>5407.2</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0</v>
      </c>
      <c r="E51" s="44">
        <f>E141</f>
        <v>0</v>
      </c>
      <c r="F51" s="44">
        <f t="shared" ref="F51:H51" si="27">F141</f>
        <v>0</v>
      </c>
      <c r="G51" s="44">
        <f t="shared" si="27"/>
        <v>0</v>
      </c>
      <c r="H51" s="44">
        <f t="shared" si="27"/>
        <v>0</v>
      </c>
      <c r="J51" s="204"/>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8311.1</v>
      </c>
      <c r="E54" s="49">
        <f>SUBTOTAL(9,E5:E52)</f>
        <v>8311.1</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1025.1500000000001</v>
      </c>
      <c r="F67" s="44">
        <f t="shared" ref="F67:H67" si="28">F68*F69</f>
        <v>0</v>
      </c>
      <c r="G67" s="44">
        <f t="shared" si="28"/>
        <v>0</v>
      </c>
      <c r="H67" s="44">
        <f t="shared" si="28"/>
        <v>0</v>
      </c>
    </row>
    <row r="68" spans="1:12" x14ac:dyDescent="0.25">
      <c r="A68" s="9"/>
      <c r="B68" s="9" t="s">
        <v>114</v>
      </c>
      <c r="C68" s="9" t="s">
        <v>113</v>
      </c>
      <c r="E68" s="44">
        <v>58</v>
      </c>
      <c r="F68" s="44">
        <v>0</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x14ac:dyDescent="0.25">
      <c r="A91" s="50"/>
      <c r="B91" s="50" t="s">
        <v>10</v>
      </c>
      <c r="C91" s="50"/>
      <c r="D91" s="52"/>
      <c r="E91" s="52">
        <f>E92*E93+E95*E96</f>
        <v>150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5" spans="1:12" s="7" customFormat="1" x14ac:dyDescent="0.25">
      <c r="A95" s="5"/>
      <c r="B95" s="9" t="s">
        <v>51</v>
      </c>
      <c r="C95" s="5"/>
      <c r="D95" s="44"/>
      <c r="E95" s="44">
        <v>50</v>
      </c>
      <c r="F95" s="44">
        <v>0</v>
      </c>
      <c r="G95" s="44">
        <v>0</v>
      </c>
      <c r="H95" s="44">
        <f>G95</f>
        <v>0</v>
      </c>
      <c r="I95" s="62"/>
      <c r="J95" s="6"/>
      <c r="K95" s="6"/>
      <c r="L95" s="6"/>
    </row>
    <row r="96" spans="1:12" s="7" customFormat="1" x14ac:dyDescent="0.25">
      <c r="A96" s="5"/>
      <c r="B96" s="9" t="s">
        <v>554</v>
      </c>
      <c r="C96" s="5"/>
      <c r="D96" s="44"/>
      <c r="E96" s="44">
        <v>3</v>
      </c>
      <c r="F96" s="44">
        <v>3</v>
      </c>
      <c r="G96" s="44">
        <v>3</v>
      </c>
      <c r="H96" s="44">
        <v>3</v>
      </c>
      <c r="I96" s="62"/>
      <c r="J96" s="6"/>
      <c r="K96" s="6"/>
      <c r="L96" s="6"/>
    </row>
    <row r="97" spans="1:12" ht="6" customHeight="1" x14ac:dyDescent="0.25">
      <c r="B97" s="228"/>
    </row>
    <row r="98" spans="1:12" x14ac:dyDescent="0.25">
      <c r="B98" s="40" t="s">
        <v>555</v>
      </c>
    </row>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f>
        <v>1418.75</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v>0</v>
      </c>
      <c r="G105" s="44">
        <v>0</v>
      </c>
      <c r="H105" s="44">
        <f t="shared" ref="H105" si="33">H92</f>
        <v>0</v>
      </c>
    </row>
    <row r="106" spans="1:12" x14ac:dyDescent="0.25">
      <c r="B106" s="39" t="s">
        <v>134</v>
      </c>
      <c r="E106" s="44">
        <f>Training!C23</f>
        <v>709.375</v>
      </c>
      <c r="F106" s="44">
        <f>E106*(1+index)</f>
        <v>739.87812499999995</v>
      </c>
      <c r="G106" s="44">
        <f>F106*(1+index)</f>
        <v>771.69288437499995</v>
      </c>
      <c r="H106" s="44">
        <f>G106*(1+index)</f>
        <v>804.87567840312488</v>
      </c>
    </row>
    <row r="107" spans="1:12" x14ac:dyDescent="0.25">
      <c r="B107" s="39" t="s">
        <v>135</v>
      </c>
      <c r="C107" s="5" t="s">
        <v>471</v>
      </c>
      <c r="E107" s="44">
        <v>2</v>
      </c>
      <c r="F107" s="44">
        <v>0</v>
      </c>
      <c r="G107" s="44">
        <v>0</v>
      </c>
      <c r="H107" s="44">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B110" s="39"/>
    </row>
    <row r="111" spans="1:12" hidden="1" x14ac:dyDescent="0.25">
      <c r="A111" s="50"/>
      <c r="B111" s="50" t="s">
        <v>24</v>
      </c>
      <c r="C111" s="50"/>
      <c r="D111" s="52"/>
      <c r="E111" s="52">
        <f t="shared" ref="E111:H111" si="34">E112*E113</f>
        <v>0</v>
      </c>
      <c r="F111" s="52">
        <f t="shared" si="34"/>
        <v>0</v>
      </c>
      <c r="G111" s="52">
        <f t="shared" si="34"/>
        <v>0</v>
      </c>
      <c r="H111" s="52">
        <f t="shared" si="34"/>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x14ac:dyDescent="0.25">
      <c r="A132" s="50"/>
      <c r="B132" s="50" t="s">
        <v>25</v>
      </c>
      <c r="C132" s="50"/>
      <c r="D132" s="52"/>
      <c r="E132" s="52">
        <f>E133+E136</f>
        <v>310</v>
      </c>
      <c r="F132" s="52">
        <f>F133+F136</f>
        <v>0</v>
      </c>
      <c r="G132" s="52">
        <f t="shared" ref="G132:H132" si="35">G133+G136</f>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x14ac:dyDescent="0.25">
      <c r="B135" s="41"/>
      <c r="D135" s="44"/>
      <c r="E135" s="44"/>
      <c r="F135" s="44"/>
      <c r="G135" s="38"/>
      <c r="H135" s="38"/>
      <c r="I135" s="62"/>
      <c r="J135" s="6"/>
      <c r="K135" s="6"/>
      <c r="L135" s="6"/>
    </row>
    <row r="136" spans="1:12" s="5" customFormat="1" x14ac:dyDescent="0.25">
      <c r="B136" s="5" t="s">
        <v>154</v>
      </c>
      <c r="D136" s="44"/>
      <c r="E136" s="44">
        <f>E137+E138*E139</f>
        <v>310</v>
      </c>
      <c r="F136" s="44">
        <f>F137+F138*F139</f>
        <v>0</v>
      </c>
      <c r="G136" s="44">
        <f t="shared" ref="G136:H136" si="36">G137+G138*G139</f>
        <v>0</v>
      </c>
      <c r="H136" s="44">
        <f t="shared" si="36"/>
        <v>0</v>
      </c>
      <c r="I136" s="73"/>
    </row>
    <row r="137" spans="1:12" x14ac:dyDescent="0.25">
      <c r="B137" s="41" t="s">
        <v>153</v>
      </c>
      <c r="E137" s="44">
        <f>'Rates and GI'!D46*1</f>
        <v>150</v>
      </c>
      <c r="F137" s="44">
        <f>'Rates and GI'!D46*0</f>
        <v>0</v>
      </c>
    </row>
    <row r="138" spans="1:12" x14ac:dyDescent="0.25">
      <c r="B138" s="41" t="s">
        <v>159</v>
      </c>
      <c r="E138" s="60">
        <f>'Rates and GI'!$D$48</f>
        <v>0.02</v>
      </c>
      <c r="F138" s="60">
        <f>'Rates and GI'!$D$48</f>
        <v>0.02</v>
      </c>
      <c r="G138" s="60">
        <f>'Rates and GI'!$D$48</f>
        <v>0.02</v>
      </c>
      <c r="H138" s="60">
        <f>'Rates and GI'!$D$48</f>
        <v>0.02</v>
      </c>
    </row>
    <row r="139" spans="1:12" x14ac:dyDescent="0.25">
      <c r="B139" s="41" t="s">
        <v>160</v>
      </c>
      <c r="E139" s="44">
        <f>20*400</f>
        <v>8000</v>
      </c>
      <c r="F139" s="44">
        <v>0</v>
      </c>
      <c r="G139" s="44">
        <v>0</v>
      </c>
      <c r="H139" s="44">
        <v>0</v>
      </c>
    </row>
    <row r="140" spans="1:12" s="5" customFormat="1" x14ac:dyDescent="0.25">
      <c r="B140" s="41"/>
      <c r="D140" s="44"/>
      <c r="E140" s="44"/>
      <c r="F140" s="44"/>
      <c r="G140" s="38"/>
      <c r="H140" s="38"/>
      <c r="I140" s="62"/>
      <c r="J140" s="6"/>
      <c r="K140" s="6"/>
      <c r="L140" s="6"/>
    </row>
    <row r="141" spans="1:12" hidden="1" x14ac:dyDescent="0.25">
      <c r="A141" s="50"/>
      <c r="B141" s="50" t="s">
        <v>21</v>
      </c>
      <c r="C141" s="50"/>
      <c r="D141" s="52"/>
      <c r="E141" s="52">
        <f>E142*E143+E144*E145++E146*E147+E148*E149</f>
        <v>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x14ac:dyDescent="0.25">
      <c r="A179" s="50"/>
      <c r="B179" s="132" t="s">
        <v>252</v>
      </c>
      <c r="C179" s="133"/>
      <c r="D179" s="51"/>
      <c r="E179" s="51"/>
      <c r="F179" s="51"/>
      <c r="G179" s="51"/>
      <c r="H179" s="51"/>
    </row>
    <row r="180" spans="1:12" x14ac:dyDescent="0.25">
      <c r="A180" s="10"/>
      <c r="B180" s="39" t="s">
        <v>253</v>
      </c>
      <c r="C180" s="134">
        <v>6</v>
      </c>
      <c r="D180" s="33"/>
      <c r="E180" s="44">
        <v>6</v>
      </c>
      <c r="F180" s="44">
        <v>0</v>
      </c>
      <c r="G180" s="44">
        <v>0</v>
      </c>
      <c r="H180" s="44">
        <v>0</v>
      </c>
    </row>
    <row r="181" spans="1:12" x14ac:dyDescent="0.25">
      <c r="B181" s="39" t="s">
        <v>254</v>
      </c>
      <c r="C181" s="44">
        <f>10000*eur</f>
        <v>5407.2</v>
      </c>
      <c r="D181" s="33"/>
      <c r="G181" s="44"/>
      <c r="H181" s="44"/>
    </row>
    <row r="182" spans="1:12" x14ac:dyDescent="0.25">
      <c r="A182" s="228"/>
      <c r="B182" s="239" t="s">
        <v>255</v>
      </c>
      <c r="C182" s="240"/>
      <c r="D182" s="237"/>
      <c r="E182" s="230">
        <f>$C$181/$C$180*E180</f>
        <v>5407.2</v>
      </c>
      <c r="F182" s="230">
        <f t="shared" ref="F182:H182" si="45">$C$181/$C$180*F180</f>
        <v>0</v>
      </c>
      <c r="G182" s="230">
        <f t="shared" si="45"/>
        <v>0</v>
      </c>
      <c r="H182" s="230">
        <f t="shared" si="45"/>
        <v>0</v>
      </c>
    </row>
  </sheetData>
  <pageMargins left="0.7" right="0.7" top="0.75" bottom="0.75" header="0.3" footer="0.3"/>
  <pageSetup paperSize="9" scale="56" fitToHeight="0"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46" workbookViewId="0">
      <selection activeCell="E186" sqref="E186"/>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21</v>
      </c>
      <c r="B1" s="126" t="s">
        <v>257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E67</f>
        <v>0</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63641.74765954139</v>
      </c>
      <c r="E20" s="44">
        <f>E103</f>
        <v>14920.199999999999</v>
      </c>
      <c r="F20" s="44">
        <f t="shared" ref="F20:H20" si="10">F103</f>
        <v>15561.768599999998</v>
      </c>
      <c r="G20" s="44">
        <f t="shared" si="10"/>
        <v>16230.924649799997</v>
      </c>
      <c r="H20" s="44">
        <f t="shared" si="10"/>
        <v>16928.854409741394</v>
      </c>
    </row>
    <row r="21" spans="1:12" x14ac:dyDescent="0.25">
      <c r="B21" s="16" t="s">
        <v>139</v>
      </c>
      <c r="D21" s="44">
        <f t="shared" ref="D21" si="11">SUM(E21:H21)</f>
        <v>0</v>
      </c>
    </row>
    <row r="22" spans="1:12" ht="14.25" thickBot="1" x14ac:dyDescent="0.3">
      <c r="A22" s="13"/>
      <c r="B22" s="13" t="s">
        <v>140</v>
      </c>
      <c r="C22" s="13"/>
      <c r="D22" s="47">
        <f>SUBTOTAL(9,D20:D21)</f>
        <v>63641.74765954139</v>
      </c>
      <c r="E22" s="47">
        <f t="shared" ref="E22:H22" si="12">SUBTOTAL(9,E20:E21)</f>
        <v>14920.199999999999</v>
      </c>
      <c r="F22" s="47">
        <f t="shared" si="12"/>
        <v>15561.768599999998</v>
      </c>
      <c r="G22" s="47">
        <f t="shared" si="12"/>
        <v>16230.924649799997</v>
      </c>
      <c r="H22" s="47">
        <f t="shared" si="12"/>
        <v>16928.854409741394</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0</v>
      </c>
      <c r="E51" s="44">
        <f>E141</f>
        <v>0</v>
      </c>
      <c r="F51" s="44">
        <f t="shared" ref="F51:H51" si="27">F141</f>
        <v>0</v>
      </c>
      <c r="G51" s="44">
        <f t="shared" si="27"/>
        <v>0</v>
      </c>
      <c r="H51" s="44">
        <f t="shared" si="27"/>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63641.74765954139</v>
      </c>
      <c r="E54" s="49">
        <f>SUBTOTAL(9,E5:E52)</f>
        <v>14920.199999999999</v>
      </c>
      <c r="F54" s="49">
        <f>SUBTOTAL(9,F5:F52)</f>
        <v>15561.768599999998</v>
      </c>
      <c r="G54" s="49">
        <f>SUBTOTAL(9,G5:G52)</f>
        <v>16230.924649799997</v>
      </c>
      <c r="H54" s="49">
        <f>SUBTOTAL(9,H5:H52)</f>
        <v>16928.854409741394</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hidden="1"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hidden="1" x14ac:dyDescent="0.25">
      <c r="B67" s="5" t="s">
        <v>23</v>
      </c>
      <c r="E67" s="44">
        <f>E68*E69</f>
        <v>0</v>
      </c>
      <c r="F67" s="44">
        <f t="shared" ref="F67:H67" si="28">F68*F69</f>
        <v>0</v>
      </c>
      <c r="G67" s="44">
        <f t="shared" si="28"/>
        <v>0</v>
      </c>
      <c r="H67" s="44">
        <f t="shared" si="28"/>
        <v>0</v>
      </c>
    </row>
    <row r="68" spans="1:12" hidden="1" x14ac:dyDescent="0.25">
      <c r="A68" s="9"/>
      <c r="B68" s="9" t="s">
        <v>114</v>
      </c>
      <c r="C68" s="9" t="s">
        <v>113</v>
      </c>
      <c r="E68" s="44">
        <v>0</v>
      </c>
      <c r="F68" s="44">
        <v>0</v>
      </c>
      <c r="G68" s="44">
        <v>0</v>
      </c>
      <c r="H68" s="44">
        <v>0</v>
      </c>
    </row>
    <row r="69" spans="1:12" hidden="1"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f>
        <v>14920.199999999999</v>
      </c>
      <c r="F103" s="52">
        <f t="shared" ref="F103:H103" si="32">F104*F105+F106*F107+F108*F109</f>
        <v>15561.768599999998</v>
      </c>
      <c r="G103" s="52">
        <f t="shared" si="32"/>
        <v>16230.924649799997</v>
      </c>
      <c r="H103" s="52">
        <f t="shared" si="32"/>
        <v>16928.854409741394</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44">
        <v>0</v>
      </c>
      <c r="H107" s="44">
        <v>0</v>
      </c>
    </row>
    <row r="108" spans="1:12" x14ac:dyDescent="0.25">
      <c r="B108" s="39" t="s">
        <v>203</v>
      </c>
      <c r="C108" s="5" t="s">
        <v>137</v>
      </c>
      <c r="E108" s="44">
        <f>Training!C41</f>
        <v>994.68</v>
      </c>
      <c r="F108" s="44">
        <f>E108*(1+index)</f>
        <v>1037.4512399999999</v>
      </c>
      <c r="G108" s="44">
        <f>F108*(1+index)</f>
        <v>1082.0616433199998</v>
      </c>
      <c r="H108" s="44">
        <f>G108*(1+index)</f>
        <v>1128.5902939827597</v>
      </c>
    </row>
    <row r="109" spans="1:12" x14ac:dyDescent="0.25">
      <c r="B109" s="39" t="s">
        <v>133</v>
      </c>
      <c r="E109" s="44">
        <v>15</v>
      </c>
      <c r="F109" s="44">
        <v>15</v>
      </c>
      <c r="G109" s="44">
        <v>15</v>
      </c>
      <c r="H109" s="44">
        <v>15</v>
      </c>
    </row>
    <row r="110" spans="1:12" x14ac:dyDescent="0.25">
      <c r="A110" s="228"/>
      <c r="B110" s="239"/>
      <c r="C110" s="228"/>
      <c r="D110" s="230"/>
      <c r="E110" s="230"/>
      <c r="F110" s="230"/>
      <c r="G110" s="230"/>
      <c r="H110" s="230"/>
    </row>
    <row r="111" spans="1:12" hidden="1" x14ac:dyDescent="0.25">
      <c r="A111" s="50"/>
      <c r="B111" s="50" t="s">
        <v>24</v>
      </c>
      <c r="C111" s="50"/>
      <c r="D111" s="52"/>
      <c r="E111" s="52">
        <f t="shared" ref="E111:H111" si="34">E112*E113</f>
        <v>0</v>
      </c>
      <c r="F111" s="52">
        <f t="shared" si="34"/>
        <v>0</v>
      </c>
      <c r="G111" s="52">
        <f t="shared" si="34"/>
        <v>0</v>
      </c>
      <c r="H111" s="52">
        <f t="shared" si="34"/>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hidden="1" x14ac:dyDescent="0.25">
      <c r="A141" s="50"/>
      <c r="B141" s="50" t="s">
        <v>21</v>
      </c>
      <c r="C141" s="50"/>
      <c r="D141" s="52"/>
      <c r="E141" s="52">
        <f>E142*E143+E144*E145++E146*E147+E148*E149</f>
        <v>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hidden="1" x14ac:dyDescent="0.25"/>
  </sheetData>
  <pageMargins left="0.7" right="0.7" top="0.75" bottom="0.75" header="0.3" footer="0.3"/>
  <pageSetup paperSize="9" scale="56" fitToHeight="0"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3"/>
  <sheetViews>
    <sheetView topLeftCell="A95" zoomScaleNormal="100" workbookViewId="0">
      <selection activeCell="B198" sqref="B19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22</v>
      </c>
      <c r="B1" s="126" t="s">
        <v>441</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E63</f>
        <v>2227.0500000000002</v>
      </c>
      <c r="F5" s="44">
        <f t="shared" ref="F5:H5" si="1">F63</f>
        <v>0</v>
      </c>
      <c r="G5" s="44">
        <f t="shared" si="1"/>
        <v>0</v>
      </c>
      <c r="H5" s="44">
        <f t="shared" si="1"/>
        <v>0</v>
      </c>
    </row>
    <row r="6" spans="1:12" x14ac:dyDescent="0.25">
      <c r="B6" s="16" t="s">
        <v>168</v>
      </c>
      <c r="D6" s="44">
        <f t="shared" si="0"/>
        <v>6813.0719999999992</v>
      </c>
      <c r="E6" s="44">
        <f>E67</f>
        <v>6813.0719999999992</v>
      </c>
      <c r="F6" s="44">
        <f t="shared" ref="F6:H6" si="2">F67</f>
        <v>0</v>
      </c>
      <c r="G6" s="44">
        <f t="shared" si="2"/>
        <v>0</v>
      </c>
      <c r="H6" s="44">
        <f t="shared" si="2"/>
        <v>0</v>
      </c>
    </row>
    <row r="7" spans="1:12" ht="14.25" thickBot="1" x14ac:dyDescent="0.3">
      <c r="A7" s="13"/>
      <c r="B7" s="13" t="s">
        <v>5</v>
      </c>
      <c r="C7" s="13"/>
      <c r="D7" s="47">
        <f>SUBTOTAL(9,D5:D6)</f>
        <v>9040.1219999999994</v>
      </c>
      <c r="E7" s="47">
        <f>SUBTOTAL(9,E5:E6)</f>
        <v>9040.1219999999994</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631.70365882352939</v>
      </c>
      <c r="E15" s="44">
        <f>E95</f>
        <v>631.70365882352939</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631.70365882352939</v>
      </c>
      <c r="E17" s="47">
        <f t="shared" ref="E17:H17" si="8">SUBTOTAL(9,E15:E16)</f>
        <v>631.70365882352939</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937164.37877815985</v>
      </c>
      <c r="E20" s="44">
        <f>E99</f>
        <v>124592</v>
      </c>
      <c r="F20" s="44">
        <f t="shared" ref="F20:H20" si="10">F99</f>
        <v>193297.10399999999</v>
      </c>
      <c r="G20" s="44">
        <f t="shared" si="10"/>
        <v>268811.83929599996</v>
      </c>
      <c r="H20" s="44">
        <f t="shared" si="10"/>
        <v>350463.4354821599</v>
      </c>
    </row>
    <row r="21" spans="1:12" x14ac:dyDescent="0.25">
      <c r="B21" s="16" t="s">
        <v>139</v>
      </c>
      <c r="D21" s="44">
        <f t="shared" ref="D21" si="11">SUM(E21:H21)</f>
        <v>0</v>
      </c>
    </row>
    <row r="22" spans="1:12" ht="14.25" thickBot="1" x14ac:dyDescent="0.3">
      <c r="A22" s="13"/>
      <c r="B22" s="13" t="s">
        <v>140</v>
      </c>
      <c r="C22" s="13"/>
      <c r="D22" s="47">
        <f>SUBTOTAL(9,D20:D21)</f>
        <v>937164.37877815985</v>
      </c>
      <c r="E22" s="47">
        <f t="shared" ref="E22:H22" si="12">SUBTOTAL(9,E20:E21)</f>
        <v>124592</v>
      </c>
      <c r="F22" s="47">
        <f t="shared" si="12"/>
        <v>193297.10399999999</v>
      </c>
      <c r="G22" s="47">
        <f t="shared" si="12"/>
        <v>268811.83929599996</v>
      </c>
      <c r="H22" s="47">
        <f t="shared" si="12"/>
        <v>350463.4354821599</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600</v>
      </c>
      <c r="E25" s="44">
        <f>E118</f>
        <v>600</v>
      </c>
      <c r="F25" s="44">
        <f t="shared" ref="F25:H25" si="13">F118</f>
        <v>0</v>
      </c>
      <c r="G25" s="44">
        <f t="shared" si="13"/>
        <v>0</v>
      </c>
      <c r="H25" s="44">
        <f t="shared" si="13"/>
        <v>0</v>
      </c>
    </row>
    <row r="26" spans="1:12" x14ac:dyDescent="0.25">
      <c r="B26" s="16" t="s">
        <v>25</v>
      </c>
      <c r="D26" s="44">
        <f t="shared" ref="D26" si="14">SUM(E26:H26)</f>
        <v>0</v>
      </c>
      <c r="E26" s="44">
        <f>E146</f>
        <v>0</v>
      </c>
      <c r="F26" s="44">
        <f t="shared" ref="F26:H26" si="15">F146</f>
        <v>0</v>
      </c>
      <c r="G26" s="44">
        <f t="shared" si="15"/>
        <v>0</v>
      </c>
      <c r="H26" s="44">
        <f t="shared" si="15"/>
        <v>0</v>
      </c>
    </row>
    <row r="27" spans="1:12" x14ac:dyDescent="0.25">
      <c r="B27" s="16" t="s">
        <v>233</v>
      </c>
    </row>
    <row r="28" spans="1:12" ht="14.25" thickBot="1" x14ac:dyDescent="0.3">
      <c r="A28" s="13"/>
      <c r="B28" s="13" t="s">
        <v>73</v>
      </c>
      <c r="C28" s="13"/>
      <c r="D28" s="47">
        <f>SUBTOTAL(9,D25:D27)</f>
        <v>600</v>
      </c>
      <c r="E28" s="47">
        <f t="shared" ref="E28:H28" si="16">SUBTOTAL(9,E25:E27)</f>
        <v>600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6960</v>
      </c>
      <c r="E32" s="44">
        <f>E128</f>
        <v>3480</v>
      </c>
      <c r="F32" s="44">
        <f t="shared" ref="F32:H32" si="18">F128</f>
        <v>1160</v>
      </c>
      <c r="G32" s="44">
        <f t="shared" si="18"/>
        <v>1160</v>
      </c>
      <c r="H32" s="44">
        <f t="shared" si="18"/>
        <v>1160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6960</v>
      </c>
      <c r="E35" s="47">
        <f t="shared" ref="E35:H35" si="19">SUBTOTAL(9,E31:E34)</f>
        <v>3480</v>
      </c>
      <c r="F35" s="47">
        <f t="shared" si="19"/>
        <v>1160</v>
      </c>
      <c r="G35" s="47">
        <f t="shared" si="19"/>
        <v>1160</v>
      </c>
      <c r="H35" s="47">
        <f t="shared" si="19"/>
        <v>1160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E192</f>
        <v>0</v>
      </c>
      <c r="F40" s="44">
        <f t="shared" ref="F40:H40" si="21">F192</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3">SUM(E46:H46)</f>
        <v>0</v>
      </c>
      <c r="E46" s="44">
        <f>E165</f>
        <v>0</v>
      </c>
      <c r="F46" s="44">
        <f t="shared" ref="F46:H46" si="24">F165</f>
        <v>0</v>
      </c>
      <c r="G46" s="44">
        <f t="shared" si="24"/>
        <v>0</v>
      </c>
      <c r="H46" s="44">
        <f t="shared" si="24"/>
        <v>0</v>
      </c>
    </row>
    <row r="47" spans="1:12" x14ac:dyDescent="0.25">
      <c r="A47" s="3"/>
      <c r="B47" s="3" t="s">
        <v>21</v>
      </c>
      <c r="C47" s="3"/>
      <c r="D47" s="44">
        <f t="shared" si="23"/>
        <v>0</v>
      </c>
      <c r="E47" s="44">
        <f>E155</f>
        <v>0</v>
      </c>
      <c r="F47" s="44">
        <f t="shared" ref="F47:H47" si="25">F155</f>
        <v>0</v>
      </c>
      <c r="G47" s="44">
        <f t="shared" si="25"/>
        <v>0</v>
      </c>
      <c r="H47" s="44">
        <f t="shared" si="25"/>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954396.20443698333</v>
      </c>
      <c r="E50" s="49">
        <f>SUBTOTAL(9,E5:E48)</f>
        <v>138343.82565882354</v>
      </c>
      <c r="F50" s="49">
        <f>SUBTOTAL(9,F5:F48)</f>
        <v>194457.10399999999</v>
      </c>
      <c r="G50" s="49">
        <f>SUBTOTAL(9,G5:G48)</f>
        <v>269971.83929599996</v>
      </c>
      <c r="H50" s="49">
        <f>SUBTOTAL(9,H5:H48)</f>
        <v>351623.4354821599</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2227.0500000000002</v>
      </c>
      <c r="F63" s="44">
        <f t="shared" ref="F63:H63" si="26">F64*F65</f>
        <v>0</v>
      </c>
      <c r="G63" s="44">
        <f t="shared" si="26"/>
        <v>0</v>
      </c>
      <c r="H63" s="44">
        <f t="shared" si="26"/>
        <v>0</v>
      </c>
    </row>
    <row r="64" spans="1:9" x14ac:dyDescent="0.25">
      <c r="A64" s="9"/>
      <c r="B64" s="9" t="s">
        <v>114</v>
      </c>
      <c r="C64" s="9" t="s">
        <v>113</v>
      </c>
      <c r="E64" s="44">
        <f>(3+3)*21</f>
        <v>126</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7" spans="1:12" s="7" customFormat="1" x14ac:dyDescent="0.25">
      <c r="A67" s="5"/>
      <c r="B67" s="5" t="s">
        <v>168</v>
      </c>
      <c r="C67" s="5"/>
      <c r="D67" s="44"/>
      <c r="E67" s="44">
        <f>E68*E69</f>
        <v>6813.0719999999992</v>
      </c>
      <c r="F67" s="44">
        <f t="shared" ref="F67:H67" si="27">F68*F69</f>
        <v>0</v>
      </c>
      <c r="G67" s="44">
        <f t="shared" si="27"/>
        <v>0</v>
      </c>
      <c r="H67" s="44">
        <f t="shared" si="27"/>
        <v>0</v>
      </c>
      <c r="I67" s="62"/>
      <c r="J67" s="6"/>
      <c r="K67" s="6"/>
      <c r="L67" s="6"/>
    </row>
    <row r="68" spans="1:12" s="7" customFormat="1" x14ac:dyDescent="0.25">
      <c r="A68" s="9"/>
      <c r="B68" s="9" t="s">
        <v>170</v>
      </c>
      <c r="C68" s="9" t="s">
        <v>113</v>
      </c>
      <c r="D68" s="44"/>
      <c r="E68" s="44">
        <f>2*21</f>
        <v>42</v>
      </c>
      <c r="F68" s="44">
        <v>0</v>
      </c>
      <c r="G68" s="44">
        <v>0</v>
      </c>
      <c r="H68" s="44">
        <v>0</v>
      </c>
      <c r="I68" s="62"/>
      <c r="J68" s="6"/>
      <c r="K68" s="6"/>
      <c r="L68" s="6"/>
    </row>
    <row r="69" spans="1:12" s="7" customFormat="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7" spans="1:12" hidden="1" x14ac:dyDescent="0.25">
      <c r="A87" s="50"/>
      <c r="B87" s="50" t="s">
        <v>10</v>
      </c>
      <c r="C87" s="50"/>
      <c r="D87" s="52"/>
      <c r="E87" s="52">
        <f>E88*E89+E91*E92</f>
        <v>0</v>
      </c>
      <c r="F87" s="52">
        <f t="shared" ref="F87:H87" si="28">F88*F89+F91*F92</f>
        <v>0</v>
      </c>
      <c r="G87" s="52">
        <f t="shared" si="28"/>
        <v>0</v>
      </c>
      <c r="H87" s="52">
        <f t="shared" si="28"/>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x14ac:dyDescent="0.25">
      <c r="A95" s="50"/>
      <c r="B95" s="50" t="s">
        <v>171</v>
      </c>
      <c r="C95" s="50"/>
      <c r="D95" s="52"/>
      <c r="E95" s="52">
        <f>E96*E97</f>
        <v>631.70365882352939</v>
      </c>
      <c r="F95" s="52">
        <f t="shared" ref="F95:H95" si="29">F96*F97</f>
        <v>0</v>
      </c>
      <c r="G95" s="52">
        <f t="shared" si="29"/>
        <v>0</v>
      </c>
      <c r="H95" s="52">
        <f t="shared" si="29"/>
        <v>0</v>
      </c>
    </row>
    <row r="96" spans="1:12" s="7" customFormat="1" x14ac:dyDescent="0.25">
      <c r="A96" s="10"/>
      <c r="B96" s="39" t="s">
        <v>144</v>
      </c>
      <c r="C96" s="10" t="s">
        <v>145</v>
      </c>
      <c r="D96" s="44"/>
      <c r="E96" s="44">
        <v>1</v>
      </c>
      <c r="F96" s="44">
        <v>0</v>
      </c>
      <c r="G96" s="44">
        <v>0</v>
      </c>
      <c r="H96" s="44">
        <v>0</v>
      </c>
      <c r="I96" s="62"/>
      <c r="J96" s="6"/>
      <c r="K96" s="6"/>
      <c r="L96" s="6"/>
    </row>
    <row r="97" spans="1:12" s="7" customFormat="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9" spans="1:12" x14ac:dyDescent="0.25">
      <c r="A99" s="50"/>
      <c r="B99" s="50" t="s">
        <v>130</v>
      </c>
      <c r="C99" s="50"/>
      <c r="D99" s="52"/>
      <c r="E99" s="52">
        <f>E100*E101+E102*E103+E104+E109</f>
        <v>124592</v>
      </c>
      <c r="F99" s="52">
        <f t="shared" ref="F99:H99" si="30">F100*F101+F102*F103+F104+F109</f>
        <v>193297.10399999999</v>
      </c>
      <c r="G99" s="52">
        <f t="shared" si="30"/>
        <v>268811.83929599996</v>
      </c>
      <c r="H99" s="52">
        <f t="shared" si="30"/>
        <v>350463.4354821599</v>
      </c>
    </row>
    <row r="100" spans="1:12" x14ac:dyDescent="0.25">
      <c r="B100" s="39" t="s">
        <v>131</v>
      </c>
      <c r="C100" s="5" t="s">
        <v>132</v>
      </c>
      <c r="F100" s="44">
        <f>Training!$C$33</f>
        <v>81.10799999999999</v>
      </c>
      <c r="G100" s="44">
        <f>Training!$C$33</f>
        <v>81.10799999999999</v>
      </c>
      <c r="H100" s="44">
        <f>Training!$C$33</f>
        <v>81.10799999999999</v>
      </c>
    </row>
    <row r="101" spans="1:12" x14ac:dyDescent="0.25">
      <c r="B101" s="39" t="s">
        <v>133</v>
      </c>
      <c r="F101" s="44">
        <f>F88</f>
        <v>0</v>
      </c>
      <c r="G101" s="44">
        <f t="shared" ref="G101:H101" si="31">G88</f>
        <v>0</v>
      </c>
      <c r="H101" s="44">
        <f t="shared" si="31"/>
        <v>0</v>
      </c>
    </row>
    <row r="102" spans="1:12" x14ac:dyDescent="0.25">
      <c r="B102" s="39" t="s">
        <v>134</v>
      </c>
      <c r="F102" s="44">
        <f>Training!C$23</f>
        <v>709.375</v>
      </c>
      <c r="G102" s="44">
        <f>F102*(1+index)</f>
        <v>739.87812499999995</v>
      </c>
      <c r="H102" s="44">
        <f>G102*(1+index)</f>
        <v>771.69288437499995</v>
      </c>
    </row>
    <row r="103" spans="1:12" x14ac:dyDescent="0.25">
      <c r="B103" s="39" t="s">
        <v>135</v>
      </c>
      <c r="E103" s="44">
        <v>0</v>
      </c>
      <c r="F103" s="44">
        <v>0</v>
      </c>
      <c r="G103" s="33">
        <v>0</v>
      </c>
      <c r="H103" s="33">
        <v>0</v>
      </c>
    </row>
    <row r="104" spans="1:12" x14ac:dyDescent="0.25">
      <c r="B104" s="130" t="s">
        <v>245</v>
      </c>
      <c r="E104" s="44">
        <f>E105*E107</f>
        <v>123552</v>
      </c>
      <c r="F104" s="44">
        <f t="shared" ref="F104:H104" si="32">F105*F107</f>
        <v>193297.10399999999</v>
      </c>
      <c r="G104" s="44">
        <f t="shared" si="32"/>
        <v>268811.83929599996</v>
      </c>
      <c r="H104" s="44">
        <f t="shared" si="32"/>
        <v>350463.4354821599</v>
      </c>
    </row>
    <row r="105" spans="1:12" x14ac:dyDescent="0.25">
      <c r="B105" s="39" t="s">
        <v>203</v>
      </c>
      <c r="C105" s="5" t="s">
        <v>137</v>
      </c>
      <c r="E105" s="44">
        <f>Training!C39</f>
        <v>561.6</v>
      </c>
      <c r="F105" s="44">
        <f>E105*(1+index)</f>
        <v>585.74879999999996</v>
      </c>
      <c r="G105" s="44">
        <f>F105*(1+index)</f>
        <v>610.9359983999999</v>
      </c>
      <c r="H105" s="44">
        <f>G105*(1+index)</f>
        <v>637.20624633119985</v>
      </c>
    </row>
    <row r="106" spans="1:12" x14ac:dyDescent="0.25">
      <c r="B106" s="39" t="s">
        <v>244</v>
      </c>
      <c r="E106" s="34"/>
      <c r="F106" s="34"/>
      <c r="G106" s="34"/>
      <c r="H106" s="34"/>
    </row>
    <row r="107" spans="1:12" x14ac:dyDescent="0.25">
      <c r="B107" s="39" t="s">
        <v>133</v>
      </c>
      <c r="C107" s="10"/>
      <c r="E107" s="44">
        <v>220</v>
      </c>
      <c r="F107" s="44">
        <v>330</v>
      </c>
      <c r="G107" s="44">
        <v>440</v>
      </c>
      <c r="H107" s="44">
        <v>550</v>
      </c>
    </row>
    <row r="108" spans="1:12" x14ac:dyDescent="0.25">
      <c r="B108" s="39"/>
      <c r="C108" s="10"/>
      <c r="G108" s="44"/>
      <c r="H108" s="44"/>
    </row>
    <row r="109" spans="1:12" x14ac:dyDescent="0.25">
      <c r="B109" s="130" t="s">
        <v>613</v>
      </c>
      <c r="C109" s="10"/>
      <c r="E109" s="44">
        <f>E110+E114</f>
        <v>1040</v>
      </c>
      <c r="G109" s="44"/>
      <c r="H109" s="44"/>
    </row>
    <row r="110" spans="1:12" x14ac:dyDescent="0.25">
      <c r="B110" s="39" t="s">
        <v>601</v>
      </c>
      <c r="C110" s="10"/>
      <c r="E110" s="44">
        <f>Training!C48</f>
        <v>288</v>
      </c>
      <c r="G110" s="44"/>
      <c r="H110" s="44"/>
    </row>
    <row r="111" spans="1:12" x14ac:dyDescent="0.25">
      <c r="B111" s="39" t="s">
        <v>614</v>
      </c>
      <c r="C111" s="10"/>
      <c r="E111" s="44">
        <v>24</v>
      </c>
      <c r="G111" s="44"/>
      <c r="H111" s="44"/>
    </row>
    <row r="112" spans="1:12" x14ac:dyDescent="0.25">
      <c r="B112" s="39" t="s">
        <v>605</v>
      </c>
      <c r="C112" s="10" t="s">
        <v>97</v>
      </c>
      <c r="E112" s="44">
        <v>6</v>
      </c>
      <c r="G112" s="44"/>
      <c r="H112" s="44"/>
    </row>
    <row r="113" spans="1:12" x14ac:dyDescent="0.25">
      <c r="B113" s="39" t="s">
        <v>604</v>
      </c>
      <c r="C113" s="10"/>
      <c r="E113" s="44">
        <v>48</v>
      </c>
      <c r="G113" s="44"/>
      <c r="H113" s="44"/>
    </row>
    <row r="114" spans="1:12" x14ac:dyDescent="0.25">
      <c r="B114" s="39" t="s">
        <v>607</v>
      </c>
      <c r="C114" s="10"/>
      <c r="E114" s="44">
        <f>Training!C54</f>
        <v>752</v>
      </c>
      <c r="G114" s="44"/>
      <c r="H114" s="44"/>
    </row>
    <row r="115" spans="1:12" hidden="1" x14ac:dyDescent="0.25">
      <c r="B115" s="39"/>
      <c r="C115" s="10"/>
      <c r="G115" s="44"/>
      <c r="H115" s="44"/>
    </row>
    <row r="116" spans="1:12" hidden="1" x14ac:dyDescent="0.25">
      <c r="B116" s="39"/>
      <c r="C116" s="10"/>
      <c r="G116" s="44"/>
      <c r="H116" s="44"/>
    </row>
    <row r="117" spans="1:12" x14ac:dyDescent="0.25">
      <c r="B117" s="39"/>
    </row>
    <row r="118" spans="1:12" x14ac:dyDescent="0.25">
      <c r="A118" s="50"/>
      <c r="B118" s="50" t="s">
        <v>24</v>
      </c>
      <c r="C118" s="50"/>
      <c r="D118" s="52"/>
      <c r="E118" s="52">
        <f t="shared" ref="E118:H118" si="33">E119*E120</f>
        <v>600</v>
      </c>
      <c r="F118" s="52">
        <f t="shared" si="33"/>
        <v>0</v>
      </c>
      <c r="G118" s="52">
        <f t="shared" si="33"/>
        <v>0</v>
      </c>
      <c r="H118" s="52">
        <f t="shared" si="33"/>
        <v>0</v>
      </c>
    </row>
    <row r="119" spans="1:12" s="7" customFormat="1" x14ac:dyDescent="0.25">
      <c r="A119" s="5"/>
      <c r="B119" s="39" t="s">
        <v>53</v>
      </c>
      <c r="C119" s="5"/>
      <c r="D119" s="44"/>
      <c r="E119" s="44">
        <v>100</v>
      </c>
      <c r="F119" s="44">
        <v>0</v>
      </c>
      <c r="G119" s="44">
        <v>0</v>
      </c>
      <c r="H119" s="44">
        <v>0</v>
      </c>
      <c r="I119" s="62"/>
      <c r="J119" s="6"/>
      <c r="K119" s="6"/>
      <c r="L119" s="6"/>
    </row>
    <row r="120" spans="1:12" s="7" customFormat="1" x14ac:dyDescent="0.25">
      <c r="A120" s="5"/>
      <c r="B120" s="39" t="s">
        <v>54</v>
      </c>
      <c r="C120" s="5"/>
      <c r="D120" s="44"/>
      <c r="E120" s="44">
        <f>'Rates and GI'!D25</f>
        <v>6</v>
      </c>
      <c r="F120" s="44">
        <f>E120*(1+index)</f>
        <v>6.2579999999999991</v>
      </c>
      <c r="G120" s="44">
        <f>F120*(1+index)</f>
        <v>6.5270939999999991</v>
      </c>
      <c r="H120" s="44">
        <f>G120*(1+index)</f>
        <v>6.8077590419999989</v>
      </c>
      <c r="I120" s="62"/>
      <c r="J120" s="6"/>
      <c r="K120" s="6"/>
      <c r="L120" s="6"/>
    </row>
    <row r="122" spans="1:12" hidden="1" x14ac:dyDescent="0.25">
      <c r="A122" s="50"/>
      <c r="B122" s="50" t="s">
        <v>7</v>
      </c>
      <c r="C122" s="50"/>
      <c r="D122" s="52"/>
      <c r="E122" s="52"/>
      <c r="F122" s="52"/>
      <c r="G122" s="52"/>
      <c r="H122" s="52"/>
    </row>
    <row r="123" spans="1:12" s="7" customFormat="1" hidden="1" x14ac:dyDescent="0.25">
      <c r="A123" s="5"/>
      <c r="B123" s="4" t="s">
        <v>57</v>
      </c>
      <c r="C123" s="5"/>
      <c r="D123" s="44"/>
      <c r="E123" s="46"/>
      <c r="F123" s="46"/>
      <c r="G123" s="105"/>
      <c r="H123" s="105"/>
      <c r="I123" s="62"/>
      <c r="J123" s="6"/>
      <c r="K123" s="6"/>
      <c r="L123" s="6"/>
    </row>
    <row r="124" spans="1:12" s="43" customFormat="1" hidden="1" x14ac:dyDescent="0.25">
      <c r="A124" s="40"/>
      <c r="B124" s="41" t="s">
        <v>58</v>
      </c>
      <c r="C124" s="40" t="s">
        <v>55</v>
      </c>
      <c r="D124" s="71"/>
      <c r="E124" s="71"/>
      <c r="F124" s="71"/>
      <c r="G124" s="72"/>
      <c r="H124" s="72"/>
      <c r="I124" s="75"/>
      <c r="J124" s="42"/>
      <c r="K124" s="42"/>
      <c r="L124" s="42"/>
    </row>
    <row r="125" spans="1:12" s="40" customFormat="1" hidden="1" x14ac:dyDescent="0.25">
      <c r="B125" s="41" t="s">
        <v>56</v>
      </c>
      <c r="D125" s="71"/>
      <c r="E125" s="71"/>
      <c r="F125" s="71"/>
      <c r="G125" s="72"/>
      <c r="H125" s="72"/>
      <c r="I125" s="75"/>
      <c r="J125" s="42"/>
      <c r="K125" s="42"/>
      <c r="L125" s="42"/>
    </row>
    <row r="126" spans="1:12" s="40" customFormat="1" hidden="1" x14ac:dyDescent="0.25">
      <c r="B126" s="41" t="s">
        <v>59</v>
      </c>
      <c r="D126" s="71"/>
      <c r="E126" s="71"/>
      <c r="F126" s="71"/>
      <c r="G126" s="72"/>
      <c r="H126" s="72"/>
      <c r="I126" s="75"/>
      <c r="J126" s="42"/>
      <c r="K126" s="42"/>
      <c r="L126" s="42"/>
    </row>
    <row r="127" spans="1:12" hidden="1" x14ac:dyDescent="0.25"/>
    <row r="128" spans="1:12" x14ac:dyDescent="0.25">
      <c r="A128" s="50"/>
      <c r="B128" s="50" t="s">
        <v>26</v>
      </c>
      <c r="C128" s="50"/>
      <c r="D128" s="52"/>
      <c r="E128" s="52">
        <f>E133+E136</f>
        <v>3480</v>
      </c>
      <c r="F128" s="52">
        <f t="shared" ref="F128:H128" si="34">F133+F136</f>
        <v>1160</v>
      </c>
      <c r="G128" s="52">
        <f t="shared" si="34"/>
        <v>1160</v>
      </c>
      <c r="H128" s="52">
        <f t="shared" si="34"/>
        <v>1160</v>
      </c>
    </row>
    <row r="129" spans="1:12" s="5" customFormat="1" hidden="1" x14ac:dyDescent="0.25">
      <c r="B129" s="55" t="s">
        <v>60</v>
      </c>
      <c r="D129" s="44"/>
      <c r="E129" s="44"/>
      <c r="F129" s="44"/>
      <c r="G129" s="38"/>
      <c r="H129" s="38"/>
      <c r="I129" s="62"/>
      <c r="J129" s="6"/>
      <c r="K129" s="6"/>
      <c r="L129" s="6"/>
    </row>
    <row r="130" spans="1:12" s="5" customFormat="1" hidden="1" x14ac:dyDescent="0.25">
      <c r="B130" s="41" t="s">
        <v>147</v>
      </c>
      <c r="D130" s="44"/>
      <c r="E130" s="44"/>
      <c r="F130" s="44"/>
      <c r="G130" s="38"/>
      <c r="H130" s="38"/>
      <c r="I130" s="62"/>
      <c r="J130" s="6"/>
      <c r="K130" s="6"/>
      <c r="L130" s="6"/>
    </row>
    <row r="131" spans="1:12" s="5" customFormat="1" hidden="1" x14ac:dyDescent="0.25">
      <c r="B131" s="41" t="s">
        <v>146</v>
      </c>
      <c r="D131" s="44"/>
      <c r="E131" s="44"/>
      <c r="F131" s="44"/>
      <c r="G131" s="38"/>
      <c r="H131" s="38"/>
      <c r="I131" s="62"/>
      <c r="J131" s="6"/>
      <c r="K131" s="6"/>
      <c r="L131" s="6"/>
    </row>
    <row r="132" spans="1:12" s="5" customFormat="1" x14ac:dyDescent="0.25">
      <c r="B132" s="55" t="s">
        <v>123</v>
      </c>
      <c r="D132" s="44"/>
      <c r="E132" s="44"/>
      <c r="F132" s="44"/>
      <c r="G132" s="38"/>
      <c r="H132" s="38"/>
      <c r="I132" s="62"/>
      <c r="J132" s="6"/>
      <c r="K132" s="6"/>
      <c r="L132" s="6"/>
    </row>
    <row r="133" spans="1:12" s="5" customFormat="1" x14ac:dyDescent="0.25">
      <c r="B133" s="5" t="s">
        <v>592</v>
      </c>
      <c r="D133" s="44"/>
      <c r="E133" s="44">
        <f>E134*E135</f>
        <v>2880</v>
      </c>
      <c r="F133" s="44">
        <f t="shared" ref="F133:H133" si="35">F134*F135</f>
        <v>960</v>
      </c>
      <c r="G133" s="44">
        <f t="shared" si="35"/>
        <v>960</v>
      </c>
      <c r="H133" s="44">
        <f t="shared" si="35"/>
        <v>960</v>
      </c>
      <c r="I133" s="62"/>
      <c r="J133" s="6"/>
      <c r="K133" s="6"/>
      <c r="L133" s="6"/>
    </row>
    <row r="134" spans="1:12" s="5" customFormat="1" x14ac:dyDescent="0.25">
      <c r="B134" s="41" t="s">
        <v>277</v>
      </c>
      <c r="D134" s="44"/>
      <c r="E134" s="44">
        <v>480</v>
      </c>
      <c r="F134" s="44">
        <v>480</v>
      </c>
      <c r="G134" s="44">
        <v>480</v>
      </c>
      <c r="H134" s="44">
        <v>480</v>
      </c>
      <c r="I134" s="62"/>
      <c r="J134" s="6"/>
      <c r="K134" s="6"/>
      <c r="L134" s="6"/>
    </row>
    <row r="135" spans="1:12" s="5" customFormat="1" x14ac:dyDescent="0.25">
      <c r="B135" s="41" t="s">
        <v>274</v>
      </c>
      <c r="C135" s="5" t="s">
        <v>593</v>
      </c>
      <c r="D135" s="44"/>
      <c r="E135" s="44">
        <v>6</v>
      </c>
      <c r="F135" s="44">
        <v>2</v>
      </c>
      <c r="G135" s="38">
        <v>2</v>
      </c>
      <c r="H135" s="38">
        <v>2</v>
      </c>
      <c r="I135" s="62"/>
      <c r="J135" s="6"/>
      <c r="K135" s="6"/>
      <c r="L135" s="6"/>
    </row>
    <row r="136" spans="1:12" s="5" customFormat="1" x14ac:dyDescent="0.25">
      <c r="B136" s="5" t="s">
        <v>594</v>
      </c>
      <c r="D136" s="44"/>
      <c r="E136" s="44">
        <f>E137*E138</f>
        <v>600</v>
      </c>
      <c r="F136" s="44">
        <f t="shared" ref="F136:H136" si="36">F137*F138</f>
        <v>200</v>
      </c>
      <c r="G136" s="44">
        <f t="shared" si="36"/>
        <v>200</v>
      </c>
      <c r="H136" s="44">
        <f t="shared" si="36"/>
        <v>200</v>
      </c>
      <c r="I136" s="62"/>
      <c r="J136" s="6"/>
      <c r="K136" s="6"/>
      <c r="L136" s="6"/>
    </row>
    <row r="137" spans="1:12" s="5" customFormat="1" x14ac:dyDescent="0.25">
      <c r="B137" s="41" t="s">
        <v>277</v>
      </c>
      <c r="D137" s="44"/>
      <c r="E137" s="44">
        <v>100</v>
      </c>
      <c r="F137" s="44">
        <v>100</v>
      </c>
      <c r="G137" s="44">
        <v>100</v>
      </c>
      <c r="H137" s="44">
        <v>100</v>
      </c>
      <c r="I137" s="62"/>
      <c r="J137" s="6"/>
      <c r="K137" s="6"/>
      <c r="L137" s="6"/>
    </row>
    <row r="138" spans="1:12" s="5" customFormat="1" x14ac:dyDescent="0.25">
      <c r="B138" s="41" t="s">
        <v>274</v>
      </c>
      <c r="C138" s="5" t="s">
        <v>78</v>
      </c>
      <c r="D138" s="44"/>
      <c r="E138" s="44">
        <v>6</v>
      </c>
      <c r="F138" s="44">
        <v>2</v>
      </c>
      <c r="G138" s="38">
        <v>2</v>
      </c>
      <c r="H138" s="38">
        <v>2</v>
      </c>
      <c r="I138" s="62"/>
      <c r="J138" s="6"/>
      <c r="K138" s="6"/>
      <c r="L138" s="6"/>
    </row>
    <row r="139" spans="1:12" s="5" customFormat="1" hidden="1" x14ac:dyDescent="0.25">
      <c r="B139" s="55"/>
      <c r="D139" s="44"/>
      <c r="E139" s="44"/>
      <c r="F139" s="44"/>
      <c r="G139" s="38"/>
      <c r="H139" s="38"/>
      <c r="I139" s="62"/>
      <c r="J139" s="6"/>
      <c r="K139" s="6"/>
      <c r="L139" s="6"/>
    </row>
    <row r="140" spans="1:12" s="5" customFormat="1" hidden="1" x14ac:dyDescent="0.25">
      <c r="B140" s="41"/>
      <c r="D140" s="44"/>
      <c r="E140" s="44"/>
      <c r="F140" s="44"/>
      <c r="G140" s="44"/>
      <c r="H140" s="44"/>
      <c r="I140" s="62"/>
      <c r="J140" s="6"/>
      <c r="K140" s="6"/>
      <c r="L140" s="6"/>
    </row>
    <row r="141" spans="1:12" s="5" customFormat="1" x14ac:dyDescent="0.25">
      <c r="A141" s="228"/>
      <c r="B141" s="231"/>
      <c r="C141" s="228"/>
      <c r="D141" s="230"/>
      <c r="E141" s="230"/>
      <c r="F141" s="230"/>
      <c r="G141" s="230"/>
      <c r="H141" s="230"/>
      <c r="I141" s="62"/>
      <c r="J141" s="6"/>
      <c r="K141" s="6"/>
      <c r="L141" s="6"/>
    </row>
    <row r="142" spans="1:12" hidden="1" x14ac:dyDescent="0.25">
      <c r="A142" s="50"/>
      <c r="B142" s="50" t="s">
        <v>8</v>
      </c>
      <c r="C142" s="50"/>
      <c r="D142" s="52"/>
      <c r="E142" s="52"/>
      <c r="F142" s="52"/>
      <c r="G142" s="52"/>
      <c r="H142" s="52"/>
    </row>
    <row r="143" spans="1:12" s="5" customFormat="1" hidden="1" x14ac:dyDescent="0.25">
      <c r="B143" s="41" t="s">
        <v>147</v>
      </c>
      <c r="D143" s="44"/>
      <c r="E143" s="44"/>
      <c r="F143" s="44"/>
      <c r="G143" s="38"/>
      <c r="H143" s="38"/>
      <c r="I143" s="62"/>
      <c r="J143" s="6"/>
      <c r="K143" s="6"/>
      <c r="L143" s="6"/>
    </row>
    <row r="144" spans="1:12" s="5" customFormat="1" hidden="1" x14ac:dyDescent="0.25">
      <c r="B144" s="41" t="s">
        <v>146</v>
      </c>
      <c r="D144" s="44"/>
      <c r="E144" s="44"/>
      <c r="F144" s="44"/>
      <c r="G144" s="38"/>
      <c r="H144" s="38"/>
      <c r="I144" s="62"/>
      <c r="J144" s="6"/>
      <c r="K144" s="6"/>
      <c r="L144" s="6"/>
    </row>
    <row r="145" spans="1:12" hidden="1" x14ac:dyDescent="0.25"/>
    <row r="146" spans="1:12" hidden="1" x14ac:dyDescent="0.25">
      <c r="A146" s="50"/>
      <c r="B146" s="50" t="s">
        <v>25</v>
      </c>
      <c r="C146" s="50"/>
      <c r="D146" s="52"/>
      <c r="E146" s="52">
        <f>E147+E150</f>
        <v>0</v>
      </c>
      <c r="F146" s="52">
        <f t="shared" ref="F146:H146" si="37">F147+F150</f>
        <v>0</v>
      </c>
      <c r="G146" s="52">
        <f t="shared" si="37"/>
        <v>0</v>
      </c>
      <c r="H146" s="52">
        <f t="shared" si="37"/>
        <v>0</v>
      </c>
    </row>
    <row r="147" spans="1:12" s="5" customFormat="1" hidden="1" x14ac:dyDescent="0.25">
      <c r="B147" s="5" t="s">
        <v>205</v>
      </c>
      <c r="D147" s="44"/>
      <c r="E147" s="44"/>
      <c r="F147" s="44">
        <v>0</v>
      </c>
      <c r="G147" s="38"/>
      <c r="H147" s="38"/>
      <c r="I147" s="62"/>
      <c r="J147" s="6"/>
      <c r="K147" s="6"/>
      <c r="L147" s="6"/>
    </row>
    <row r="148" spans="1:12" s="5" customFormat="1" hidden="1" x14ac:dyDescent="0.25">
      <c r="B148" s="41"/>
      <c r="D148" s="44"/>
      <c r="E148" s="44"/>
      <c r="F148" s="44"/>
      <c r="G148" s="38"/>
      <c r="H148" s="38"/>
      <c r="I148" s="62"/>
      <c r="J148" s="6"/>
      <c r="K148" s="6"/>
      <c r="L148" s="6"/>
    </row>
    <row r="149" spans="1:12" s="5" customFormat="1" hidden="1" x14ac:dyDescent="0.25">
      <c r="B149" s="41"/>
      <c r="D149" s="44"/>
      <c r="E149" s="44"/>
      <c r="F149" s="44"/>
      <c r="G149" s="38"/>
      <c r="H149" s="38"/>
      <c r="I149" s="62"/>
      <c r="J149" s="6"/>
      <c r="K149" s="6"/>
      <c r="L149" s="6"/>
    </row>
    <row r="150" spans="1:12" s="5" customFormat="1" hidden="1" x14ac:dyDescent="0.25">
      <c r="B150" s="5" t="s">
        <v>154</v>
      </c>
      <c r="D150" s="44"/>
      <c r="E150" s="44">
        <f>E151+E152*E153</f>
        <v>0</v>
      </c>
      <c r="F150" s="44">
        <f>F151+F152*F153</f>
        <v>0</v>
      </c>
      <c r="G150" s="44">
        <f t="shared" ref="G150:H150" si="38">G151+G152*G153</f>
        <v>0</v>
      </c>
      <c r="H150" s="44">
        <f t="shared" si="38"/>
        <v>0</v>
      </c>
      <c r="I150" s="73"/>
    </row>
    <row r="151" spans="1:12" hidden="1" x14ac:dyDescent="0.25">
      <c r="B151" s="41" t="s">
        <v>153</v>
      </c>
      <c r="F151" s="44">
        <f>'Rates and GI'!D46*0</f>
        <v>0</v>
      </c>
    </row>
    <row r="152" spans="1:12" hidden="1" x14ac:dyDescent="0.25">
      <c r="B152" s="41" t="s">
        <v>159</v>
      </c>
      <c r="E152" s="60">
        <f>'Rates and GI'!$D$48</f>
        <v>0.02</v>
      </c>
      <c r="F152" s="60">
        <f>'Rates and GI'!$D$48</f>
        <v>0.02</v>
      </c>
      <c r="G152" s="60">
        <f>'Rates and GI'!$D$48</f>
        <v>0.02</v>
      </c>
      <c r="H152" s="60">
        <f>'Rates and GI'!$D$48</f>
        <v>0.02</v>
      </c>
    </row>
    <row r="153" spans="1:12" hidden="1" x14ac:dyDescent="0.25">
      <c r="B153" s="41" t="s">
        <v>160</v>
      </c>
      <c r="E153" s="44">
        <v>0</v>
      </c>
      <c r="F153" s="44">
        <v>0</v>
      </c>
      <c r="G153" s="44">
        <v>0</v>
      </c>
      <c r="H153" s="44">
        <v>0</v>
      </c>
    </row>
    <row r="154" spans="1:12" s="5" customFormat="1" hidden="1" x14ac:dyDescent="0.25">
      <c r="B154" s="41"/>
      <c r="D154" s="44"/>
      <c r="E154" s="44"/>
      <c r="F154" s="44"/>
      <c r="G154" s="38"/>
      <c r="H154" s="38"/>
      <c r="I154" s="62"/>
      <c r="J154" s="6"/>
      <c r="K154" s="6"/>
      <c r="L154" s="6"/>
    </row>
    <row r="155" spans="1:12" hidden="1" x14ac:dyDescent="0.25">
      <c r="A155" s="50"/>
      <c r="B155" s="50" t="s">
        <v>21</v>
      </c>
      <c r="C155" s="50"/>
      <c r="D155" s="52"/>
      <c r="E155" s="52">
        <f>E156*E157+E158*E159++E160*E161+E162*E163</f>
        <v>0</v>
      </c>
      <c r="F155" s="52">
        <f t="shared" ref="F155:H155" si="39">F156*F157+F158*F159++F160*F161+F162*F163</f>
        <v>0</v>
      </c>
      <c r="G155" s="52">
        <f t="shared" si="39"/>
        <v>0</v>
      </c>
      <c r="H155" s="52">
        <f t="shared" si="39"/>
        <v>0</v>
      </c>
    </row>
    <row r="156" spans="1:12" hidden="1" x14ac:dyDescent="0.25">
      <c r="B156" s="41" t="s">
        <v>150</v>
      </c>
      <c r="F156" s="44">
        <v>0</v>
      </c>
      <c r="G156" s="44">
        <v>0</v>
      </c>
      <c r="H156" s="44"/>
    </row>
    <row r="157" spans="1:12" hidden="1" x14ac:dyDescent="0.25">
      <c r="B157" s="41" t="s">
        <v>151</v>
      </c>
      <c r="E157" s="44">
        <f>'Rates and GI'!$D$58</f>
        <v>5000</v>
      </c>
      <c r="F157" s="44">
        <f>'Rates and GI'!$D$58</f>
        <v>5000</v>
      </c>
      <c r="G157" s="44">
        <f>'Rates and GI'!$D$58</f>
        <v>5000</v>
      </c>
      <c r="H157" s="44">
        <f>'Rates and GI'!$D$58</f>
        <v>5000</v>
      </c>
    </row>
    <row r="158" spans="1:12" hidden="1" x14ac:dyDescent="0.25">
      <c r="B158" s="41" t="s">
        <v>148</v>
      </c>
      <c r="E158" s="44">
        <v>0</v>
      </c>
      <c r="F158" s="44">
        <v>0</v>
      </c>
      <c r="G158" s="44">
        <v>0</v>
      </c>
      <c r="H158" s="44">
        <v>0</v>
      </c>
    </row>
    <row r="159" spans="1:12" hidden="1" x14ac:dyDescent="0.25">
      <c r="B159" s="41" t="s">
        <v>149</v>
      </c>
      <c r="E159" s="44">
        <f>'Rates and GI'!$D$59</f>
        <v>1500</v>
      </c>
      <c r="F159" s="44">
        <f>'Rates and GI'!$D$59</f>
        <v>1500</v>
      </c>
      <c r="G159" s="44">
        <f>'Rates and GI'!$D$59</f>
        <v>1500</v>
      </c>
      <c r="H159" s="44">
        <f>'Rates and GI'!$D$59</f>
        <v>1500</v>
      </c>
    </row>
    <row r="160" spans="1:12" ht="27" hidden="1" x14ac:dyDescent="0.25">
      <c r="B160" s="63" t="s">
        <v>162</v>
      </c>
      <c r="E160" s="44">
        <v>0</v>
      </c>
      <c r="F160" s="44">
        <v>0</v>
      </c>
      <c r="G160" s="44"/>
      <c r="H160" s="44">
        <v>0</v>
      </c>
    </row>
    <row r="161" spans="1:12" ht="27" hidden="1" x14ac:dyDescent="0.25">
      <c r="B161" s="63" t="s">
        <v>161</v>
      </c>
      <c r="E161" s="44">
        <f>'Rates and GI'!$D$60</f>
        <v>200</v>
      </c>
      <c r="F161" s="44">
        <f>'Rates and GI'!$D$60</f>
        <v>200</v>
      </c>
      <c r="G161" s="44">
        <f>'Rates and GI'!$D$60</f>
        <v>200</v>
      </c>
      <c r="H161" s="44">
        <f>'Rates and GI'!$D$60</f>
        <v>200</v>
      </c>
    </row>
    <row r="162" spans="1:12" s="5" customFormat="1" hidden="1" x14ac:dyDescent="0.25">
      <c r="B162" s="41" t="s">
        <v>217</v>
      </c>
      <c r="D162" s="44"/>
      <c r="E162" s="44">
        <v>0</v>
      </c>
      <c r="F162" s="44">
        <v>0</v>
      </c>
      <c r="G162" s="44">
        <v>0</v>
      </c>
      <c r="H162" s="44">
        <v>0</v>
      </c>
      <c r="I162" s="62"/>
      <c r="J162" s="6"/>
      <c r="K162" s="6"/>
      <c r="L162" s="6"/>
    </row>
    <row r="163" spans="1:12" s="5" customFormat="1" hidden="1" x14ac:dyDescent="0.25">
      <c r="B163" s="41" t="s">
        <v>214</v>
      </c>
      <c r="D163" s="44"/>
      <c r="E163" s="44">
        <f>'Rates and GI'!$D$61</f>
        <v>50</v>
      </c>
      <c r="F163" s="44">
        <f>'Rates and GI'!$D$61</f>
        <v>50</v>
      </c>
      <c r="G163" s="38">
        <f>'Rates and GI'!$D$61</f>
        <v>50</v>
      </c>
      <c r="H163" s="38">
        <f>'Rates and GI'!$D$61</f>
        <v>50</v>
      </c>
      <c r="I163" s="62"/>
      <c r="J163" s="6"/>
      <c r="K163" s="6"/>
      <c r="L163" s="6"/>
    </row>
    <row r="164" spans="1:12" hidden="1" x14ac:dyDescent="0.25">
      <c r="A164" s="50"/>
      <c r="B164" s="127"/>
      <c r="C164" s="50"/>
      <c r="D164" s="52"/>
      <c r="E164" s="52"/>
      <c r="F164" s="52"/>
      <c r="G164" s="52"/>
      <c r="H164" s="52"/>
    </row>
    <row r="165" spans="1:12" hidden="1" x14ac:dyDescent="0.25">
      <c r="A165" s="50"/>
      <c r="B165" s="50" t="s">
        <v>194</v>
      </c>
      <c r="C165" s="50"/>
      <c r="D165" s="52"/>
      <c r="E165" s="52">
        <f>E166+E169+E172+E181+E186</f>
        <v>0</v>
      </c>
      <c r="F165" s="52">
        <f t="shared" ref="F165:H165" si="40">F166+F169+F172+F181+F186</f>
        <v>0</v>
      </c>
      <c r="G165" s="52">
        <f t="shared" si="40"/>
        <v>0</v>
      </c>
      <c r="H165" s="52">
        <f t="shared" si="40"/>
        <v>0</v>
      </c>
    </row>
    <row r="166" spans="1:12" s="5" customFormat="1" hidden="1" x14ac:dyDescent="0.25">
      <c r="B166" s="5" t="s">
        <v>173</v>
      </c>
      <c r="D166" s="44"/>
      <c r="E166" s="44">
        <f>E167+E170*E171</f>
        <v>0</v>
      </c>
      <c r="F166" s="44">
        <f>F167+F170*F171</f>
        <v>0</v>
      </c>
      <c r="G166" s="44">
        <f>G167+G170*G171</f>
        <v>0</v>
      </c>
      <c r="H166" s="44">
        <f t="shared" ref="H166" si="41">H167+H170*H171</f>
        <v>0</v>
      </c>
      <c r="I166" s="73"/>
    </row>
    <row r="167" spans="1:12" hidden="1" x14ac:dyDescent="0.25">
      <c r="B167" s="41" t="s">
        <v>184</v>
      </c>
      <c r="F167" s="44">
        <f>('Rates and GI'!$D$45+'Rates and GI'!$D$49)*0</f>
        <v>0</v>
      </c>
      <c r="G167" s="44">
        <f>('Rates and GI'!$D$45+'Rates and GI'!$D$49)*0</f>
        <v>0</v>
      </c>
      <c r="H167" s="44"/>
    </row>
    <row r="168" spans="1:12" hidden="1" x14ac:dyDescent="0.25">
      <c r="B168" s="41" t="s">
        <v>187</v>
      </c>
      <c r="F168" s="44">
        <f>'Rates and GI'!$D$51*0</f>
        <v>0</v>
      </c>
      <c r="G168" s="44">
        <f>'Rates and GI'!$D$51*0</f>
        <v>0</v>
      </c>
      <c r="H168" s="44"/>
    </row>
    <row r="169" spans="1:12" hidden="1" x14ac:dyDescent="0.25">
      <c r="B169" s="5" t="s">
        <v>174</v>
      </c>
      <c r="E169" s="44">
        <f>E170*E171</f>
        <v>0</v>
      </c>
      <c r="F169" s="44">
        <f t="shared" ref="F169:H169" si="42">F170*F171</f>
        <v>0</v>
      </c>
      <c r="G169" s="44">
        <f t="shared" si="42"/>
        <v>0</v>
      </c>
      <c r="H169" s="44">
        <f t="shared" si="42"/>
        <v>0</v>
      </c>
    </row>
    <row r="170" spans="1:12" hidden="1" x14ac:dyDescent="0.25">
      <c r="B170" s="41" t="s">
        <v>164</v>
      </c>
      <c r="F170" s="44">
        <f>'Rates and GI'!$D$54</f>
        <v>24.066499999999998</v>
      </c>
      <c r="G170" s="44">
        <f>'Rates and GI'!$D$54</f>
        <v>24.066499999999998</v>
      </c>
      <c r="H170" s="44">
        <f>'Rates and GI'!$D$54</f>
        <v>24.066499999999998</v>
      </c>
    </row>
    <row r="171" spans="1:12" hidden="1" x14ac:dyDescent="0.25">
      <c r="B171" s="41" t="s">
        <v>163</v>
      </c>
      <c r="F171" s="44">
        <v>0</v>
      </c>
      <c r="G171" s="38">
        <v>0</v>
      </c>
      <c r="H171" s="38">
        <v>0</v>
      </c>
    </row>
    <row r="172" spans="1:12" hidden="1" x14ac:dyDescent="0.25">
      <c r="B172" s="5" t="s">
        <v>175</v>
      </c>
      <c r="E172" s="44">
        <f>E173+E177</f>
        <v>0</v>
      </c>
      <c r="F172" s="44">
        <f t="shared" ref="F172:H172" si="43">F173+F177</f>
        <v>0</v>
      </c>
      <c r="G172" s="44">
        <f t="shared" si="43"/>
        <v>0</v>
      </c>
      <c r="H172" s="44">
        <f t="shared" si="43"/>
        <v>0</v>
      </c>
    </row>
    <row r="173" spans="1:12" hidden="1" x14ac:dyDescent="0.25">
      <c r="B173" s="41" t="s">
        <v>189</v>
      </c>
      <c r="E173" s="44">
        <f>E174*E175</f>
        <v>0</v>
      </c>
      <c r="F173" s="44">
        <f t="shared" ref="F173:H173" si="44">F174*F175</f>
        <v>0</v>
      </c>
      <c r="G173" s="44">
        <f t="shared" si="44"/>
        <v>0</v>
      </c>
      <c r="H173" s="44">
        <f t="shared" si="44"/>
        <v>0</v>
      </c>
    </row>
    <row r="174" spans="1:12" hidden="1" x14ac:dyDescent="0.25">
      <c r="B174" s="41" t="s">
        <v>176</v>
      </c>
      <c r="C174" s="5" t="s">
        <v>177</v>
      </c>
      <c r="E174" s="44">
        <v>0</v>
      </c>
      <c r="F174" s="44">
        <v>0</v>
      </c>
      <c r="G174" s="38">
        <v>0</v>
      </c>
      <c r="H174" s="38">
        <v>0</v>
      </c>
    </row>
    <row r="175" spans="1:12" hidden="1" x14ac:dyDescent="0.25">
      <c r="B175" s="41" t="s">
        <v>178</v>
      </c>
      <c r="E175" s="44">
        <f>'Rates and GI'!$D$52</f>
        <v>150</v>
      </c>
      <c r="F175" s="44">
        <f>'Rates and GI'!$D$52</f>
        <v>150</v>
      </c>
      <c r="G175" s="44">
        <f>'Rates and GI'!$D$52</f>
        <v>150</v>
      </c>
      <c r="H175" s="44">
        <f>'Rates and GI'!$D$52</f>
        <v>150</v>
      </c>
    </row>
    <row r="176" spans="1:12" hidden="1" x14ac:dyDescent="0.25">
      <c r="B176" s="6"/>
    </row>
    <row r="177" spans="1:12" hidden="1" x14ac:dyDescent="0.25">
      <c r="B177" s="41" t="s">
        <v>190</v>
      </c>
      <c r="E177" s="44">
        <f>E178*E179</f>
        <v>0</v>
      </c>
      <c r="F177" s="44">
        <f t="shared" ref="F177:H177" si="45">F178*F179</f>
        <v>0</v>
      </c>
      <c r="G177" s="44">
        <f t="shared" si="45"/>
        <v>0</v>
      </c>
      <c r="H177" s="44">
        <f t="shared" si="45"/>
        <v>0</v>
      </c>
    </row>
    <row r="178" spans="1:12" hidden="1" x14ac:dyDescent="0.25">
      <c r="B178" s="41" t="s">
        <v>176</v>
      </c>
      <c r="C178" s="5" t="s">
        <v>177</v>
      </c>
      <c r="E178" s="44">
        <v>0</v>
      </c>
      <c r="F178" s="44">
        <v>0</v>
      </c>
      <c r="G178" s="38">
        <v>0</v>
      </c>
      <c r="H178" s="38">
        <v>0</v>
      </c>
    </row>
    <row r="179" spans="1:12" s="62" customFormat="1" hidden="1" x14ac:dyDescent="0.25">
      <c r="A179" s="5"/>
      <c r="B179" s="41" t="s">
        <v>178</v>
      </c>
      <c r="C179" s="5"/>
      <c r="D179" s="44"/>
      <c r="E179" s="44">
        <f>'Rates and GI'!$D$53</f>
        <v>20</v>
      </c>
      <c r="F179" s="44">
        <f>'Rates and GI'!$D$53</f>
        <v>20</v>
      </c>
      <c r="G179" s="44">
        <f>'Rates and GI'!$D$53</f>
        <v>20</v>
      </c>
      <c r="H179" s="44">
        <f>'Rates and GI'!$D$53</f>
        <v>20</v>
      </c>
      <c r="J179" s="6"/>
      <c r="K179" s="6"/>
      <c r="L179" s="6"/>
    </row>
    <row r="180" spans="1:12" s="62" customFormat="1" hidden="1" x14ac:dyDescent="0.25">
      <c r="A180" s="5"/>
      <c r="B180" s="6"/>
      <c r="C180" s="5"/>
      <c r="D180" s="44"/>
      <c r="E180" s="44"/>
      <c r="F180" s="44"/>
      <c r="G180" s="38"/>
      <c r="H180" s="38"/>
      <c r="J180" s="6"/>
      <c r="K180" s="6"/>
      <c r="L180" s="6"/>
    </row>
    <row r="181" spans="1:12" s="62" customFormat="1" hidden="1" x14ac:dyDescent="0.25">
      <c r="A181" s="5"/>
      <c r="B181" s="5" t="s">
        <v>179</v>
      </c>
      <c r="C181" s="5"/>
      <c r="D181" s="44"/>
      <c r="E181" s="44">
        <f>E182*E183*E184</f>
        <v>0</v>
      </c>
      <c r="F181" s="44">
        <f t="shared" ref="F181:H181" si="46">F182*F183*F184</f>
        <v>0</v>
      </c>
      <c r="G181" s="44">
        <f t="shared" si="46"/>
        <v>0</v>
      </c>
      <c r="H181" s="44">
        <f t="shared" si="46"/>
        <v>0</v>
      </c>
      <c r="J181" s="6"/>
      <c r="K181" s="6"/>
      <c r="L181" s="6"/>
    </row>
    <row r="182" spans="1:12" s="62" customFormat="1" hidden="1" x14ac:dyDescent="0.25">
      <c r="A182" s="5"/>
      <c r="B182" s="41" t="s">
        <v>191</v>
      </c>
      <c r="C182" s="5"/>
      <c r="D182" s="44"/>
      <c r="E182" s="44"/>
      <c r="F182" s="44">
        <f>'Rates and GI'!$D$55</f>
        <v>300</v>
      </c>
      <c r="G182" s="44">
        <f>'Rates and GI'!$D$55</f>
        <v>300</v>
      </c>
      <c r="H182" s="44">
        <f>'Rates and GI'!$D$55</f>
        <v>300</v>
      </c>
      <c r="J182" s="6"/>
      <c r="K182" s="6"/>
      <c r="L182" s="6"/>
    </row>
    <row r="183" spans="1:12" s="62" customFormat="1" hidden="1" x14ac:dyDescent="0.25">
      <c r="A183" s="5"/>
      <c r="B183" s="41" t="s">
        <v>192</v>
      </c>
      <c r="C183" s="5"/>
      <c r="D183" s="44"/>
      <c r="E183" s="44"/>
      <c r="F183" s="44">
        <v>3</v>
      </c>
      <c r="G183" s="44">
        <v>3</v>
      </c>
      <c r="H183" s="44">
        <v>3</v>
      </c>
      <c r="J183" s="6"/>
      <c r="K183" s="6"/>
      <c r="L183" s="6"/>
    </row>
    <row r="184" spans="1:12" s="62" customFormat="1" hidden="1" x14ac:dyDescent="0.25">
      <c r="A184" s="5"/>
      <c r="B184" s="41" t="s">
        <v>193</v>
      </c>
      <c r="C184" s="5"/>
      <c r="D184" s="44"/>
      <c r="E184" s="44"/>
      <c r="F184" s="44">
        <v>0</v>
      </c>
      <c r="G184" s="44">
        <v>0</v>
      </c>
      <c r="H184" s="44">
        <v>0</v>
      </c>
      <c r="J184" s="6"/>
      <c r="K184" s="6"/>
      <c r="L184" s="6"/>
    </row>
    <row r="185" spans="1:12" hidden="1" x14ac:dyDescent="0.25"/>
    <row r="186" spans="1:12" s="62" customFormat="1" hidden="1" x14ac:dyDescent="0.25">
      <c r="A186" s="5"/>
      <c r="B186" s="5" t="s">
        <v>172</v>
      </c>
      <c r="C186" s="5"/>
      <c r="D186" s="44"/>
      <c r="E186" s="44">
        <f>E187+E188*E189</f>
        <v>0</v>
      </c>
      <c r="F186" s="44">
        <f>F187+F188*F189</f>
        <v>0</v>
      </c>
      <c r="G186" s="44">
        <f>G187+G188*G189</f>
        <v>0</v>
      </c>
      <c r="H186" s="44">
        <f>H187+H188*H189</f>
        <v>0</v>
      </c>
      <c r="J186" s="6"/>
      <c r="K186" s="6"/>
      <c r="L186" s="6"/>
    </row>
    <row r="187" spans="1:12" s="62" customFormat="1" hidden="1" x14ac:dyDescent="0.25">
      <c r="A187" s="5"/>
      <c r="B187" s="41" t="s">
        <v>153</v>
      </c>
      <c r="C187" s="5"/>
      <c r="D187" s="44"/>
      <c r="E187" s="44"/>
      <c r="F187" s="44">
        <f>'Rates and GI'!D46*0</f>
        <v>0</v>
      </c>
      <c r="G187" s="38"/>
      <c r="H187" s="38"/>
      <c r="J187" s="6"/>
      <c r="K187" s="6"/>
      <c r="L187" s="6"/>
    </row>
    <row r="188" spans="1:12" s="62" customFormat="1" hidden="1" x14ac:dyDescent="0.25">
      <c r="A188" s="5"/>
      <c r="B188" s="41" t="s">
        <v>159</v>
      </c>
      <c r="C188" s="5"/>
      <c r="D188" s="44"/>
      <c r="E188" s="44"/>
      <c r="F188" s="65">
        <f>'Rates and GI'!$D$47</f>
        <v>0.05</v>
      </c>
      <c r="G188" s="65">
        <f>'Rates and GI'!$D$47</f>
        <v>0.05</v>
      </c>
      <c r="H188" s="65">
        <f>'Rates and GI'!$D$47</f>
        <v>0.05</v>
      </c>
      <c r="J188" s="6"/>
      <c r="K188" s="6"/>
      <c r="L188" s="6"/>
    </row>
    <row r="189" spans="1:12" s="62" customFormat="1" hidden="1" x14ac:dyDescent="0.25">
      <c r="A189" s="5"/>
      <c r="B189" s="41" t="s">
        <v>160</v>
      </c>
      <c r="C189" s="5"/>
      <c r="D189" s="44"/>
      <c r="E189" s="44"/>
      <c r="F189" s="44">
        <v>0</v>
      </c>
      <c r="G189" s="38">
        <v>0</v>
      </c>
      <c r="H189" s="38"/>
      <c r="J189" s="6"/>
      <c r="K189" s="6"/>
      <c r="L189" s="6"/>
    </row>
    <row r="190" spans="1:12" hidden="1" x14ac:dyDescent="0.25"/>
    <row r="191" spans="1:12" hidden="1" x14ac:dyDescent="0.25"/>
    <row r="192" spans="1:12" s="62" customFormat="1" hidden="1" x14ac:dyDescent="0.25">
      <c r="A192" s="50"/>
      <c r="B192" s="50" t="s">
        <v>19</v>
      </c>
      <c r="C192" s="50"/>
      <c r="D192" s="52"/>
      <c r="E192" s="52">
        <v>0</v>
      </c>
      <c r="F192" s="52">
        <v>0</v>
      </c>
      <c r="G192" s="52">
        <v>0</v>
      </c>
      <c r="H192" s="52">
        <v>0</v>
      </c>
      <c r="J192" s="6"/>
      <c r="K192" s="6"/>
      <c r="L192" s="6"/>
    </row>
    <row r="193" hidden="1" x14ac:dyDescent="0.25"/>
  </sheetData>
  <pageMargins left="0.7" right="0.7" top="0.75" bottom="0.75" header="0.3" footer="0.3"/>
  <pageSetup paperSize="9" scale="56" fitToHeight="0"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9"/>
  <sheetViews>
    <sheetView topLeftCell="A49" zoomScaleNormal="100" workbookViewId="0">
      <selection activeCell="B186" sqref="B186"/>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23</v>
      </c>
      <c r="B1" s="126" t="s">
        <v>563</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3711.75</v>
      </c>
      <c r="E5" s="44">
        <f>E63</f>
        <v>3711.75</v>
      </c>
      <c r="F5" s="44">
        <f t="shared" ref="F5:H5" si="1">F63</f>
        <v>0</v>
      </c>
      <c r="G5" s="44">
        <f t="shared" si="1"/>
        <v>0</v>
      </c>
      <c r="H5" s="44">
        <f t="shared" si="1"/>
        <v>0</v>
      </c>
    </row>
    <row r="6" spans="1:12" x14ac:dyDescent="0.25">
      <c r="B6" s="16" t="s">
        <v>168</v>
      </c>
      <c r="D6" s="44">
        <f t="shared" si="0"/>
        <v>0</v>
      </c>
      <c r="E6" s="44">
        <f>E68</f>
        <v>0</v>
      </c>
      <c r="F6" s="44">
        <f t="shared" ref="F6:H6" si="2">F68</f>
        <v>0</v>
      </c>
      <c r="G6" s="44">
        <f t="shared" si="2"/>
        <v>0</v>
      </c>
      <c r="H6" s="44">
        <f t="shared" si="2"/>
        <v>0</v>
      </c>
    </row>
    <row r="7" spans="1:12" ht="14.25" thickBot="1" x14ac:dyDescent="0.3">
      <c r="A7" s="13"/>
      <c r="B7" s="13" t="s">
        <v>5</v>
      </c>
      <c r="C7" s="13"/>
      <c r="D7" s="47">
        <f>SUBTOTAL(9,D5:D6)</f>
        <v>3711.75</v>
      </c>
      <c r="E7" s="47">
        <f>SUBTOTAL(9,E5:E6)</f>
        <v>3711.75</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E88</f>
        <v>0</v>
      </c>
      <c r="F10" s="44">
        <f t="shared" ref="F10:H10" si="4">F88</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E96</f>
        <v>0</v>
      </c>
      <c r="F15" s="44">
        <f t="shared" ref="F15:H15" si="7">F96</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E100</f>
        <v>0</v>
      </c>
      <c r="F20" s="44">
        <f t="shared" ref="F20:H20" si="10">F100</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E110</f>
        <v>0</v>
      </c>
      <c r="F25" s="44">
        <f t="shared" ref="F25:H25" si="13">F110</f>
        <v>0</v>
      </c>
      <c r="G25" s="44">
        <f t="shared" si="13"/>
        <v>0</v>
      </c>
      <c r="H25" s="44">
        <f t="shared" si="13"/>
        <v>0</v>
      </c>
    </row>
    <row r="26" spans="1:12" x14ac:dyDescent="0.25">
      <c r="B26" s="16" t="s">
        <v>25</v>
      </c>
      <c r="D26" s="44">
        <f t="shared" ref="D26" si="14">SUM(E26:H26)</f>
        <v>0</v>
      </c>
      <c r="E26" s="44">
        <f>E131</f>
        <v>0</v>
      </c>
      <c r="F26" s="44">
        <f t="shared" ref="F26:H26" si="15">F131</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E120</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E150</f>
        <v>0</v>
      </c>
      <c r="F46" s="44">
        <f t="shared" ref="F46:H46" si="23">F150</f>
        <v>0</v>
      </c>
      <c r="G46" s="44">
        <f t="shared" si="23"/>
        <v>0</v>
      </c>
      <c r="H46" s="44">
        <f t="shared" si="23"/>
        <v>0</v>
      </c>
    </row>
    <row r="47" spans="1:12" x14ac:dyDescent="0.25">
      <c r="A47" s="3"/>
      <c r="B47" s="3" t="s">
        <v>21</v>
      </c>
      <c r="C47" s="3"/>
      <c r="D47" s="44">
        <f t="shared" si="22"/>
        <v>0</v>
      </c>
      <c r="E47" s="44">
        <f>E140</f>
        <v>0</v>
      </c>
      <c r="F47" s="44">
        <f t="shared" ref="F47:H47" si="24">F140</f>
        <v>0</v>
      </c>
      <c r="G47" s="44">
        <f t="shared" si="24"/>
        <v>0</v>
      </c>
      <c r="H47" s="44">
        <f t="shared" si="24"/>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3711.75</v>
      </c>
      <c r="E50" s="49">
        <f>SUBTOTAL(9,E5:E48)</f>
        <v>3711.75</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564</v>
      </c>
      <c r="E63" s="44">
        <f>E64*E65</f>
        <v>3711.75</v>
      </c>
      <c r="F63" s="44">
        <f t="shared" ref="F63:H63" si="25">F64*F65</f>
        <v>0</v>
      </c>
      <c r="G63" s="44">
        <f t="shared" si="25"/>
        <v>0</v>
      </c>
      <c r="H63" s="44">
        <f t="shared" si="25"/>
        <v>0</v>
      </c>
    </row>
    <row r="64" spans="1:9" x14ac:dyDescent="0.25">
      <c r="A64" s="9"/>
      <c r="B64" s="9" t="s">
        <v>618</v>
      </c>
      <c r="C64" s="9" t="s">
        <v>113</v>
      </c>
      <c r="E64" s="44">
        <f>10*21</f>
        <v>210</v>
      </c>
      <c r="F64" s="44">
        <v>0</v>
      </c>
      <c r="G64" s="44">
        <v>0</v>
      </c>
      <c r="H64" s="44">
        <v>0</v>
      </c>
    </row>
    <row r="65" spans="1:12" x14ac:dyDescent="0.25">
      <c r="A65" s="9"/>
      <c r="B65" s="242" t="s">
        <v>40</v>
      </c>
      <c r="C65" s="9"/>
      <c r="E65" s="44">
        <f>'Rates and GI'!D12</f>
        <v>17.675000000000001</v>
      </c>
      <c r="F65" s="44">
        <f>E65*(1+index)</f>
        <v>18.435025</v>
      </c>
      <c r="G65" s="44">
        <f>F65*(1+index)</f>
        <v>19.227731074999998</v>
      </c>
      <c r="H65" s="44">
        <f>G65*(1+index)</f>
        <v>20.054523511224996</v>
      </c>
    </row>
    <row r="66" spans="1:12" x14ac:dyDescent="0.25">
      <c r="A66" s="9"/>
      <c r="B66" s="241" t="s">
        <v>619</v>
      </c>
      <c r="C66" s="9"/>
      <c r="G66" s="44"/>
      <c r="H66" s="44"/>
    </row>
    <row r="68" spans="1:12" s="7" customFormat="1" hidden="1" x14ac:dyDescent="0.25">
      <c r="A68" s="5"/>
      <c r="B68" s="5" t="s">
        <v>168</v>
      </c>
      <c r="C68" s="5"/>
      <c r="D68" s="44"/>
      <c r="E68" s="44">
        <f>E69*E70</f>
        <v>0</v>
      </c>
      <c r="F68" s="44">
        <f t="shared" ref="F68:H68" si="26">F69*F70</f>
        <v>0</v>
      </c>
      <c r="G68" s="44">
        <f t="shared" si="26"/>
        <v>0</v>
      </c>
      <c r="H68" s="44">
        <f t="shared" si="26"/>
        <v>0</v>
      </c>
      <c r="I68" s="62"/>
      <c r="J68" s="6"/>
      <c r="K68" s="6"/>
      <c r="L68" s="6"/>
    </row>
    <row r="69" spans="1:12" s="7" customFormat="1" hidden="1" x14ac:dyDescent="0.25">
      <c r="A69" s="9"/>
      <c r="B69" s="9" t="s">
        <v>170</v>
      </c>
      <c r="C69" s="9" t="s">
        <v>113</v>
      </c>
      <c r="D69" s="44"/>
      <c r="E69" s="44">
        <v>0</v>
      </c>
      <c r="F69" s="44">
        <v>0</v>
      </c>
      <c r="G69" s="44">
        <v>0</v>
      </c>
      <c r="H69" s="44">
        <v>0</v>
      </c>
      <c r="I69" s="62"/>
      <c r="J69" s="6"/>
      <c r="K69" s="6"/>
      <c r="L69" s="6"/>
    </row>
    <row r="70" spans="1:12" s="7" customFormat="1" hidden="1" x14ac:dyDescent="0.25">
      <c r="A70" s="9"/>
      <c r="B70" s="9" t="s">
        <v>40</v>
      </c>
      <c r="C70" s="9"/>
      <c r="D70" s="44"/>
      <c r="E70" s="44">
        <f>'Rates and GI'!D13</f>
        <v>162.21599999999998</v>
      </c>
      <c r="F70" s="44">
        <f>E70*(1+index)</f>
        <v>169.19128799999996</v>
      </c>
      <c r="G70" s="44">
        <f>F70*(1+index)</f>
        <v>176.46651338399994</v>
      </c>
      <c r="H70" s="44">
        <f>G70*(1+index)</f>
        <v>184.05457345951191</v>
      </c>
      <c r="I70" s="62"/>
      <c r="J70" s="6"/>
      <c r="K70" s="6"/>
      <c r="L70" s="6"/>
    </row>
    <row r="71" spans="1:12" hidden="1" x14ac:dyDescent="0.25"/>
    <row r="72" spans="1:12" s="7" customFormat="1" hidden="1" x14ac:dyDescent="0.25">
      <c r="A72" s="5"/>
      <c r="B72" s="5" t="s">
        <v>1</v>
      </c>
      <c r="C72" s="5"/>
      <c r="D72" s="44"/>
      <c r="E72" s="44"/>
      <c r="F72" s="44"/>
      <c r="G72" s="38"/>
      <c r="H72" s="38"/>
      <c r="I72" s="62"/>
      <c r="J72" s="6"/>
      <c r="K72" s="6"/>
      <c r="L72" s="6"/>
    </row>
    <row r="73" spans="1:12" s="7" customFormat="1" hidden="1" x14ac:dyDescent="0.25">
      <c r="A73" s="9"/>
      <c r="B73" s="9" t="s">
        <v>41</v>
      </c>
      <c r="C73" s="9"/>
      <c r="D73" s="44"/>
      <c r="E73" s="44">
        <v>0</v>
      </c>
      <c r="F73" s="44"/>
      <c r="G73" s="38"/>
      <c r="H73" s="38"/>
      <c r="I73" s="62"/>
      <c r="J73" s="6"/>
      <c r="K73" s="6"/>
      <c r="L73" s="6"/>
    </row>
    <row r="74" spans="1:12" s="7" customFormat="1" hidden="1" x14ac:dyDescent="0.25">
      <c r="A74" s="9"/>
      <c r="B74" s="9" t="s">
        <v>42</v>
      </c>
      <c r="C74" s="9"/>
      <c r="D74" s="44"/>
      <c r="E74" s="44">
        <v>0</v>
      </c>
      <c r="F74" s="44"/>
      <c r="G74" s="38"/>
      <c r="H74" s="38"/>
      <c r="I74" s="62"/>
      <c r="J74" s="6"/>
      <c r="K74" s="6"/>
      <c r="L74" s="6"/>
    </row>
    <row r="75" spans="1:12" s="7" customFormat="1" hidden="1" x14ac:dyDescent="0.25">
      <c r="A75" s="9"/>
      <c r="B75" s="9" t="s">
        <v>43</v>
      </c>
      <c r="C75" s="9"/>
      <c r="D75" s="44"/>
      <c r="E75" s="44">
        <v>0</v>
      </c>
      <c r="F75" s="44"/>
      <c r="G75" s="38"/>
      <c r="H75" s="38"/>
      <c r="I75" s="62"/>
      <c r="J75" s="6"/>
      <c r="K75" s="6"/>
      <c r="L75" s="6"/>
    </row>
    <row r="76" spans="1:12" s="7" customFormat="1" hidden="1" x14ac:dyDescent="0.25">
      <c r="A76" s="9"/>
      <c r="B76" s="9" t="s">
        <v>44</v>
      </c>
      <c r="C76" s="9"/>
      <c r="D76" s="44"/>
      <c r="E76" s="44">
        <v>0</v>
      </c>
      <c r="F76" s="44"/>
      <c r="G76" s="38"/>
      <c r="H76" s="38"/>
      <c r="I76" s="62"/>
      <c r="J76" s="6"/>
      <c r="K76" s="6"/>
      <c r="L76" s="6"/>
    </row>
    <row r="77" spans="1:12" hidden="1" x14ac:dyDescent="0.25"/>
    <row r="78" spans="1:12" s="7" customFormat="1" hidden="1" x14ac:dyDescent="0.25">
      <c r="A78" s="5"/>
      <c r="B78" s="5" t="s">
        <v>3</v>
      </c>
      <c r="C78" s="5"/>
      <c r="D78" s="44"/>
      <c r="E78" s="44"/>
      <c r="F78" s="44"/>
      <c r="G78" s="38"/>
      <c r="H78" s="38"/>
      <c r="I78" s="62"/>
      <c r="J78" s="6"/>
      <c r="K78" s="6"/>
      <c r="L78" s="6"/>
    </row>
    <row r="79" spans="1:12" s="7" customFormat="1" hidden="1" x14ac:dyDescent="0.25">
      <c r="A79" s="9"/>
      <c r="B79" s="9" t="s">
        <v>45</v>
      </c>
      <c r="C79" s="9"/>
      <c r="D79" s="44"/>
      <c r="E79" s="44">
        <v>0</v>
      </c>
      <c r="F79" s="44"/>
      <c r="G79" s="38"/>
      <c r="H79" s="38"/>
      <c r="I79" s="62"/>
      <c r="J79" s="6"/>
      <c r="K79" s="6"/>
      <c r="L79" s="6"/>
    </row>
    <row r="80" spans="1:12" s="7" customFormat="1" hidden="1" x14ac:dyDescent="0.25">
      <c r="A80" s="9"/>
      <c r="B80" s="9" t="s">
        <v>46</v>
      </c>
      <c r="C80" s="9"/>
      <c r="D80" s="44"/>
      <c r="E80" s="44">
        <v>0</v>
      </c>
      <c r="F80" s="44"/>
      <c r="G80" s="38"/>
      <c r="H80" s="38"/>
      <c r="I80" s="62"/>
      <c r="J80" s="6"/>
      <c r="K80" s="6"/>
      <c r="L80" s="6"/>
    </row>
    <row r="81" spans="1:12" hidden="1" x14ac:dyDescent="0.25"/>
    <row r="82" spans="1:12" s="7" customFormat="1" hidden="1" x14ac:dyDescent="0.25">
      <c r="A82" s="5"/>
      <c r="B82" s="5" t="s">
        <v>4</v>
      </c>
      <c r="C82" s="5"/>
      <c r="D82" s="44"/>
      <c r="E82" s="44"/>
      <c r="F82" s="44"/>
      <c r="G82" s="38"/>
      <c r="H82" s="38"/>
      <c r="I82" s="62"/>
      <c r="J82" s="6"/>
      <c r="K82" s="6"/>
      <c r="L82" s="6"/>
    </row>
    <row r="83" spans="1:12" s="7" customFormat="1" hidden="1" x14ac:dyDescent="0.25">
      <c r="A83" s="9"/>
      <c r="B83" s="9" t="s">
        <v>47</v>
      </c>
      <c r="C83" s="9"/>
      <c r="D83" s="44"/>
      <c r="E83" s="44">
        <v>0</v>
      </c>
      <c r="F83" s="44"/>
      <c r="G83" s="38"/>
      <c r="H83" s="38"/>
      <c r="I83" s="62"/>
      <c r="J83" s="6"/>
      <c r="K83" s="6"/>
      <c r="L83" s="6"/>
    </row>
    <row r="84" spans="1:12" s="7" customFormat="1" hidden="1" x14ac:dyDescent="0.25">
      <c r="A84" s="9"/>
      <c r="B84" s="9" t="s">
        <v>48</v>
      </c>
      <c r="C84" s="9"/>
      <c r="D84" s="44"/>
      <c r="E84" s="44">
        <v>0</v>
      </c>
      <c r="F84" s="44"/>
      <c r="G84" s="38"/>
      <c r="H84" s="38"/>
      <c r="I84" s="62"/>
      <c r="J84" s="6"/>
      <c r="K84" s="6"/>
      <c r="L84" s="6"/>
    </row>
    <row r="85" spans="1:12" hidden="1" x14ac:dyDescent="0.25"/>
    <row r="86" spans="1:12" s="7" customFormat="1" hidden="1" x14ac:dyDescent="0.25">
      <c r="A86" s="9"/>
      <c r="B86" s="9" t="s">
        <v>39</v>
      </c>
      <c r="C86" s="9"/>
      <c r="D86" s="44"/>
      <c r="E86" s="46"/>
      <c r="F86" s="44"/>
      <c r="G86" s="38"/>
      <c r="H86" s="38"/>
      <c r="I86" s="62"/>
      <c r="J86" s="6"/>
      <c r="K86" s="6"/>
      <c r="L86" s="6"/>
    </row>
    <row r="87" spans="1:12" hidden="1" x14ac:dyDescent="0.25"/>
    <row r="88" spans="1:12" hidden="1" x14ac:dyDescent="0.25">
      <c r="A88" s="50"/>
      <c r="B88" s="50" t="s">
        <v>10</v>
      </c>
      <c r="C88" s="50"/>
      <c r="D88" s="52"/>
      <c r="E88" s="52">
        <f>E89*E90+E92*E93</f>
        <v>0</v>
      </c>
      <c r="F88" s="52">
        <f t="shared" ref="F88:H88" si="27">F89*F90+F92*F93</f>
        <v>0</v>
      </c>
      <c r="G88" s="52">
        <f t="shared" si="27"/>
        <v>0</v>
      </c>
      <c r="H88" s="52">
        <f t="shared" si="27"/>
        <v>0</v>
      </c>
    </row>
    <row r="89" spans="1:12" s="7" customFormat="1" hidden="1" x14ac:dyDescent="0.25">
      <c r="A89" s="5"/>
      <c r="B89" s="9" t="s">
        <v>49</v>
      </c>
      <c r="C89" s="5"/>
      <c r="D89" s="44"/>
      <c r="E89" s="44">
        <v>0</v>
      </c>
      <c r="F89" s="44">
        <v>0</v>
      </c>
      <c r="G89" s="44">
        <v>0</v>
      </c>
      <c r="H89" s="44">
        <v>0</v>
      </c>
      <c r="I89" s="62"/>
      <c r="J89" s="6"/>
      <c r="K89" s="6"/>
      <c r="L89" s="6"/>
    </row>
    <row r="90" spans="1:12" s="7" customFormat="1" hidden="1" x14ac:dyDescent="0.25">
      <c r="A90" s="5"/>
      <c r="B90" s="9" t="s">
        <v>50</v>
      </c>
      <c r="C90" s="5"/>
      <c r="D90" s="44"/>
      <c r="E90" s="44">
        <f>Trips!$B$10</f>
        <v>908.23176058823537</v>
      </c>
      <c r="F90" s="44">
        <f>Trips!$B$10</f>
        <v>908.23176058823537</v>
      </c>
      <c r="G90" s="44">
        <f>Trips!$B$10</f>
        <v>908.23176058823537</v>
      </c>
      <c r="H90" s="44">
        <f>Trips!$B$10</f>
        <v>908.23176058823537</v>
      </c>
      <c r="I90" s="62"/>
      <c r="J90" s="6"/>
      <c r="K90" s="6"/>
      <c r="L90" s="6"/>
    </row>
    <row r="91" spans="1:12" hidden="1" x14ac:dyDescent="0.25"/>
    <row r="92" spans="1:12" s="7" customFormat="1" hidden="1" x14ac:dyDescent="0.25">
      <c r="A92" s="5"/>
      <c r="B92" s="9" t="s">
        <v>51</v>
      </c>
      <c r="C92" s="5"/>
      <c r="D92" s="44"/>
      <c r="E92" s="44">
        <v>0</v>
      </c>
      <c r="F92" s="44">
        <v>0</v>
      </c>
      <c r="G92" s="44">
        <v>0</v>
      </c>
      <c r="H92" s="44">
        <v>0</v>
      </c>
      <c r="I92" s="62"/>
      <c r="J92" s="6"/>
      <c r="K92" s="6"/>
      <c r="L92" s="6"/>
    </row>
    <row r="93" spans="1:12" s="7" customFormat="1" hidden="1" x14ac:dyDescent="0.25">
      <c r="A93" s="5"/>
      <c r="B93" s="9" t="s">
        <v>52</v>
      </c>
      <c r="C93" s="5"/>
      <c r="D93" s="44"/>
      <c r="E93" s="44">
        <f>Trips!$B$5</f>
        <v>52</v>
      </c>
      <c r="F93" s="44">
        <f>Trips!$B$5</f>
        <v>52</v>
      </c>
      <c r="G93" s="44">
        <f>Trips!$B$5</f>
        <v>52</v>
      </c>
      <c r="H93" s="44">
        <f>Trips!$B$5</f>
        <v>52</v>
      </c>
      <c r="I93" s="62"/>
      <c r="J93" s="6"/>
      <c r="K93" s="6"/>
      <c r="L93" s="6"/>
    </row>
    <row r="94" spans="1:12" hidden="1" x14ac:dyDescent="0.25"/>
    <row r="95" spans="1:12" hidden="1" x14ac:dyDescent="0.25"/>
    <row r="96" spans="1:12" hidden="1" x14ac:dyDescent="0.25">
      <c r="A96" s="50"/>
      <c r="B96" s="50" t="s">
        <v>171</v>
      </c>
      <c r="C96" s="50"/>
      <c r="D96" s="52"/>
      <c r="E96" s="52">
        <f>E97*E98</f>
        <v>0</v>
      </c>
      <c r="F96" s="52">
        <f t="shared" ref="F96:H96" si="28">F97*F98</f>
        <v>0</v>
      </c>
      <c r="G96" s="52">
        <f t="shared" si="28"/>
        <v>0</v>
      </c>
      <c r="H96" s="52">
        <f t="shared" si="28"/>
        <v>0</v>
      </c>
    </row>
    <row r="97" spans="1:12" s="7" customFormat="1" hidden="1" x14ac:dyDescent="0.25">
      <c r="A97" s="10"/>
      <c r="B97" s="39" t="s">
        <v>144</v>
      </c>
      <c r="C97" s="10" t="s">
        <v>145</v>
      </c>
      <c r="D97" s="44"/>
      <c r="E97" s="44">
        <v>0</v>
      </c>
      <c r="F97" s="44">
        <v>0</v>
      </c>
      <c r="G97" s="44">
        <v>0</v>
      </c>
      <c r="H97" s="44">
        <v>0</v>
      </c>
      <c r="I97" s="62"/>
      <c r="J97" s="6"/>
      <c r="K97" s="6"/>
      <c r="L97" s="6"/>
    </row>
    <row r="98" spans="1:12" s="7" customFormat="1" hidden="1" x14ac:dyDescent="0.25">
      <c r="A98" s="5"/>
      <c r="B98" s="39" t="s">
        <v>141</v>
      </c>
      <c r="C98" s="5"/>
      <c r="D98" s="44"/>
      <c r="E98" s="44">
        <f>Trips!B41</f>
        <v>631.70365882352939</v>
      </c>
      <c r="F98" s="44">
        <f>E98*(1+index)</f>
        <v>658.86691615294114</v>
      </c>
      <c r="G98" s="44">
        <f>F98*(1+index)</f>
        <v>687.19819354751758</v>
      </c>
      <c r="H98" s="44">
        <f>G98*(1+index)</f>
        <v>716.7477158700608</v>
      </c>
      <c r="I98" s="62"/>
      <c r="J98" s="6"/>
      <c r="K98" s="6"/>
      <c r="L98" s="6"/>
    </row>
    <row r="99" spans="1:12" hidden="1" x14ac:dyDescent="0.25"/>
    <row r="100" spans="1:12" hidden="1" x14ac:dyDescent="0.25">
      <c r="A100" s="50"/>
      <c r="B100" s="50" t="s">
        <v>130</v>
      </c>
      <c r="C100" s="50"/>
      <c r="D100" s="52"/>
      <c r="E100" s="52">
        <f>E101*E102+E103*E104+E105</f>
        <v>0</v>
      </c>
      <c r="F100" s="52">
        <f t="shared" ref="F100:H100" si="29">F101*F102+F103*F104+F105</f>
        <v>0</v>
      </c>
      <c r="G100" s="52">
        <f t="shared" si="29"/>
        <v>0</v>
      </c>
      <c r="H100" s="52">
        <f t="shared" si="29"/>
        <v>0</v>
      </c>
    </row>
    <row r="101" spans="1:12" hidden="1" x14ac:dyDescent="0.25">
      <c r="B101" s="39" t="s">
        <v>131</v>
      </c>
      <c r="C101" s="5" t="s">
        <v>132</v>
      </c>
      <c r="F101" s="44">
        <f>Training!$C$33</f>
        <v>81.10799999999999</v>
      </c>
      <c r="G101" s="44">
        <f>Training!$C$33</f>
        <v>81.10799999999999</v>
      </c>
      <c r="H101" s="44">
        <f>Training!$C$33</f>
        <v>81.10799999999999</v>
      </c>
    </row>
    <row r="102" spans="1:12" hidden="1" x14ac:dyDescent="0.25">
      <c r="B102" s="39" t="s">
        <v>133</v>
      </c>
      <c r="F102" s="44">
        <f>F89</f>
        <v>0</v>
      </c>
      <c r="G102" s="44">
        <f t="shared" ref="G102:H102" si="30">G89</f>
        <v>0</v>
      </c>
      <c r="H102" s="44">
        <f t="shared" si="30"/>
        <v>0</v>
      </c>
    </row>
    <row r="103" spans="1:12" hidden="1" x14ac:dyDescent="0.25">
      <c r="B103" s="39" t="s">
        <v>134</v>
      </c>
      <c r="F103" s="44">
        <f>Training!C$23</f>
        <v>709.375</v>
      </c>
      <c r="G103" s="44">
        <f>F103*(1+index)</f>
        <v>739.87812499999995</v>
      </c>
      <c r="H103" s="44">
        <f>G103*(1+index)</f>
        <v>771.69288437499995</v>
      </c>
    </row>
    <row r="104" spans="1:12" hidden="1" x14ac:dyDescent="0.25">
      <c r="B104" s="39" t="s">
        <v>135</v>
      </c>
      <c r="E104" s="44">
        <v>0</v>
      </c>
      <c r="F104" s="44">
        <v>0</v>
      </c>
      <c r="G104" s="33">
        <v>0</v>
      </c>
      <c r="H104" s="33">
        <v>0</v>
      </c>
    </row>
    <row r="105" spans="1:12" hidden="1" x14ac:dyDescent="0.25">
      <c r="B105" s="130" t="s">
        <v>245</v>
      </c>
      <c r="E105" s="44">
        <f>E106*E108</f>
        <v>0</v>
      </c>
      <c r="F105" s="44">
        <f t="shared" ref="F105:H105" si="31">F106*F108</f>
        <v>0</v>
      </c>
      <c r="G105" s="44">
        <f t="shared" si="31"/>
        <v>0</v>
      </c>
      <c r="H105" s="44">
        <f t="shared" si="31"/>
        <v>0</v>
      </c>
    </row>
    <row r="106" spans="1:12" hidden="1" x14ac:dyDescent="0.25">
      <c r="B106" s="39" t="s">
        <v>203</v>
      </c>
      <c r="C106" s="5" t="s">
        <v>137</v>
      </c>
      <c r="E106" s="44">
        <f>Training!C39</f>
        <v>561.6</v>
      </c>
      <c r="F106" s="44">
        <f>E106*(1+index)</f>
        <v>585.74879999999996</v>
      </c>
      <c r="G106" s="44">
        <f>F106*(1+index)</f>
        <v>610.9359983999999</v>
      </c>
      <c r="H106" s="44">
        <f>G106*(1+index)</f>
        <v>637.20624633119985</v>
      </c>
    </row>
    <row r="107" spans="1:12" hidden="1" x14ac:dyDescent="0.25">
      <c r="B107" s="39" t="s">
        <v>244</v>
      </c>
      <c r="E107" s="34"/>
      <c r="F107" s="34"/>
      <c r="G107" s="34"/>
      <c r="H107" s="34"/>
    </row>
    <row r="108" spans="1:12" hidden="1" x14ac:dyDescent="0.25">
      <c r="B108" s="39" t="s">
        <v>133</v>
      </c>
      <c r="C108" s="10"/>
      <c r="E108" s="44">
        <v>0</v>
      </c>
      <c r="F108" s="44">
        <v>0</v>
      </c>
      <c r="G108" s="44">
        <v>0</v>
      </c>
      <c r="H108" s="44">
        <v>0</v>
      </c>
    </row>
    <row r="109" spans="1:12" hidden="1" x14ac:dyDescent="0.25">
      <c r="B109" s="39"/>
    </row>
    <row r="110" spans="1:12" hidden="1" x14ac:dyDescent="0.25">
      <c r="A110" s="50"/>
      <c r="B110" s="50" t="s">
        <v>24</v>
      </c>
      <c r="C110" s="50"/>
      <c r="D110" s="52"/>
      <c r="E110" s="52">
        <f t="shared" ref="E110:H110" si="32">E111*E112</f>
        <v>0</v>
      </c>
      <c r="F110" s="52">
        <f t="shared" si="32"/>
        <v>0</v>
      </c>
      <c r="G110" s="52">
        <f t="shared" si="32"/>
        <v>0</v>
      </c>
      <c r="H110" s="52">
        <f t="shared" si="32"/>
        <v>0</v>
      </c>
    </row>
    <row r="111" spans="1:12" s="7" customFormat="1" hidden="1" x14ac:dyDescent="0.25">
      <c r="A111" s="5"/>
      <c r="B111" s="39" t="s">
        <v>53</v>
      </c>
      <c r="C111" s="5"/>
      <c r="D111" s="44"/>
      <c r="E111" s="44">
        <v>0</v>
      </c>
      <c r="F111" s="44">
        <v>0</v>
      </c>
      <c r="G111" s="44">
        <v>0</v>
      </c>
      <c r="H111" s="44">
        <v>0</v>
      </c>
      <c r="I111" s="62"/>
      <c r="J111" s="6"/>
      <c r="K111" s="6"/>
      <c r="L111" s="6"/>
    </row>
    <row r="112" spans="1:12" s="7" customFormat="1" hidden="1" x14ac:dyDescent="0.25">
      <c r="A112" s="5"/>
      <c r="B112" s="39" t="s">
        <v>54</v>
      </c>
      <c r="C112" s="5"/>
      <c r="D112" s="44"/>
      <c r="E112" s="44">
        <f>'Rates and GI'!D25</f>
        <v>6</v>
      </c>
      <c r="F112" s="44">
        <f>E112*(1+index)</f>
        <v>6.2579999999999991</v>
      </c>
      <c r="G112" s="44">
        <f>F112*(1+index)</f>
        <v>6.5270939999999991</v>
      </c>
      <c r="H112" s="44">
        <f>G112*(1+index)</f>
        <v>6.8077590419999989</v>
      </c>
      <c r="I112" s="62"/>
      <c r="J112" s="6"/>
      <c r="K112" s="6"/>
      <c r="L112" s="6"/>
    </row>
    <row r="113" spans="1:12" hidden="1" x14ac:dyDescent="0.25"/>
    <row r="114" spans="1:12" hidden="1" x14ac:dyDescent="0.25">
      <c r="A114" s="50"/>
      <c r="B114" s="50" t="s">
        <v>7</v>
      </c>
      <c r="C114" s="50"/>
      <c r="D114" s="52"/>
      <c r="E114" s="52"/>
      <c r="F114" s="52"/>
      <c r="G114" s="52"/>
      <c r="H114" s="52"/>
    </row>
    <row r="115" spans="1:12" s="7" customFormat="1" hidden="1" x14ac:dyDescent="0.25">
      <c r="A115" s="5"/>
      <c r="B115" s="4" t="s">
        <v>57</v>
      </c>
      <c r="C115" s="5"/>
      <c r="D115" s="44"/>
      <c r="E115" s="46"/>
      <c r="F115" s="46"/>
      <c r="G115" s="105"/>
      <c r="H115" s="105"/>
      <c r="I115" s="62"/>
      <c r="J115" s="6"/>
      <c r="K115" s="6"/>
      <c r="L115" s="6"/>
    </row>
    <row r="116" spans="1:12" s="43" customFormat="1" hidden="1" x14ac:dyDescent="0.25">
      <c r="A116" s="40"/>
      <c r="B116" s="41" t="s">
        <v>58</v>
      </c>
      <c r="C116" s="40" t="s">
        <v>55</v>
      </c>
      <c r="D116" s="71"/>
      <c r="E116" s="71"/>
      <c r="F116" s="71"/>
      <c r="G116" s="72"/>
      <c r="H116" s="72"/>
      <c r="I116" s="75"/>
      <c r="J116" s="42"/>
      <c r="K116" s="42"/>
      <c r="L116" s="42"/>
    </row>
    <row r="117" spans="1:12" s="40" customFormat="1" hidden="1" x14ac:dyDescent="0.25">
      <c r="B117" s="41" t="s">
        <v>56</v>
      </c>
      <c r="D117" s="71"/>
      <c r="E117" s="71"/>
      <c r="F117" s="71"/>
      <c r="G117" s="72"/>
      <c r="H117" s="72"/>
      <c r="I117" s="75"/>
      <c r="J117" s="42"/>
      <c r="K117" s="42"/>
      <c r="L117" s="42"/>
    </row>
    <row r="118" spans="1:12" s="40" customFormat="1" hidden="1" x14ac:dyDescent="0.25">
      <c r="B118" s="41" t="s">
        <v>59</v>
      </c>
      <c r="D118" s="71"/>
      <c r="E118" s="71"/>
      <c r="F118" s="71"/>
      <c r="G118" s="72"/>
      <c r="H118" s="72"/>
      <c r="I118" s="75"/>
      <c r="J118" s="42"/>
      <c r="K118" s="42"/>
      <c r="L118" s="42"/>
    </row>
    <row r="119" spans="1:12" hidden="1" x14ac:dyDescent="0.25"/>
    <row r="120" spans="1:12" hidden="1" x14ac:dyDescent="0.25">
      <c r="A120" s="50"/>
      <c r="B120" s="50" t="s">
        <v>26</v>
      </c>
      <c r="C120" s="50"/>
      <c r="D120" s="52"/>
      <c r="E120" s="52">
        <f>E125*E126</f>
        <v>0</v>
      </c>
      <c r="F120" s="52">
        <f>F125*F126</f>
        <v>0</v>
      </c>
      <c r="G120" s="52"/>
      <c r="H120" s="52"/>
    </row>
    <row r="121" spans="1:12" s="5" customFormat="1" hidden="1" x14ac:dyDescent="0.25">
      <c r="B121" s="55" t="s">
        <v>60</v>
      </c>
      <c r="D121" s="44"/>
      <c r="E121" s="44"/>
      <c r="F121" s="44"/>
      <c r="G121" s="38"/>
      <c r="H121" s="38"/>
      <c r="I121" s="62"/>
      <c r="J121" s="6"/>
      <c r="K121" s="6"/>
      <c r="L121" s="6"/>
    </row>
    <row r="122" spans="1:12" s="5" customFormat="1" hidden="1" x14ac:dyDescent="0.25">
      <c r="B122" s="41" t="s">
        <v>147</v>
      </c>
      <c r="D122" s="44"/>
      <c r="E122" s="44"/>
      <c r="F122" s="44"/>
      <c r="G122" s="38"/>
      <c r="H122" s="38"/>
      <c r="I122" s="62"/>
      <c r="J122" s="6"/>
      <c r="K122" s="6"/>
      <c r="L122" s="6"/>
    </row>
    <row r="123" spans="1:12" s="5" customFormat="1" hidden="1" x14ac:dyDescent="0.25">
      <c r="B123" s="41" t="s">
        <v>146</v>
      </c>
      <c r="D123" s="44"/>
      <c r="E123" s="44"/>
      <c r="F123" s="44"/>
      <c r="G123" s="38"/>
      <c r="H123" s="38"/>
      <c r="I123" s="62"/>
      <c r="J123" s="6"/>
      <c r="K123" s="6"/>
      <c r="L123" s="6"/>
    </row>
    <row r="124" spans="1:12" s="5" customFormat="1" hidden="1" x14ac:dyDescent="0.25">
      <c r="B124" s="55" t="s">
        <v>123</v>
      </c>
      <c r="D124" s="44"/>
      <c r="E124" s="44"/>
      <c r="F124" s="44"/>
      <c r="G124" s="38"/>
      <c r="H124" s="38"/>
      <c r="I124" s="62"/>
      <c r="J124" s="6"/>
      <c r="K124" s="6"/>
      <c r="L124" s="6"/>
    </row>
    <row r="125" spans="1:12" s="5" customFormat="1" hidden="1" x14ac:dyDescent="0.25">
      <c r="B125" s="41" t="s">
        <v>147</v>
      </c>
      <c r="D125" s="44"/>
      <c r="E125" s="44">
        <f>'Rates and GI'!$D$31</f>
        <v>350</v>
      </c>
      <c r="F125" s="44">
        <f>'Rates and GI'!$D$31</f>
        <v>350</v>
      </c>
      <c r="G125" s="44">
        <f>'Rates and GI'!$D$31</f>
        <v>350</v>
      </c>
      <c r="H125" s="44">
        <f>'Rates and GI'!$D$31</f>
        <v>350</v>
      </c>
      <c r="I125" s="62"/>
      <c r="J125" s="6"/>
      <c r="K125" s="6"/>
      <c r="L125" s="6"/>
    </row>
    <row r="126" spans="1:12" s="5" customFormat="1" hidden="1" x14ac:dyDescent="0.25">
      <c r="B126" s="41" t="s">
        <v>146</v>
      </c>
      <c r="D126" s="44"/>
      <c r="E126" s="44">
        <v>0</v>
      </c>
      <c r="F126" s="44">
        <v>0</v>
      </c>
      <c r="G126" s="38"/>
      <c r="H126" s="38"/>
      <c r="I126" s="62"/>
      <c r="J126" s="6"/>
      <c r="K126" s="6"/>
      <c r="L126" s="6"/>
    </row>
    <row r="127" spans="1:12" s="5" customFormat="1" hidden="1" x14ac:dyDescent="0.25">
      <c r="B127" s="55" t="s">
        <v>8</v>
      </c>
      <c r="D127" s="44"/>
      <c r="E127" s="44"/>
      <c r="F127" s="44"/>
      <c r="G127" s="38"/>
      <c r="H127" s="38"/>
      <c r="I127" s="62"/>
      <c r="J127" s="6"/>
      <c r="K127" s="6"/>
      <c r="L127" s="6"/>
    </row>
    <row r="128" spans="1:12" s="5" customFormat="1" hidden="1" x14ac:dyDescent="0.25">
      <c r="B128" s="41" t="s">
        <v>147</v>
      </c>
      <c r="D128" s="44"/>
      <c r="E128" s="44"/>
      <c r="F128" s="44"/>
      <c r="G128" s="38"/>
      <c r="H128" s="38"/>
      <c r="I128" s="62"/>
      <c r="J128" s="6"/>
      <c r="K128" s="6"/>
      <c r="L128" s="6"/>
    </row>
    <row r="129" spans="1:12" s="5" customFormat="1" hidden="1" x14ac:dyDescent="0.25">
      <c r="B129" s="41" t="s">
        <v>146</v>
      </c>
      <c r="D129" s="44"/>
      <c r="E129" s="44"/>
      <c r="F129" s="44"/>
      <c r="G129" s="38"/>
      <c r="H129" s="38"/>
      <c r="I129" s="62"/>
      <c r="J129" s="6"/>
      <c r="K129" s="6"/>
      <c r="L129" s="6"/>
    </row>
    <row r="130" spans="1:12" hidden="1" x14ac:dyDescent="0.25"/>
    <row r="131" spans="1:12" hidden="1" x14ac:dyDescent="0.25">
      <c r="A131" s="50"/>
      <c r="B131" s="50" t="s">
        <v>25</v>
      </c>
      <c r="C131" s="50"/>
      <c r="D131" s="52"/>
      <c r="E131" s="52">
        <f>E132+E135</f>
        <v>0</v>
      </c>
      <c r="F131" s="52">
        <f t="shared" ref="F131:H131" si="33">F132+F135</f>
        <v>0</v>
      </c>
      <c r="G131" s="52">
        <f t="shared" si="33"/>
        <v>0</v>
      </c>
      <c r="H131" s="52">
        <f t="shared" si="33"/>
        <v>0</v>
      </c>
    </row>
    <row r="132" spans="1:12" s="5" customFormat="1" hidden="1" x14ac:dyDescent="0.25">
      <c r="B132" s="5" t="s">
        <v>205</v>
      </c>
      <c r="D132" s="44"/>
      <c r="E132" s="44"/>
      <c r="F132" s="44">
        <v>0</v>
      </c>
      <c r="G132" s="38"/>
      <c r="H132" s="38"/>
      <c r="I132" s="62"/>
      <c r="J132" s="6"/>
      <c r="K132" s="6"/>
      <c r="L132" s="6"/>
    </row>
    <row r="133" spans="1:12" s="5" customFormat="1" hidden="1" x14ac:dyDescent="0.25">
      <c r="B133" s="41"/>
      <c r="D133" s="44"/>
      <c r="E133" s="44"/>
      <c r="F133" s="44"/>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5" t="s">
        <v>154</v>
      </c>
      <c r="D135" s="44"/>
      <c r="E135" s="44">
        <f>E136+E137*E138</f>
        <v>0</v>
      </c>
      <c r="F135" s="44">
        <f>F136+F137*F138</f>
        <v>0</v>
      </c>
      <c r="G135" s="44">
        <f t="shared" ref="G135:H135" si="34">G136+G137*G138</f>
        <v>0</v>
      </c>
      <c r="H135" s="44">
        <f t="shared" si="34"/>
        <v>0</v>
      </c>
      <c r="I135" s="73"/>
    </row>
    <row r="136" spans="1:12" hidden="1" x14ac:dyDescent="0.25">
      <c r="B136" s="41" t="s">
        <v>153</v>
      </c>
      <c r="F136" s="44">
        <f>'Rates and GI'!D46*0</f>
        <v>0</v>
      </c>
    </row>
    <row r="137" spans="1:12" hidden="1" x14ac:dyDescent="0.25">
      <c r="B137" s="41" t="s">
        <v>159</v>
      </c>
      <c r="E137" s="60">
        <f>'Rates and GI'!$D$48</f>
        <v>0.02</v>
      </c>
      <c r="F137" s="60">
        <f>'Rates and GI'!$D$48</f>
        <v>0.02</v>
      </c>
      <c r="G137" s="60">
        <f>'Rates and GI'!$D$48</f>
        <v>0.02</v>
      </c>
      <c r="H137" s="60">
        <f>'Rates and GI'!$D$48</f>
        <v>0.02</v>
      </c>
    </row>
    <row r="138" spans="1:12" hidden="1" x14ac:dyDescent="0.25">
      <c r="B138" s="41" t="s">
        <v>160</v>
      </c>
      <c r="E138" s="44">
        <v>0</v>
      </c>
      <c r="F138" s="44">
        <v>0</v>
      </c>
      <c r="G138" s="44">
        <v>0</v>
      </c>
      <c r="H138" s="44">
        <v>0</v>
      </c>
    </row>
    <row r="139" spans="1:12" s="5" customFormat="1" hidden="1" x14ac:dyDescent="0.25">
      <c r="B139" s="41"/>
      <c r="D139" s="44"/>
      <c r="E139" s="44"/>
      <c r="F139" s="44"/>
      <c r="G139" s="38"/>
      <c r="H139" s="38"/>
      <c r="I139" s="62"/>
      <c r="J139" s="6"/>
      <c r="K139" s="6"/>
      <c r="L139" s="6"/>
    </row>
    <row r="140" spans="1:12" hidden="1" x14ac:dyDescent="0.25">
      <c r="A140" s="50"/>
      <c r="B140" s="50" t="s">
        <v>21</v>
      </c>
      <c r="C140" s="50"/>
      <c r="D140" s="52"/>
      <c r="E140" s="52">
        <f>E141*E142+E143*E144++E145*E146+E147*E148</f>
        <v>0</v>
      </c>
      <c r="F140" s="52">
        <f t="shared" ref="F140:H140" si="35">F141*F142+F143*F144++F145*F146+F147*F148</f>
        <v>0</v>
      </c>
      <c r="G140" s="52">
        <f t="shared" si="35"/>
        <v>0</v>
      </c>
      <c r="H140" s="52">
        <f t="shared" si="35"/>
        <v>0</v>
      </c>
    </row>
    <row r="141" spans="1:12" hidden="1" x14ac:dyDescent="0.25">
      <c r="B141" s="41" t="s">
        <v>150</v>
      </c>
      <c r="F141" s="44">
        <v>0</v>
      </c>
      <c r="G141" s="44">
        <v>0</v>
      </c>
      <c r="H141" s="44"/>
    </row>
    <row r="142" spans="1:12" hidden="1" x14ac:dyDescent="0.25">
      <c r="B142" s="41" t="s">
        <v>151</v>
      </c>
      <c r="E142" s="44">
        <f>'Rates and GI'!$D$58</f>
        <v>5000</v>
      </c>
      <c r="F142" s="44">
        <f>'Rates and GI'!$D$58</f>
        <v>5000</v>
      </c>
      <c r="G142" s="44">
        <f>'Rates and GI'!$D$58</f>
        <v>5000</v>
      </c>
      <c r="H142" s="44">
        <f>'Rates and GI'!$D$58</f>
        <v>5000</v>
      </c>
    </row>
    <row r="143" spans="1:12" hidden="1" x14ac:dyDescent="0.25">
      <c r="B143" s="41" t="s">
        <v>148</v>
      </c>
      <c r="E143" s="44">
        <v>0</v>
      </c>
      <c r="F143" s="44">
        <v>0</v>
      </c>
      <c r="G143" s="44">
        <v>0</v>
      </c>
      <c r="H143" s="44">
        <v>0</v>
      </c>
    </row>
    <row r="144" spans="1:12" hidden="1" x14ac:dyDescent="0.25">
      <c r="B144" s="41" t="s">
        <v>149</v>
      </c>
      <c r="E144" s="44">
        <f>'Rates and GI'!$D$59</f>
        <v>1500</v>
      </c>
      <c r="F144" s="44">
        <f>'Rates and GI'!$D$59</f>
        <v>1500</v>
      </c>
      <c r="G144" s="44">
        <f>'Rates and GI'!$D$59</f>
        <v>1500</v>
      </c>
      <c r="H144" s="44">
        <f>'Rates and GI'!$D$59</f>
        <v>1500</v>
      </c>
    </row>
    <row r="145" spans="1:12" ht="27" hidden="1" x14ac:dyDescent="0.25">
      <c r="B145" s="63" t="s">
        <v>162</v>
      </c>
      <c r="E145" s="44">
        <v>0</v>
      </c>
      <c r="F145" s="44">
        <v>0</v>
      </c>
      <c r="G145" s="44"/>
      <c r="H145" s="44">
        <v>0</v>
      </c>
    </row>
    <row r="146" spans="1:12" ht="27" hidden="1" x14ac:dyDescent="0.25">
      <c r="B146" s="63" t="s">
        <v>161</v>
      </c>
      <c r="E146" s="44">
        <f>'Rates and GI'!$D$60</f>
        <v>200</v>
      </c>
      <c r="F146" s="44">
        <f>'Rates and GI'!$D$60</f>
        <v>200</v>
      </c>
      <c r="G146" s="44">
        <f>'Rates and GI'!$D$60</f>
        <v>200</v>
      </c>
      <c r="H146" s="44">
        <f>'Rates and GI'!$D$60</f>
        <v>200</v>
      </c>
    </row>
    <row r="147" spans="1:12" s="5" customFormat="1" hidden="1" x14ac:dyDescent="0.25">
      <c r="B147" s="41" t="s">
        <v>217</v>
      </c>
      <c r="D147" s="44"/>
      <c r="E147" s="44">
        <v>0</v>
      </c>
      <c r="F147" s="44">
        <v>0</v>
      </c>
      <c r="G147" s="44">
        <v>0</v>
      </c>
      <c r="H147" s="44">
        <v>0</v>
      </c>
      <c r="I147" s="62"/>
      <c r="J147" s="6"/>
      <c r="K147" s="6"/>
      <c r="L147" s="6"/>
    </row>
    <row r="148" spans="1:12" s="5" customFormat="1" hidden="1" x14ac:dyDescent="0.25">
      <c r="B148" s="41" t="s">
        <v>214</v>
      </c>
      <c r="D148" s="44"/>
      <c r="E148" s="44">
        <f>'Rates and GI'!$D$61</f>
        <v>50</v>
      </c>
      <c r="F148" s="44">
        <f>'Rates and GI'!$D$61</f>
        <v>50</v>
      </c>
      <c r="G148" s="38">
        <f>'Rates and GI'!$D$61</f>
        <v>50</v>
      </c>
      <c r="H148" s="38">
        <f>'Rates and GI'!$D$61</f>
        <v>50</v>
      </c>
      <c r="I148" s="62"/>
      <c r="J148" s="6"/>
      <c r="K148" s="6"/>
      <c r="L148" s="6"/>
    </row>
    <row r="149" spans="1:12" hidden="1" x14ac:dyDescent="0.25">
      <c r="A149" s="50"/>
      <c r="B149" s="127"/>
      <c r="C149" s="50"/>
      <c r="D149" s="52"/>
      <c r="E149" s="52"/>
      <c r="F149" s="52"/>
      <c r="G149" s="52"/>
      <c r="H149" s="52"/>
    </row>
    <row r="150" spans="1:12" hidden="1" x14ac:dyDescent="0.25">
      <c r="A150" s="50"/>
      <c r="B150" s="50" t="s">
        <v>194</v>
      </c>
      <c r="C150" s="50"/>
      <c r="D150" s="52"/>
      <c r="E150" s="52">
        <f>E151+E154+E157+E166+E171</f>
        <v>0</v>
      </c>
      <c r="F150" s="52">
        <f t="shared" ref="F150:H150" si="36">F151+F154+F157+F166+F171</f>
        <v>0</v>
      </c>
      <c r="G150" s="52">
        <f t="shared" si="36"/>
        <v>0</v>
      </c>
      <c r="H150" s="52">
        <f t="shared" si="36"/>
        <v>0</v>
      </c>
    </row>
    <row r="151" spans="1:12" s="5" customFormat="1" hidden="1" x14ac:dyDescent="0.25">
      <c r="B151" s="5" t="s">
        <v>173</v>
      </c>
      <c r="D151" s="44"/>
      <c r="E151" s="44">
        <f>E152+E155*E156</f>
        <v>0</v>
      </c>
      <c r="F151" s="44">
        <f>F152+F155*F156</f>
        <v>0</v>
      </c>
      <c r="G151" s="44">
        <f>G152+G155*G156</f>
        <v>0</v>
      </c>
      <c r="H151" s="44">
        <f t="shared" ref="H151" si="37">H152+H155*H156</f>
        <v>0</v>
      </c>
      <c r="I151" s="73"/>
    </row>
    <row r="152" spans="1:12" hidden="1" x14ac:dyDescent="0.25">
      <c r="B152" s="41" t="s">
        <v>184</v>
      </c>
      <c r="F152" s="44">
        <f>('Rates and GI'!$D$45+'Rates and GI'!$D$49)*0</f>
        <v>0</v>
      </c>
      <c r="G152" s="44">
        <f>('Rates and GI'!$D$45+'Rates and GI'!$D$49)*0</f>
        <v>0</v>
      </c>
      <c r="H152" s="44"/>
    </row>
    <row r="153" spans="1:12" hidden="1" x14ac:dyDescent="0.25">
      <c r="B153" s="41" t="s">
        <v>187</v>
      </c>
      <c r="F153" s="44">
        <f>'Rates and GI'!$D$51*0</f>
        <v>0</v>
      </c>
      <c r="G153" s="44">
        <f>'Rates and GI'!$D$51*0</f>
        <v>0</v>
      </c>
      <c r="H153" s="44"/>
    </row>
    <row r="154" spans="1:12" hidden="1" x14ac:dyDescent="0.25">
      <c r="B154" s="5" t="s">
        <v>174</v>
      </c>
      <c r="E154" s="44">
        <f>E155*E156</f>
        <v>0</v>
      </c>
      <c r="F154" s="44">
        <f t="shared" ref="F154:H154" si="38">F155*F156</f>
        <v>0</v>
      </c>
      <c r="G154" s="44">
        <f t="shared" si="38"/>
        <v>0</v>
      </c>
      <c r="H154" s="44">
        <f t="shared" si="38"/>
        <v>0</v>
      </c>
    </row>
    <row r="155" spans="1:12" hidden="1" x14ac:dyDescent="0.25">
      <c r="B155" s="41" t="s">
        <v>164</v>
      </c>
      <c r="F155" s="44">
        <f>'Rates and GI'!$D$54</f>
        <v>24.066499999999998</v>
      </c>
      <c r="G155" s="44">
        <f>'Rates and GI'!$D$54</f>
        <v>24.066499999999998</v>
      </c>
      <c r="H155" s="44">
        <f>'Rates and GI'!$D$54</f>
        <v>24.066499999999998</v>
      </c>
    </row>
    <row r="156" spans="1:12" hidden="1" x14ac:dyDescent="0.25">
      <c r="B156" s="41" t="s">
        <v>163</v>
      </c>
      <c r="F156" s="44">
        <v>0</v>
      </c>
      <c r="G156" s="38">
        <v>0</v>
      </c>
      <c r="H156" s="38">
        <v>0</v>
      </c>
    </row>
    <row r="157" spans="1:12" hidden="1" x14ac:dyDescent="0.25">
      <c r="B157" s="5" t="s">
        <v>175</v>
      </c>
      <c r="E157" s="44">
        <f>E158+E162</f>
        <v>0</v>
      </c>
      <c r="F157" s="44">
        <f t="shared" ref="F157:H157" si="39">F158+F162</f>
        <v>0</v>
      </c>
      <c r="G157" s="44">
        <f t="shared" si="39"/>
        <v>0</v>
      </c>
      <c r="H157" s="44">
        <f t="shared" si="39"/>
        <v>0</v>
      </c>
    </row>
    <row r="158" spans="1:12" hidden="1" x14ac:dyDescent="0.25">
      <c r="B158" s="41" t="s">
        <v>189</v>
      </c>
      <c r="E158" s="44">
        <f>E159*E160</f>
        <v>0</v>
      </c>
      <c r="F158" s="44">
        <f t="shared" ref="F158:H158" si="40">F159*F160</f>
        <v>0</v>
      </c>
      <c r="G158" s="44">
        <f t="shared" si="40"/>
        <v>0</v>
      </c>
      <c r="H158" s="44">
        <f t="shared" si="40"/>
        <v>0</v>
      </c>
    </row>
    <row r="159" spans="1:12" hidden="1" x14ac:dyDescent="0.25">
      <c r="B159" s="41" t="s">
        <v>176</v>
      </c>
      <c r="C159" s="5" t="s">
        <v>177</v>
      </c>
      <c r="E159" s="44">
        <v>0</v>
      </c>
      <c r="F159" s="44">
        <v>0</v>
      </c>
      <c r="G159" s="38">
        <v>0</v>
      </c>
      <c r="H159" s="38">
        <v>0</v>
      </c>
    </row>
    <row r="160" spans="1:12" hidden="1" x14ac:dyDescent="0.25">
      <c r="B160" s="41" t="s">
        <v>178</v>
      </c>
      <c r="E160" s="44">
        <f>'Rates and GI'!$D$52</f>
        <v>150</v>
      </c>
      <c r="F160" s="44">
        <f>'Rates and GI'!$D$52</f>
        <v>150</v>
      </c>
      <c r="G160" s="44">
        <f>'Rates and GI'!$D$52</f>
        <v>150</v>
      </c>
      <c r="H160" s="44">
        <f>'Rates and GI'!$D$52</f>
        <v>150</v>
      </c>
    </row>
    <row r="161" spans="1:12" hidden="1" x14ac:dyDescent="0.25">
      <c r="B161" s="6"/>
    </row>
    <row r="162" spans="1:12" hidden="1" x14ac:dyDescent="0.25">
      <c r="B162" s="41" t="s">
        <v>190</v>
      </c>
      <c r="E162" s="44">
        <f>E163*E164</f>
        <v>0</v>
      </c>
      <c r="F162" s="44">
        <f t="shared" ref="F162:H162" si="41">F163*F164</f>
        <v>0</v>
      </c>
      <c r="G162" s="44">
        <f t="shared" si="41"/>
        <v>0</v>
      </c>
      <c r="H162" s="44">
        <f t="shared" si="41"/>
        <v>0</v>
      </c>
    </row>
    <row r="163" spans="1:12" hidden="1" x14ac:dyDescent="0.25">
      <c r="B163" s="41" t="s">
        <v>176</v>
      </c>
      <c r="C163" s="5" t="s">
        <v>177</v>
      </c>
      <c r="E163" s="44">
        <v>0</v>
      </c>
      <c r="F163" s="44">
        <v>0</v>
      </c>
      <c r="G163" s="38">
        <v>0</v>
      </c>
      <c r="H163" s="38">
        <v>0</v>
      </c>
    </row>
    <row r="164" spans="1:12" s="62" customFormat="1" hidden="1" x14ac:dyDescent="0.25">
      <c r="A164" s="5"/>
      <c r="B164" s="41" t="s">
        <v>178</v>
      </c>
      <c r="C164" s="5"/>
      <c r="D164" s="44"/>
      <c r="E164" s="44">
        <f>'Rates and GI'!$D$53</f>
        <v>20</v>
      </c>
      <c r="F164" s="44">
        <f>'Rates and GI'!$D$53</f>
        <v>20</v>
      </c>
      <c r="G164" s="44">
        <f>'Rates and GI'!$D$53</f>
        <v>20</v>
      </c>
      <c r="H164" s="44">
        <f>'Rates and GI'!$D$53</f>
        <v>20</v>
      </c>
      <c r="J164" s="6"/>
      <c r="K164" s="6"/>
      <c r="L164" s="6"/>
    </row>
    <row r="165" spans="1:12" s="62" customFormat="1" hidden="1" x14ac:dyDescent="0.25">
      <c r="A165" s="5"/>
      <c r="B165" s="6"/>
      <c r="C165" s="5"/>
      <c r="D165" s="44"/>
      <c r="E165" s="44"/>
      <c r="F165" s="44"/>
      <c r="G165" s="38"/>
      <c r="H165" s="38"/>
      <c r="J165" s="6"/>
      <c r="K165" s="6"/>
      <c r="L165" s="6"/>
    </row>
    <row r="166" spans="1:12" s="62" customFormat="1" hidden="1" x14ac:dyDescent="0.25">
      <c r="A166" s="5"/>
      <c r="B166" s="5" t="s">
        <v>179</v>
      </c>
      <c r="C166" s="5"/>
      <c r="D166" s="44"/>
      <c r="E166" s="44">
        <f>E167*E168*E169</f>
        <v>0</v>
      </c>
      <c r="F166" s="44">
        <f t="shared" ref="F166:H166" si="42">F167*F168*F169</f>
        <v>0</v>
      </c>
      <c r="G166" s="44">
        <f t="shared" si="42"/>
        <v>0</v>
      </c>
      <c r="H166" s="44">
        <f t="shared" si="42"/>
        <v>0</v>
      </c>
      <c r="J166" s="6"/>
      <c r="K166" s="6"/>
      <c r="L166" s="6"/>
    </row>
    <row r="167" spans="1:12" s="62" customFormat="1" hidden="1" x14ac:dyDescent="0.25">
      <c r="A167" s="5"/>
      <c r="B167" s="41" t="s">
        <v>191</v>
      </c>
      <c r="C167" s="5"/>
      <c r="D167" s="44"/>
      <c r="E167" s="44"/>
      <c r="F167" s="44">
        <f>'Rates and GI'!$D$55</f>
        <v>300</v>
      </c>
      <c r="G167" s="44">
        <f>'Rates and GI'!$D$55</f>
        <v>300</v>
      </c>
      <c r="H167" s="44">
        <f>'Rates and GI'!$D$55</f>
        <v>300</v>
      </c>
      <c r="J167" s="6"/>
      <c r="K167" s="6"/>
      <c r="L167" s="6"/>
    </row>
    <row r="168" spans="1:12" s="62" customFormat="1" hidden="1" x14ac:dyDescent="0.25">
      <c r="A168" s="5"/>
      <c r="B168" s="41" t="s">
        <v>192</v>
      </c>
      <c r="C168" s="5"/>
      <c r="D168" s="44"/>
      <c r="E168" s="44"/>
      <c r="F168" s="44">
        <v>3</v>
      </c>
      <c r="G168" s="44">
        <v>3</v>
      </c>
      <c r="H168" s="44">
        <v>3</v>
      </c>
      <c r="J168" s="6"/>
      <c r="K168" s="6"/>
      <c r="L168" s="6"/>
    </row>
    <row r="169" spans="1:12" s="62" customFormat="1" hidden="1" x14ac:dyDescent="0.25">
      <c r="A169" s="5"/>
      <c r="B169" s="41" t="s">
        <v>193</v>
      </c>
      <c r="C169" s="5"/>
      <c r="D169" s="44"/>
      <c r="E169" s="44"/>
      <c r="F169" s="44">
        <v>0</v>
      </c>
      <c r="G169" s="44">
        <v>0</v>
      </c>
      <c r="H169" s="44">
        <v>0</v>
      </c>
      <c r="J169" s="6"/>
      <c r="K169" s="6"/>
      <c r="L169" s="6"/>
    </row>
    <row r="170" spans="1:12" hidden="1" x14ac:dyDescent="0.25"/>
    <row r="171" spans="1:12" s="62" customFormat="1" hidden="1" x14ac:dyDescent="0.25">
      <c r="A171" s="5"/>
      <c r="B171" s="5" t="s">
        <v>172</v>
      </c>
      <c r="C171" s="5"/>
      <c r="D171" s="44"/>
      <c r="E171" s="44">
        <f>E172+E173*E174</f>
        <v>0</v>
      </c>
      <c r="F171" s="44">
        <f>F172+F173*F174</f>
        <v>0</v>
      </c>
      <c r="G171" s="44">
        <f>G172+G173*G174</f>
        <v>0</v>
      </c>
      <c r="H171" s="44">
        <f>H172+H173*H174</f>
        <v>0</v>
      </c>
      <c r="J171" s="6"/>
      <c r="K171" s="6"/>
      <c r="L171" s="6"/>
    </row>
    <row r="172" spans="1:12" s="62" customFormat="1" hidden="1" x14ac:dyDescent="0.25">
      <c r="A172" s="5"/>
      <c r="B172" s="41" t="s">
        <v>153</v>
      </c>
      <c r="C172" s="5"/>
      <c r="D172" s="44"/>
      <c r="E172" s="44"/>
      <c r="F172" s="44">
        <f>'Rates and GI'!D46*0</f>
        <v>0</v>
      </c>
      <c r="G172" s="38"/>
      <c r="H172" s="38"/>
      <c r="J172" s="6"/>
      <c r="K172" s="6"/>
      <c r="L172" s="6"/>
    </row>
    <row r="173" spans="1:12" s="62" customFormat="1" hidden="1" x14ac:dyDescent="0.25">
      <c r="A173" s="5"/>
      <c r="B173" s="41" t="s">
        <v>159</v>
      </c>
      <c r="C173" s="5"/>
      <c r="D173" s="44"/>
      <c r="E173" s="44"/>
      <c r="F173" s="65">
        <f>'Rates and GI'!$D$47</f>
        <v>0.05</v>
      </c>
      <c r="G173" s="65">
        <f>'Rates and GI'!$D$47</f>
        <v>0.05</v>
      </c>
      <c r="H173" s="65">
        <f>'Rates and GI'!$D$47</f>
        <v>0.05</v>
      </c>
      <c r="J173" s="6"/>
      <c r="K173" s="6"/>
      <c r="L173" s="6"/>
    </row>
    <row r="174" spans="1:12" s="62" customFormat="1" hidden="1" x14ac:dyDescent="0.25">
      <c r="A174" s="5"/>
      <c r="B174" s="41" t="s">
        <v>160</v>
      </c>
      <c r="C174" s="5"/>
      <c r="D174" s="44"/>
      <c r="E174" s="44"/>
      <c r="F174" s="44">
        <v>0</v>
      </c>
      <c r="G174" s="38">
        <v>0</v>
      </c>
      <c r="H174" s="38"/>
      <c r="J174" s="6"/>
      <c r="K174" s="6"/>
      <c r="L174" s="6"/>
    </row>
    <row r="175" spans="1:12" hidden="1" x14ac:dyDescent="0.25"/>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x14ac:dyDescent="0.25">
      <c r="A179" s="228"/>
      <c r="B179" s="228"/>
      <c r="C179" s="228"/>
      <c r="D179" s="230"/>
      <c r="E179" s="230"/>
      <c r="F179" s="230"/>
      <c r="G179" s="230"/>
      <c r="H179" s="230"/>
    </row>
  </sheetData>
  <pageMargins left="0.7" right="0.7" top="0.75" bottom="0.75" header="0.3" footer="0.3"/>
  <pageSetup paperSize="9" scale="56" fitToHeight="0"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8"/>
  <sheetViews>
    <sheetView topLeftCell="A62" zoomScaleNormal="100" workbookViewId="0">
      <selection activeCell="B182" sqref="B182"/>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24</v>
      </c>
      <c r="B1" s="126" t="s">
        <v>240</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742.35</v>
      </c>
      <c r="E5" s="44">
        <f>E63</f>
        <v>742.35</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742.35</v>
      </c>
      <c r="E7" s="47">
        <f>SUBTOTAL(9,E5:E6)</f>
        <v>742.35</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E99</f>
        <v>0</v>
      </c>
      <c r="F20" s="44">
        <f t="shared" ref="F20:H20" si="10">F99</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E109</f>
        <v>0</v>
      </c>
      <c r="F25" s="44">
        <f t="shared" ref="F25:H25" si="13">F109</f>
        <v>0</v>
      </c>
      <c r="G25" s="44">
        <f t="shared" si="13"/>
        <v>0</v>
      </c>
      <c r="H25" s="44">
        <f t="shared" si="13"/>
        <v>0</v>
      </c>
    </row>
    <row r="26" spans="1:12" x14ac:dyDescent="0.25">
      <c r="B26" s="16" t="s">
        <v>25</v>
      </c>
      <c r="D26" s="44">
        <f t="shared" ref="D26" si="14">SUM(E26:H26)</f>
        <v>0</v>
      </c>
      <c r="E26" s="44">
        <f>E130</f>
        <v>0</v>
      </c>
      <c r="F26" s="44">
        <f t="shared" ref="F26:H26" si="15">F130</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E119</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E176</f>
        <v>0</v>
      </c>
      <c r="F40" s="44">
        <f t="shared" ref="F40:H40" si="20">F176</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E149</f>
        <v>0</v>
      </c>
      <c r="F46" s="44">
        <f t="shared" ref="F46:H46" si="23">F149</f>
        <v>0</v>
      </c>
      <c r="G46" s="44">
        <f t="shared" si="23"/>
        <v>0</v>
      </c>
      <c r="H46" s="44">
        <f t="shared" si="23"/>
        <v>0</v>
      </c>
    </row>
    <row r="47" spans="1:12" x14ac:dyDescent="0.25">
      <c r="A47" s="3"/>
      <c r="B47" s="3" t="s">
        <v>21</v>
      </c>
      <c r="C47" s="3"/>
      <c r="D47" s="44">
        <f t="shared" si="22"/>
        <v>0</v>
      </c>
      <c r="E47" s="44">
        <f>E139</f>
        <v>0</v>
      </c>
      <c r="F47" s="44">
        <f t="shared" ref="F47:H47" si="24">F139</f>
        <v>0</v>
      </c>
      <c r="G47" s="44">
        <f t="shared" si="24"/>
        <v>0</v>
      </c>
      <c r="H47" s="44">
        <f t="shared" si="24"/>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742.35</v>
      </c>
      <c r="E50" s="49">
        <f>SUBTOTAL(9,E5:E48)</f>
        <v>742.35</v>
      </c>
      <c r="F50" s="49">
        <f>SUBTOTAL(9,F5:F48)</f>
        <v>0</v>
      </c>
      <c r="G50" s="49">
        <f>SUBTOTAL(9,G5:G48)</f>
        <v>0</v>
      </c>
      <c r="H50" s="49">
        <f>SUBTOTAL(9,H5:H48)</f>
        <v>0</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742.35</v>
      </c>
      <c r="F63" s="44">
        <f t="shared" ref="F63:H63" si="25">F64*F65</f>
        <v>0</v>
      </c>
      <c r="G63" s="44">
        <f t="shared" si="25"/>
        <v>0</v>
      </c>
      <c r="H63" s="44">
        <f t="shared" si="25"/>
        <v>0</v>
      </c>
    </row>
    <row r="64" spans="1:9" x14ac:dyDescent="0.25">
      <c r="A64" s="9"/>
      <c r="B64" s="9" t="s">
        <v>114</v>
      </c>
      <c r="C64" s="9" t="s">
        <v>113</v>
      </c>
      <c r="E64" s="44">
        <f>2*21</f>
        <v>42</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hidden="1" x14ac:dyDescent="0.25">
      <c r="A99" s="50"/>
      <c r="B99" s="50" t="s">
        <v>130</v>
      </c>
      <c r="C99" s="50"/>
      <c r="D99" s="52"/>
      <c r="E99" s="52">
        <f>E100*E101+E102*E103+E104</f>
        <v>0</v>
      </c>
      <c r="F99" s="52">
        <f t="shared" ref="F99:H99" si="29">F100*F101+F102*F103+F104</f>
        <v>0</v>
      </c>
      <c r="G99" s="52">
        <f t="shared" si="29"/>
        <v>0</v>
      </c>
      <c r="H99" s="52">
        <f t="shared" si="29"/>
        <v>0</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v>0</v>
      </c>
      <c r="F103" s="44">
        <v>0</v>
      </c>
      <c r="G103" s="33">
        <v>0</v>
      </c>
      <c r="H103" s="33">
        <v>0</v>
      </c>
    </row>
    <row r="104" spans="1:12" hidden="1" x14ac:dyDescent="0.25">
      <c r="B104" s="130" t="s">
        <v>245</v>
      </c>
      <c r="E104" s="44">
        <f>E105*E107</f>
        <v>0</v>
      </c>
      <c r="F104" s="44">
        <f t="shared" ref="F104:H104" si="31">F105*F107</f>
        <v>0</v>
      </c>
      <c r="G104" s="44">
        <f t="shared" si="31"/>
        <v>0</v>
      </c>
      <c r="H104" s="44">
        <f t="shared" si="31"/>
        <v>0</v>
      </c>
    </row>
    <row r="105" spans="1:12" hidden="1" x14ac:dyDescent="0.25">
      <c r="B105" s="39" t="s">
        <v>203</v>
      </c>
      <c r="C105" s="5" t="s">
        <v>137</v>
      </c>
      <c r="E105" s="44">
        <f>Training!C36</f>
        <v>0</v>
      </c>
      <c r="F105" s="44">
        <f>Training!C37</f>
        <v>0</v>
      </c>
      <c r="G105" s="44">
        <f>F105*(1+index)</f>
        <v>0</v>
      </c>
      <c r="H105" s="44">
        <f>G105*(1+index)</f>
        <v>0</v>
      </c>
      <c r="J105" s="204"/>
      <c r="K105" s="204"/>
    </row>
    <row r="106" spans="1:12" hidden="1" x14ac:dyDescent="0.25">
      <c r="B106" s="39" t="s">
        <v>244</v>
      </c>
      <c r="E106" s="34"/>
      <c r="F106" s="34"/>
      <c r="G106" s="34"/>
      <c r="H106" s="34"/>
    </row>
    <row r="107" spans="1:12" hidden="1" x14ac:dyDescent="0.25">
      <c r="B107" s="39" t="s">
        <v>133</v>
      </c>
      <c r="C107" s="10"/>
      <c r="E107" s="44">
        <v>0</v>
      </c>
      <c r="F107" s="44">
        <f>E107*2</f>
        <v>0</v>
      </c>
      <c r="G107" s="44">
        <f>F107</f>
        <v>0</v>
      </c>
      <c r="H107" s="44">
        <f>G107</f>
        <v>0</v>
      </c>
    </row>
    <row r="108" spans="1:12" hidden="1" x14ac:dyDescent="0.25">
      <c r="B108" s="39"/>
    </row>
    <row r="109" spans="1:12" hidden="1" x14ac:dyDescent="0.25">
      <c r="A109" s="50"/>
      <c r="B109" s="50" t="s">
        <v>24</v>
      </c>
      <c r="C109" s="50"/>
      <c r="D109" s="52"/>
      <c r="E109" s="52">
        <f t="shared" ref="E109:H109" si="32">E110*E111</f>
        <v>0</v>
      </c>
      <c r="F109" s="52">
        <f t="shared" si="32"/>
        <v>0</v>
      </c>
      <c r="G109" s="52">
        <f t="shared" si="32"/>
        <v>0</v>
      </c>
      <c r="H109" s="52">
        <f t="shared" si="32"/>
        <v>0</v>
      </c>
    </row>
    <row r="110" spans="1:12" s="7" customFormat="1" hidden="1" x14ac:dyDescent="0.25">
      <c r="A110" s="5"/>
      <c r="B110" s="39" t="s">
        <v>53</v>
      </c>
      <c r="C110" s="5"/>
      <c r="D110" s="44"/>
      <c r="E110" s="44">
        <v>0</v>
      </c>
      <c r="F110" s="44">
        <v>0</v>
      </c>
      <c r="G110" s="44">
        <v>0</v>
      </c>
      <c r="H110" s="44">
        <v>0</v>
      </c>
      <c r="I110" s="62"/>
      <c r="J110" s="6"/>
      <c r="K110" s="6"/>
      <c r="L110" s="6"/>
    </row>
    <row r="111" spans="1:12" s="7" customFormat="1" hidden="1" x14ac:dyDescent="0.25">
      <c r="A111" s="5"/>
      <c r="B111" s="39" t="s">
        <v>54</v>
      </c>
      <c r="C111" s="5"/>
      <c r="D111" s="44"/>
      <c r="E111" s="44">
        <f>'Rates and GI'!D25</f>
        <v>6</v>
      </c>
      <c r="F111" s="44">
        <f>E111*(1+index)</f>
        <v>6.2579999999999991</v>
      </c>
      <c r="G111" s="44">
        <f>F111*(1+index)</f>
        <v>6.5270939999999991</v>
      </c>
      <c r="H111" s="44">
        <f>G111*(1+index)</f>
        <v>6.8077590419999989</v>
      </c>
      <c r="I111" s="62"/>
      <c r="J111" s="6"/>
      <c r="K111" s="6"/>
      <c r="L111" s="6"/>
    </row>
    <row r="112" spans="1:12" hidden="1" x14ac:dyDescent="0.25"/>
    <row r="113" spans="1:12" hidden="1" x14ac:dyDescent="0.25">
      <c r="A113" s="50"/>
      <c r="B113" s="50" t="s">
        <v>7</v>
      </c>
      <c r="C113" s="50"/>
      <c r="D113" s="52"/>
      <c r="E113" s="52"/>
      <c r="F113" s="52"/>
      <c r="G113" s="52"/>
      <c r="H113" s="52"/>
    </row>
    <row r="114" spans="1:12" s="7" customFormat="1" hidden="1" x14ac:dyDescent="0.25">
      <c r="A114" s="5"/>
      <c r="B114" s="4" t="s">
        <v>57</v>
      </c>
      <c r="C114" s="5"/>
      <c r="D114" s="44"/>
      <c r="E114" s="46"/>
      <c r="F114" s="46"/>
      <c r="G114" s="105"/>
      <c r="H114" s="105"/>
      <c r="I114" s="62"/>
      <c r="J114" s="6"/>
      <c r="K114" s="6"/>
      <c r="L114" s="6"/>
    </row>
    <row r="115" spans="1:12" s="43" customFormat="1" hidden="1" x14ac:dyDescent="0.25">
      <c r="A115" s="40"/>
      <c r="B115" s="41" t="s">
        <v>58</v>
      </c>
      <c r="C115" s="40" t="s">
        <v>55</v>
      </c>
      <c r="D115" s="71"/>
      <c r="E115" s="71"/>
      <c r="F115" s="71"/>
      <c r="G115" s="72"/>
      <c r="H115" s="72"/>
      <c r="I115" s="75"/>
      <c r="J115" s="42"/>
      <c r="K115" s="42"/>
      <c r="L115" s="42"/>
    </row>
    <row r="116" spans="1:12" s="40" customFormat="1" hidden="1" x14ac:dyDescent="0.25">
      <c r="B116" s="41" t="s">
        <v>56</v>
      </c>
      <c r="D116" s="71"/>
      <c r="E116" s="71"/>
      <c r="F116" s="71"/>
      <c r="G116" s="72"/>
      <c r="H116" s="72"/>
      <c r="I116" s="75"/>
      <c r="J116" s="42"/>
      <c r="K116" s="42"/>
      <c r="L116" s="42"/>
    </row>
    <row r="117" spans="1:12" s="40" customFormat="1" hidden="1" x14ac:dyDescent="0.25">
      <c r="B117" s="41" t="s">
        <v>59</v>
      </c>
      <c r="D117" s="71"/>
      <c r="E117" s="71"/>
      <c r="F117" s="71"/>
      <c r="G117" s="72"/>
      <c r="H117" s="72"/>
      <c r="I117" s="75"/>
      <c r="J117" s="42"/>
      <c r="K117" s="42"/>
      <c r="L117" s="42"/>
    </row>
    <row r="118" spans="1:12" hidden="1" x14ac:dyDescent="0.25"/>
    <row r="119" spans="1:12" hidden="1" x14ac:dyDescent="0.25">
      <c r="A119" s="50"/>
      <c r="B119" s="50" t="s">
        <v>26</v>
      </c>
      <c r="C119" s="50"/>
      <c r="D119" s="52"/>
      <c r="E119" s="52">
        <f>E124*E125</f>
        <v>0</v>
      </c>
      <c r="F119" s="52">
        <f>F124*F125</f>
        <v>0</v>
      </c>
      <c r="G119" s="52"/>
      <c r="H119" s="52"/>
    </row>
    <row r="120" spans="1:12" s="5" customFormat="1" hidden="1" x14ac:dyDescent="0.25">
      <c r="B120" s="55" t="s">
        <v>60</v>
      </c>
      <c r="D120" s="44"/>
      <c r="E120" s="44"/>
      <c r="F120" s="44"/>
      <c r="G120" s="38"/>
      <c r="H120" s="38"/>
      <c r="I120" s="62"/>
      <c r="J120" s="6"/>
      <c r="K120" s="6"/>
      <c r="L120" s="6"/>
    </row>
    <row r="121" spans="1:12" s="5" customFormat="1" hidden="1" x14ac:dyDescent="0.25">
      <c r="B121" s="41" t="s">
        <v>147</v>
      </c>
      <c r="D121" s="44"/>
      <c r="E121" s="44"/>
      <c r="F121" s="44"/>
      <c r="G121" s="38"/>
      <c r="H121" s="38"/>
      <c r="I121" s="62"/>
      <c r="J121" s="6"/>
      <c r="K121" s="6"/>
      <c r="L121" s="6"/>
    </row>
    <row r="122" spans="1:12" s="5" customFormat="1" hidden="1" x14ac:dyDescent="0.25">
      <c r="B122" s="41" t="s">
        <v>146</v>
      </c>
      <c r="D122" s="44"/>
      <c r="E122" s="44"/>
      <c r="F122" s="44"/>
      <c r="G122" s="38"/>
      <c r="H122" s="38"/>
      <c r="I122" s="62"/>
      <c r="J122" s="6"/>
      <c r="K122" s="6"/>
      <c r="L122" s="6"/>
    </row>
    <row r="123" spans="1:12" s="5" customFormat="1" hidden="1" x14ac:dyDescent="0.25">
      <c r="B123" s="55" t="s">
        <v>123</v>
      </c>
      <c r="D123" s="44"/>
      <c r="E123" s="44"/>
      <c r="F123" s="44"/>
      <c r="G123" s="38"/>
      <c r="H123" s="38"/>
      <c r="I123" s="62"/>
      <c r="J123" s="6"/>
      <c r="K123" s="6"/>
      <c r="L123" s="6"/>
    </row>
    <row r="124" spans="1:12" s="5" customFormat="1" hidden="1" x14ac:dyDescent="0.25">
      <c r="B124" s="41" t="s">
        <v>147</v>
      </c>
      <c r="D124" s="44"/>
      <c r="E124" s="44">
        <f>'Rates and GI'!$D$31</f>
        <v>350</v>
      </c>
      <c r="F124" s="44">
        <f>'Rates and GI'!$D$31</f>
        <v>350</v>
      </c>
      <c r="G124" s="44">
        <f>'Rates and GI'!$D$31</f>
        <v>350</v>
      </c>
      <c r="H124" s="44">
        <f>'Rates and GI'!$D$31</f>
        <v>350</v>
      </c>
      <c r="I124" s="62"/>
      <c r="J124" s="6"/>
      <c r="K124" s="6"/>
      <c r="L124" s="6"/>
    </row>
    <row r="125" spans="1:12" s="5" customFormat="1" hidden="1" x14ac:dyDescent="0.25">
      <c r="B125" s="41" t="s">
        <v>146</v>
      </c>
      <c r="D125" s="44"/>
      <c r="E125" s="44">
        <v>0</v>
      </c>
      <c r="F125" s="44">
        <v>0</v>
      </c>
      <c r="G125" s="38"/>
      <c r="H125" s="38"/>
      <c r="I125" s="62"/>
      <c r="J125" s="6"/>
      <c r="K125" s="6"/>
      <c r="L125" s="6"/>
    </row>
    <row r="126" spans="1:12" s="5" customFormat="1" hidden="1" x14ac:dyDescent="0.25">
      <c r="B126" s="55" t="s">
        <v>8</v>
      </c>
      <c r="D126" s="44"/>
      <c r="E126" s="44"/>
      <c r="F126" s="44"/>
      <c r="G126" s="38"/>
      <c r="H126" s="38"/>
      <c r="I126" s="62"/>
      <c r="J126" s="6"/>
      <c r="K126" s="6"/>
      <c r="L126" s="6"/>
    </row>
    <row r="127" spans="1:12" s="5" customFormat="1" hidden="1" x14ac:dyDescent="0.25">
      <c r="B127" s="41" t="s">
        <v>147</v>
      </c>
      <c r="D127" s="44"/>
      <c r="E127" s="44"/>
      <c r="F127" s="44"/>
      <c r="G127" s="38"/>
      <c r="H127" s="38"/>
      <c r="I127" s="62"/>
      <c r="J127" s="6"/>
      <c r="K127" s="6"/>
      <c r="L127" s="6"/>
    </row>
    <row r="128" spans="1:12" s="5" customFormat="1" hidden="1" x14ac:dyDescent="0.25">
      <c r="B128" s="41" t="s">
        <v>146</v>
      </c>
      <c r="D128" s="44"/>
      <c r="E128" s="44"/>
      <c r="F128" s="44"/>
      <c r="G128" s="38"/>
      <c r="H128" s="38"/>
      <c r="I128" s="62"/>
      <c r="J128" s="6"/>
      <c r="K128" s="6"/>
      <c r="L128" s="6"/>
    </row>
    <row r="129" spans="1:12" hidden="1" x14ac:dyDescent="0.25"/>
    <row r="130" spans="1:12" hidden="1" x14ac:dyDescent="0.25">
      <c r="A130" s="50"/>
      <c r="B130" s="50" t="s">
        <v>25</v>
      </c>
      <c r="C130" s="50"/>
      <c r="D130" s="52"/>
      <c r="E130" s="52">
        <f>E131+E134</f>
        <v>0</v>
      </c>
      <c r="F130" s="52">
        <f t="shared" ref="F130:H130" si="33">F131+F134</f>
        <v>0</v>
      </c>
      <c r="G130" s="52">
        <f t="shared" si="33"/>
        <v>0</v>
      </c>
      <c r="H130" s="52">
        <f t="shared" si="33"/>
        <v>0</v>
      </c>
    </row>
    <row r="131" spans="1:12" s="5" customFormat="1" hidden="1" x14ac:dyDescent="0.25">
      <c r="B131" s="5" t="s">
        <v>205</v>
      </c>
      <c r="D131" s="44"/>
      <c r="E131" s="44"/>
      <c r="F131" s="44">
        <v>0</v>
      </c>
      <c r="G131" s="38"/>
      <c r="H131" s="38"/>
      <c r="I131" s="62"/>
      <c r="J131" s="6"/>
      <c r="K131" s="6"/>
      <c r="L131" s="6"/>
    </row>
    <row r="132" spans="1:12" s="5" customFormat="1" hidden="1" x14ac:dyDescent="0.25">
      <c r="B132" s="41"/>
      <c r="D132" s="44"/>
      <c r="E132" s="44"/>
      <c r="F132" s="44"/>
      <c r="G132" s="38"/>
      <c r="H132" s="38"/>
      <c r="I132" s="62"/>
      <c r="J132" s="6"/>
      <c r="K132" s="6"/>
      <c r="L132" s="6"/>
    </row>
    <row r="133" spans="1:12" s="5" customFormat="1" hidden="1" x14ac:dyDescent="0.25">
      <c r="B133" s="41"/>
      <c r="D133" s="44"/>
      <c r="E133" s="44"/>
      <c r="F133" s="44"/>
      <c r="G133" s="38"/>
      <c r="H133" s="38"/>
      <c r="I133" s="62"/>
      <c r="J133" s="6"/>
      <c r="K133" s="6"/>
      <c r="L133" s="6"/>
    </row>
    <row r="134" spans="1:12" s="5" customFormat="1" hidden="1" x14ac:dyDescent="0.25">
      <c r="B134" s="5" t="s">
        <v>154</v>
      </c>
      <c r="D134" s="44"/>
      <c r="E134" s="44">
        <f>E135+E136*E137</f>
        <v>0</v>
      </c>
      <c r="F134" s="44">
        <f>F135+F136*F137</f>
        <v>0</v>
      </c>
      <c r="G134" s="44">
        <f t="shared" ref="G134:H134" si="34">G135+G136*G137</f>
        <v>0</v>
      </c>
      <c r="H134" s="44">
        <f t="shared" si="34"/>
        <v>0</v>
      </c>
      <c r="I134" s="73"/>
    </row>
    <row r="135" spans="1:12" hidden="1" x14ac:dyDescent="0.25">
      <c r="B135" s="41" t="s">
        <v>153</v>
      </c>
      <c r="F135" s="44">
        <f>'Rates and GI'!D46*0</f>
        <v>0</v>
      </c>
    </row>
    <row r="136" spans="1:12" hidden="1" x14ac:dyDescent="0.25">
      <c r="B136" s="41" t="s">
        <v>159</v>
      </c>
      <c r="E136" s="60">
        <f>'Rates and GI'!$D$48</f>
        <v>0.02</v>
      </c>
      <c r="F136" s="60">
        <f>'Rates and GI'!$D$48</f>
        <v>0.02</v>
      </c>
      <c r="G136" s="60">
        <f>'Rates and GI'!$D$48</f>
        <v>0.02</v>
      </c>
      <c r="H136" s="60">
        <f>'Rates and GI'!$D$48</f>
        <v>0.02</v>
      </c>
    </row>
    <row r="137" spans="1:12" hidden="1" x14ac:dyDescent="0.25">
      <c r="B137" s="41" t="s">
        <v>160</v>
      </c>
      <c r="E137" s="44">
        <v>0</v>
      </c>
      <c r="F137" s="44">
        <v>0</v>
      </c>
      <c r="G137" s="44">
        <v>0</v>
      </c>
      <c r="H137" s="44">
        <v>0</v>
      </c>
    </row>
    <row r="138" spans="1:12" s="5" customFormat="1" hidden="1" x14ac:dyDescent="0.25">
      <c r="B138" s="41"/>
      <c r="D138" s="44"/>
      <c r="E138" s="44"/>
      <c r="F138" s="44"/>
      <c r="G138" s="38"/>
      <c r="H138" s="38"/>
      <c r="I138" s="62"/>
      <c r="J138" s="6"/>
      <c r="K138" s="6"/>
      <c r="L138" s="6"/>
    </row>
    <row r="139" spans="1:12" x14ac:dyDescent="0.25">
      <c r="A139" s="50"/>
      <c r="B139" s="50" t="s">
        <v>21</v>
      </c>
      <c r="C139" s="50"/>
      <c r="D139" s="52"/>
      <c r="E139" s="52">
        <f>E140*E141+E142*E143++E144*E145+E146*E147</f>
        <v>0</v>
      </c>
      <c r="F139" s="52">
        <f t="shared" ref="F139:H139" si="35">F140*F141+F142*F143++F144*F145+F146*F147</f>
        <v>0</v>
      </c>
      <c r="G139" s="52">
        <f t="shared" si="35"/>
        <v>0</v>
      </c>
      <c r="H139" s="52">
        <f t="shared" si="35"/>
        <v>0</v>
      </c>
    </row>
    <row r="140" spans="1:12" x14ac:dyDescent="0.25">
      <c r="B140" s="41" t="s">
        <v>241</v>
      </c>
      <c r="F140" s="44">
        <v>0</v>
      </c>
      <c r="G140" s="44">
        <v>0</v>
      </c>
      <c r="H140" s="44"/>
    </row>
    <row r="141" spans="1:12" x14ac:dyDescent="0.25">
      <c r="B141" s="41" t="s">
        <v>151</v>
      </c>
      <c r="E141" s="44">
        <f>'Rates and GI'!$D$58</f>
        <v>5000</v>
      </c>
      <c r="F141" s="44">
        <f>'Rates and GI'!$D$58</f>
        <v>5000</v>
      </c>
      <c r="G141" s="44">
        <f>'Rates and GI'!$D$58</f>
        <v>5000</v>
      </c>
      <c r="H141" s="44">
        <f>'Rates and GI'!$D$58</f>
        <v>5000</v>
      </c>
    </row>
    <row r="142" spans="1:12" hidden="1" x14ac:dyDescent="0.25">
      <c r="B142" s="41" t="s">
        <v>148</v>
      </c>
      <c r="E142" s="44">
        <v>0</v>
      </c>
      <c r="F142" s="44">
        <v>0</v>
      </c>
      <c r="G142" s="44">
        <v>0</v>
      </c>
      <c r="H142" s="44">
        <v>0</v>
      </c>
    </row>
    <row r="143" spans="1:12" hidden="1" x14ac:dyDescent="0.25">
      <c r="B143" s="41" t="s">
        <v>149</v>
      </c>
      <c r="E143" s="44">
        <f>'Rates and GI'!$D$59</f>
        <v>1500</v>
      </c>
      <c r="F143" s="44">
        <f>'Rates and GI'!$D$59</f>
        <v>1500</v>
      </c>
      <c r="G143" s="44">
        <f>'Rates and GI'!$D$59</f>
        <v>1500</v>
      </c>
      <c r="H143" s="44">
        <f>'Rates and GI'!$D$59</f>
        <v>1500</v>
      </c>
    </row>
    <row r="144" spans="1:12" ht="27" hidden="1" x14ac:dyDescent="0.25">
      <c r="B144" s="63" t="s">
        <v>162</v>
      </c>
      <c r="E144" s="44">
        <v>0</v>
      </c>
      <c r="F144" s="44">
        <v>0</v>
      </c>
      <c r="G144" s="44"/>
      <c r="H144" s="44">
        <v>0</v>
      </c>
    </row>
    <row r="145" spans="1:12" ht="27" hidden="1" x14ac:dyDescent="0.25">
      <c r="B145" s="63" t="s">
        <v>161</v>
      </c>
      <c r="E145" s="44">
        <f>'Rates and GI'!$D$60</f>
        <v>200</v>
      </c>
      <c r="F145" s="44">
        <f>'Rates and GI'!$D$60</f>
        <v>200</v>
      </c>
      <c r="G145" s="44">
        <f>'Rates and GI'!$D$60</f>
        <v>200</v>
      </c>
      <c r="H145" s="44">
        <f>'Rates and GI'!$D$60</f>
        <v>200</v>
      </c>
    </row>
    <row r="146" spans="1:12" s="5" customFormat="1" hidden="1" x14ac:dyDescent="0.25">
      <c r="B146" s="41" t="s">
        <v>217</v>
      </c>
      <c r="D146" s="44"/>
      <c r="E146" s="44">
        <v>0</v>
      </c>
      <c r="F146" s="44">
        <v>0</v>
      </c>
      <c r="G146" s="44">
        <v>0</v>
      </c>
      <c r="H146" s="44">
        <v>0</v>
      </c>
      <c r="I146" s="62"/>
      <c r="J146" s="6"/>
      <c r="K146" s="6"/>
      <c r="L146" s="6"/>
    </row>
    <row r="147" spans="1:12" s="5" customFormat="1" hidden="1" x14ac:dyDescent="0.25">
      <c r="B147" s="41" t="s">
        <v>214</v>
      </c>
      <c r="D147" s="44"/>
      <c r="E147" s="44">
        <f>'Rates and GI'!$D$61</f>
        <v>50</v>
      </c>
      <c r="F147" s="44">
        <f>'Rates and GI'!$D$61</f>
        <v>50</v>
      </c>
      <c r="G147" s="38">
        <f>'Rates and GI'!$D$61</f>
        <v>50</v>
      </c>
      <c r="H147" s="38">
        <f>'Rates and GI'!$D$61</f>
        <v>50</v>
      </c>
      <c r="I147" s="62"/>
      <c r="J147" s="6"/>
      <c r="K147" s="6"/>
      <c r="L147" s="6"/>
    </row>
    <row r="148" spans="1:12" ht="27" x14ac:dyDescent="0.25">
      <c r="A148" s="50"/>
      <c r="B148" s="177" t="s">
        <v>620</v>
      </c>
      <c r="C148" s="50"/>
      <c r="D148" s="52"/>
      <c r="E148" s="52"/>
      <c r="F148" s="52"/>
      <c r="G148" s="52"/>
      <c r="H148" s="52"/>
    </row>
    <row r="149" spans="1:12" hidden="1" x14ac:dyDescent="0.25">
      <c r="A149" s="50"/>
      <c r="B149" s="50" t="s">
        <v>194</v>
      </c>
      <c r="C149" s="50"/>
      <c r="D149" s="52"/>
      <c r="E149" s="52">
        <f>E150+E153+E156+E165+E170</f>
        <v>0</v>
      </c>
      <c r="F149" s="52">
        <f t="shared" ref="F149:H149" si="36">F150+F153+F156+F165+F170</f>
        <v>0</v>
      </c>
      <c r="G149" s="52">
        <f t="shared" si="36"/>
        <v>0</v>
      </c>
      <c r="H149" s="52">
        <f t="shared" si="36"/>
        <v>0</v>
      </c>
    </row>
    <row r="150" spans="1:12" s="5" customFormat="1" hidden="1" x14ac:dyDescent="0.25">
      <c r="B150" s="5" t="s">
        <v>173</v>
      </c>
      <c r="D150" s="44"/>
      <c r="E150" s="44">
        <f>E151+E154*E155</f>
        <v>0</v>
      </c>
      <c r="F150" s="44">
        <f>F151+F154*F155</f>
        <v>0</v>
      </c>
      <c r="G150" s="44">
        <f>G151+G154*G155</f>
        <v>0</v>
      </c>
      <c r="H150" s="44">
        <f t="shared" ref="H150" si="37">H151+H154*H155</f>
        <v>0</v>
      </c>
      <c r="I150" s="73"/>
    </row>
    <row r="151" spans="1:12" hidden="1" x14ac:dyDescent="0.25">
      <c r="B151" s="41" t="s">
        <v>184</v>
      </c>
      <c r="F151" s="44">
        <f>('Rates and GI'!$D$45+'Rates and GI'!$D$49)*0</f>
        <v>0</v>
      </c>
      <c r="G151" s="44">
        <f>('Rates and GI'!$D$45+'Rates and GI'!$D$49)*0</f>
        <v>0</v>
      </c>
      <c r="H151" s="44"/>
    </row>
    <row r="152" spans="1:12" hidden="1" x14ac:dyDescent="0.25">
      <c r="B152" s="41" t="s">
        <v>187</v>
      </c>
      <c r="F152" s="44">
        <f>'Rates and GI'!$D$51*0</f>
        <v>0</v>
      </c>
      <c r="G152" s="44">
        <f>'Rates and GI'!$D$51*0</f>
        <v>0</v>
      </c>
      <c r="H152" s="44"/>
    </row>
    <row r="153" spans="1:12" hidden="1" x14ac:dyDescent="0.25">
      <c r="B153" s="5" t="s">
        <v>174</v>
      </c>
      <c r="E153" s="44">
        <f>E154*E155</f>
        <v>0</v>
      </c>
      <c r="F153" s="44">
        <f t="shared" ref="F153:H153" si="38">F154*F155</f>
        <v>0</v>
      </c>
      <c r="G153" s="44">
        <f t="shared" si="38"/>
        <v>0</v>
      </c>
      <c r="H153" s="44">
        <f t="shared" si="38"/>
        <v>0</v>
      </c>
    </row>
    <row r="154" spans="1:12" hidden="1" x14ac:dyDescent="0.25">
      <c r="B154" s="41" t="s">
        <v>164</v>
      </c>
      <c r="F154" s="44">
        <f>'Rates and GI'!$D$54</f>
        <v>24.066499999999998</v>
      </c>
      <c r="G154" s="44">
        <f>'Rates and GI'!$D$54</f>
        <v>24.066499999999998</v>
      </c>
      <c r="H154" s="44">
        <f>'Rates and GI'!$D$54</f>
        <v>24.066499999999998</v>
      </c>
    </row>
    <row r="155" spans="1:12" hidden="1" x14ac:dyDescent="0.25">
      <c r="B155" s="41" t="s">
        <v>163</v>
      </c>
      <c r="F155" s="44">
        <v>0</v>
      </c>
      <c r="G155" s="38">
        <v>0</v>
      </c>
      <c r="H155" s="38">
        <v>0</v>
      </c>
    </row>
    <row r="156" spans="1:12" hidden="1" x14ac:dyDescent="0.25">
      <c r="B156" s="5" t="s">
        <v>175</v>
      </c>
      <c r="E156" s="44">
        <f>E157+E161</f>
        <v>0</v>
      </c>
      <c r="F156" s="44">
        <f t="shared" ref="F156:H156" si="39">F157+F161</f>
        <v>0</v>
      </c>
      <c r="G156" s="44">
        <f t="shared" si="39"/>
        <v>0</v>
      </c>
      <c r="H156" s="44">
        <f t="shared" si="39"/>
        <v>0</v>
      </c>
    </row>
    <row r="157" spans="1:12" hidden="1" x14ac:dyDescent="0.25">
      <c r="B157" s="41" t="s">
        <v>189</v>
      </c>
      <c r="E157" s="44">
        <f>E158*E159</f>
        <v>0</v>
      </c>
      <c r="F157" s="44">
        <f t="shared" ref="F157:H157" si="40">F158*F159</f>
        <v>0</v>
      </c>
      <c r="G157" s="44">
        <f t="shared" si="40"/>
        <v>0</v>
      </c>
      <c r="H157" s="44">
        <f t="shared" si="40"/>
        <v>0</v>
      </c>
    </row>
    <row r="158" spans="1:12" hidden="1" x14ac:dyDescent="0.25">
      <c r="B158" s="41" t="s">
        <v>176</v>
      </c>
      <c r="C158" s="5" t="s">
        <v>177</v>
      </c>
      <c r="E158" s="44">
        <v>0</v>
      </c>
      <c r="F158" s="44">
        <v>0</v>
      </c>
      <c r="G158" s="38">
        <v>0</v>
      </c>
      <c r="H158" s="38">
        <v>0</v>
      </c>
    </row>
    <row r="159" spans="1:12" hidden="1" x14ac:dyDescent="0.25">
      <c r="B159" s="41" t="s">
        <v>178</v>
      </c>
      <c r="E159" s="44">
        <f>'Rates and GI'!$D$52</f>
        <v>150</v>
      </c>
      <c r="F159" s="44">
        <f>'Rates and GI'!$D$52</f>
        <v>150</v>
      </c>
      <c r="G159" s="44">
        <f>'Rates and GI'!$D$52</f>
        <v>150</v>
      </c>
      <c r="H159" s="44">
        <f>'Rates and GI'!$D$52</f>
        <v>150</v>
      </c>
    </row>
    <row r="160" spans="1:12" hidden="1" x14ac:dyDescent="0.25">
      <c r="B160" s="6"/>
    </row>
    <row r="161" spans="1:12" hidden="1" x14ac:dyDescent="0.25">
      <c r="B161" s="41" t="s">
        <v>190</v>
      </c>
      <c r="E161" s="44">
        <f>E162*E163</f>
        <v>0</v>
      </c>
      <c r="F161" s="44">
        <f t="shared" ref="F161:H161" si="41">F162*F163</f>
        <v>0</v>
      </c>
      <c r="G161" s="44">
        <f t="shared" si="41"/>
        <v>0</v>
      </c>
      <c r="H161" s="44">
        <f t="shared" si="41"/>
        <v>0</v>
      </c>
    </row>
    <row r="162" spans="1:12" hidden="1" x14ac:dyDescent="0.25">
      <c r="B162" s="41" t="s">
        <v>176</v>
      </c>
      <c r="C162" s="5" t="s">
        <v>177</v>
      </c>
      <c r="E162" s="44">
        <v>0</v>
      </c>
      <c r="F162" s="44">
        <v>0</v>
      </c>
      <c r="G162" s="38">
        <v>0</v>
      </c>
      <c r="H162" s="38">
        <v>0</v>
      </c>
    </row>
    <row r="163" spans="1:12" s="62" customFormat="1" hidden="1" x14ac:dyDescent="0.25">
      <c r="A163" s="5"/>
      <c r="B163" s="41" t="s">
        <v>178</v>
      </c>
      <c r="C163" s="5"/>
      <c r="D163" s="44"/>
      <c r="E163" s="44">
        <f>'Rates and GI'!$D$53</f>
        <v>20</v>
      </c>
      <c r="F163" s="44">
        <f>'Rates and GI'!$D$53</f>
        <v>20</v>
      </c>
      <c r="G163" s="44">
        <f>'Rates and GI'!$D$53</f>
        <v>20</v>
      </c>
      <c r="H163" s="44">
        <f>'Rates and GI'!$D$53</f>
        <v>20</v>
      </c>
      <c r="J163" s="6"/>
      <c r="K163" s="6"/>
      <c r="L163" s="6"/>
    </row>
    <row r="164" spans="1:12" s="62" customFormat="1" hidden="1" x14ac:dyDescent="0.25">
      <c r="A164" s="5"/>
      <c r="B164" s="6"/>
      <c r="C164" s="5"/>
      <c r="D164" s="44"/>
      <c r="E164" s="44"/>
      <c r="F164" s="44"/>
      <c r="G164" s="38"/>
      <c r="H164" s="38"/>
      <c r="J164" s="6"/>
      <c r="K164" s="6"/>
      <c r="L164" s="6"/>
    </row>
    <row r="165" spans="1:12" s="62" customFormat="1" hidden="1" x14ac:dyDescent="0.25">
      <c r="A165" s="5"/>
      <c r="B165" s="5" t="s">
        <v>179</v>
      </c>
      <c r="C165" s="5"/>
      <c r="D165" s="44"/>
      <c r="E165" s="44">
        <f>E166*E167*E168</f>
        <v>0</v>
      </c>
      <c r="F165" s="44">
        <f t="shared" ref="F165:H165" si="42">F166*F167*F168</f>
        <v>0</v>
      </c>
      <c r="G165" s="44">
        <f t="shared" si="42"/>
        <v>0</v>
      </c>
      <c r="H165" s="44">
        <f t="shared" si="42"/>
        <v>0</v>
      </c>
      <c r="J165" s="6"/>
      <c r="K165" s="6"/>
      <c r="L165" s="6"/>
    </row>
    <row r="166" spans="1:12" s="62" customFormat="1" hidden="1" x14ac:dyDescent="0.25">
      <c r="A166" s="5"/>
      <c r="B166" s="41" t="s">
        <v>191</v>
      </c>
      <c r="C166" s="5"/>
      <c r="D166" s="44"/>
      <c r="E166" s="44"/>
      <c r="F166" s="44">
        <f>'Rates and GI'!$D$55</f>
        <v>300</v>
      </c>
      <c r="G166" s="44">
        <f>'Rates and GI'!$D$55</f>
        <v>300</v>
      </c>
      <c r="H166" s="44">
        <f>'Rates and GI'!$D$55</f>
        <v>300</v>
      </c>
      <c r="J166" s="6"/>
      <c r="K166" s="6"/>
      <c r="L166" s="6"/>
    </row>
    <row r="167" spans="1:12" s="62" customFormat="1" hidden="1" x14ac:dyDescent="0.25">
      <c r="A167" s="5"/>
      <c r="B167" s="41" t="s">
        <v>192</v>
      </c>
      <c r="C167" s="5"/>
      <c r="D167" s="44"/>
      <c r="E167" s="44"/>
      <c r="F167" s="44">
        <v>3</v>
      </c>
      <c r="G167" s="44">
        <v>3</v>
      </c>
      <c r="H167" s="44">
        <v>3</v>
      </c>
      <c r="J167" s="6"/>
      <c r="K167" s="6"/>
      <c r="L167" s="6"/>
    </row>
    <row r="168" spans="1:12" s="62" customFormat="1" hidden="1" x14ac:dyDescent="0.25">
      <c r="A168" s="5"/>
      <c r="B168" s="41" t="s">
        <v>193</v>
      </c>
      <c r="C168" s="5"/>
      <c r="D168" s="44"/>
      <c r="E168" s="44"/>
      <c r="F168" s="44">
        <v>0</v>
      </c>
      <c r="G168" s="44">
        <v>0</v>
      </c>
      <c r="H168" s="44">
        <v>0</v>
      </c>
      <c r="J168" s="6"/>
      <c r="K168" s="6"/>
      <c r="L168" s="6"/>
    </row>
    <row r="169" spans="1:12" hidden="1" x14ac:dyDescent="0.25"/>
    <row r="170" spans="1:12" s="62" customFormat="1" hidden="1" x14ac:dyDescent="0.25">
      <c r="A170" s="5"/>
      <c r="B170" s="5" t="s">
        <v>172</v>
      </c>
      <c r="C170" s="5"/>
      <c r="D170" s="44"/>
      <c r="E170" s="44">
        <f>E171+E172*E173</f>
        <v>0</v>
      </c>
      <c r="F170" s="44">
        <f>F171+F172*F173</f>
        <v>0</v>
      </c>
      <c r="G170" s="44">
        <f>G171+G172*G173</f>
        <v>0</v>
      </c>
      <c r="H170" s="44">
        <f>H171+H172*H173</f>
        <v>0</v>
      </c>
      <c r="J170" s="6"/>
      <c r="K170" s="6"/>
      <c r="L170" s="6"/>
    </row>
    <row r="171" spans="1:12" s="62" customFormat="1" hidden="1" x14ac:dyDescent="0.25">
      <c r="A171" s="5"/>
      <c r="B171" s="41" t="s">
        <v>153</v>
      </c>
      <c r="C171" s="5"/>
      <c r="D171" s="44"/>
      <c r="E171" s="44"/>
      <c r="F171" s="44">
        <f>'Rates and GI'!D46*0</f>
        <v>0</v>
      </c>
      <c r="G171" s="38"/>
      <c r="H171" s="38"/>
      <c r="J171" s="6"/>
      <c r="K171" s="6"/>
      <c r="L171" s="6"/>
    </row>
    <row r="172" spans="1:12" s="62" customFormat="1" hidden="1" x14ac:dyDescent="0.25">
      <c r="A172" s="5"/>
      <c r="B172" s="41" t="s">
        <v>159</v>
      </c>
      <c r="C172" s="5"/>
      <c r="D172" s="44"/>
      <c r="E172" s="44"/>
      <c r="F172" s="65">
        <f>'Rates and GI'!$D$47</f>
        <v>0.05</v>
      </c>
      <c r="G172" s="65">
        <f>'Rates and GI'!$D$47</f>
        <v>0.05</v>
      </c>
      <c r="H172" s="65">
        <f>'Rates and GI'!$D$47</f>
        <v>0.05</v>
      </c>
      <c r="J172" s="6"/>
      <c r="K172" s="6"/>
      <c r="L172" s="6"/>
    </row>
    <row r="173" spans="1:12" s="62" customFormat="1" hidden="1" x14ac:dyDescent="0.25">
      <c r="A173" s="5"/>
      <c r="B173" s="41" t="s">
        <v>160</v>
      </c>
      <c r="C173" s="5"/>
      <c r="D173" s="44"/>
      <c r="E173" s="44"/>
      <c r="F173" s="44">
        <v>0</v>
      </c>
      <c r="G173" s="38">
        <v>0</v>
      </c>
      <c r="H173" s="38"/>
      <c r="J173" s="6"/>
      <c r="K173" s="6"/>
      <c r="L173" s="6"/>
    </row>
    <row r="174" spans="1:12" hidden="1" x14ac:dyDescent="0.25"/>
    <row r="175" spans="1:12" hidden="1" x14ac:dyDescent="0.25"/>
    <row r="176" spans="1:12" s="62" customFormat="1" hidden="1" x14ac:dyDescent="0.25">
      <c r="A176" s="50"/>
      <c r="B176" s="50" t="s">
        <v>19</v>
      </c>
      <c r="C176" s="50"/>
      <c r="D176" s="52"/>
      <c r="E176" s="52">
        <v>0</v>
      </c>
      <c r="F176" s="52">
        <v>0</v>
      </c>
      <c r="G176" s="52">
        <v>0</v>
      </c>
      <c r="H176" s="52">
        <v>0</v>
      </c>
      <c r="J176" s="6"/>
      <c r="K176" s="6"/>
      <c r="L176" s="6"/>
    </row>
    <row r="177" spans="1:8" hidden="1" x14ac:dyDescent="0.25"/>
    <row r="178" spans="1:8" x14ac:dyDescent="0.25">
      <c r="A178" s="228"/>
      <c r="B178" s="228"/>
      <c r="C178" s="228"/>
      <c r="D178" s="230"/>
      <c r="E178" s="230"/>
      <c r="F178" s="230"/>
      <c r="G178" s="230"/>
      <c r="H178" s="230"/>
    </row>
  </sheetData>
  <pageMargins left="0.7" right="0.7" top="0.75" bottom="0.75" header="0.3" footer="0.3"/>
  <pageSetup paperSize="9" scale="56" fitToHeight="0"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4"/>
  <sheetViews>
    <sheetView topLeftCell="A86" zoomScaleNormal="100" workbookViewId="0">
      <selection activeCell="B188" sqref="B18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51.75" x14ac:dyDescent="0.3">
      <c r="A1" s="123">
        <v>25</v>
      </c>
      <c r="B1" s="126" t="s">
        <v>246</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1484.7</v>
      </c>
      <c r="E5" s="44">
        <f>E63</f>
        <v>1484.7</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1484.7</v>
      </c>
      <c r="E7" s="47">
        <f>SUBTOTAL(9,E5:E6)</f>
        <v>1484.7</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1816.4635211764707</v>
      </c>
      <c r="E10" s="44">
        <f>E87</f>
        <v>1816.4635211764707</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1816.4635211764707</v>
      </c>
      <c r="E12" s="47">
        <f t="shared" ref="E12:H12" si="5">SUBTOTAL(9,E10:E11)</f>
        <v>1816.4635211764707</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71864.731341935985</v>
      </c>
      <c r="E20" s="44">
        <f>E99</f>
        <v>16848</v>
      </c>
      <c r="F20" s="44">
        <f t="shared" ref="F20:H20" si="10">F99</f>
        <v>17572.464</v>
      </c>
      <c r="G20" s="44">
        <f t="shared" si="10"/>
        <v>18328.079951999996</v>
      </c>
      <c r="H20" s="44">
        <f t="shared" si="10"/>
        <v>19116.187389935996</v>
      </c>
    </row>
    <row r="21" spans="1:12" x14ac:dyDescent="0.25">
      <c r="B21" s="16" t="s">
        <v>139</v>
      </c>
      <c r="D21" s="44">
        <f t="shared" ref="D21" si="11">SUM(E21:H21)</f>
        <v>0</v>
      </c>
    </row>
    <row r="22" spans="1:12" ht="14.25" thickBot="1" x14ac:dyDescent="0.3">
      <c r="A22" s="13"/>
      <c r="B22" s="13" t="s">
        <v>140</v>
      </c>
      <c r="C22" s="13"/>
      <c r="D22" s="47">
        <f>SUBTOTAL(9,D20:D21)</f>
        <v>71864.731341935985</v>
      </c>
      <c r="E22" s="47">
        <f t="shared" ref="E22:H22" si="12">SUBTOTAL(9,E20:E21)</f>
        <v>16848</v>
      </c>
      <c r="F22" s="47">
        <f t="shared" si="12"/>
        <v>17572.464</v>
      </c>
      <c r="G22" s="47">
        <f t="shared" si="12"/>
        <v>18328.079951999996</v>
      </c>
      <c r="H22" s="47">
        <f t="shared" si="12"/>
        <v>19116.187389935996</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E113</f>
        <v>0</v>
      </c>
      <c r="F25" s="44">
        <f t="shared" ref="F25:H25" si="13">F113</f>
        <v>0</v>
      </c>
      <c r="G25" s="44">
        <f t="shared" si="13"/>
        <v>0</v>
      </c>
      <c r="H25" s="44">
        <f t="shared" si="13"/>
        <v>0</v>
      </c>
    </row>
    <row r="26" spans="1:12" x14ac:dyDescent="0.25">
      <c r="B26" s="16" t="s">
        <v>25</v>
      </c>
      <c r="D26" s="44">
        <f t="shared" ref="D26" si="14">SUM(E26:H26)</f>
        <v>2559.2853041999997</v>
      </c>
      <c r="E26" s="44">
        <f>E134</f>
        <v>600</v>
      </c>
      <c r="F26" s="44">
        <f t="shared" ref="F26:H26" si="15">F134</f>
        <v>625.79999999999995</v>
      </c>
      <c r="G26" s="44">
        <f t="shared" si="15"/>
        <v>652.70939999999996</v>
      </c>
      <c r="H26" s="44">
        <f t="shared" si="15"/>
        <v>680.7759041999999</v>
      </c>
    </row>
    <row r="27" spans="1:12" x14ac:dyDescent="0.25">
      <c r="B27" s="16" t="s">
        <v>233</v>
      </c>
    </row>
    <row r="28" spans="1:12" ht="14.25" thickBot="1" x14ac:dyDescent="0.3">
      <c r="A28" s="13"/>
      <c r="B28" s="13" t="s">
        <v>73</v>
      </c>
      <c r="C28" s="13"/>
      <c r="D28" s="47">
        <f>SUBTOTAL(9,D25:D27)</f>
        <v>2559.2853041999997</v>
      </c>
      <c r="E28" s="47">
        <f t="shared" ref="E28:H28" si="16">SUBTOTAL(9,E25:E27)</f>
        <v>600</v>
      </c>
      <c r="F28" s="47">
        <f t="shared" si="16"/>
        <v>625.79999999999995</v>
      </c>
      <c r="G28" s="47">
        <f t="shared" si="16"/>
        <v>652.70939999999996</v>
      </c>
      <c r="H28" s="47">
        <f t="shared" si="16"/>
        <v>680.7759041999999</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E123</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E181</f>
        <v>0</v>
      </c>
      <c r="F40" s="44">
        <f t="shared" ref="F40:H40" si="20">F181</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E154</f>
        <v>0</v>
      </c>
      <c r="F46" s="44">
        <f t="shared" ref="F46:H46" si="23">F154</f>
        <v>0</v>
      </c>
      <c r="G46" s="44">
        <f t="shared" si="23"/>
        <v>0</v>
      </c>
      <c r="H46" s="44">
        <f t="shared" si="23"/>
        <v>0</v>
      </c>
    </row>
    <row r="47" spans="1:12" x14ac:dyDescent="0.25">
      <c r="A47" s="3"/>
      <c r="B47" s="3" t="s">
        <v>21</v>
      </c>
      <c r="C47" s="3"/>
      <c r="D47" s="44">
        <f t="shared" si="22"/>
        <v>0</v>
      </c>
      <c r="E47" s="44">
        <f>E144</f>
        <v>0</v>
      </c>
      <c r="F47" s="44">
        <f t="shared" ref="F47:H47" si="24">F144</f>
        <v>0</v>
      </c>
      <c r="G47" s="44">
        <f t="shared" si="24"/>
        <v>0</v>
      </c>
      <c r="H47" s="44">
        <f t="shared" si="24"/>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77725.180167312457</v>
      </c>
      <c r="E50" s="49">
        <f>SUBTOTAL(9,E5:E48)</f>
        <v>20749.16352117647</v>
      </c>
      <c r="F50" s="49">
        <f>SUBTOTAL(9,F5:F48)</f>
        <v>18198.263999999999</v>
      </c>
      <c r="G50" s="49">
        <f>SUBTOTAL(9,G5:G48)</f>
        <v>18980.789351999996</v>
      </c>
      <c r="H50" s="49">
        <f>SUBTOTAL(9,H5:H48)</f>
        <v>19796.963294135996</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1484.7</v>
      </c>
      <c r="F63" s="44">
        <f t="shared" ref="F63:H63" si="25">F64*F65</f>
        <v>0</v>
      </c>
      <c r="G63" s="44">
        <f t="shared" si="25"/>
        <v>0</v>
      </c>
      <c r="H63" s="44">
        <f t="shared" si="25"/>
        <v>0</v>
      </c>
    </row>
    <row r="64" spans="1:9" x14ac:dyDescent="0.25">
      <c r="A64" s="9"/>
      <c r="B64" s="9" t="s">
        <v>114</v>
      </c>
      <c r="C64" s="9" t="s">
        <v>113</v>
      </c>
      <c r="E64" s="44">
        <f>4*21</f>
        <v>84</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7" spans="1:12" x14ac:dyDescent="0.25">
      <c r="A87" s="50"/>
      <c r="B87" s="50" t="s">
        <v>10</v>
      </c>
      <c r="C87" s="50"/>
      <c r="D87" s="52"/>
      <c r="E87" s="52">
        <f>E88*E89+E91*E92</f>
        <v>1816.4635211764707</v>
      </c>
      <c r="F87" s="52">
        <f t="shared" ref="F87:H87" si="27">F88*F89+F91*F92</f>
        <v>0</v>
      </c>
      <c r="G87" s="52">
        <f t="shared" si="27"/>
        <v>0</v>
      </c>
      <c r="H87" s="52">
        <f t="shared" si="27"/>
        <v>0</v>
      </c>
    </row>
    <row r="88" spans="1:12" s="7" customFormat="1" x14ac:dyDescent="0.25">
      <c r="A88" s="5"/>
      <c r="B88" s="9" t="s">
        <v>49</v>
      </c>
      <c r="C88" s="5"/>
      <c r="D88" s="44"/>
      <c r="E88" s="44">
        <v>2</v>
      </c>
      <c r="F88" s="44">
        <v>0</v>
      </c>
      <c r="G88" s="44">
        <v>0</v>
      </c>
      <c r="H88" s="44">
        <v>0</v>
      </c>
      <c r="I88" s="62"/>
      <c r="J88" s="6"/>
      <c r="K88" s="6"/>
      <c r="L88" s="6"/>
    </row>
    <row r="89" spans="1:12" s="7" customFormat="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x14ac:dyDescent="0.25">
      <c r="A99" s="50"/>
      <c r="B99" s="50" t="s">
        <v>130</v>
      </c>
      <c r="C99" s="50"/>
      <c r="D99" s="52"/>
      <c r="E99" s="52">
        <f>E100*E101+E102*E103+E104</f>
        <v>16848</v>
      </c>
      <c r="F99" s="52">
        <f t="shared" ref="F99:H99" si="29">F100*F101+F102*F103+F104</f>
        <v>17572.464</v>
      </c>
      <c r="G99" s="52">
        <f t="shared" si="29"/>
        <v>18328.079951999996</v>
      </c>
      <c r="H99" s="52">
        <f t="shared" si="29"/>
        <v>19116.187389935996</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v>0</v>
      </c>
      <c r="F103" s="44">
        <v>0</v>
      </c>
      <c r="G103" s="33">
        <v>0</v>
      </c>
      <c r="H103" s="33">
        <v>0</v>
      </c>
    </row>
    <row r="104" spans="1:12" x14ac:dyDescent="0.25">
      <c r="B104" s="130" t="s">
        <v>245</v>
      </c>
      <c r="E104" s="44">
        <f>E105*E107</f>
        <v>16848</v>
      </c>
      <c r="F104" s="44">
        <f t="shared" ref="F104:H104" si="31">F105*F107</f>
        <v>17572.464</v>
      </c>
      <c r="G104" s="44">
        <f t="shared" si="31"/>
        <v>18328.079951999996</v>
      </c>
      <c r="H104" s="44">
        <f t="shared" si="31"/>
        <v>19116.187389935996</v>
      </c>
    </row>
    <row r="105" spans="1:12" x14ac:dyDescent="0.25">
      <c r="B105" s="39" t="s">
        <v>203</v>
      </c>
      <c r="C105" s="5" t="s">
        <v>137</v>
      </c>
      <c r="E105" s="44">
        <f>Training!C38</f>
        <v>561.6</v>
      </c>
      <c r="F105" s="44">
        <f>E105*(1+index)</f>
        <v>585.74879999999996</v>
      </c>
      <c r="G105" s="44">
        <f>F105*(1+index)</f>
        <v>610.9359983999999</v>
      </c>
      <c r="H105" s="44">
        <f>G105*(1+index)</f>
        <v>637.20624633119985</v>
      </c>
    </row>
    <row r="106" spans="1:12" x14ac:dyDescent="0.25">
      <c r="B106" s="39" t="s">
        <v>244</v>
      </c>
      <c r="E106" s="34"/>
      <c r="F106" s="34"/>
      <c r="G106" s="34"/>
      <c r="H106" s="34"/>
    </row>
    <row r="107" spans="1:12" x14ac:dyDescent="0.25">
      <c r="B107" s="39" t="s">
        <v>133</v>
      </c>
      <c r="E107" s="44">
        <v>30</v>
      </c>
      <c r="F107" s="44">
        <v>30</v>
      </c>
      <c r="G107" s="44">
        <v>30</v>
      </c>
      <c r="H107" s="44">
        <v>30</v>
      </c>
    </row>
    <row r="108" spans="1:12" hidden="1" x14ac:dyDescent="0.25">
      <c r="B108" s="130" t="s">
        <v>247</v>
      </c>
      <c r="E108" s="44">
        <f>E109*E111</f>
        <v>0</v>
      </c>
      <c r="F108" s="44">
        <f t="shared" ref="F108" si="32">F109*F111</f>
        <v>0</v>
      </c>
      <c r="G108" s="44">
        <f t="shared" ref="G108" si="33">G109*G111</f>
        <v>0</v>
      </c>
      <c r="H108" s="44">
        <f t="shared" ref="H108" si="34">H109*H111</f>
        <v>0</v>
      </c>
    </row>
    <row r="109" spans="1:12" hidden="1" x14ac:dyDescent="0.25">
      <c r="B109" s="39" t="s">
        <v>203</v>
      </c>
      <c r="C109" s="5" t="s">
        <v>137</v>
      </c>
      <c r="G109" s="44"/>
      <c r="H109" s="44"/>
    </row>
    <row r="110" spans="1:12" hidden="1" x14ac:dyDescent="0.25">
      <c r="B110" s="39" t="s">
        <v>244</v>
      </c>
      <c r="E110" s="45">
        <f>E106/2</f>
        <v>0</v>
      </c>
      <c r="F110" s="45">
        <f>E110*1.1</f>
        <v>0</v>
      </c>
      <c r="G110" s="45">
        <f t="shared" ref="G110:H110" si="35">F110*1.1</f>
        <v>0</v>
      </c>
      <c r="H110" s="45">
        <f t="shared" si="35"/>
        <v>0</v>
      </c>
    </row>
    <row r="111" spans="1:12" hidden="1" x14ac:dyDescent="0.25">
      <c r="B111" s="39" t="s">
        <v>133</v>
      </c>
      <c r="E111" s="44">
        <f>'Rates and GI'!$E$9*E110</f>
        <v>0</v>
      </c>
      <c r="F111" s="44">
        <f>'Rates and GI'!$E$9*F110</f>
        <v>0</v>
      </c>
      <c r="G111" s="44">
        <f>'Rates and GI'!$E$9*G110</f>
        <v>0</v>
      </c>
      <c r="H111" s="44">
        <f>'Rates and GI'!$E$9*H110</f>
        <v>0</v>
      </c>
    </row>
    <row r="112" spans="1:12" hidden="1" x14ac:dyDescent="0.25">
      <c r="B112" s="39"/>
    </row>
    <row r="113" spans="1:12" hidden="1" x14ac:dyDescent="0.25">
      <c r="A113" s="50"/>
      <c r="B113" s="50" t="s">
        <v>24</v>
      </c>
      <c r="C113" s="50"/>
      <c r="D113" s="52"/>
      <c r="E113" s="52">
        <f t="shared" ref="E113:H113" si="36">E114*E115</f>
        <v>0</v>
      </c>
      <c r="F113" s="52">
        <f t="shared" si="36"/>
        <v>0</v>
      </c>
      <c r="G113" s="52">
        <f t="shared" si="36"/>
        <v>0</v>
      </c>
      <c r="H113" s="52">
        <f t="shared" si="36"/>
        <v>0</v>
      </c>
    </row>
    <row r="114" spans="1:12" s="7" customFormat="1" hidden="1" x14ac:dyDescent="0.25">
      <c r="A114" s="5"/>
      <c r="B114" s="39" t="s">
        <v>53</v>
      </c>
      <c r="C114" s="5"/>
      <c r="D114" s="44"/>
      <c r="E114" s="44">
        <v>0</v>
      </c>
      <c r="F114" s="44">
        <v>0</v>
      </c>
      <c r="G114" s="44"/>
      <c r="H114" s="44"/>
      <c r="I114" s="62"/>
      <c r="J114" s="6"/>
      <c r="K114" s="6"/>
      <c r="L114" s="6"/>
    </row>
    <row r="115" spans="1:12" s="7" customFormat="1" hidden="1" x14ac:dyDescent="0.25">
      <c r="A115" s="5"/>
      <c r="B115" s="39" t="s">
        <v>54</v>
      </c>
      <c r="C115" s="5"/>
      <c r="D115" s="44"/>
      <c r="E115" s="44">
        <f>'Rates and GI'!D25</f>
        <v>6</v>
      </c>
      <c r="F115" s="44">
        <f>E115*(1+index)</f>
        <v>6.2579999999999991</v>
      </c>
      <c r="G115" s="44">
        <f>F115*(1+index)</f>
        <v>6.5270939999999991</v>
      </c>
      <c r="H115" s="44">
        <f>G115*(1+index)</f>
        <v>6.8077590419999989</v>
      </c>
      <c r="I115" s="62"/>
      <c r="J115" s="6"/>
      <c r="K115" s="6"/>
      <c r="L115" s="6"/>
    </row>
    <row r="116" spans="1:12" hidden="1" x14ac:dyDescent="0.25"/>
    <row r="117" spans="1:12" hidden="1" x14ac:dyDescent="0.25">
      <c r="A117" s="50"/>
      <c r="B117" s="50" t="s">
        <v>7</v>
      </c>
      <c r="C117" s="50"/>
      <c r="D117" s="52"/>
      <c r="E117" s="52"/>
      <c r="F117" s="52"/>
      <c r="G117" s="52"/>
      <c r="H117" s="52"/>
    </row>
    <row r="118" spans="1:12" s="7" customFormat="1" hidden="1" x14ac:dyDescent="0.25">
      <c r="A118" s="5"/>
      <c r="B118" s="4" t="s">
        <v>57</v>
      </c>
      <c r="C118" s="5"/>
      <c r="D118" s="44"/>
      <c r="E118" s="46"/>
      <c r="F118" s="46"/>
      <c r="G118" s="105"/>
      <c r="H118" s="105"/>
      <c r="I118" s="62"/>
      <c r="J118" s="6"/>
      <c r="K118" s="6"/>
      <c r="L118" s="6"/>
    </row>
    <row r="119" spans="1:12" s="43" customFormat="1" hidden="1" x14ac:dyDescent="0.25">
      <c r="A119" s="40"/>
      <c r="B119" s="41" t="s">
        <v>58</v>
      </c>
      <c r="C119" s="40" t="s">
        <v>55</v>
      </c>
      <c r="D119" s="71"/>
      <c r="E119" s="71"/>
      <c r="F119" s="71"/>
      <c r="G119" s="72"/>
      <c r="H119" s="72"/>
      <c r="I119" s="75"/>
      <c r="J119" s="42"/>
      <c r="K119" s="42"/>
      <c r="L119" s="42"/>
    </row>
    <row r="120" spans="1:12" s="40" customFormat="1" hidden="1" x14ac:dyDescent="0.25">
      <c r="B120" s="41" t="s">
        <v>56</v>
      </c>
      <c r="D120" s="71"/>
      <c r="E120" s="71"/>
      <c r="F120" s="71"/>
      <c r="G120" s="72"/>
      <c r="H120" s="72"/>
      <c r="I120" s="75"/>
      <c r="J120" s="42"/>
      <c r="K120" s="42"/>
      <c r="L120" s="42"/>
    </row>
    <row r="121" spans="1:12" s="40" customFormat="1" hidden="1" x14ac:dyDescent="0.25">
      <c r="B121" s="41" t="s">
        <v>59</v>
      </c>
      <c r="D121" s="71"/>
      <c r="E121" s="71"/>
      <c r="F121" s="71"/>
      <c r="G121" s="72"/>
      <c r="H121" s="72"/>
      <c r="I121" s="75"/>
      <c r="J121" s="42"/>
      <c r="K121" s="42"/>
      <c r="L121" s="42"/>
    </row>
    <row r="122" spans="1:12" hidden="1" x14ac:dyDescent="0.25"/>
    <row r="123" spans="1:12" hidden="1" x14ac:dyDescent="0.25">
      <c r="A123" s="50"/>
      <c r="B123" s="50" t="s">
        <v>26</v>
      </c>
      <c r="C123" s="50"/>
      <c r="D123" s="52"/>
      <c r="E123" s="52">
        <f>E128*E129</f>
        <v>0</v>
      </c>
      <c r="F123" s="52">
        <f>F128*F129</f>
        <v>0</v>
      </c>
      <c r="G123" s="52"/>
      <c r="H123" s="52"/>
    </row>
    <row r="124" spans="1:12" s="5" customFormat="1" hidden="1" x14ac:dyDescent="0.25">
      <c r="B124" s="55" t="s">
        <v>60</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s="5" customFormat="1" hidden="1" x14ac:dyDescent="0.25">
      <c r="B127" s="55" t="s">
        <v>123</v>
      </c>
      <c r="D127" s="44"/>
      <c r="E127" s="44"/>
      <c r="F127" s="44"/>
      <c r="G127" s="38"/>
      <c r="H127" s="38"/>
      <c r="I127" s="62"/>
      <c r="J127" s="6"/>
      <c r="K127" s="6"/>
      <c r="L127" s="6"/>
    </row>
    <row r="128" spans="1:12" s="5" customFormat="1" hidden="1" x14ac:dyDescent="0.25">
      <c r="B128" s="41" t="s">
        <v>147</v>
      </c>
      <c r="D128" s="44"/>
      <c r="E128" s="44">
        <f>'Rates and GI'!$D$31</f>
        <v>350</v>
      </c>
      <c r="F128" s="44">
        <f>'Rates and GI'!$D$31</f>
        <v>350</v>
      </c>
      <c r="G128" s="44">
        <f>'Rates and GI'!$D$31</f>
        <v>350</v>
      </c>
      <c r="H128" s="44">
        <f>'Rates and GI'!$D$31</f>
        <v>350</v>
      </c>
      <c r="I128" s="62"/>
      <c r="J128" s="6"/>
      <c r="K128" s="6"/>
      <c r="L128" s="6"/>
    </row>
    <row r="129" spans="1:12" s="5" customFormat="1" hidden="1" x14ac:dyDescent="0.25">
      <c r="B129" s="41" t="s">
        <v>146</v>
      </c>
      <c r="D129" s="44"/>
      <c r="E129" s="44">
        <v>0</v>
      </c>
      <c r="F129" s="44">
        <v>0</v>
      </c>
      <c r="G129" s="38"/>
      <c r="H129" s="38"/>
      <c r="I129" s="62"/>
      <c r="J129" s="6"/>
      <c r="K129" s="6"/>
      <c r="L129" s="6"/>
    </row>
    <row r="130" spans="1:12" s="5" customFormat="1" hidden="1" x14ac:dyDescent="0.25">
      <c r="B130" s="55" t="s">
        <v>8</v>
      </c>
      <c r="D130" s="44"/>
      <c r="E130" s="44"/>
      <c r="F130" s="44"/>
      <c r="G130" s="38"/>
      <c r="H130" s="38"/>
      <c r="I130" s="62"/>
      <c r="J130" s="6"/>
      <c r="K130" s="6"/>
      <c r="L130" s="6"/>
    </row>
    <row r="131" spans="1:12" s="5" customFormat="1" hidden="1" x14ac:dyDescent="0.25">
      <c r="B131" s="41" t="s">
        <v>147</v>
      </c>
      <c r="D131" s="44"/>
      <c r="E131" s="44"/>
      <c r="F131" s="44"/>
      <c r="G131" s="38"/>
      <c r="H131" s="38"/>
      <c r="I131" s="62"/>
      <c r="J131" s="6"/>
      <c r="K131" s="6"/>
      <c r="L131" s="6"/>
    </row>
    <row r="132" spans="1:12" s="5" customFormat="1" hidden="1" x14ac:dyDescent="0.25">
      <c r="B132" s="41" t="s">
        <v>146</v>
      </c>
      <c r="D132" s="44"/>
      <c r="E132" s="44"/>
      <c r="F132" s="44"/>
      <c r="G132" s="38"/>
      <c r="H132" s="38"/>
      <c r="I132" s="62"/>
      <c r="J132" s="6"/>
      <c r="K132" s="6"/>
      <c r="L132" s="6"/>
    </row>
    <row r="133" spans="1:12" hidden="1" x14ac:dyDescent="0.25"/>
    <row r="134" spans="1:12" x14ac:dyDescent="0.25">
      <c r="A134" s="50"/>
      <c r="B134" s="50" t="s">
        <v>25</v>
      </c>
      <c r="C134" s="50"/>
      <c r="D134" s="52"/>
      <c r="E134" s="52">
        <f>E135+E136+E139</f>
        <v>600</v>
      </c>
      <c r="F134" s="52">
        <f t="shared" ref="F134:H134" si="37">F135+F136+F139</f>
        <v>625.79999999999995</v>
      </c>
      <c r="G134" s="52">
        <f t="shared" si="37"/>
        <v>652.70939999999996</v>
      </c>
      <c r="H134" s="52">
        <f t="shared" si="37"/>
        <v>680.7759041999999</v>
      </c>
    </row>
    <row r="135" spans="1:12" s="5" customFormat="1" hidden="1" x14ac:dyDescent="0.25">
      <c r="B135" s="5" t="s">
        <v>205</v>
      </c>
      <c r="D135" s="44"/>
      <c r="E135" s="44"/>
      <c r="F135" s="44">
        <v>0</v>
      </c>
      <c r="G135" s="38"/>
      <c r="H135" s="38"/>
      <c r="I135" s="62"/>
      <c r="J135" s="6"/>
      <c r="K135" s="6"/>
      <c r="L135" s="6"/>
    </row>
    <row r="136" spans="1:12" s="5" customFormat="1" x14ac:dyDescent="0.25">
      <c r="B136" s="5" t="s">
        <v>248</v>
      </c>
      <c r="D136" s="44"/>
      <c r="E136" s="44">
        <f>E137*E138</f>
        <v>600</v>
      </c>
      <c r="F136" s="44">
        <f t="shared" ref="F136:H136" si="38">F137*F138</f>
        <v>625.79999999999995</v>
      </c>
      <c r="G136" s="44">
        <f t="shared" si="38"/>
        <v>652.70939999999996</v>
      </c>
      <c r="H136" s="44">
        <f t="shared" si="38"/>
        <v>680.7759041999999</v>
      </c>
      <c r="I136" s="62"/>
      <c r="J136" s="6"/>
      <c r="K136" s="6"/>
      <c r="L136" s="6"/>
    </row>
    <row r="137" spans="1:12" s="5" customFormat="1" x14ac:dyDescent="0.25">
      <c r="B137" s="41" t="s">
        <v>249</v>
      </c>
      <c r="D137" s="44"/>
      <c r="E137" s="44">
        <f>Training!C45</f>
        <v>20</v>
      </c>
      <c r="F137" s="44">
        <f>E137*(1+index)</f>
        <v>20.86</v>
      </c>
      <c r="G137" s="44">
        <f>F137*(1+index)</f>
        <v>21.756979999999999</v>
      </c>
      <c r="H137" s="44">
        <f>G137*(1+index)</f>
        <v>22.692530139999995</v>
      </c>
      <c r="I137" s="62"/>
      <c r="J137" s="6"/>
      <c r="K137" s="6"/>
      <c r="L137" s="6"/>
    </row>
    <row r="138" spans="1:12" s="5" customFormat="1" x14ac:dyDescent="0.25">
      <c r="B138" s="41" t="s">
        <v>250</v>
      </c>
      <c r="D138" s="44"/>
      <c r="E138" s="44">
        <f>E107+E111</f>
        <v>30</v>
      </c>
      <c r="F138" s="44">
        <f t="shared" ref="F138:H138" si="39">F107+F111</f>
        <v>30</v>
      </c>
      <c r="G138" s="44">
        <f t="shared" si="39"/>
        <v>30</v>
      </c>
      <c r="H138" s="44">
        <f t="shared" si="39"/>
        <v>30</v>
      </c>
      <c r="I138" s="62"/>
      <c r="J138" s="6"/>
      <c r="K138" s="6"/>
      <c r="L138" s="6"/>
    </row>
    <row r="139" spans="1:12" s="5" customFormat="1" hidden="1" x14ac:dyDescent="0.25">
      <c r="B139" s="5" t="s">
        <v>154</v>
      </c>
      <c r="D139" s="44"/>
      <c r="E139" s="44">
        <f>E140+E141*E142</f>
        <v>0</v>
      </c>
      <c r="F139" s="44">
        <f>F140+F141*F142</f>
        <v>0</v>
      </c>
      <c r="G139" s="44">
        <f t="shared" ref="G139:H139" si="40">G140+G141*G142</f>
        <v>0</v>
      </c>
      <c r="H139" s="44">
        <f t="shared" si="40"/>
        <v>0</v>
      </c>
      <c r="I139" s="73"/>
    </row>
    <row r="140" spans="1:12" hidden="1" x14ac:dyDescent="0.25">
      <c r="B140" s="41" t="s">
        <v>153</v>
      </c>
      <c r="F140" s="44">
        <f>'Rates and GI'!D46*0</f>
        <v>0</v>
      </c>
    </row>
    <row r="141" spans="1:12" hidden="1" x14ac:dyDescent="0.25">
      <c r="B141" s="41" t="s">
        <v>159</v>
      </c>
      <c r="E141" s="60">
        <f>'Rates and GI'!$D$48</f>
        <v>0.02</v>
      </c>
      <c r="F141" s="60">
        <f>'Rates and GI'!$D$48</f>
        <v>0.02</v>
      </c>
      <c r="G141" s="60">
        <f>'Rates and GI'!$D$48</f>
        <v>0.02</v>
      </c>
      <c r="H141" s="60">
        <f>'Rates and GI'!$D$48</f>
        <v>0.02</v>
      </c>
    </row>
    <row r="142" spans="1:12" hidden="1" x14ac:dyDescent="0.25">
      <c r="B142" s="41" t="s">
        <v>160</v>
      </c>
      <c r="E142" s="44">
        <v>0</v>
      </c>
      <c r="F142" s="44">
        <v>0</v>
      </c>
      <c r="G142" s="44">
        <v>0</v>
      </c>
      <c r="H142" s="44">
        <v>0</v>
      </c>
    </row>
    <row r="143" spans="1:12" s="5" customFormat="1" hidden="1" x14ac:dyDescent="0.25">
      <c r="B143" s="41"/>
      <c r="D143" s="44"/>
      <c r="E143" s="33"/>
      <c r="F143" s="33"/>
      <c r="G143" s="28"/>
      <c r="H143" s="28"/>
      <c r="I143" s="62"/>
      <c r="J143" s="6"/>
      <c r="K143" s="6"/>
      <c r="L143" s="6"/>
    </row>
    <row r="144" spans="1:12" hidden="1" x14ac:dyDescent="0.25">
      <c r="A144" s="50"/>
      <c r="B144" s="50" t="s">
        <v>21</v>
      </c>
      <c r="C144" s="50"/>
      <c r="D144" s="52"/>
      <c r="E144" s="52">
        <f>E145*E146+E147*E148++E149*E150+E151*E152</f>
        <v>0</v>
      </c>
      <c r="F144" s="52">
        <f t="shared" ref="F144:H144" si="41">F145*F146+F147*F148++F149*F150+F151*F152</f>
        <v>0</v>
      </c>
      <c r="G144" s="52">
        <f t="shared" si="41"/>
        <v>0</v>
      </c>
      <c r="H144" s="52">
        <f t="shared" si="41"/>
        <v>0</v>
      </c>
    </row>
    <row r="145" spans="1:12" hidden="1" x14ac:dyDescent="0.25">
      <c r="B145" s="41" t="s">
        <v>241</v>
      </c>
      <c r="F145" s="44">
        <v>0</v>
      </c>
      <c r="G145" s="44">
        <v>0</v>
      </c>
      <c r="H145" s="44"/>
    </row>
    <row r="146" spans="1:12" hidden="1" x14ac:dyDescent="0.25">
      <c r="B146" s="41" t="s">
        <v>151</v>
      </c>
      <c r="E146" s="44">
        <f>'Rates and GI'!$D$58</f>
        <v>5000</v>
      </c>
      <c r="F146" s="44">
        <f>'Rates and GI'!$D$58</f>
        <v>5000</v>
      </c>
      <c r="G146" s="44">
        <f>'Rates and GI'!$D$58</f>
        <v>5000</v>
      </c>
      <c r="H146" s="44">
        <f>'Rates and GI'!$D$58</f>
        <v>5000</v>
      </c>
    </row>
    <row r="147" spans="1:12" hidden="1" x14ac:dyDescent="0.25">
      <c r="B147" s="41" t="s">
        <v>148</v>
      </c>
      <c r="E147" s="44">
        <v>0</v>
      </c>
      <c r="F147" s="44">
        <v>0</v>
      </c>
      <c r="G147" s="44">
        <v>0</v>
      </c>
      <c r="H147" s="44">
        <v>0</v>
      </c>
    </row>
    <row r="148" spans="1:12" hidden="1" x14ac:dyDescent="0.25">
      <c r="B148" s="41" t="s">
        <v>149</v>
      </c>
      <c r="E148" s="44">
        <f>'Rates and GI'!$D$59</f>
        <v>1500</v>
      </c>
      <c r="F148" s="44">
        <f>'Rates and GI'!$D$59</f>
        <v>1500</v>
      </c>
      <c r="G148" s="44">
        <f>'Rates and GI'!$D$59</f>
        <v>1500</v>
      </c>
      <c r="H148" s="44">
        <f>'Rates and GI'!$D$59</f>
        <v>1500</v>
      </c>
    </row>
    <row r="149" spans="1:12" ht="27" hidden="1" x14ac:dyDescent="0.25">
      <c r="B149" s="63" t="s">
        <v>162</v>
      </c>
      <c r="E149" s="44">
        <v>0</v>
      </c>
      <c r="F149" s="44">
        <v>0</v>
      </c>
      <c r="G149" s="44"/>
      <c r="H149" s="44">
        <v>0</v>
      </c>
    </row>
    <row r="150" spans="1:12" ht="27" hidden="1" x14ac:dyDescent="0.25">
      <c r="B150" s="63" t="s">
        <v>161</v>
      </c>
      <c r="E150" s="44">
        <f>'Rates and GI'!$D$60</f>
        <v>200</v>
      </c>
      <c r="F150" s="44">
        <f>'Rates and GI'!$D$60</f>
        <v>200</v>
      </c>
      <c r="G150" s="44">
        <f>'Rates and GI'!$D$60</f>
        <v>200</v>
      </c>
      <c r="H150" s="44">
        <f>'Rates and GI'!$D$60</f>
        <v>200</v>
      </c>
    </row>
    <row r="151" spans="1:12" s="5" customFormat="1" hidden="1" x14ac:dyDescent="0.25">
      <c r="B151" s="41" t="s">
        <v>217</v>
      </c>
      <c r="D151" s="44"/>
      <c r="E151" s="44">
        <v>0</v>
      </c>
      <c r="F151" s="44">
        <v>0</v>
      </c>
      <c r="G151" s="44">
        <v>0</v>
      </c>
      <c r="H151" s="44">
        <v>0</v>
      </c>
      <c r="I151" s="62"/>
      <c r="J151" s="6"/>
      <c r="K151" s="6"/>
      <c r="L151" s="6"/>
    </row>
    <row r="152" spans="1:12" s="5" customFormat="1" hidden="1" x14ac:dyDescent="0.25">
      <c r="B152" s="41" t="s">
        <v>214</v>
      </c>
      <c r="D152" s="44"/>
      <c r="E152" s="44">
        <f>'Rates and GI'!$D$61</f>
        <v>50</v>
      </c>
      <c r="F152" s="44">
        <f>'Rates and GI'!$D$61</f>
        <v>50</v>
      </c>
      <c r="G152" s="38">
        <f>'Rates and GI'!$D$61</f>
        <v>50</v>
      </c>
      <c r="H152" s="38">
        <f>'Rates and GI'!$D$61</f>
        <v>50</v>
      </c>
      <c r="I152" s="62"/>
      <c r="J152" s="6"/>
      <c r="K152" s="6"/>
      <c r="L152" s="6"/>
    </row>
    <row r="153" spans="1:12" hidden="1" x14ac:dyDescent="0.25">
      <c r="A153" s="50"/>
      <c r="B153" s="127"/>
      <c r="C153" s="50"/>
      <c r="D153" s="52"/>
      <c r="E153" s="52"/>
      <c r="F153" s="52"/>
      <c r="G153" s="52"/>
      <c r="H153" s="52"/>
    </row>
    <row r="154" spans="1:12" hidden="1" x14ac:dyDescent="0.25">
      <c r="A154" s="50"/>
      <c r="B154" s="50" t="s">
        <v>194</v>
      </c>
      <c r="C154" s="50"/>
      <c r="D154" s="52"/>
      <c r="E154" s="52">
        <f>E155+E158+E161+E170+E175</f>
        <v>0</v>
      </c>
      <c r="F154" s="52">
        <f t="shared" ref="F154:H154" si="42">F155+F158+F161+F170+F175</f>
        <v>0</v>
      </c>
      <c r="G154" s="52">
        <f t="shared" si="42"/>
        <v>0</v>
      </c>
      <c r="H154" s="52">
        <f t="shared" si="42"/>
        <v>0</v>
      </c>
    </row>
    <row r="155" spans="1:12" s="5" customFormat="1" hidden="1" x14ac:dyDescent="0.25">
      <c r="B155" s="5" t="s">
        <v>173</v>
      </c>
      <c r="D155" s="44"/>
      <c r="E155" s="44">
        <f>E156+E159*E160</f>
        <v>0</v>
      </c>
      <c r="F155" s="44">
        <f>F156+F159*F160</f>
        <v>0</v>
      </c>
      <c r="G155" s="44">
        <f>G156+G159*G160</f>
        <v>0</v>
      </c>
      <c r="H155" s="44">
        <f t="shared" ref="H155" si="43">H156+H159*H160</f>
        <v>0</v>
      </c>
      <c r="I155" s="73"/>
    </row>
    <row r="156" spans="1:12" hidden="1" x14ac:dyDescent="0.25">
      <c r="B156" s="41" t="s">
        <v>184</v>
      </c>
      <c r="F156" s="44">
        <f>('Rates and GI'!$D$45+'Rates and GI'!$D$49)*0</f>
        <v>0</v>
      </c>
      <c r="G156" s="44">
        <f>('Rates and GI'!$D$45+'Rates and GI'!$D$49)*0</f>
        <v>0</v>
      </c>
      <c r="H156" s="44"/>
    </row>
    <row r="157" spans="1:12" hidden="1" x14ac:dyDescent="0.25">
      <c r="B157" s="41" t="s">
        <v>187</v>
      </c>
      <c r="F157" s="44">
        <f>'Rates and GI'!$D$51*0</f>
        <v>0</v>
      </c>
      <c r="G157" s="44">
        <f>'Rates and GI'!$D$51*0</f>
        <v>0</v>
      </c>
      <c r="H157" s="44"/>
    </row>
    <row r="158" spans="1:12" hidden="1" x14ac:dyDescent="0.25">
      <c r="B158" s="5" t="s">
        <v>174</v>
      </c>
      <c r="E158" s="44">
        <f>E159*E160</f>
        <v>0</v>
      </c>
      <c r="F158" s="44">
        <f t="shared" ref="F158:H158" si="44">F159*F160</f>
        <v>0</v>
      </c>
      <c r="G158" s="44">
        <f t="shared" si="44"/>
        <v>0</v>
      </c>
      <c r="H158" s="44">
        <f t="shared" si="44"/>
        <v>0</v>
      </c>
    </row>
    <row r="159" spans="1:12" hidden="1" x14ac:dyDescent="0.25">
      <c r="B159" s="41" t="s">
        <v>164</v>
      </c>
      <c r="F159" s="44">
        <f>'Rates and GI'!$D$54</f>
        <v>24.066499999999998</v>
      </c>
      <c r="G159" s="44">
        <f>'Rates and GI'!$D$54</f>
        <v>24.066499999999998</v>
      </c>
      <c r="H159" s="44">
        <f>'Rates and GI'!$D$54</f>
        <v>24.066499999999998</v>
      </c>
    </row>
    <row r="160" spans="1:12" hidden="1" x14ac:dyDescent="0.25">
      <c r="B160" s="41" t="s">
        <v>163</v>
      </c>
      <c r="F160" s="44">
        <v>0</v>
      </c>
      <c r="G160" s="38">
        <v>0</v>
      </c>
      <c r="H160" s="38">
        <v>0</v>
      </c>
    </row>
    <row r="161" spans="1:12" hidden="1" x14ac:dyDescent="0.25">
      <c r="B161" s="5" t="s">
        <v>175</v>
      </c>
      <c r="E161" s="44">
        <f>E162+E166</f>
        <v>0</v>
      </c>
      <c r="F161" s="44">
        <f t="shared" ref="F161:H161" si="45">F162+F166</f>
        <v>0</v>
      </c>
      <c r="G161" s="44">
        <f t="shared" si="45"/>
        <v>0</v>
      </c>
      <c r="H161" s="44">
        <f t="shared" si="45"/>
        <v>0</v>
      </c>
    </row>
    <row r="162" spans="1:12" hidden="1" x14ac:dyDescent="0.25">
      <c r="B162" s="41" t="s">
        <v>189</v>
      </c>
      <c r="E162" s="44">
        <f>E163*E164</f>
        <v>0</v>
      </c>
      <c r="F162" s="44">
        <f t="shared" ref="F162:H162" si="46">F163*F164</f>
        <v>0</v>
      </c>
      <c r="G162" s="44">
        <f t="shared" si="46"/>
        <v>0</v>
      </c>
      <c r="H162" s="44">
        <f t="shared" si="46"/>
        <v>0</v>
      </c>
    </row>
    <row r="163" spans="1:12" hidden="1" x14ac:dyDescent="0.25">
      <c r="B163" s="41" t="s">
        <v>176</v>
      </c>
      <c r="C163" s="5" t="s">
        <v>177</v>
      </c>
      <c r="E163" s="44">
        <v>0</v>
      </c>
      <c r="F163" s="44">
        <v>0</v>
      </c>
      <c r="G163" s="38">
        <v>0</v>
      </c>
      <c r="H163" s="38">
        <v>0</v>
      </c>
    </row>
    <row r="164" spans="1:12" hidden="1" x14ac:dyDescent="0.25">
      <c r="B164" s="41" t="s">
        <v>178</v>
      </c>
      <c r="E164" s="44">
        <f>'Rates and GI'!$D$52</f>
        <v>150</v>
      </c>
      <c r="F164" s="44">
        <f>'Rates and GI'!$D$52</f>
        <v>150</v>
      </c>
      <c r="G164" s="44">
        <f>'Rates and GI'!$D$52</f>
        <v>150</v>
      </c>
      <c r="H164" s="44">
        <f>'Rates and GI'!$D$52</f>
        <v>150</v>
      </c>
    </row>
    <row r="165" spans="1:12" hidden="1" x14ac:dyDescent="0.25">
      <c r="B165" s="6"/>
    </row>
    <row r="166" spans="1:12" hidden="1" x14ac:dyDescent="0.25">
      <c r="B166" s="41" t="s">
        <v>190</v>
      </c>
      <c r="E166" s="44">
        <f>E167*E168</f>
        <v>0</v>
      </c>
      <c r="F166" s="44">
        <f t="shared" ref="F166:H166" si="47">F167*F168</f>
        <v>0</v>
      </c>
      <c r="G166" s="44">
        <f t="shared" si="47"/>
        <v>0</v>
      </c>
      <c r="H166" s="44">
        <f t="shared" si="47"/>
        <v>0</v>
      </c>
    </row>
    <row r="167" spans="1:12" hidden="1" x14ac:dyDescent="0.25">
      <c r="B167" s="41" t="s">
        <v>176</v>
      </c>
      <c r="C167" s="5" t="s">
        <v>177</v>
      </c>
      <c r="E167" s="44">
        <v>0</v>
      </c>
      <c r="F167" s="44">
        <v>0</v>
      </c>
      <c r="G167" s="38">
        <v>0</v>
      </c>
      <c r="H167" s="38">
        <v>0</v>
      </c>
    </row>
    <row r="168" spans="1:12" s="62" customFormat="1" hidden="1" x14ac:dyDescent="0.25">
      <c r="A168" s="5"/>
      <c r="B168" s="41" t="s">
        <v>178</v>
      </c>
      <c r="C168" s="5"/>
      <c r="D168" s="44"/>
      <c r="E168" s="44">
        <f>'Rates and GI'!$D$53</f>
        <v>20</v>
      </c>
      <c r="F168" s="44">
        <f>'Rates and GI'!$D$53</f>
        <v>20</v>
      </c>
      <c r="G168" s="44">
        <f>'Rates and GI'!$D$53</f>
        <v>20</v>
      </c>
      <c r="H168" s="44">
        <f>'Rates and GI'!$D$53</f>
        <v>20</v>
      </c>
      <c r="J168" s="6"/>
      <c r="K168" s="6"/>
      <c r="L168" s="6"/>
    </row>
    <row r="169" spans="1:12" s="62" customFormat="1" hidden="1" x14ac:dyDescent="0.25">
      <c r="A169" s="5"/>
      <c r="B169" s="6"/>
      <c r="C169" s="5"/>
      <c r="D169" s="44"/>
      <c r="E169" s="44"/>
      <c r="F169" s="44"/>
      <c r="G169" s="38"/>
      <c r="H169" s="38"/>
      <c r="J169" s="6"/>
      <c r="K169" s="6"/>
      <c r="L169" s="6"/>
    </row>
    <row r="170" spans="1:12" s="62" customFormat="1" hidden="1" x14ac:dyDescent="0.25">
      <c r="A170" s="5"/>
      <c r="B170" s="5" t="s">
        <v>179</v>
      </c>
      <c r="C170" s="5"/>
      <c r="D170" s="44"/>
      <c r="E170" s="44">
        <f>E171*E172*E173</f>
        <v>0</v>
      </c>
      <c r="F170" s="44">
        <f t="shared" ref="F170:H170" si="48">F171*F172*F173</f>
        <v>0</v>
      </c>
      <c r="G170" s="44">
        <f t="shared" si="48"/>
        <v>0</v>
      </c>
      <c r="H170" s="44">
        <f t="shared" si="48"/>
        <v>0</v>
      </c>
      <c r="J170" s="6"/>
      <c r="K170" s="6"/>
      <c r="L170" s="6"/>
    </row>
    <row r="171" spans="1:12" s="62" customFormat="1" hidden="1" x14ac:dyDescent="0.25">
      <c r="A171" s="5"/>
      <c r="B171" s="41" t="s">
        <v>191</v>
      </c>
      <c r="C171" s="5"/>
      <c r="D171" s="44"/>
      <c r="E171" s="44"/>
      <c r="F171" s="44">
        <f>'Rates and GI'!$D$55</f>
        <v>300</v>
      </c>
      <c r="G171" s="44">
        <f>'Rates and GI'!$D$55</f>
        <v>300</v>
      </c>
      <c r="H171" s="44">
        <f>'Rates and GI'!$D$55</f>
        <v>300</v>
      </c>
      <c r="J171" s="6"/>
      <c r="K171" s="6"/>
      <c r="L171" s="6"/>
    </row>
    <row r="172" spans="1:12" s="62" customFormat="1" hidden="1" x14ac:dyDescent="0.25">
      <c r="A172" s="5"/>
      <c r="B172" s="41" t="s">
        <v>192</v>
      </c>
      <c r="C172" s="5"/>
      <c r="D172" s="44"/>
      <c r="E172" s="44"/>
      <c r="F172" s="44">
        <v>3</v>
      </c>
      <c r="G172" s="44">
        <v>3</v>
      </c>
      <c r="H172" s="44">
        <v>3</v>
      </c>
      <c r="J172" s="6"/>
      <c r="K172" s="6"/>
      <c r="L172" s="6"/>
    </row>
    <row r="173" spans="1:12" s="62" customFormat="1" hidden="1" x14ac:dyDescent="0.25">
      <c r="A173" s="5"/>
      <c r="B173" s="41" t="s">
        <v>193</v>
      </c>
      <c r="C173" s="5"/>
      <c r="D173" s="44"/>
      <c r="E173" s="44"/>
      <c r="F173" s="44">
        <v>0</v>
      </c>
      <c r="G173" s="44">
        <v>0</v>
      </c>
      <c r="H173" s="44">
        <v>0</v>
      </c>
      <c r="J173" s="6"/>
      <c r="K173" s="6"/>
      <c r="L173" s="6"/>
    </row>
    <row r="174" spans="1:12" hidden="1" x14ac:dyDescent="0.25"/>
    <row r="175" spans="1:12" s="62" customFormat="1" hidden="1" x14ac:dyDescent="0.25">
      <c r="A175" s="5"/>
      <c r="B175" s="5" t="s">
        <v>172</v>
      </c>
      <c r="C175" s="5"/>
      <c r="D175" s="44"/>
      <c r="E175" s="44">
        <f>E176+E177*E178</f>
        <v>0</v>
      </c>
      <c r="F175" s="44">
        <f>F176+F177*F178</f>
        <v>0</v>
      </c>
      <c r="G175" s="44">
        <f>G176+G177*G178</f>
        <v>0</v>
      </c>
      <c r="H175" s="44">
        <f>H176+H177*H178</f>
        <v>0</v>
      </c>
      <c r="J175" s="6"/>
      <c r="K175" s="6"/>
      <c r="L175" s="6"/>
    </row>
    <row r="176" spans="1:12" s="62" customFormat="1" hidden="1" x14ac:dyDescent="0.25">
      <c r="A176" s="5"/>
      <c r="B176" s="41" t="s">
        <v>153</v>
      </c>
      <c r="C176" s="5"/>
      <c r="D176" s="44"/>
      <c r="E176" s="44"/>
      <c r="F176" s="44">
        <f>'Rates and GI'!D46*0</f>
        <v>0</v>
      </c>
      <c r="G176" s="38"/>
      <c r="H176" s="38"/>
      <c r="J176" s="6"/>
      <c r="K176" s="6"/>
      <c r="L176" s="6"/>
    </row>
    <row r="177" spans="1:12" s="62" customFormat="1" hidden="1" x14ac:dyDescent="0.25">
      <c r="A177" s="5"/>
      <c r="B177" s="41" t="s">
        <v>159</v>
      </c>
      <c r="C177" s="5"/>
      <c r="D177" s="44"/>
      <c r="E177" s="44"/>
      <c r="F177" s="65">
        <f>'Rates and GI'!$D$47</f>
        <v>0.05</v>
      </c>
      <c r="G177" s="65">
        <f>'Rates and GI'!$D$47</f>
        <v>0.05</v>
      </c>
      <c r="H177" s="65">
        <f>'Rates and GI'!$D$47</f>
        <v>0.05</v>
      </c>
      <c r="J177" s="6"/>
      <c r="K177" s="6"/>
      <c r="L177" s="6"/>
    </row>
    <row r="178" spans="1:12" s="62" customFormat="1" hidden="1" x14ac:dyDescent="0.25">
      <c r="A178" s="5"/>
      <c r="B178" s="41" t="s">
        <v>160</v>
      </c>
      <c r="C178" s="5"/>
      <c r="D178" s="44"/>
      <c r="E178" s="44"/>
      <c r="F178" s="44">
        <v>0</v>
      </c>
      <c r="G178" s="38">
        <v>0</v>
      </c>
      <c r="H178" s="38"/>
      <c r="J178" s="6"/>
      <c r="K178" s="6"/>
      <c r="L178" s="6"/>
    </row>
    <row r="179" spans="1:12" hidden="1" x14ac:dyDescent="0.25"/>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row r="184" spans="1:12" x14ac:dyDescent="0.25">
      <c r="A184" s="228"/>
      <c r="B184" s="228"/>
      <c r="C184" s="228"/>
      <c r="D184" s="230"/>
      <c r="E184" s="230"/>
      <c r="F184" s="230"/>
      <c r="G184" s="230"/>
      <c r="H184" s="230"/>
    </row>
  </sheetData>
  <pageMargins left="0.7" right="0.7" top="0.75" bottom="0.75" header="0.3" footer="0.3"/>
  <pageSetup paperSize="9" scale="56" fitToHeight="0"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8"/>
  <sheetViews>
    <sheetView topLeftCell="A145" zoomScaleNormal="100" workbookViewId="0">
      <selection activeCell="B213" sqref="B21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26</v>
      </c>
      <c r="B1" s="126" t="s">
        <v>299</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742.35</v>
      </c>
      <c r="E5" s="44">
        <f>E59</f>
        <v>742.35</v>
      </c>
      <c r="F5" s="44">
        <f t="shared" ref="F5:H5" si="1">F59</f>
        <v>0</v>
      </c>
      <c r="G5" s="44">
        <f t="shared" si="1"/>
        <v>0</v>
      </c>
      <c r="H5" s="44">
        <f t="shared" si="1"/>
        <v>0</v>
      </c>
    </row>
    <row r="6" spans="1:12" x14ac:dyDescent="0.25">
      <c r="B6" s="16" t="s">
        <v>168</v>
      </c>
      <c r="D6" s="44">
        <f t="shared" si="0"/>
        <v>0</v>
      </c>
      <c r="E6" s="44">
        <f>E63</f>
        <v>0</v>
      </c>
      <c r="F6" s="44">
        <f t="shared" ref="F6:H6" si="2">F63</f>
        <v>0</v>
      </c>
      <c r="G6" s="44">
        <f t="shared" si="2"/>
        <v>0</v>
      </c>
      <c r="H6" s="44">
        <f t="shared" si="2"/>
        <v>0</v>
      </c>
    </row>
    <row r="7" spans="1:12" ht="14.25" thickBot="1" x14ac:dyDescent="0.3">
      <c r="A7" s="13"/>
      <c r="B7" s="13" t="s">
        <v>5</v>
      </c>
      <c r="C7" s="13"/>
      <c r="D7" s="47">
        <f>SUBTOTAL(9,D5:D6)</f>
        <v>742.35</v>
      </c>
      <c r="E7" s="47">
        <f>SUBTOTAL(9,E5:E6)</f>
        <v>742.35</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E83</f>
        <v>0</v>
      </c>
      <c r="F10" s="44">
        <f t="shared" ref="F10:H10" si="4">F83</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E91</f>
        <v>0</v>
      </c>
      <c r="F15" s="44">
        <f t="shared" ref="F15:H15" si="7">F91</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E95</f>
        <v>0</v>
      </c>
      <c r="F20" s="44">
        <f t="shared" ref="F20:H20" si="10">F95</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E109</f>
        <v>0</v>
      </c>
      <c r="F25" s="44">
        <f t="shared" ref="F25:H25" si="13">F109</f>
        <v>0</v>
      </c>
      <c r="G25" s="44">
        <f t="shared" si="13"/>
        <v>0</v>
      </c>
      <c r="H25" s="44">
        <f t="shared" si="13"/>
        <v>0</v>
      </c>
    </row>
    <row r="26" spans="1:12" x14ac:dyDescent="0.25">
      <c r="B26" s="16" t="s">
        <v>25</v>
      </c>
      <c r="D26" s="44">
        <f t="shared" ref="D26:D27" si="14">SUM(E26:H26)</f>
        <v>0</v>
      </c>
      <c r="E26" s="44">
        <f>E149</f>
        <v>0</v>
      </c>
      <c r="F26" s="44">
        <f t="shared" ref="F26:H26" si="15">F149</f>
        <v>0</v>
      </c>
      <c r="G26" s="44">
        <f t="shared" si="15"/>
        <v>0</v>
      </c>
      <c r="H26" s="44">
        <f t="shared" si="15"/>
        <v>0</v>
      </c>
    </row>
    <row r="27" spans="1:12" x14ac:dyDescent="0.25">
      <c r="B27" s="16" t="s">
        <v>233</v>
      </c>
      <c r="D27" s="44">
        <f t="shared" si="14"/>
        <v>11500</v>
      </c>
      <c r="E27" s="44">
        <f>E199</f>
        <v>3357.1428571428569</v>
      </c>
      <c r="F27" s="44">
        <f t="shared" ref="F27:H27" si="16">F199</f>
        <v>4071.4285714285716</v>
      </c>
      <c r="G27" s="44">
        <f t="shared" si="16"/>
        <v>4071.4285714285716</v>
      </c>
      <c r="H27" s="44">
        <f t="shared" si="16"/>
        <v>0</v>
      </c>
    </row>
    <row r="28" spans="1:12" ht="14.25" thickBot="1" x14ac:dyDescent="0.3">
      <c r="A28" s="13"/>
      <c r="B28" s="13" t="s">
        <v>73</v>
      </c>
      <c r="C28" s="13"/>
      <c r="D28" s="47">
        <f>SUBTOTAL(9,D25:D27)</f>
        <v>11500</v>
      </c>
      <c r="E28" s="47">
        <f t="shared" ref="E28:H28" si="17">SUBTOTAL(9,E25:E27)</f>
        <v>3357.1428571428569</v>
      </c>
      <c r="F28" s="47">
        <f>SUBTOTAL(9,F25:F27)</f>
        <v>4071.4285714285716</v>
      </c>
      <c r="G28" s="47">
        <f t="shared" si="17"/>
        <v>4071.4285714285716</v>
      </c>
      <c r="H28" s="47">
        <f t="shared" si="17"/>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8">SUM(E31:H31)</f>
        <v>0</v>
      </c>
    </row>
    <row r="32" spans="1:12" x14ac:dyDescent="0.25">
      <c r="B32" s="16" t="s">
        <v>26</v>
      </c>
      <c r="D32" s="44">
        <f t="shared" si="18"/>
        <v>78900</v>
      </c>
      <c r="E32" s="44">
        <f>E119</f>
        <v>78900</v>
      </c>
      <c r="F32" s="44">
        <f t="shared" ref="F32:H32" si="19">F119</f>
        <v>0</v>
      </c>
      <c r="G32" s="44">
        <f t="shared" si="19"/>
        <v>0</v>
      </c>
      <c r="H32" s="44">
        <f t="shared" si="19"/>
        <v>0</v>
      </c>
    </row>
    <row r="33" spans="1:12" x14ac:dyDescent="0.25">
      <c r="B33" s="16" t="s">
        <v>8</v>
      </c>
      <c r="D33" s="44">
        <f t="shared" si="18"/>
        <v>2000</v>
      </c>
      <c r="E33" s="44">
        <f>E132</f>
        <v>2000</v>
      </c>
      <c r="F33" s="44">
        <f t="shared" ref="F33:H33" si="20">F132</f>
        <v>0</v>
      </c>
      <c r="G33" s="44">
        <f t="shared" si="20"/>
        <v>0</v>
      </c>
      <c r="H33" s="44">
        <f t="shared" si="20"/>
        <v>0</v>
      </c>
    </row>
    <row r="34" spans="1:12" x14ac:dyDescent="0.25">
      <c r="B34" s="16" t="s">
        <v>9</v>
      </c>
      <c r="D34" s="44">
        <f t="shared" si="18"/>
        <v>0</v>
      </c>
    </row>
    <row r="35" spans="1:12" ht="14.25" thickBot="1" x14ac:dyDescent="0.3">
      <c r="A35" s="13"/>
      <c r="B35" s="13" t="s">
        <v>67</v>
      </c>
      <c r="C35" s="13"/>
      <c r="D35" s="47">
        <f>SUBTOTAL(9,D31:D34)</f>
        <v>80900</v>
      </c>
      <c r="E35" s="47">
        <f t="shared" ref="E35:H35" si="21">SUBTOTAL(9,E31:E34)</f>
        <v>80900</v>
      </c>
      <c r="F35" s="47">
        <f t="shared" si="21"/>
        <v>0</v>
      </c>
      <c r="G35" s="47">
        <f t="shared" si="21"/>
        <v>0</v>
      </c>
      <c r="H35" s="47">
        <f t="shared" si="21"/>
        <v>0</v>
      </c>
    </row>
    <row r="36" spans="1:12" ht="5.25" customHeight="1" x14ac:dyDescent="0.25"/>
    <row r="37" spans="1:12" x14ac:dyDescent="0.25">
      <c r="A37" s="15"/>
      <c r="B37" s="15" t="s">
        <v>307</v>
      </c>
      <c r="C37" s="15"/>
      <c r="D37" s="53"/>
      <c r="E37" s="53"/>
      <c r="F37" s="53"/>
      <c r="G37" s="54"/>
      <c r="H37" s="54"/>
      <c r="I37" s="61"/>
      <c r="J37" s="12"/>
      <c r="K37" s="12"/>
      <c r="L37" s="12"/>
    </row>
    <row r="38" spans="1:12" x14ac:dyDescent="0.25">
      <c r="A38" s="2"/>
      <c r="B38" s="2" t="s">
        <v>302</v>
      </c>
      <c r="C38" s="2"/>
      <c r="D38" s="44">
        <f t="shared" ref="D38" si="22">SUM(E38:H38)</f>
        <v>4800</v>
      </c>
      <c r="E38" s="44">
        <f>E135</f>
        <v>1200</v>
      </c>
      <c r="F38" s="44">
        <f t="shared" ref="F38:H38" si="23">F135</f>
        <v>1200</v>
      </c>
      <c r="G38" s="44">
        <f t="shared" si="23"/>
        <v>1200</v>
      </c>
      <c r="H38" s="44">
        <f t="shared" si="23"/>
        <v>1200</v>
      </c>
    </row>
    <row r="39" spans="1:12" ht="14.25" thickBot="1" x14ac:dyDescent="0.3">
      <c r="A39" s="13"/>
      <c r="B39" s="13" t="s">
        <v>68</v>
      </c>
      <c r="C39" s="13"/>
      <c r="D39" s="47">
        <f>SUBTOTAL(9,D38:D38)</f>
        <v>4800</v>
      </c>
      <c r="E39" s="47">
        <f>SUBTOTAL(9,E38:E38)</f>
        <v>1200</v>
      </c>
      <c r="F39" s="47">
        <f>SUBTOTAL(9,F38:F38)</f>
        <v>1200</v>
      </c>
      <c r="G39" s="47">
        <f>SUBTOTAL(9,G38:G38)</f>
        <v>1200</v>
      </c>
      <c r="H39" s="47">
        <f>SUBTOTAL(9,H38:H38)</f>
        <v>1200</v>
      </c>
    </row>
    <row r="40" spans="1:12" ht="5.25" customHeight="1" x14ac:dyDescent="0.25">
      <c r="A40" s="3"/>
      <c r="B40" s="6"/>
      <c r="C40" s="3"/>
    </row>
    <row r="41" spans="1:12" x14ac:dyDescent="0.25">
      <c r="A41" s="15"/>
      <c r="B41" s="15" t="s">
        <v>20</v>
      </c>
      <c r="C41" s="15"/>
      <c r="D41" s="53"/>
      <c r="E41" s="53"/>
      <c r="F41" s="53"/>
      <c r="G41" s="54"/>
      <c r="H41" s="54"/>
      <c r="I41" s="61"/>
      <c r="J41" s="12"/>
      <c r="K41" s="12"/>
      <c r="L41" s="12"/>
    </row>
    <row r="42" spans="1:12" x14ac:dyDescent="0.25">
      <c r="A42" s="3"/>
      <c r="B42" s="3" t="s">
        <v>194</v>
      </c>
      <c r="C42" s="3"/>
      <c r="D42" s="44">
        <f t="shared" ref="D42:D43" si="24">SUM(E42:H42)</f>
        <v>0</v>
      </c>
      <c r="E42" s="44">
        <f>E169</f>
        <v>0</v>
      </c>
      <c r="F42" s="44">
        <f t="shared" ref="F42:H42" si="25">F169</f>
        <v>0</v>
      </c>
      <c r="G42" s="44">
        <f t="shared" si="25"/>
        <v>0</v>
      </c>
      <c r="H42" s="44">
        <f t="shared" si="25"/>
        <v>0</v>
      </c>
    </row>
    <row r="43" spans="1:12" x14ac:dyDescent="0.25">
      <c r="A43" s="3"/>
      <c r="B43" s="3" t="s">
        <v>21</v>
      </c>
      <c r="C43" s="3"/>
      <c r="D43" s="44">
        <f t="shared" si="24"/>
        <v>0</v>
      </c>
      <c r="E43" s="44">
        <f>E159</f>
        <v>0</v>
      </c>
      <c r="F43" s="44">
        <f t="shared" ref="F43:H43" si="26">F159</f>
        <v>0</v>
      </c>
      <c r="G43" s="44">
        <f t="shared" si="26"/>
        <v>0</v>
      </c>
      <c r="H43" s="44">
        <f t="shared" si="26"/>
        <v>0</v>
      </c>
    </row>
    <row r="44" spans="1:12" ht="14.25" thickBot="1" x14ac:dyDescent="0.3">
      <c r="A44" s="13"/>
      <c r="B44" s="13" t="s">
        <v>69</v>
      </c>
      <c r="C44" s="13"/>
      <c r="D44" s="47">
        <f>SUBTOTAL(9,D42:D43)</f>
        <v>0</v>
      </c>
      <c r="E44" s="47">
        <f>SUBTOTAL(9,E42:E43)</f>
        <v>0</v>
      </c>
      <c r="F44" s="47">
        <f>SUBTOTAL(9,F42:F43)</f>
        <v>0</v>
      </c>
      <c r="G44" s="47">
        <f>SUBTOTAL(9,G42:G43)</f>
        <v>0</v>
      </c>
      <c r="H44" s="47">
        <f>SUBTOTAL(9,H42:H43)</f>
        <v>0</v>
      </c>
    </row>
    <row r="45" spans="1:12" ht="5.25" customHeight="1" x14ac:dyDescent="0.25">
      <c r="A45" s="1"/>
      <c r="B45" s="1"/>
      <c r="C45" s="1"/>
    </row>
    <row r="46" spans="1:12" ht="14.25" thickBot="1" x14ac:dyDescent="0.3">
      <c r="A46" s="48"/>
      <c r="B46" s="48" t="s">
        <v>142</v>
      </c>
      <c r="C46" s="48"/>
      <c r="D46" s="49">
        <f>SUBTOTAL(9,D5:D44)</f>
        <v>97942.35</v>
      </c>
      <c r="E46" s="49">
        <f>SUBTOTAL(9,E5:E44)</f>
        <v>86199.492857142861</v>
      </c>
      <c r="F46" s="49">
        <f>SUBTOTAL(9,F5:F44)</f>
        <v>5271.4285714285716</v>
      </c>
      <c r="G46" s="49">
        <f>SUBTOTAL(9,G5:G44)</f>
        <v>5271.4285714285716</v>
      </c>
      <c r="H46" s="49">
        <f>SUBTOTAL(9,H5:H44)</f>
        <v>1200</v>
      </c>
    </row>
    <row r="47" spans="1:12" ht="14.25" thickBot="1" x14ac:dyDescent="0.3">
      <c r="A47" s="1"/>
      <c r="B47" s="1"/>
      <c r="C47" s="1"/>
      <c r="D47" s="33"/>
      <c r="E47" s="33"/>
      <c r="F47" s="33"/>
      <c r="G47" s="28"/>
      <c r="H47" s="28"/>
      <c r="I47" s="6"/>
    </row>
    <row r="48" spans="1:12" ht="18" thickTop="1" x14ac:dyDescent="0.3">
      <c r="A48" s="120"/>
      <c r="B48" s="121" t="s">
        <v>27</v>
      </c>
      <c r="C48" s="121"/>
      <c r="D48" s="122"/>
      <c r="E48" s="122"/>
      <c r="F48" s="122"/>
      <c r="G48" s="122"/>
      <c r="H48" s="122"/>
      <c r="I48" s="6"/>
    </row>
    <row r="49" spans="1:12" ht="6.75" customHeight="1" x14ac:dyDescent="0.25">
      <c r="A49" s="1"/>
      <c r="B49" s="1"/>
      <c r="C49" s="1"/>
      <c r="D49" s="33"/>
      <c r="E49" s="33"/>
      <c r="F49" s="33"/>
      <c r="G49" s="28"/>
      <c r="H49" s="28"/>
      <c r="I49" s="6"/>
    </row>
    <row r="50" spans="1:12" s="14" customFormat="1" x14ac:dyDescent="0.25">
      <c r="A50" s="81"/>
      <c r="B50" s="81" t="s">
        <v>65</v>
      </c>
      <c r="C50" s="81" t="s">
        <v>64</v>
      </c>
      <c r="D50" s="82"/>
      <c r="E50" s="83">
        <f>start</f>
        <v>43831</v>
      </c>
      <c r="F50" s="83">
        <f>EOMONTH(E50,11)+1</f>
        <v>44197</v>
      </c>
      <c r="G50" s="83">
        <f>EOMONTH(F50,11)+1</f>
        <v>44562</v>
      </c>
      <c r="H50" s="83">
        <f>EOMONTH(G50,11)+1</f>
        <v>44927</v>
      </c>
    </row>
    <row r="51" spans="1:12" ht="6.75" customHeight="1" x14ac:dyDescent="0.25">
      <c r="D51" s="33"/>
      <c r="E51" s="33"/>
      <c r="F51" s="33"/>
      <c r="G51" s="28"/>
      <c r="H51" s="28"/>
      <c r="I51" s="6"/>
    </row>
    <row r="52" spans="1:12" x14ac:dyDescent="0.25">
      <c r="A52" s="50"/>
      <c r="B52" s="50" t="s">
        <v>0</v>
      </c>
      <c r="C52" s="50"/>
      <c r="D52" s="52"/>
      <c r="E52" s="52"/>
      <c r="F52" s="52"/>
      <c r="G52" s="52"/>
      <c r="H52" s="52"/>
    </row>
    <row r="53" spans="1:12" hidden="1" x14ac:dyDescent="0.25">
      <c r="B53" s="5" t="s">
        <v>2</v>
      </c>
      <c r="E53" s="44">
        <f>E54*E55*E56*E57</f>
        <v>0</v>
      </c>
      <c r="F53" s="45"/>
      <c r="G53" s="37"/>
      <c r="H53" s="37"/>
    </row>
    <row r="54" spans="1:12" hidden="1" x14ac:dyDescent="0.25">
      <c r="A54" s="9"/>
      <c r="B54" s="9" t="s">
        <v>36</v>
      </c>
      <c r="C54" s="9"/>
      <c r="E54" s="44">
        <v>0</v>
      </c>
    </row>
    <row r="55" spans="1:12" hidden="1" x14ac:dyDescent="0.25">
      <c r="A55" s="9"/>
      <c r="B55" s="9" t="s">
        <v>37</v>
      </c>
      <c r="C55" s="9"/>
      <c r="D55" s="45"/>
      <c r="E55" s="45">
        <v>0</v>
      </c>
    </row>
    <row r="56" spans="1:12" hidden="1" x14ac:dyDescent="0.25">
      <c r="A56" s="9"/>
      <c r="B56" s="9" t="s">
        <v>38</v>
      </c>
      <c r="C56" s="9"/>
      <c r="E56" s="44">
        <v>0</v>
      </c>
    </row>
    <row r="57" spans="1:12" hidden="1" x14ac:dyDescent="0.25">
      <c r="A57" s="9"/>
      <c r="B57" s="9" t="s">
        <v>39</v>
      </c>
      <c r="C57" s="9"/>
      <c r="E57" s="46">
        <v>0</v>
      </c>
    </row>
    <row r="58" spans="1:12" hidden="1" x14ac:dyDescent="0.25">
      <c r="A58" s="9"/>
      <c r="B58" s="9"/>
      <c r="C58" s="9"/>
    </row>
    <row r="59" spans="1:12" x14ac:dyDescent="0.25">
      <c r="B59" s="5" t="s">
        <v>23</v>
      </c>
      <c r="E59" s="44">
        <f>E60*E61</f>
        <v>742.35</v>
      </c>
      <c r="F59" s="44">
        <f t="shared" ref="F59:H59" si="27">F60*F61</f>
        <v>0</v>
      </c>
      <c r="G59" s="44">
        <f t="shared" si="27"/>
        <v>0</v>
      </c>
      <c r="H59" s="44">
        <f t="shared" si="27"/>
        <v>0</v>
      </c>
    </row>
    <row r="60" spans="1:12" x14ac:dyDescent="0.25">
      <c r="A60" s="9"/>
      <c r="B60" s="9" t="s">
        <v>114</v>
      </c>
      <c r="C60" s="9" t="s">
        <v>113</v>
      </c>
      <c r="E60" s="44">
        <f>2*21</f>
        <v>42</v>
      </c>
      <c r="F60" s="44">
        <v>0</v>
      </c>
      <c r="G60" s="44">
        <v>0</v>
      </c>
      <c r="H60" s="44">
        <v>0</v>
      </c>
    </row>
    <row r="61" spans="1:12" x14ac:dyDescent="0.25">
      <c r="A61" s="9"/>
      <c r="B61" s="9" t="s">
        <v>40</v>
      </c>
      <c r="C61" s="9"/>
      <c r="E61" s="44">
        <f>'Rates and GI'!D12</f>
        <v>17.675000000000001</v>
      </c>
      <c r="F61" s="44">
        <f>E61*(1+index)</f>
        <v>18.435025</v>
      </c>
      <c r="G61" s="44">
        <f>F61*(1+index)</f>
        <v>19.227731074999998</v>
      </c>
      <c r="H61" s="44">
        <f>G61*(1+index)</f>
        <v>20.054523511224996</v>
      </c>
    </row>
    <row r="62" spans="1:12" hidden="1" x14ac:dyDescent="0.25"/>
    <row r="63" spans="1:12" s="7" customFormat="1" hidden="1" x14ac:dyDescent="0.25">
      <c r="A63" s="5"/>
      <c r="B63" s="5" t="s">
        <v>168</v>
      </c>
      <c r="C63" s="5"/>
      <c r="D63" s="44"/>
      <c r="E63" s="44">
        <f>E64*E65</f>
        <v>0</v>
      </c>
      <c r="F63" s="44">
        <f t="shared" ref="F63:H63" si="28">F64*F65</f>
        <v>0</v>
      </c>
      <c r="G63" s="44">
        <f t="shared" si="28"/>
        <v>0</v>
      </c>
      <c r="H63" s="44">
        <f t="shared" si="28"/>
        <v>0</v>
      </c>
      <c r="I63" s="62"/>
      <c r="J63" s="6"/>
      <c r="K63" s="6"/>
      <c r="L63" s="6"/>
    </row>
    <row r="64" spans="1:12" s="7" customFormat="1" hidden="1" x14ac:dyDescent="0.25">
      <c r="A64" s="9"/>
      <c r="B64" s="9" t="s">
        <v>170</v>
      </c>
      <c r="C64" s="9" t="s">
        <v>113</v>
      </c>
      <c r="D64" s="44"/>
      <c r="E64" s="44">
        <v>0</v>
      </c>
      <c r="F64" s="44">
        <v>0</v>
      </c>
      <c r="G64" s="44">
        <v>0</v>
      </c>
      <c r="H64" s="44">
        <v>0</v>
      </c>
      <c r="I64" s="62"/>
      <c r="J64" s="6"/>
      <c r="K64" s="6"/>
      <c r="L64" s="6"/>
    </row>
    <row r="65" spans="1:12" s="7" customFormat="1" hidden="1" x14ac:dyDescent="0.25">
      <c r="A65" s="9"/>
      <c r="B65" s="9" t="s">
        <v>40</v>
      </c>
      <c r="C65" s="9"/>
      <c r="D65" s="44"/>
      <c r="E65" s="44">
        <f>'Rates and GI'!D13</f>
        <v>162.21599999999998</v>
      </c>
      <c r="F65" s="44">
        <f>E65*(1+index)</f>
        <v>169.19128799999996</v>
      </c>
      <c r="G65" s="44">
        <f>F65*(1+index)</f>
        <v>176.46651338399994</v>
      </c>
      <c r="H65" s="44">
        <f>G65*(1+index)</f>
        <v>184.05457345951191</v>
      </c>
      <c r="I65" s="62"/>
      <c r="J65" s="6"/>
      <c r="K65" s="6"/>
      <c r="L65" s="6"/>
    </row>
    <row r="66" spans="1:12" hidden="1" x14ac:dyDescent="0.25"/>
    <row r="67" spans="1:12" s="7" customFormat="1" hidden="1" x14ac:dyDescent="0.25">
      <c r="A67" s="5"/>
      <c r="B67" s="5" t="s">
        <v>1</v>
      </c>
      <c r="C67" s="5"/>
      <c r="D67" s="44"/>
      <c r="E67" s="44"/>
      <c r="F67" s="44"/>
      <c r="G67" s="38"/>
      <c r="H67" s="38"/>
      <c r="I67" s="62"/>
      <c r="J67" s="6"/>
      <c r="K67" s="6"/>
      <c r="L67" s="6"/>
    </row>
    <row r="68" spans="1:12" s="7" customFormat="1" hidden="1" x14ac:dyDescent="0.25">
      <c r="A68" s="9"/>
      <c r="B68" s="9" t="s">
        <v>41</v>
      </c>
      <c r="C68" s="9"/>
      <c r="D68" s="44"/>
      <c r="E68" s="44">
        <v>0</v>
      </c>
      <c r="F68" s="44"/>
      <c r="G68" s="38"/>
      <c r="H68" s="38"/>
      <c r="I68" s="62"/>
      <c r="J68" s="6"/>
      <c r="K68" s="6"/>
      <c r="L68" s="6"/>
    </row>
    <row r="69" spans="1:12" s="7" customFormat="1" hidden="1" x14ac:dyDescent="0.25">
      <c r="A69" s="9"/>
      <c r="B69" s="9" t="s">
        <v>42</v>
      </c>
      <c r="C69" s="9"/>
      <c r="D69" s="44"/>
      <c r="E69" s="44">
        <v>0</v>
      </c>
      <c r="F69" s="44"/>
      <c r="G69" s="38"/>
      <c r="H69" s="38"/>
      <c r="I69" s="62"/>
      <c r="J69" s="6"/>
      <c r="K69" s="6"/>
      <c r="L69" s="6"/>
    </row>
    <row r="70" spans="1:12" s="7" customFormat="1" hidden="1" x14ac:dyDescent="0.25">
      <c r="A70" s="9"/>
      <c r="B70" s="9" t="s">
        <v>43</v>
      </c>
      <c r="C70" s="9"/>
      <c r="D70" s="44"/>
      <c r="E70" s="44">
        <v>0</v>
      </c>
      <c r="F70" s="44"/>
      <c r="G70" s="38"/>
      <c r="H70" s="38"/>
      <c r="I70" s="62"/>
      <c r="J70" s="6"/>
      <c r="K70" s="6"/>
      <c r="L70" s="6"/>
    </row>
    <row r="71" spans="1:12" s="7" customFormat="1" hidden="1" x14ac:dyDescent="0.25">
      <c r="A71" s="9"/>
      <c r="B71" s="9" t="s">
        <v>44</v>
      </c>
      <c r="C71" s="9"/>
      <c r="D71" s="44"/>
      <c r="E71" s="44">
        <v>0</v>
      </c>
      <c r="F71" s="44"/>
      <c r="G71" s="38"/>
      <c r="H71" s="38"/>
      <c r="I71" s="62"/>
      <c r="J71" s="6"/>
      <c r="K71" s="6"/>
      <c r="L71" s="6"/>
    </row>
    <row r="72" spans="1:12" hidden="1" x14ac:dyDescent="0.25"/>
    <row r="73" spans="1:12" s="7" customFormat="1" hidden="1" x14ac:dyDescent="0.25">
      <c r="A73" s="5"/>
      <c r="B73" s="5" t="s">
        <v>3</v>
      </c>
      <c r="C73" s="5"/>
      <c r="D73" s="44"/>
      <c r="E73" s="44"/>
      <c r="F73" s="44"/>
      <c r="G73" s="38"/>
      <c r="H73" s="38"/>
      <c r="I73" s="62"/>
      <c r="J73" s="6"/>
      <c r="K73" s="6"/>
      <c r="L73" s="6"/>
    </row>
    <row r="74" spans="1:12" s="7" customFormat="1" hidden="1" x14ac:dyDescent="0.25">
      <c r="A74" s="9"/>
      <c r="B74" s="9" t="s">
        <v>45</v>
      </c>
      <c r="C74" s="9"/>
      <c r="D74" s="44"/>
      <c r="E74" s="44">
        <v>0</v>
      </c>
      <c r="F74" s="44"/>
      <c r="G74" s="38"/>
      <c r="H74" s="38"/>
      <c r="I74" s="62"/>
      <c r="J74" s="6"/>
      <c r="K74" s="6"/>
      <c r="L74" s="6"/>
    </row>
    <row r="75" spans="1:12" s="7" customFormat="1" hidden="1" x14ac:dyDescent="0.25">
      <c r="A75" s="9"/>
      <c r="B75" s="9" t="s">
        <v>46</v>
      </c>
      <c r="C75" s="9"/>
      <c r="D75" s="44"/>
      <c r="E75" s="44">
        <v>0</v>
      </c>
      <c r="F75" s="44"/>
      <c r="G75" s="38"/>
      <c r="H75" s="38"/>
      <c r="I75" s="62"/>
      <c r="J75" s="6"/>
      <c r="K75" s="6"/>
      <c r="L75" s="6"/>
    </row>
    <row r="76" spans="1:12" hidden="1" x14ac:dyDescent="0.25"/>
    <row r="77" spans="1:12" s="7" customFormat="1" hidden="1" x14ac:dyDescent="0.25">
      <c r="A77" s="5"/>
      <c r="B77" s="5" t="s">
        <v>4</v>
      </c>
      <c r="C77" s="5"/>
      <c r="D77" s="44"/>
      <c r="E77" s="44"/>
      <c r="F77" s="44"/>
      <c r="G77" s="38"/>
      <c r="H77" s="38"/>
      <c r="I77" s="62"/>
      <c r="J77" s="6"/>
      <c r="K77" s="6"/>
      <c r="L77" s="6"/>
    </row>
    <row r="78" spans="1:12" s="7" customFormat="1" hidden="1" x14ac:dyDescent="0.25">
      <c r="A78" s="9"/>
      <c r="B78" s="9" t="s">
        <v>47</v>
      </c>
      <c r="C78" s="9"/>
      <c r="D78" s="44"/>
      <c r="E78" s="44">
        <v>0</v>
      </c>
      <c r="F78" s="44"/>
      <c r="G78" s="38"/>
      <c r="H78" s="38"/>
      <c r="I78" s="62"/>
      <c r="J78" s="6"/>
      <c r="K78" s="6"/>
      <c r="L78" s="6"/>
    </row>
    <row r="79" spans="1:12" s="7" customFormat="1" hidden="1" x14ac:dyDescent="0.25">
      <c r="A79" s="9"/>
      <c r="B79" s="9" t="s">
        <v>48</v>
      </c>
      <c r="C79" s="9"/>
      <c r="D79" s="44"/>
      <c r="E79" s="44">
        <v>0</v>
      </c>
      <c r="F79" s="44"/>
      <c r="G79" s="38"/>
      <c r="H79" s="38"/>
      <c r="I79" s="62"/>
      <c r="J79" s="6"/>
      <c r="K79" s="6"/>
      <c r="L79" s="6"/>
    </row>
    <row r="80" spans="1:12" hidden="1" x14ac:dyDescent="0.25"/>
    <row r="81" spans="1:12" s="7" customFormat="1" hidden="1" x14ac:dyDescent="0.25">
      <c r="A81" s="9"/>
      <c r="B81" s="9" t="s">
        <v>39</v>
      </c>
      <c r="C81" s="9"/>
      <c r="D81" s="44"/>
      <c r="E81" s="46"/>
      <c r="F81" s="44"/>
      <c r="G81" s="38"/>
      <c r="H81" s="38"/>
      <c r="I81" s="62"/>
      <c r="J81" s="6"/>
      <c r="K81" s="6"/>
      <c r="L81" s="6"/>
    </row>
    <row r="83" spans="1:12" hidden="1" x14ac:dyDescent="0.25">
      <c r="A83" s="50"/>
      <c r="B83" s="50" t="s">
        <v>10</v>
      </c>
      <c r="C83" s="50"/>
      <c r="D83" s="52"/>
      <c r="E83" s="52">
        <f>E84*E85+E87*E88</f>
        <v>0</v>
      </c>
      <c r="F83" s="52">
        <f t="shared" ref="F83:H83" si="29">F84*F85+F87*F88</f>
        <v>0</v>
      </c>
      <c r="G83" s="52">
        <f t="shared" si="29"/>
        <v>0</v>
      </c>
      <c r="H83" s="52">
        <f t="shared" si="29"/>
        <v>0</v>
      </c>
    </row>
    <row r="84" spans="1:12" s="7" customFormat="1" hidden="1" x14ac:dyDescent="0.25">
      <c r="A84" s="5"/>
      <c r="B84" s="9" t="s">
        <v>49</v>
      </c>
      <c r="C84" s="5"/>
      <c r="D84" s="44"/>
      <c r="E84" s="44">
        <v>0</v>
      </c>
      <c r="F84" s="44">
        <v>0</v>
      </c>
      <c r="G84" s="44">
        <v>0</v>
      </c>
      <c r="H84" s="44">
        <v>0</v>
      </c>
      <c r="I84" s="62"/>
      <c r="J84" s="6"/>
      <c r="K84" s="6"/>
      <c r="L84" s="6"/>
    </row>
    <row r="85" spans="1:12" s="7" customFormat="1" hidden="1" x14ac:dyDescent="0.25">
      <c r="A85" s="5"/>
      <c r="B85" s="9" t="s">
        <v>50</v>
      </c>
      <c r="C85" s="5"/>
      <c r="D85" s="44"/>
      <c r="E85" s="44">
        <f>Trips!$B$10</f>
        <v>908.23176058823537</v>
      </c>
      <c r="F85" s="44">
        <f>Trips!$B$10</f>
        <v>908.23176058823537</v>
      </c>
      <c r="G85" s="44">
        <f>Trips!$B$10</f>
        <v>908.23176058823537</v>
      </c>
      <c r="H85" s="44">
        <f>Trips!$B$10</f>
        <v>908.23176058823537</v>
      </c>
      <c r="I85" s="62"/>
      <c r="J85" s="6"/>
      <c r="K85" s="6"/>
      <c r="L85" s="6"/>
    </row>
    <row r="86" spans="1:12" hidden="1" x14ac:dyDescent="0.25"/>
    <row r="87" spans="1:12" s="7" customFormat="1" hidden="1" x14ac:dyDescent="0.25">
      <c r="A87" s="5"/>
      <c r="B87" s="9" t="s">
        <v>51</v>
      </c>
      <c r="C87" s="5"/>
      <c r="D87" s="44"/>
      <c r="E87" s="44">
        <v>0</v>
      </c>
      <c r="F87" s="44">
        <v>0</v>
      </c>
      <c r="G87" s="44">
        <v>0</v>
      </c>
      <c r="H87" s="44">
        <v>0</v>
      </c>
      <c r="I87" s="62"/>
      <c r="J87" s="6"/>
      <c r="K87" s="6"/>
      <c r="L87" s="6"/>
    </row>
    <row r="88" spans="1:12" s="7" customFormat="1" hidden="1" x14ac:dyDescent="0.25">
      <c r="A88" s="5"/>
      <c r="B88" s="9" t="s">
        <v>52</v>
      </c>
      <c r="C88" s="5"/>
      <c r="D88" s="44"/>
      <c r="E88" s="44">
        <f>Trips!$B$5</f>
        <v>52</v>
      </c>
      <c r="F88" s="44">
        <f>Trips!$B$5</f>
        <v>52</v>
      </c>
      <c r="G88" s="44">
        <f>Trips!$B$5</f>
        <v>52</v>
      </c>
      <c r="H88" s="44">
        <f>Trips!$B$5</f>
        <v>52</v>
      </c>
      <c r="I88" s="62"/>
      <c r="J88" s="6"/>
      <c r="K88" s="6"/>
      <c r="L88" s="6"/>
    </row>
    <row r="89" spans="1:12" hidden="1" x14ac:dyDescent="0.25"/>
    <row r="90" spans="1:12" hidden="1" x14ac:dyDescent="0.25"/>
    <row r="91" spans="1:12" hidden="1" x14ac:dyDescent="0.25">
      <c r="A91" s="50"/>
      <c r="B91" s="50" t="s">
        <v>171</v>
      </c>
      <c r="C91" s="50"/>
      <c r="D91" s="52"/>
      <c r="E91" s="52">
        <f>E92*E93</f>
        <v>0</v>
      </c>
      <c r="F91" s="52">
        <f t="shared" ref="F91:H91" si="30">F92*F93</f>
        <v>0</v>
      </c>
      <c r="G91" s="52">
        <f t="shared" si="30"/>
        <v>0</v>
      </c>
      <c r="H91" s="52">
        <f t="shared" si="30"/>
        <v>0</v>
      </c>
    </row>
    <row r="92" spans="1:12" s="7" customFormat="1" hidden="1" x14ac:dyDescent="0.25">
      <c r="A92" s="10"/>
      <c r="B92" s="39" t="s">
        <v>144</v>
      </c>
      <c r="C92" s="10" t="s">
        <v>145</v>
      </c>
      <c r="D92" s="44"/>
      <c r="E92" s="44">
        <v>0</v>
      </c>
      <c r="F92" s="44">
        <v>0</v>
      </c>
      <c r="G92" s="44">
        <v>0</v>
      </c>
      <c r="H92" s="44">
        <v>0</v>
      </c>
      <c r="I92" s="62"/>
      <c r="J92" s="6"/>
      <c r="K92" s="6"/>
      <c r="L92" s="6"/>
    </row>
    <row r="93" spans="1:12" s="7" customFormat="1" hidden="1" x14ac:dyDescent="0.25">
      <c r="A93" s="5"/>
      <c r="B93" s="39" t="s">
        <v>141</v>
      </c>
      <c r="C93" s="5"/>
      <c r="D93" s="44"/>
      <c r="E93" s="44">
        <f>Trips!B41</f>
        <v>631.70365882352939</v>
      </c>
      <c r="F93" s="44">
        <f>E93*(1+index)</f>
        <v>658.86691615294114</v>
      </c>
      <c r="G93" s="44">
        <f>F93*(1+index)</f>
        <v>687.19819354751758</v>
      </c>
      <c r="H93" s="44">
        <f>G93*(1+index)</f>
        <v>716.7477158700608</v>
      </c>
      <c r="I93" s="62"/>
      <c r="J93" s="6"/>
      <c r="K93" s="6"/>
      <c r="L93" s="6"/>
    </row>
    <row r="94" spans="1:12" hidden="1" x14ac:dyDescent="0.25"/>
    <row r="95" spans="1:12" hidden="1" x14ac:dyDescent="0.25">
      <c r="A95" s="50"/>
      <c r="B95" s="50" t="s">
        <v>130</v>
      </c>
      <c r="C95" s="50"/>
      <c r="D95" s="52"/>
      <c r="E95" s="52">
        <f>E96*E97+E98*E99+E100</f>
        <v>0</v>
      </c>
      <c r="F95" s="52">
        <f t="shared" ref="F95:H95" si="31">F96*F97+F98*F99+F100</f>
        <v>0</v>
      </c>
      <c r="G95" s="52">
        <f t="shared" si="31"/>
        <v>0</v>
      </c>
      <c r="H95" s="52">
        <f t="shared" si="31"/>
        <v>0</v>
      </c>
    </row>
    <row r="96" spans="1:12" hidden="1" x14ac:dyDescent="0.25">
      <c r="B96" s="39" t="s">
        <v>131</v>
      </c>
      <c r="C96" s="5" t="s">
        <v>132</v>
      </c>
      <c r="F96" s="44">
        <f>Training!$C$33</f>
        <v>81.10799999999999</v>
      </c>
      <c r="G96" s="44">
        <f>Training!$C$33</f>
        <v>81.10799999999999</v>
      </c>
      <c r="H96" s="44">
        <f>Training!$C$33</f>
        <v>81.10799999999999</v>
      </c>
    </row>
    <row r="97" spans="1:12" hidden="1" x14ac:dyDescent="0.25">
      <c r="B97" s="39" t="s">
        <v>133</v>
      </c>
      <c r="F97" s="44">
        <f>F84</f>
        <v>0</v>
      </c>
      <c r="G97" s="44">
        <f t="shared" ref="G97:H97" si="32">G84</f>
        <v>0</v>
      </c>
      <c r="H97" s="44">
        <f t="shared" si="32"/>
        <v>0</v>
      </c>
    </row>
    <row r="98" spans="1:12" hidden="1" x14ac:dyDescent="0.25">
      <c r="B98" s="39" t="s">
        <v>134</v>
      </c>
      <c r="F98" s="44">
        <f>Training!C$23</f>
        <v>709.375</v>
      </c>
      <c r="G98" s="44">
        <f>F98*(1+index)</f>
        <v>739.87812499999995</v>
      </c>
      <c r="H98" s="44">
        <f>G98*(1+index)</f>
        <v>771.69288437499995</v>
      </c>
    </row>
    <row r="99" spans="1:12" hidden="1" x14ac:dyDescent="0.25">
      <c r="B99" s="39" t="s">
        <v>135</v>
      </c>
      <c r="E99" s="44">
        <v>0</v>
      </c>
      <c r="F99" s="44">
        <v>0</v>
      </c>
      <c r="G99" s="44">
        <v>0</v>
      </c>
      <c r="H99" s="44">
        <v>0</v>
      </c>
    </row>
    <row r="100" spans="1:12" hidden="1" x14ac:dyDescent="0.25">
      <c r="B100" s="130" t="s">
        <v>245</v>
      </c>
      <c r="E100" s="44">
        <f>E101*E103</f>
        <v>0</v>
      </c>
      <c r="F100" s="44">
        <f t="shared" ref="F100:H100" si="33">F101*F103</f>
        <v>0</v>
      </c>
      <c r="G100" s="44">
        <f t="shared" si="33"/>
        <v>0</v>
      </c>
      <c r="H100" s="44">
        <f t="shared" si="33"/>
        <v>0</v>
      </c>
    </row>
    <row r="101" spans="1:12" hidden="1" x14ac:dyDescent="0.25">
      <c r="B101" s="39" t="s">
        <v>203</v>
      </c>
      <c r="C101" s="5" t="s">
        <v>137</v>
      </c>
      <c r="G101" s="44"/>
      <c r="H101" s="44"/>
    </row>
    <row r="102" spans="1:12" hidden="1" x14ac:dyDescent="0.25">
      <c r="B102" s="39" t="s">
        <v>244</v>
      </c>
      <c r="E102" s="34"/>
      <c r="F102" s="34"/>
      <c r="G102" s="34"/>
      <c r="H102" s="34"/>
    </row>
    <row r="103" spans="1:12" hidden="1" x14ac:dyDescent="0.25">
      <c r="B103" s="39" t="s">
        <v>133</v>
      </c>
      <c r="E103" s="44">
        <v>0</v>
      </c>
      <c r="F103" s="44">
        <v>0</v>
      </c>
      <c r="G103" s="44">
        <v>0</v>
      </c>
      <c r="H103" s="44">
        <v>0</v>
      </c>
    </row>
    <row r="104" spans="1:12" hidden="1" x14ac:dyDescent="0.25">
      <c r="B104" s="130" t="s">
        <v>247</v>
      </c>
      <c r="E104" s="44">
        <f>E105*E107</f>
        <v>0</v>
      </c>
      <c r="F104" s="44">
        <f t="shared" ref="F104:H104" si="34">F105*F107</f>
        <v>0</v>
      </c>
      <c r="G104" s="44">
        <f t="shared" si="34"/>
        <v>0</v>
      </c>
      <c r="H104" s="44">
        <f t="shared" si="34"/>
        <v>0</v>
      </c>
    </row>
    <row r="105" spans="1:12" hidden="1" x14ac:dyDescent="0.25">
      <c r="B105" s="39" t="s">
        <v>203</v>
      </c>
      <c r="C105" s="5" t="s">
        <v>137</v>
      </c>
      <c r="G105" s="44"/>
      <c r="H105" s="44"/>
    </row>
    <row r="106" spans="1:12" hidden="1" x14ac:dyDescent="0.25">
      <c r="B106" s="39" t="s">
        <v>244</v>
      </c>
      <c r="E106" s="45">
        <f>E102/2</f>
        <v>0</v>
      </c>
      <c r="F106" s="45">
        <f>E106*1.1</f>
        <v>0</v>
      </c>
      <c r="G106" s="45">
        <f t="shared" ref="G106:H106" si="35">F106*1.1</f>
        <v>0</v>
      </c>
      <c r="H106" s="45">
        <f t="shared" si="35"/>
        <v>0</v>
      </c>
    </row>
    <row r="107" spans="1:12" hidden="1" x14ac:dyDescent="0.25">
      <c r="B107" s="39" t="s">
        <v>133</v>
      </c>
      <c r="E107" s="44">
        <f>'Rates and GI'!$E$9*E106</f>
        <v>0</v>
      </c>
      <c r="F107" s="44">
        <f>'Rates and GI'!$E$9*F106</f>
        <v>0</v>
      </c>
      <c r="G107" s="44">
        <f>'Rates and GI'!$E$9*G106</f>
        <v>0</v>
      </c>
      <c r="H107" s="44">
        <f>'Rates and GI'!$E$9*H106</f>
        <v>0</v>
      </c>
    </row>
    <row r="108" spans="1:12" hidden="1" x14ac:dyDescent="0.25">
      <c r="B108" s="39"/>
    </row>
    <row r="109" spans="1:12" hidden="1" x14ac:dyDescent="0.25">
      <c r="A109" s="50"/>
      <c r="B109" s="50" t="s">
        <v>24</v>
      </c>
      <c r="C109" s="50"/>
      <c r="D109" s="52"/>
      <c r="E109" s="52">
        <f t="shared" ref="E109:H109" si="36">E110*E111</f>
        <v>0</v>
      </c>
      <c r="F109" s="52">
        <f t="shared" si="36"/>
        <v>0</v>
      </c>
      <c r="G109" s="52">
        <f t="shared" si="36"/>
        <v>0</v>
      </c>
      <c r="H109" s="52">
        <f t="shared" si="36"/>
        <v>0</v>
      </c>
    </row>
    <row r="110" spans="1:12" s="7" customFormat="1" hidden="1" x14ac:dyDescent="0.25">
      <c r="A110" s="5"/>
      <c r="B110" s="39" t="s">
        <v>53</v>
      </c>
      <c r="C110" s="5"/>
      <c r="D110" s="44"/>
      <c r="E110" s="44">
        <v>0</v>
      </c>
      <c r="F110" s="44">
        <v>0</v>
      </c>
      <c r="G110" s="44"/>
      <c r="H110" s="44"/>
      <c r="I110" s="62"/>
      <c r="J110" s="6"/>
      <c r="K110" s="6"/>
      <c r="L110" s="6"/>
    </row>
    <row r="111" spans="1:12" s="7" customFormat="1" hidden="1" x14ac:dyDescent="0.25">
      <c r="A111" s="5"/>
      <c r="B111" s="39" t="s">
        <v>54</v>
      </c>
      <c r="C111" s="5"/>
      <c r="D111" s="44"/>
      <c r="E111" s="44">
        <f>'Rates and GI'!D25</f>
        <v>6</v>
      </c>
      <c r="F111" s="44">
        <f>E111*(1+index)</f>
        <v>6.2579999999999991</v>
      </c>
      <c r="G111" s="44">
        <f>F111*(1+index)</f>
        <v>6.5270939999999991</v>
      </c>
      <c r="H111" s="44">
        <f>G111*(1+index)</f>
        <v>6.8077590419999989</v>
      </c>
      <c r="I111" s="62"/>
      <c r="J111" s="6"/>
      <c r="K111" s="6"/>
      <c r="L111" s="6"/>
    </row>
    <row r="112" spans="1:12" hidden="1" x14ac:dyDescent="0.25"/>
    <row r="113" spans="1:12" x14ac:dyDescent="0.25">
      <c r="A113" s="50"/>
      <c r="B113" s="50" t="s">
        <v>7</v>
      </c>
      <c r="C113" s="50"/>
      <c r="D113" s="52"/>
      <c r="E113" s="52"/>
      <c r="F113" s="52"/>
      <c r="G113" s="52"/>
      <c r="H113" s="52"/>
    </row>
    <row r="114" spans="1:12" s="7" customFormat="1" hidden="1" x14ac:dyDescent="0.25">
      <c r="A114" s="5"/>
      <c r="B114" s="4" t="s">
        <v>57</v>
      </c>
      <c r="C114" s="5"/>
      <c r="D114" s="44"/>
      <c r="E114" s="46"/>
      <c r="F114" s="46"/>
      <c r="G114" s="105"/>
      <c r="H114" s="105"/>
      <c r="I114" s="62"/>
      <c r="J114" s="6"/>
      <c r="K114" s="6"/>
      <c r="L114" s="6"/>
    </row>
    <row r="115" spans="1:12" s="43" customFormat="1" hidden="1" x14ac:dyDescent="0.25">
      <c r="A115" s="40"/>
      <c r="B115" s="41" t="s">
        <v>58</v>
      </c>
      <c r="C115" s="40" t="s">
        <v>55</v>
      </c>
      <c r="D115" s="71"/>
      <c r="E115" s="71"/>
      <c r="F115" s="71"/>
      <c r="G115" s="72"/>
      <c r="H115" s="72"/>
      <c r="I115" s="75"/>
      <c r="J115" s="42"/>
      <c r="K115" s="42"/>
      <c r="L115" s="42"/>
    </row>
    <row r="116" spans="1:12" s="40" customFormat="1" hidden="1" x14ac:dyDescent="0.25">
      <c r="B116" s="41" t="s">
        <v>56</v>
      </c>
      <c r="D116" s="71"/>
      <c r="E116" s="71"/>
      <c r="F116" s="71"/>
      <c r="G116" s="72"/>
      <c r="H116" s="72"/>
      <c r="I116" s="75"/>
      <c r="J116" s="42"/>
      <c r="K116" s="42"/>
      <c r="L116" s="42"/>
    </row>
    <row r="117" spans="1:12" s="40" customFormat="1" hidden="1" x14ac:dyDescent="0.25">
      <c r="B117" s="41" t="s">
        <v>59</v>
      </c>
      <c r="D117" s="71"/>
      <c r="E117" s="71"/>
      <c r="F117" s="71"/>
      <c r="G117" s="72"/>
      <c r="H117" s="72"/>
      <c r="I117" s="75"/>
      <c r="J117" s="42"/>
      <c r="K117" s="42"/>
      <c r="L117" s="42"/>
    </row>
    <row r="118" spans="1:12" hidden="1" x14ac:dyDescent="0.25"/>
    <row r="119" spans="1:12" x14ac:dyDescent="0.25">
      <c r="A119" s="50"/>
      <c r="B119" s="50" t="s">
        <v>26</v>
      </c>
      <c r="C119" s="50"/>
      <c r="D119" s="52"/>
      <c r="E119" s="52">
        <f>E120+E123+E126+E130</f>
        <v>78900</v>
      </c>
      <c r="F119" s="52">
        <f t="shared" ref="F119:H119" si="37">F120+F123+F126+F130</f>
        <v>0</v>
      </c>
      <c r="G119" s="52">
        <f t="shared" si="37"/>
        <v>0</v>
      </c>
      <c r="H119" s="52">
        <f t="shared" si="37"/>
        <v>0</v>
      </c>
    </row>
    <row r="120" spans="1:12" s="5" customFormat="1" x14ac:dyDescent="0.25">
      <c r="B120" s="55" t="s">
        <v>60</v>
      </c>
      <c r="D120" s="44"/>
      <c r="E120" s="44">
        <f>E121*E122</f>
        <v>3000</v>
      </c>
      <c r="F120" s="44">
        <f t="shared" ref="F120:H120" si="38">F121*F122</f>
        <v>0</v>
      </c>
      <c r="G120" s="44">
        <f t="shared" si="38"/>
        <v>0</v>
      </c>
      <c r="H120" s="44">
        <f t="shared" si="38"/>
        <v>0</v>
      </c>
      <c r="I120" s="62"/>
      <c r="J120" s="6"/>
      <c r="K120" s="6"/>
      <c r="L120" s="6"/>
    </row>
    <row r="121" spans="1:12" s="5" customFormat="1" x14ac:dyDescent="0.25">
      <c r="B121" s="41" t="s">
        <v>147</v>
      </c>
      <c r="D121" s="44"/>
      <c r="E121" s="44">
        <f>'Rates and GI'!$D$30</f>
        <v>300</v>
      </c>
      <c r="F121" s="44">
        <f>'Rates and GI'!$D$30</f>
        <v>300</v>
      </c>
      <c r="G121" s="44">
        <f>'Rates and GI'!$D$30</f>
        <v>300</v>
      </c>
      <c r="H121" s="44">
        <f>'Rates and GI'!$D$30</f>
        <v>300</v>
      </c>
      <c r="I121" s="62"/>
      <c r="J121" s="6"/>
      <c r="K121" s="6"/>
      <c r="L121" s="6"/>
    </row>
    <row r="122" spans="1:12" s="5" customFormat="1" x14ac:dyDescent="0.25">
      <c r="B122" s="41" t="s">
        <v>146</v>
      </c>
      <c r="D122" s="44"/>
      <c r="E122" s="44">
        <f>5*2</f>
        <v>10</v>
      </c>
      <c r="F122" s="44"/>
      <c r="G122" s="38"/>
      <c r="H122" s="38"/>
      <c r="I122" s="62"/>
      <c r="J122" s="6"/>
      <c r="K122" s="6"/>
      <c r="L122" s="6"/>
    </row>
    <row r="123" spans="1:12" s="5" customFormat="1" x14ac:dyDescent="0.25">
      <c r="B123" s="55" t="s">
        <v>123</v>
      </c>
      <c r="D123" s="44"/>
      <c r="E123" s="44">
        <f>E124*E125</f>
        <v>700</v>
      </c>
      <c r="F123" s="44">
        <f t="shared" ref="F123:H123" si="39">F124*F125</f>
        <v>0</v>
      </c>
      <c r="G123" s="44">
        <f t="shared" si="39"/>
        <v>0</v>
      </c>
      <c r="H123" s="44">
        <f t="shared" si="39"/>
        <v>0</v>
      </c>
      <c r="I123" s="62"/>
      <c r="J123" s="6"/>
      <c r="K123" s="6"/>
      <c r="L123" s="6"/>
    </row>
    <row r="124" spans="1:12" s="5" customFormat="1" x14ac:dyDescent="0.25">
      <c r="B124" s="41" t="s">
        <v>147</v>
      </c>
      <c r="D124" s="44"/>
      <c r="E124" s="44">
        <f>'Rates and GI'!$D$31</f>
        <v>350</v>
      </c>
      <c r="F124" s="44">
        <f>'Rates and GI'!$D$31</f>
        <v>350</v>
      </c>
      <c r="G124" s="44">
        <f>'Rates and GI'!$D$31</f>
        <v>350</v>
      </c>
      <c r="H124" s="44">
        <f>'Rates and GI'!$D$31</f>
        <v>350</v>
      </c>
      <c r="I124" s="62"/>
      <c r="J124" s="6"/>
      <c r="K124" s="6"/>
      <c r="L124" s="6"/>
    </row>
    <row r="125" spans="1:12" s="5" customFormat="1" x14ac:dyDescent="0.25">
      <c r="B125" s="41" t="s">
        <v>146</v>
      </c>
      <c r="D125" s="44"/>
      <c r="E125" s="44">
        <v>2</v>
      </c>
      <c r="F125" s="44">
        <v>0</v>
      </c>
      <c r="G125" s="38"/>
      <c r="H125" s="38"/>
      <c r="I125" s="62"/>
      <c r="J125" s="6"/>
      <c r="K125" s="6"/>
      <c r="L125" s="6"/>
    </row>
    <row r="126" spans="1:12" s="5" customFormat="1" x14ac:dyDescent="0.25">
      <c r="B126" s="55" t="s">
        <v>300</v>
      </c>
      <c r="D126" s="44"/>
      <c r="E126" s="44">
        <f>E127*E128</f>
        <v>200</v>
      </c>
      <c r="F126" s="44">
        <f>F127*F128</f>
        <v>0</v>
      </c>
      <c r="G126" s="44">
        <f>G127*G128</f>
        <v>0</v>
      </c>
      <c r="H126" s="44">
        <f>H127*H128</f>
        <v>0</v>
      </c>
      <c r="I126" s="62"/>
      <c r="J126" s="6"/>
      <c r="K126" s="6"/>
      <c r="L126" s="6"/>
    </row>
    <row r="127" spans="1:12" s="5" customFormat="1" x14ac:dyDescent="0.25">
      <c r="B127" s="41" t="s">
        <v>147</v>
      </c>
      <c r="D127" s="44"/>
      <c r="E127" s="44">
        <f>'Rates and GI'!$D$33</f>
        <v>10</v>
      </c>
      <c r="F127" s="44">
        <f>'Rates and GI'!$D$33</f>
        <v>10</v>
      </c>
      <c r="G127" s="44">
        <f>'Rates and GI'!$D$33</f>
        <v>10</v>
      </c>
      <c r="H127" s="44">
        <f>'Rates and GI'!$D$33</f>
        <v>10</v>
      </c>
      <c r="I127" s="62"/>
      <c r="J127" s="6"/>
      <c r="K127" s="6"/>
      <c r="L127" s="6"/>
    </row>
    <row r="128" spans="1:12" s="5" customFormat="1" x14ac:dyDescent="0.25">
      <c r="B128" s="41" t="s">
        <v>146</v>
      </c>
      <c r="D128" s="44"/>
      <c r="E128" s="44">
        <f>E122*2</f>
        <v>20</v>
      </c>
      <c r="F128" s="44">
        <f>F122*2</f>
        <v>0</v>
      </c>
      <c r="G128" s="44">
        <f>G122*2</f>
        <v>0</v>
      </c>
      <c r="H128" s="44">
        <f>H122*2</f>
        <v>0</v>
      </c>
      <c r="I128" s="62"/>
      <c r="J128" s="6"/>
      <c r="K128" s="6"/>
      <c r="L128" s="6"/>
    </row>
    <row r="129" spans="1:12" s="5" customFormat="1" x14ac:dyDescent="0.25">
      <c r="B129" s="55" t="s">
        <v>308</v>
      </c>
      <c r="D129" s="44"/>
      <c r="E129" s="44"/>
      <c r="F129" s="44"/>
      <c r="G129" s="44"/>
      <c r="H129" s="44"/>
      <c r="I129" s="62"/>
      <c r="J129" s="6"/>
      <c r="K129" s="6"/>
      <c r="L129" s="6"/>
    </row>
    <row r="130" spans="1:12" s="5" customFormat="1" ht="54" x14ac:dyDescent="0.25">
      <c r="B130" s="63" t="s">
        <v>621</v>
      </c>
      <c r="D130" s="44"/>
      <c r="E130" s="44">
        <v>75000</v>
      </c>
      <c r="F130" s="44"/>
      <c r="G130" s="44"/>
      <c r="H130" s="44"/>
      <c r="I130" s="62"/>
      <c r="J130" s="6"/>
      <c r="K130" s="6"/>
      <c r="L130" s="6"/>
    </row>
    <row r="131" spans="1:12" s="5" customFormat="1" x14ac:dyDescent="0.25">
      <c r="B131" s="41"/>
      <c r="D131" s="44"/>
      <c r="E131" s="44"/>
      <c r="F131" s="44"/>
      <c r="G131" s="44"/>
      <c r="H131" s="44"/>
      <c r="I131" s="62"/>
      <c r="J131" s="6"/>
      <c r="K131" s="6"/>
      <c r="L131" s="6"/>
    </row>
    <row r="132" spans="1:12" x14ac:dyDescent="0.25">
      <c r="A132" s="50"/>
      <c r="B132" s="50" t="s">
        <v>8</v>
      </c>
      <c r="C132" s="50"/>
      <c r="D132" s="52"/>
      <c r="E132" s="52">
        <f>E133*E134</f>
        <v>2000</v>
      </c>
      <c r="F132" s="52">
        <f t="shared" ref="F132:H132" si="40">F133*F134</f>
        <v>0</v>
      </c>
      <c r="G132" s="52">
        <f t="shared" si="40"/>
        <v>0</v>
      </c>
      <c r="H132" s="52">
        <f t="shared" si="40"/>
        <v>0</v>
      </c>
    </row>
    <row r="133" spans="1:12" s="5" customFormat="1" x14ac:dyDescent="0.25">
      <c r="B133" s="41" t="s">
        <v>147</v>
      </c>
      <c r="D133" s="44"/>
      <c r="E133" s="44">
        <f>'Rates and GI'!$D$32</f>
        <v>100</v>
      </c>
      <c r="F133" s="44">
        <f>'Rates and GI'!$D$32</f>
        <v>100</v>
      </c>
      <c r="G133" s="44">
        <f>'Rates and GI'!$D$32</f>
        <v>100</v>
      </c>
      <c r="H133" s="44">
        <f>'Rates and GI'!$D$32</f>
        <v>100</v>
      </c>
      <c r="I133" s="62"/>
      <c r="J133" s="6"/>
      <c r="K133" s="6"/>
      <c r="L133" s="6"/>
    </row>
    <row r="134" spans="1:12" s="5" customFormat="1" x14ac:dyDescent="0.25">
      <c r="B134" s="41" t="s">
        <v>146</v>
      </c>
      <c r="D134" s="44"/>
      <c r="E134" s="44">
        <f>E122*2</f>
        <v>20</v>
      </c>
      <c r="F134" s="44">
        <f>F122*2</f>
        <v>0</v>
      </c>
      <c r="G134" s="44">
        <f>G122*2</f>
        <v>0</v>
      </c>
      <c r="H134" s="44">
        <f>H122*2</f>
        <v>0</v>
      </c>
      <c r="I134" s="62"/>
      <c r="J134" s="6"/>
      <c r="K134" s="6"/>
      <c r="L134" s="6"/>
    </row>
    <row r="135" spans="1:12" x14ac:dyDescent="0.25">
      <c r="A135" s="50"/>
      <c r="B135" s="50" t="s">
        <v>302</v>
      </c>
      <c r="C135" s="50"/>
      <c r="D135" s="52"/>
      <c r="E135" s="52">
        <f>E136+E140+E144</f>
        <v>1200</v>
      </c>
      <c r="F135" s="52">
        <f t="shared" ref="F135:H135" si="41">F136+F140+F144</f>
        <v>1200</v>
      </c>
      <c r="G135" s="52">
        <f t="shared" si="41"/>
        <v>1200</v>
      </c>
      <c r="H135" s="52">
        <f t="shared" si="41"/>
        <v>1200</v>
      </c>
    </row>
    <row r="136" spans="1:12" s="5" customFormat="1" x14ac:dyDescent="0.25">
      <c r="B136" s="5" t="s">
        <v>303</v>
      </c>
      <c r="E136" s="148">
        <f>E137*E138*E139</f>
        <v>480</v>
      </c>
      <c r="F136" s="148">
        <f t="shared" ref="F136:H136" si="42">F137*F138*F139</f>
        <v>480</v>
      </c>
      <c r="G136" s="148">
        <f t="shared" si="42"/>
        <v>480</v>
      </c>
      <c r="H136" s="148">
        <f t="shared" si="42"/>
        <v>480</v>
      </c>
      <c r="I136" s="62"/>
      <c r="J136" s="6"/>
      <c r="K136" s="6"/>
      <c r="L136" s="6"/>
    </row>
    <row r="137" spans="1:12" s="5" customFormat="1" x14ac:dyDescent="0.25">
      <c r="B137" s="41" t="s">
        <v>304</v>
      </c>
      <c r="D137" s="44"/>
      <c r="E137" s="44">
        <v>20</v>
      </c>
      <c r="F137" s="44">
        <v>20</v>
      </c>
      <c r="G137" s="44">
        <v>20</v>
      </c>
      <c r="H137" s="44">
        <v>20</v>
      </c>
      <c r="I137" s="62"/>
      <c r="J137" s="6"/>
      <c r="K137" s="6"/>
      <c r="L137" s="6"/>
    </row>
    <row r="138" spans="1:12" s="5" customFormat="1" x14ac:dyDescent="0.25">
      <c r="B138" s="41" t="s">
        <v>61</v>
      </c>
      <c r="D138" s="44"/>
      <c r="E138" s="44">
        <v>2</v>
      </c>
      <c r="F138" s="44">
        <v>2</v>
      </c>
      <c r="G138" s="44">
        <v>2</v>
      </c>
      <c r="H138" s="44">
        <v>2</v>
      </c>
      <c r="I138" s="62"/>
      <c r="J138" s="6"/>
      <c r="K138" s="6"/>
      <c r="L138" s="6"/>
    </row>
    <row r="139" spans="1:12" x14ac:dyDescent="0.25">
      <c r="B139" s="41" t="s">
        <v>39</v>
      </c>
      <c r="E139" s="44">
        <v>12</v>
      </c>
      <c r="F139" s="44">
        <v>12</v>
      </c>
      <c r="G139" s="44">
        <v>12</v>
      </c>
      <c r="H139" s="44">
        <v>12</v>
      </c>
    </row>
    <row r="140" spans="1:12" x14ac:dyDescent="0.25">
      <c r="B140" s="5" t="s">
        <v>305</v>
      </c>
      <c r="E140" s="148">
        <f>E141*E142*E143</f>
        <v>480</v>
      </c>
      <c r="F140" s="148">
        <f t="shared" ref="F140" si="43">F141*F142*F143</f>
        <v>480</v>
      </c>
      <c r="G140" s="148">
        <f t="shared" ref="G140" si="44">G141*G142*G143</f>
        <v>480</v>
      </c>
      <c r="H140" s="148">
        <f t="shared" ref="H140" si="45">H141*H142*H143</f>
        <v>480</v>
      </c>
    </row>
    <row r="141" spans="1:12" x14ac:dyDescent="0.25">
      <c r="B141" s="41" t="s">
        <v>304</v>
      </c>
      <c r="E141" s="44">
        <v>20</v>
      </c>
      <c r="F141" s="44">
        <v>20</v>
      </c>
      <c r="G141" s="44">
        <v>20</v>
      </c>
      <c r="H141" s="44">
        <v>20</v>
      </c>
    </row>
    <row r="142" spans="1:12" x14ac:dyDescent="0.25">
      <c r="B142" s="41" t="s">
        <v>61</v>
      </c>
      <c r="E142" s="44">
        <v>2</v>
      </c>
      <c r="F142" s="44">
        <v>2</v>
      </c>
      <c r="G142" s="44">
        <v>2</v>
      </c>
      <c r="H142" s="44">
        <v>2</v>
      </c>
    </row>
    <row r="143" spans="1:12" x14ac:dyDescent="0.25">
      <c r="B143" s="41" t="s">
        <v>39</v>
      </c>
      <c r="E143" s="44">
        <v>12</v>
      </c>
      <c r="F143" s="44">
        <v>12</v>
      </c>
      <c r="G143" s="44">
        <v>12</v>
      </c>
      <c r="H143" s="44">
        <v>12</v>
      </c>
    </row>
    <row r="144" spans="1:12" x14ac:dyDescent="0.25">
      <c r="B144" s="5" t="s">
        <v>306</v>
      </c>
      <c r="E144" s="148">
        <f>E145*E146*E147</f>
        <v>240</v>
      </c>
      <c r="F144" s="148">
        <f t="shared" ref="F144" si="46">F145*F146*F147</f>
        <v>240</v>
      </c>
      <c r="G144" s="148">
        <f t="shared" ref="G144" si="47">G145*G146*G147</f>
        <v>240</v>
      </c>
      <c r="H144" s="148">
        <f t="shared" ref="H144" si="48">H145*H146*H147</f>
        <v>240</v>
      </c>
    </row>
    <row r="145" spans="1:12" x14ac:dyDescent="0.25">
      <c r="B145" s="41" t="s">
        <v>304</v>
      </c>
      <c r="E145" s="44">
        <v>10</v>
      </c>
      <c r="F145" s="44">
        <v>10</v>
      </c>
      <c r="G145" s="44">
        <v>10</v>
      </c>
      <c r="H145" s="44">
        <v>10</v>
      </c>
    </row>
    <row r="146" spans="1:12" x14ac:dyDescent="0.25">
      <c r="B146" s="41" t="s">
        <v>61</v>
      </c>
      <c r="E146" s="44">
        <v>2</v>
      </c>
      <c r="F146" s="44">
        <v>2</v>
      </c>
      <c r="G146" s="44">
        <v>2</v>
      </c>
      <c r="H146" s="44">
        <v>2</v>
      </c>
    </row>
    <row r="147" spans="1:12" x14ac:dyDescent="0.25">
      <c r="B147" s="41" t="s">
        <v>39</v>
      </c>
      <c r="E147" s="44">
        <v>12</v>
      </c>
      <c r="F147" s="44">
        <v>12</v>
      </c>
      <c r="G147" s="44">
        <v>12</v>
      </c>
      <c r="H147" s="44">
        <v>12</v>
      </c>
    </row>
    <row r="149" spans="1:12" hidden="1" x14ac:dyDescent="0.25">
      <c r="A149" s="50"/>
      <c r="B149" s="50" t="s">
        <v>25</v>
      </c>
      <c r="C149" s="50"/>
      <c r="D149" s="52"/>
      <c r="E149" s="52">
        <f>E150+E151+E154</f>
        <v>0</v>
      </c>
      <c r="F149" s="52">
        <f t="shared" ref="F149:H149" si="49">F150+F151+F154</f>
        <v>0</v>
      </c>
      <c r="G149" s="52">
        <f t="shared" si="49"/>
        <v>0</v>
      </c>
      <c r="H149" s="52">
        <f t="shared" si="49"/>
        <v>0</v>
      </c>
    </row>
    <row r="150" spans="1:12" s="5" customFormat="1" hidden="1" x14ac:dyDescent="0.25">
      <c r="B150" s="5" t="s">
        <v>205</v>
      </c>
      <c r="D150" s="44"/>
      <c r="E150" s="44"/>
      <c r="F150" s="44">
        <v>0</v>
      </c>
      <c r="G150" s="38"/>
      <c r="H150" s="38"/>
      <c r="I150" s="62"/>
      <c r="J150" s="6"/>
      <c r="K150" s="6"/>
      <c r="L150" s="6"/>
    </row>
    <row r="151" spans="1:12" s="5" customFormat="1" hidden="1" x14ac:dyDescent="0.25">
      <c r="B151" s="5" t="s">
        <v>248</v>
      </c>
      <c r="D151" s="44"/>
      <c r="E151" s="44">
        <f>E152*E153</f>
        <v>0</v>
      </c>
      <c r="F151" s="44">
        <f t="shared" ref="F151:H151" si="50">F152*F153</f>
        <v>0</v>
      </c>
      <c r="G151" s="44">
        <f t="shared" si="50"/>
        <v>0</v>
      </c>
      <c r="H151" s="44">
        <f t="shared" si="50"/>
        <v>0</v>
      </c>
      <c r="I151" s="62"/>
      <c r="J151" s="6"/>
      <c r="K151" s="6"/>
      <c r="L151" s="6"/>
    </row>
    <row r="152" spans="1:12" s="5" customFormat="1" hidden="1" x14ac:dyDescent="0.25">
      <c r="B152" s="41" t="s">
        <v>249</v>
      </c>
      <c r="D152" s="44"/>
      <c r="E152" s="44">
        <f>Training!C45</f>
        <v>20</v>
      </c>
      <c r="F152" s="44">
        <f>E152*(1+index)</f>
        <v>20.86</v>
      </c>
      <c r="G152" s="44">
        <f>F152*(1+index)</f>
        <v>21.756979999999999</v>
      </c>
      <c r="H152" s="44">
        <f>G152*(1+index)</f>
        <v>22.692530139999995</v>
      </c>
      <c r="I152" s="62"/>
      <c r="J152" s="6"/>
      <c r="K152" s="6"/>
      <c r="L152" s="6"/>
    </row>
    <row r="153" spans="1:12" s="5" customFormat="1" hidden="1" x14ac:dyDescent="0.25">
      <c r="B153" s="41" t="s">
        <v>250</v>
      </c>
      <c r="D153" s="44"/>
      <c r="E153" s="44">
        <f>E103+E107</f>
        <v>0</v>
      </c>
      <c r="F153" s="44">
        <f>F103+F107</f>
        <v>0</v>
      </c>
      <c r="G153" s="44">
        <f>G103+G107</f>
        <v>0</v>
      </c>
      <c r="H153" s="44">
        <f>H103+H107</f>
        <v>0</v>
      </c>
      <c r="I153" s="62"/>
      <c r="J153" s="6"/>
      <c r="K153" s="6"/>
      <c r="L153" s="6"/>
    </row>
    <row r="154" spans="1:12" s="5" customFormat="1" hidden="1" x14ac:dyDescent="0.25">
      <c r="B154" s="5" t="s">
        <v>154</v>
      </c>
      <c r="D154" s="44"/>
      <c r="E154" s="44">
        <f>E155+E156*E157</f>
        <v>0</v>
      </c>
      <c r="F154" s="44">
        <f>F155+F156*F157</f>
        <v>0</v>
      </c>
      <c r="G154" s="44">
        <f t="shared" ref="G154:H154" si="51">G155+G156*G157</f>
        <v>0</v>
      </c>
      <c r="H154" s="44">
        <f t="shared" si="51"/>
        <v>0</v>
      </c>
      <c r="I154" s="73"/>
    </row>
    <row r="155" spans="1:12" hidden="1" x14ac:dyDescent="0.25">
      <c r="B155" s="41" t="s">
        <v>153</v>
      </c>
      <c r="F155" s="44">
        <f>'Rates and GI'!D46*0</f>
        <v>0</v>
      </c>
    </row>
    <row r="156" spans="1:12" hidden="1" x14ac:dyDescent="0.25">
      <c r="B156" s="41" t="s">
        <v>159</v>
      </c>
      <c r="E156" s="60">
        <f>'Rates and GI'!$D$48</f>
        <v>0.02</v>
      </c>
      <c r="F156" s="60">
        <f>'Rates and GI'!$D$48</f>
        <v>0.02</v>
      </c>
      <c r="G156" s="60">
        <f>'Rates and GI'!$D$48</f>
        <v>0.02</v>
      </c>
      <c r="H156" s="60">
        <f>'Rates and GI'!$D$48</f>
        <v>0.02</v>
      </c>
    </row>
    <row r="157" spans="1:12" hidden="1" x14ac:dyDescent="0.25">
      <c r="B157" s="41" t="s">
        <v>160</v>
      </c>
      <c r="E157" s="44">
        <v>0</v>
      </c>
      <c r="F157" s="44">
        <v>0</v>
      </c>
      <c r="G157" s="44">
        <v>0</v>
      </c>
      <c r="H157" s="44">
        <v>0</v>
      </c>
    </row>
    <row r="158" spans="1:12" s="5" customFormat="1" hidden="1" x14ac:dyDescent="0.25">
      <c r="B158" s="41"/>
      <c r="D158" s="44"/>
      <c r="E158" s="33"/>
      <c r="F158" s="33"/>
      <c r="G158" s="28"/>
      <c r="H158" s="28"/>
      <c r="I158" s="62"/>
      <c r="J158" s="6"/>
      <c r="K158" s="6"/>
      <c r="L158" s="6"/>
    </row>
    <row r="159" spans="1:12" hidden="1" x14ac:dyDescent="0.25">
      <c r="A159" s="50"/>
      <c r="B159" s="50" t="s">
        <v>21</v>
      </c>
      <c r="C159" s="50"/>
      <c r="D159" s="52"/>
      <c r="E159" s="52">
        <f>E160*E161+E162*E163++E164*E165+E166*E167</f>
        <v>0</v>
      </c>
      <c r="F159" s="52">
        <f t="shared" ref="F159:H159" si="52">F160*F161+F162*F163++F164*F165+F166*F167</f>
        <v>0</v>
      </c>
      <c r="G159" s="52">
        <f t="shared" si="52"/>
        <v>0</v>
      </c>
      <c r="H159" s="52">
        <f t="shared" si="52"/>
        <v>0</v>
      </c>
    </row>
    <row r="160" spans="1:12" hidden="1" x14ac:dyDescent="0.25">
      <c r="B160" s="41" t="s">
        <v>241</v>
      </c>
      <c r="F160" s="44">
        <v>0</v>
      </c>
      <c r="G160" s="44">
        <v>0</v>
      </c>
      <c r="H160" s="44"/>
    </row>
    <row r="161" spans="1:12" hidden="1" x14ac:dyDescent="0.25">
      <c r="B161" s="41" t="s">
        <v>151</v>
      </c>
      <c r="E161" s="44">
        <f>'Rates and GI'!$D$58</f>
        <v>5000</v>
      </c>
      <c r="F161" s="44">
        <f>'Rates and GI'!$D$58</f>
        <v>5000</v>
      </c>
      <c r="G161" s="44">
        <f>'Rates and GI'!$D$58</f>
        <v>5000</v>
      </c>
      <c r="H161" s="44">
        <f>'Rates and GI'!$D$58</f>
        <v>5000</v>
      </c>
    </row>
    <row r="162" spans="1:12" hidden="1" x14ac:dyDescent="0.25">
      <c r="B162" s="41" t="s">
        <v>148</v>
      </c>
      <c r="E162" s="44">
        <v>0</v>
      </c>
      <c r="F162" s="44">
        <v>0</v>
      </c>
      <c r="G162" s="44">
        <v>0</v>
      </c>
      <c r="H162" s="44">
        <v>0</v>
      </c>
    </row>
    <row r="163" spans="1:12" hidden="1" x14ac:dyDescent="0.25">
      <c r="B163" s="41" t="s">
        <v>149</v>
      </c>
      <c r="E163" s="44">
        <f>'Rates and GI'!$D$59</f>
        <v>1500</v>
      </c>
      <c r="F163" s="44">
        <f>'Rates and GI'!$D$59</f>
        <v>1500</v>
      </c>
      <c r="G163" s="44">
        <f>'Rates and GI'!$D$59</f>
        <v>1500</v>
      </c>
      <c r="H163" s="44">
        <f>'Rates and GI'!$D$59</f>
        <v>1500</v>
      </c>
    </row>
    <row r="164" spans="1:12" ht="27" hidden="1" x14ac:dyDescent="0.25">
      <c r="B164" s="63" t="s">
        <v>162</v>
      </c>
      <c r="E164" s="44">
        <v>0</v>
      </c>
      <c r="F164" s="44">
        <v>0</v>
      </c>
      <c r="G164" s="44"/>
      <c r="H164" s="44">
        <v>0</v>
      </c>
    </row>
    <row r="165" spans="1:12" ht="27" hidden="1" x14ac:dyDescent="0.25">
      <c r="B165" s="63" t="s">
        <v>161</v>
      </c>
      <c r="E165" s="44">
        <f>'Rates and GI'!$D$60</f>
        <v>200</v>
      </c>
      <c r="F165" s="44">
        <f>'Rates and GI'!$D$60</f>
        <v>200</v>
      </c>
      <c r="G165" s="44">
        <f>'Rates and GI'!$D$60</f>
        <v>200</v>
      </c>
      <c r="H165" s="44">
        <f>'Rates and GI'!$D$60</f>
        <v>200</v>
      </c>
    </row>
    <row r="166" spans="1:12" s="5" customFormat="1" hidden="1" x14ac:dyDescent="0.25">
      <c r="B166" s="41" t="s">
        <v>217</v>
      </c>
      <c r="D166" s="44"/>
      <c r="E166" s="44">
        <v>0</v>
      </c>
      <c r="F166" s="44">
        <v>0</v>
      </c>
      <c r="G166" s="44">
        <v>0</v>
      </c>
      <c r="H166" s="44">
        <v>0</v>
      </c>
      <c r="I166" s="62"/>
      <c r="J166" s="6"/>
      <c r="K166" s="6"/>
      <c r="L166" s="6"/>
    </row>
    <row r="167" spans="1:12" s="5" customFormat="1" hidden="1" x14ac:dyDescent="0.25">
      <c r="B167" s="41" t="s">
        <v>214</v>
      </c>
      <c r="D167" s="44"/>
      <c r="E167" s="44">
        <f>'Rates and GI'!$D$61</f>
        <v>50</v>
      </c>
      <c r="F167" s="44">
        <f>'Rates and GI'!$D$61</f>
        <v>50</v>
      </c>
      <c r="G167" s="38">
        <f>'Rates and GI'!$D$61</f>
        <v>50</v>
      </c>
      <c r="H167" s="38">
        <f>'Rates and GI'!$D$61</f>
        <v>50</v>
      </c>
      <c r="I167" s="62"/>
      <c r="J167" s="6"/>
      <c r="K167" s="6"/>
      <c r="L167" s="6"/>
    </row>
    <row r="168" spans="1:12" hidden="1" x14ac:dyDescent="0.25">
      <c r="A168" s="50"/>
      <c r="B168" s="127"/>
      <c r="C168" s="50"/>
      <c r="D168" s="52"/>
      <c r="E168" s="52"/>
      <c r="F168" s="52"/>
      <c r="G168" s="52"/>
      <c r="H168" s="52"/>
    </row>
    <row r="169" spans="1:12" hidden="1" x14ac:dyDescent="0.25">
      <c r="A169" s="50"/>
      <c r="B169" s="50" t="s">
        <v>194</v>
      </c>
      <c r="C169" s="50"/>
      <c r="D169" s="52"/>
      <c r="E169" s="52">
        <f>E170+E173+E176+E185+E190</f>
        <v>0</v>
      </c>
      <c r="F169" s="52">
        <f t="shared" ref="F169:H169" si="53">F170+F173+F176+F185+F190</f>
        <v>0</v>
      </c>
      <c r="G169" s="52">
        <f t="shared" si="53"/>
        <v>0</v>
      </c>
      <c r="H169" s="52">
        <f t="shared" si="53"/>
        <v>0</v>
      </c>
    </row>
    <row r="170" spans="1:12" s="5" customFormat="1" hidden="1" x14ac:dyDescent="0.25">
      <c r="B170" s="5" t="s">
        <v>173</v>
      </c>
      <c r="D170" s="44"/>
      <c r="E170" s="44">
        <f>E171+E174*E175</f>
        <v>0</v>
      </c>
      <c r="F170" s="44">
        <f>F171+F174*F175</f>
        <v>0</v>
      </c>
      <c r="G170" s="44">
        <f>G171+G174*G175</f>
        <v>0</v>
      </c>
      <c r="H170" s="44">
        <f t="shared" ref="H170" si="54">H171+H174*H175</f>
        <v>0</v>
      </c>
      <c r="I170" s="73"/>
    </row>
    <row r="171" spans="1:12" hidden="1" x14ac:dyDescent="0.25">
      <c r="B171" s="41" t="s">
        <v>184</v>
      </c>
      <c r="F171" s="44">
        <f>('Rates and GI'!$D$45+'Rates and GI'!$D$49)*0</f>
        <v>0</v>
      </c>
      <c r="G171" s="44">
        <f>('Rates and GI'!$D$45+'Rates and GI'!$D$49)*0</f>
        <v>0</v>
      </c>
      <c r="H171" s="44"/>
    </row>
    <row r="172" spans="1:12" hidden="1" x14ac:dyDescent="0.25">
      <c r="B172" s="41" t="s">
        <v>187</v>
      </c>
      <c r="F172" s="44">
        <f>'Rates and GI'!$D$51*0</f>
        <v>0</v>
      </c>
      <c r="G172" s="44">
        <f>'Rates and GI'!$D$51*0</f>
        <v>0</v>
      </c>
      <c r="H172" s="44"/>
    </row>
    <row r="173" spans="1:12" hidden="1" x14ac:dyDescent="0.25">
      <c r="B173" s="5" t="s">
        <v>174</v>
      </c>
      <c r="E173" s="44">
        <f>E174*E175</f>
        <v>0</v>
      </c>
      <c r="F173" s="44">
        <f t="shared" ref="F173:H173" si="55">F174*F175</f>
        <v>0</v>
      </c>
      <c r="G173" s="44">
        <f t="shared" si="55"/>
        <v>0</v>
      </c>
      <c r="H173" s="44">
        <f t="shared" si="55"/>
        <v>0</v>
      </c>
    </row>
    <row r="174" spans="1:12" hidden="1" x14ac:dyDescent="0.25">
      <c r="B174" s="41" t="s">
        <v>164</v>
      </c>
      <c r="F174" s="44">
        <f>'Rates and GI'!$D$54</f>
        <v>24.066499999999998</v>
      </c>
      <c r="G174" s="44">
        <f>'Rates and GI'!$D$54</f>
        <v>24.066499999999998</v>
      </c>
      <c r="H174" s="44">
        <f>'Rates and GI'!$D$54</f>
        <v>24.066499999999998</v>
      </c>
    </row>
    <row r="175" spans="1:12" hidden="1" x14ac:dyDescent="0.25">
      <c r="B175" s="41" t="s">
        <v>163</v>
      </c>
      <c r="F175" s="44">
        <v>0</v>
      </c>
      <c r="G175" s="38">
        <v>0</v>
      </c>
      <c r="H175" s="38">
        <v>0</v>
      </c>
    </row>
    <row r="176" spans="1:12" hidden="1" x14ac:dyDescent="0.25">
      <c r="B176" s="5" t="s">
        <v>175</v>
      </c>
      <c r="E176" s="44">
        <f>E177+E181</f>
        <v>0</v>
      </c>
      <c r="F176" s="44">
        <f t="shared" ref="F176:H176" si="56">F177+F181</f>
        <v>0</v>
      </c>
      <c r="G176" s="44">
        <f t="shared" si="56"/>
        <v>0</v>
      </c>
      <c r="H176" s="44">
        <f t="shared" si="56"/>
        <v>0</v>
      </c>
    </row>
    <row r="177" spans="1:12" hidden="1" x14ac:dyDescent="0.25">
      <c r="B177" s="41" t="s">
        <v>189</v>
      </c>
      <c r="E177" s="44">
        <f>E178*E179</f>
        <v>0</v>
      </c>
      <c r="F177" s="44">
        <f t="shared" ref="F177:H177" si="57">F178*F179</f>
        <v>0</v>
      </c>
      <c r="G177" s="44">
        <f t="shared" si="57"/>
        <v>0</v>
      </c>
      <c r="H177" s="44">
        <f t="shared" si="57"/>
        <v>0</v>
      </c>
    </row>
    <row r="178" spans="1:12" hidden="1" x14ac:dyDescent="0.25">
      <c r="B178" s="41" t="s">
        <v>176</v>
      </c>
      <c r="C178" s="5" t="s">
        <v>177</v>
      </c>
      <c r="E178" s="44">
        <v>0</v>
      </c>
      <c r="F178" s="44">
        <v>0</v>
      </c>
      <c r="G178" s="38">
        <v>0</v>
      </c>
      <c r="H178" s="38">
        <v>0</v>
      </c>
    </row>
    <row r="179" spans="1:12" hidden="1" x14ac:dyDescent="0.25">
      <c r="B179" s="41" t="s">
        <v>178</v>
      </c>
      <c r="E179" s="44">
        <f>'Rates and GI'!$D$52</f>
        <v>150</v>
      </c>
      <c r="F179" s="44">
        <f>'Rates and GI'!$D$52</f>
        <v>150</v>
      </c>
      <c r="G179" s="44">
        <f>'Rates and GI'!$D$52</f>
        <v>150</v>
      </c>
      <c r="H179" s="44">
        <f>'Rates and GI'!$D$52</f>
        <v>150</v>
      </c>
    </row>
    <row r="180" spans="1:12" hidden="1" x14ac:dyDescent="0.25">
      <c r="B180" s="6"/>
    </row>
    <row r="181" spans="1:12" hidden="1" x14ac:dyDescent="0.25">
      <c r="B181" s="41" t="s">
        <v>190</v>
      </c>
      <c r="E181" s="44">
        <f>E182*E183</f>
        <v>0</v>
      </c>
      <c r="F181" s="44">
        <f t="shared" ref="F181:H181" si="58">F182*F183</f>
        <v>0</v>
      </c>
      <c r="G181" s="44">
        <f t="shared" si="58"/>
        <v>0</v>
      </c>
      <c r="H181" s="44">
        <f t="shared" si="58"/>
        <v>0</v>
      </c>
    </row>
    <row r="182" spans="1:12" hidden="1" x14ac:dyDescent="0.25">
      <c r="B182" s="41" t="s">
        <v>176</v>
      </c>
      <c r="C182" s="5" t="s">
        <v>177</v>
      </c>
      <c r="E182" s="44">
        <v>0</v>
      </c>
      <c r="F182" s="44">
        <v>0</v>
      </c>
      <c r="G182" s="38">
        <v>0</v>
      </c>
      <c r="H182" s="38">
        <v>0</v>
      </c>
    </row>
    <row r="183" spans="1:12" s="62" customFormat="1" hidden="1" x14ac:dyDescent="0.25">
      <c r="A183" s="5"/>
      <c r="B183" s="41" t="s">
        <v>178</v>
      </c>
      <c r="C183" s="5"/>
      <c r="D183" s="44"/>
      <c r="E183" s="44">
        <f>'Rates and GI'!$D$53</f>
        <v>20</v>
      </c>
      <c r="F183" s="44">
        <f>'Rates and GI'!$D$53</f>
        <v>20</v>
      </c>
      <c r="G183" s="44">
        <f>'Rates and GI'!$D$53</f>
        <v>20</v>
      </c>
      <c r="H183" s="44">
        <f>'Rates and GI'!$D$53</f>
        <v>20</v>
      </c>
      <c r="J183" s="6"/>
      <c r="K183" s="6"/>
      <c r="L183" s="6"/>
    </row>
    <row r="184" spans="1:12" s="62" customFormat="1" hidden="1" x14ac:dyDescent="0.25">
      <c r="A184" s="5"/>
      <c r="B184" s="6"/>
      <c r="C184" s="5"/>
      <c r="D184" s="44"/>
      <c r="E184" s="44"/>
      <c r="F184" s="44"/>
      <c r="G184" s="38"/>
      <c r="H184" s="38"/>
      <c r="J184" s="6"/>
      <c r="K184" s="6"/>
      <c r="L184" s="6"/>
    </row>
    <row r="185" spans="1:12" s="62" customFormat="1" hidden="1" x14ac:dyDescent="0.25">
      <c r="A185" s="5"/>
      <c r="B185" s="5" t="s">
        <v>179</v>
      </c>
      <c r="C185" s="5"/>
      <c r="D185" s="44"/>
      <c r="E185" s="44">
        <f>E186*E187*E188</f>
        <v>0</v>
      </c>
      <c r="F185" s="44">
        <f t="shared" ref="F185:H185" si="59">F186*F187*F188</f>
        <v>0</v>
      </c>
      <c r="G185" s="44">
        <f t="shared" si="59"/>
        <v>0</v>
      </c>
      <c r="H185" s="44">
        <f t="shared" si="59"/>
        <v>0</v>
      </c>
      <c r="J185" s="6"/>
      <c r="K185" s="6"/>
      <c r="L185" s="6"/>
    </row>
    <row r="186" spans="1:12" s="62" customFormat="1" hidden="1" x14ac:dyDescent="0.25">
      <c r="A186" s="5"/>
      <c r="B186" s="41" t="s">
        <v>191</v>
      </c>
      <c r="C186" s="5"/>
      <c r="D186" s="44"/>
      <c r="E186" s="44"/>
      <c r="F186" s="44">
        <f>'Rates and GI'!$D$55</f>
        <v>300</v>
      </c>
      <c r="G186" s="44">
        <f>'Rates and GI'!$D$55</f>
        <v>300</v>
      </c>
      <c r="H186" s="44">
        <f>'Rates and GI'!$D$55</f>
        <v>300</v>
      </c>
      <c r="J186" s="6"/>
      <c r="K186" s="6"/>
      <c r="L186" s="6"/>
    </row>
    <row r="187" spans="1:12" s="62" customFormat="1" hidden="1" x14ac:dyDescent="0.25">
      <c r="A187" s="5"/>
      <c r="B187" s="41" t="s">
        <v>192</v>
      </c>
      <c r="C187" s="5"/>
      <c r="D187" s="44"/>
      <c r="E187" s="44"/>
      <c r="F187" s="44">
        <v>3</v>
      </c>
      <c r="G187" s="44">
        <v>3</v>
      </c>
      <c r="H187" s="44">
        <v>3</v>
      </c>
      <c r="J187" s="6"/>
      <c r="K187" s="6"/>
      <c r="L187" s="6"/>
    </row>
    <row r="188" spans="1:12" s="62" customFormat="1" hidden="1" x14ac:dyDescent="0.25">
      <c r="A188" s="5"/>
      <c r="B188" s="41" t="s">
        <v>193</v>
      </c>
      <c r="C188" s="5"/>
      <c r="D188" s="44"/>
      <c r="E188" s="44"/>
      <c r="F188" s="44">
        <v>0</v>
      </c>
      <c r="G188" s="44">
        <v>0</v>
      </c>
      <c r="H188" s="44">
        <v>0</v>
      </c>
      <c r="J188" s="6"/>
      <c r="K188" s="6"/>
      <c r="L188" s="6"/>
    </row>
    <row r="189" spans="1:12" hidden="1" x14ac:dyDescent="0.25"/>
    <row r="190" spans="1:12" s="62" customFormat="1" hidden="1" x14ac:dyDescent="0.25">
      <c r="A190" s="5"/>
      <c r="B190" s="5" t="s">
        <v>172</v>
      </c>
      <c r="C190" s="5"/>
      <c r="D190" s="44"/>
      <c r="E190" s="44">
        <f>E191+E192*E193</f>
        <v>0</v>
      </c>
      <c r="F190" s="44">
        <f>F191+F192*F193</f>
        <v>0</v>
      </c>
      <c r="G190" s="44">
        <f>G191+G192*G193</f>
        <v>0</v>
      </c>
      <c r="H190" s="44">
        <f>H191+H192*H193</f>
        <v>0</v>
      </c>
      <c r="J190" s="6"/>
      <c r="K190" s="6"/>
      <c r="L190" s="6"/>
    </row>
    <row r="191" spans="1:12" s="62" customFormat="1" hidden="1" x14ac:dyDescent="0.25">
      <c r="A191" s="5"/>
      <c r="B191" s="41" t="s">
        <v>153</v>
      </c>
      <c r="C191" s="5"/>
      <c r="D191" s="44"/>
      <c r="E191" s="44"/>
      <c r="F191" s="44">
        <f>'Rates and GI'!D46*0</f>
        <v>0</v>
      </c>
      <c r="G191" s="38"/>
      <c r="H191" s="38"/>
      <c r="J191" s="6"/>
      <c r="K191" s="6"/>
      <c r="L191" s="6"/>
    </row>
    <row r="192" spans="1:12" s="62" customFormat="1" hidden="1" x14ac:dyDescent="0.25">
      <c r="A192" s="5"/>
      <c r="B192" s="41" t="s">
        <v>159</v>
      </c>
      <c r="C192" s="5"/>
      <c r="D192" s="44"/>
      <c r="E192" s="44"/>
      <c r="F192" s="65">
        <f>'Rates and GI'!$D$47</f>
        <v>0.05</v>
      </c>
      <c r="G192" s="65">
        <f>'Rates and GI'!$D$47</f>
        <v>0.05</v>
      </c>
      <c r="H192" s="65">
        <f>'Rates and GI'!$D$47</f>
        <v>0.05</v>
      </c>
      <c r="J192" s="6"/>
      <c r="K192" s="6"/>
      <c r="L192" s="6"/>
    </row>
    <row r="193" spans="1:12" s="62" customFormat="1" hidden="1" x14ac:dyDescent="0.25">
      <c r="A193" s="5"/>
      <c r="B193" s="41" t="s">
        <v>160</v>
      </c>
      <c r="C193" s="5"/>
      <c r="D193" s="44"/>
      <c r="E193" s="44"/>
      <c r="F193" s="44">
        <v>0</v>
      </c>
      <c r="G193" s="38">
        <v>0</v>
      </c>
      <c r="H193" s="38"/>
      <c r="J193" s="6"/>
      <c r="K193" s="6"/>
      <c r="L193" s="6"/>
    </row>
    <row r="194" spans="1:12" hidden="1" x14ac:dyDescent="0.25"/>
    <row r="195" spans="1:12" hidden="1" x14ac:dyDescent="0.25"/>
    <row r="196" spans="1:12" s="62" customFormat="1" hidden="1" x14ac:dyDescent="0.25">
      <c r="A196" s="50"/>
      <c r="B196" s="50" t="s">
        <v>19</v>
      </c>
      <c r="C196" s="50"/>
      <c r="D196" s="52"/>
      <c r="E196" s="52">
        <v>0</v>
      </c>
      <c r="F196" s="52">
        <v>0</v>
      </c>
      <c r="G196" s="52">
        <v>0</v>
      </c>
      <c r="H196" s="52">
        <v>0</v>
      </c>
      <c r="J196" s="6"/>
      <c r="K196" s="6"/>
      <c r="L196" s="6"/>
    </row>
    <row r="197" spans="1:12" hidden="1" x14ac:dyDescent="0.25"/>
    <row r="198" spans="1:12" hidden="1" x14ac:dyDescent="0.25"/>
    <row r="199" spans="1:12" ht="27" x14ac:dyDescent="0.25">
      <c r="A199" s="50"/>
      <c r="B199" s="132" t="s">
        <v>252</v>
      </c>
      <c r="C199" s="133"/>
      <c r="D199" s="51"/>
      <c r="E199" s="52">
        <f>E203+E207</f>
        <v>3357.1428571428569</v>
      </c>
      <c r="F199" s="52">
        <f t="shared" ref="F199:H199" si="60">F203+F207</f>
        <v>4071.4285714285716</v>
      </c>
      <c r="G199" s="52">
        <f t="shared" si="60"/>
        <v>4071.4285714285716</v>
      </c>
      <c r="H199" s="52">
        <f t="shared" si="60"/>
        <v>0</v>
      </c>
    </row>
    <row r="200" spans="1:12" ht="27" x14ac:dyDescent="0.25">
      <c r="B200" s="66" t="s">
        <v>309</v>
      </c>
      <c r="C200" s="73"/>
      <c r="D200" s="33"/>
      <c r="E200" s="33"/>
      <c r="F200" s="33"/>
      <c r="G200" s="33"/>
      <c r="H200" s="33"/>
    </row>
    <row r="201" spans="1:12" x14ac:dyDescent="0.25">
      <c r="A201" s="10"/>
      <c r="B201" s="39" t="s">
        <v>253</v>
      </c>
      <c r="C201" s="134">
        <v>8</v>
      </c>
      <c r="D201" s="33"/>
      <c r="E201" s="44">
        <v>8</v>
      </c>
      <c r="F201" s="44">
        <v>0</v>
      </c>
      <c r="G201" s="44">
        <v>0</v>
      </c>
      <c r="H201" s="44">
        <v>0</v>
      </c>
    </row>
    <row r="202" spans="1:12" x14ac:dyDescent="0.25">
      <c r="B202" s="39" t="s">
        <v>254</v>
      </c>
      <c r="C202" s="44">
        <v>2000</v>
      </c>
      <c r="D202" s="33"/>
      <c r="G202" s="44"/>
      <c r="H202" s="44"/>
    </row>
    <row r="203" spans="1:12" x14ac:dyDescent="0.25">
      <c r="B203" s="39" t="s">
        <v>255</v>
      </c>
      <c r="C203" s="73"/>
      <c r="D203" s="33"/>
      <c r="E203" s="44">
        <f>$C$202/$C$201*E201</f>
        <v>2000</v>
      </c>
      <c r="F203" s="44">
        <f t="shared" ref="F203:H203" si="61">$C$202/$C$201*F201</f>
        <v>0</v>
      </c>
      <c r="G203" s="44">
        <f t="shared" si="61"/>
        <v>0</v>
      </c>
      <c r="H203" s="44">
        <f t="shared" si="61"/>
        <v>0</v>
      </c>
    </row>
    <row r="204" spans="1:12" ht="40.5" x14ac:dyDescent="0.25">
      <c r="B204" s="66" t="s">
        <v>310</v>
      </c>
    </row>
    <row r="205" spans="1:12" x14ac:dyDescent="0.25">
      <c r="B205" s="39" t="s">
        <v>253</v>
      </c>
      <c r="C205" s="134">
        <v>28</v>
      </c>
      <c r="D205" s="33"/>
      <c r="E205" s="44">
        <v>4</v>
      </c>
      <c r="F205" s="44">
        <v>12</v>
      </c>
      <c r="G205" s="44">
        <v>12</v>
      </c>
      <c r="H205" s="44">
        <v>0</v>
      </c>
    </row>
    <row r="206" spans="1:12" x14ac:dyDescent="0.25">
      <c r="B206" s="39" t="s">
        <v>254</v>
      </c>
      <c r="C206" s="44">
        <v>9500</v>
      </c>
      <c r="D206" s="33"/>
      <c r="G206" s="44"/>
      <c r="H206" s="44"/>
    </row>
    <row r="207" spans="1:12" x14ac:dyDescent="0.25">
      <c r="B207" s="39" t="s">
        <v>255</v>
      </c>
      <c r="C207" s="73"/>
      <c r="D207" s="33"/>
      <c r="E207" s="44">
        <f>$C$206/$C$205*E205</f>
        <v>1357.1428571428571</v>
      </c>
      <c r="F207" s="44">
        <f t="shared" ref="F207:H207" si="62">$C$206/$C$205*F205</f>
        <v>4071.4285714285716</v>
      </c>
      <c r="G207" s="44">
        <f t="shared" si="62"/>
        <v>4071.4285714285716</v>
      </c>
      <c r="H207" s="44">
        <f t="shared" si="62"/>
        <v>0</v>
      </c>
    </row>
    <row r="208" spans="1:12" x14ac:dyDescent="0.25">
      <c r="A208" s="228"/>
      <c r="B208" s="238"/>
      <c r="C208" s="228"/>
      <c r="D208" s="230"/>
      <c r="E208" s="230"/>
      <c r="F208" s="230"/>
      <c r="G208" s="230"/>
      <c r="H208" s="230"/>
    </row>
  </sheetData>
  <pageMargins left="0.7" right="0.7" top="0.75" bottom="0.75" header="0.3" footer="0.3"/>
  <pageSetup paperSize="9" scale="56" fitToHeight="0"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2"/>
  <sheetViews>
    <sheetView topLeftCell="A53" zoomScaleNormal="100" workbookViewId="0">
      <selection activeCell="B187" sqref="B187"/>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27</v>
      </c>
      <c r="B1" s="126" t="s">
        <v>311</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E63</f>
        <v>0</v>
      </c>
      <c r="F5" s="44">
        <f t="shared" ref="F5:H5" si="1">F63</f>
        <v>0</v>
      </c>
      <c r="G5" s="44">
        <f t="shared" si="1"/>
        <v>0</v>
      </c>
      <c r="H5" s="44">
        <f t="shared" si="1"/>
        <v>0</v>
      </c>
    </row>
    <row r="6" spans="1:12" x14ac:dyDescent="0.25">
      <c r="B6" s="16" t="s">
        <v>168</v>
      </c>
      <c r="D6" s="44">
        <f t="shared" si="0"/>
        <v>0</v>
      </c>
      <c r="E6" s="44">
        <f>E67</f>
        <v>0</v>
      </c>
      <c r="F6" s="44">
        <f t="shared" ref="F6:H6" si="2">F67</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E87</f>
        <v>0</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E95</f>
        <v>0</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124567.71533279998</v>
      </c>
      <c r="E20" s="44">
        <f>E99</f>
        <v>0</v>
      </c>
      <c r="F20" s="44">
        <f t="shared" ref="F20:H20" si="10">F99</f>
        <v>39787.199999999997</v>
      </c>
      <c r="G20" s="44">
        <f t="shared" si="10"/>
        <v>41498.049599999998</v>
      </c>
      <c r="H20" s="44">
        <f t="shared" si="10"/>
        <v>43282.465732799988</v>
      </c>
    </row>
    <row r="21" spans="1:12" x14ac:dyDescent="0.25">
      <c r="B21" s="16" t="s">
        <v>139</v>
      </c>
      <c r="D21" s="44">
        <f t="shared" ref="D21" si="11">SUM(E21:H21)</f>
        <v>0</v>
      </c>
    </row>
    <row r="22" spans="1:12" ht="14.25" thickBot="1" x14ac:dyDescent="0.3">
      <c r="A22" s="13"/>
      <c r="B22" s="13" t="s">
        <v>140</v>
      </c>
      <c r="C22" s="13"/>
      <c r="D22" s="47">
        <f>SUBTOTAL(9,D20:D21)</f>
        <v>124567.71533279998</v>
      </c>
      <c r="E22" s="47">
        <f t="shared" ref="E22:H22" si="12">SUBTOTAL(9,E20:E21)</f>
        <v>0</v>
      </c>
      <c r="F22" s="47">
        <f t="shared" si="12"/>
        <v>39787.199999999997</v>
      </c>
      <c r="G22" s="47">
        <f t="shared" si="12"/>
        <v>41498.049599999998</v>
      </c>
      <c r="H22" s="47">
        <f t="shared" si="12"/>
        <v>43282.465732799988</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E113</f>
        <v>0</v>
      </c>
      <c r="F25" s="44">
        <f t="shared" ref="F25:H25" si="13">F113</f>
        <v>0</v>
      </c>
      <c r="G25" s="44">
        <f t="shared" si="13"/>
        <v>0</v>
      </c>
      <c r="H25" s="44">
        <f t="shared" si="13"/>
        <v>0</v>
      </c>
    </row>
    <row r="26" spans="1:12" x14ac:dyDescent="0.25">
      <c r="B26" s="16" t="s">
        <v>25</v>
      </c>
      <c r="D26" s="44">
        <f t="shared" ref="D26" si="14">SUM(E26:H26)</f>
        <v>2612.3804055999999</v>
      </c>
      <c r="E26" s="44">
        <f>E134</f>
        <v>0</v>
      </c>
      <c r="F26" s="44">
        <f t="shared" ref="F26:H26" si="15">F134</f>
        <v>834.4</v>
      </c>
      <c r="G26" s="44">
        <f t="shared" si="15"/>
        <v>870.27919999999995</v>
      </c>
      <c r="H26" s="44">
        <f t="shared" si="15"/>
        <v>907.70120559999987</v>
      </c>
    </row>
    <row r="27" spans="1:12" x14ac:dyDescent="0.25">
      <c r="B27" s="16" t="s">
        <v>233</v>
      </c>
    </row>
    <row r="28" spans="1:12" ht="14.25" thickBot="1" x14ac:dyDescent="0.3">
      <c r="A28" s="13"/>
      <c r="B28" s="13" t="s">
        <v>73</v>
      </c>
      <c r="C28" s="13"/>
      <c r="D28" s="47">
        <f>SUBTOTAL(9,D25:D27)</f>
        <v>2612.3804055999999</v>
      </c>
      <c r="E28" s="47">
        <f t="shared" ref="E28:H28" si="16">SUBTOTAL(9,E25:E27)</f>
        <v>0</v>
      </c>
      <c r="F28" s="47">
        <f t="shared" si="16"/>
        <v>834.4</v>
      </c>
      <c r="G28" s="47">
        <f t="shared" si="16"/>
        <v>870.27919999999995</v>
      </c>
      <c r="H28" s="47">
        <f t="shared" si="16"/>
        <v>907.70120559999987</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E123</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E181</f>
        <v>0</v>
      </c>
      <c r="F40" s="44">
        <f t="shared" ref="F40:H40" si="20">F181</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E154</f>
        <v>0</v>
      </c>
      <c r="F46" s="44">
        <f t="shared" ref="F46:H46" si="23">F154</f>
        <v>0</v>
      </c>
      <c r="G46" s="44">
        <f t="shared" si="23"/>
        <v>0</v>
      </c>
      <c r="H46" s="44">
        <f t="shared" si="23"/>
        <v>0</v>
      </c>
    </row>
    <row r="47" spans="1:12" x14ac:dyDescent="0.25">
      <c r="A47" s="3"/>
      <c r="B47" s="3" t="s">
        <v>21</v>
      </c>
      <c r="C47" s="3"/>
      <c r="D47" s="44">
        <f t="shared" si="22"/>
        <v>0</v>
      </c>
      <c r="E47" s="44">
        <f>E144</f>
        <v>0</v>
      </c>
      <c r="F47" s="44">
        <f t="shared" ref="F47:H47" si="24">F144</f>
        <v>0</v>
      </c>
      <c r="G47" s="44">
        <f t="shared" si="24"/>
        <v>0</v>
      </c>
      <c r="H47" s="44">
        <f t="shared" si="24"/>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127180.09573839998</v>
      </c>
      <c r="E50" s="49">
        <f>SUBTOTAL(9,E5:E48)</f>
        <v>0</v>
      </c>
      <c r="F50" s="49">
        <f>SUBTOTAL(9,F5:F48)</f>
        <v>40621.599999999999</v>
      </c>
      <c r="G50" s="49">
        <f>SUBTOTAL(9,G5:G48)</f>
        <v>42368.328799999996</v>
      </c>
      <c r="H50" s="49">
        <f>SUBTOTAL(9,H5:H48)</f>
        <v>44190.166938399991</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hidden="1"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hidden="1" x14ac:dyDescent="0.25">
      <c r="A62" s="9"/>
      <c r="B62" s="9"/>
      <c r="C62" s="9"/>
    </row>
    <row r="63" spans="1:9" hidden="1" x14ac:dyDescent="0.25">
      <c r="B63" s="5" t="s">
        <v>23</v>
      </c>
      <c r="E63" s="44">
        <f>E64*E65</f>
        <v>0</v>
      </c>
      <c r="F63" s="44">
        <f t="shared" ref="F63:H63" si="25">F64*F65</f>
        <v>0</v>
      </c>
      <c r="G63" s="44">
        <f t="shared" si="25"/>
        <v>0</v>
      </c>
      <c r="H63" s="44">
        <f t="shared" si="25"/>
        <v>0</v>
      </c>
    </row>
    <row r="64" spans="1:9" hidden="1" x14ac:dyDescent="0.25">
      <c r="A64" s="9"/>
      <c r="B64" s="9" t="s">
        <v>114</v>
      </c>
      <c r="C64" s="9" t="s">
        <v>113</v>
      </c>
      <c r="E64" s="44">
        <v>0</v>
      </c>
      <c r="F64" s="44">
        <v>0</v>
      </c>
      <c r="G64" s="44">
        <v>0</v>
      </c>
      <c r="H64" s="44">
        <v>0</v>
      </c>
    </row>
    <row r="65" spans="1:12" hidden="1" x14ac:dyDescent="0.25">
      <c r="A65" s="9"/>
      <c r="B65" s="9" t="s">
        <v>40</v>
      </c>
      <c r="C65" s="9"/>
      <c r="E65" s="44">
        <f>'Rates and GI'!D12</f>
        <v>17.675000000000001</v>
      </c>
      <c r="F65" s="44">
        <f>E65*(1+index)</f>
        <v>18.435025</v>
      </c>
      <c r="G65" s="44">
        <f>F65*(1+index)</f>
        <v>19.227731074999998</v>
      </c>
      <c r="H65" s="44">
        <f>G65*(1+index)</f>
        <v>20.054523511224996</v>
      </c>
    </row>
    <row r="66" spans="1:12" hidden="1" x14ac:dyDescent="0.25"/>
    <row r="67" spans="1:12" s="7" customFormat="1" hidden="1" x14ac:dyDescent="0.25">
      <c r="A67" s="5"/>
      <c r="B67" s="5" t="s">
        <v>168</v>
      </c>
      <c r="C67" s="5"/>
      <c r="D67" s="44"/>
      <c r="E67" s="44">
        <f>E68*E69</f>
        <v>0</v>
      </c>
      <c r="F67" s="44">
        <f t="shared" ref="F67:H67" si="26">F68*F69</f>
        <v>0</v>
      </c>
      <c r="G67" s="44">
        <f t="shared" si="26"/>
        <v>0</v>
      </c>
      <c r="H67" s="44">
        <f t="shared" si="26"/>
        <v>0</v>
      </c>
      <c r="I67" s="62"/>
      <c r="J67" s="6"/>
      <c r="K67" s="6"/>
      <c r="L67" s="6"/>
    </row>
    <row r="68" spans="1:12" s="7" customFormat="1" hidden="1" x14ac:dyDescent="0.25">
      <c r="A68" s="9"/>
      <c r="B68" s="9" t="s">
        <v>170</v>
      </c>
      <c r="C68" s="9" t="s">
        <v>113</v>
      </c>
      <c r="D68" s="44"/>
      <c r="E68" s="44">
        <v>0</v>
      </c>
      <c r="F68" s="44">
        <v>0</v>
      </c>
      <c r="G68" s="44">
        <v>0</v>
      </c>
      <c r="H68" s="44">
        <v>0</v>
      </c>
      <c r="I68" s="62"/>
      <c r="J68" s="6"/>
      <c r="K68" s="6"/>
      <c r="L68" s="6"/>
    </row>
    <row r="69" spans="1:12" s="7" customFormat="1" hidden="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6" spans="1:12" hidden="1" x14ac:dyDescent="0.25"/>
    <row r="87" spans="1:12" hidden="1" x14ac:dyDescent="0.25">
      <c r="A87" s="50"/>
      <c r="B87" s="50" t="s">
        <v>10</v>
      </c>
      <c r="C87" s="50"/>
      <c r="D87" s="52"/>
      <c r="E87" s="52">
        <f>E88*E89+E91*E92</f>
        <v>0</v>
      </c>
      <c r="F87" s="52">
        <f t="shared" ref="F87:H87" si="27">F88*F89+F91*F92</f>
        <v>0</v>
      </c>
      <c r="G87" s="52">
        <f t="shared" si="27"/>
        <v>0</v>
      </c>
      <c r="H87" s="52">
        <f t="shared" si="27"/>
        <v>0</v>
      </c>
    </row>
    <row r="88" spans="1:12" s="7" customFormat="1" hidden="1" x14ac:dyDescent="0.25">
      <c r="A88" s="5"/>
      <c r="B88" s="9" t="s">
        <v>49</v>
      </c>
      <c r="C88" s="5"/>
      <c r="D88" s="44"/>
      <c r="E88" s="44">
        <v>0</v>
      </c>
      <c r="F88" s="44">
        <v>0</v>
      </c>
      <c r="G88" s="44">
        <v>0</v>
      </c>
      <c r="H88" s="44">
        <v>0</v>
      </c>
      <c r="I88" s="62"/>
      <c r="J88" s="6"/>
      <c r="K88" s="6"/>
      <c r="L88" s="6"/>
    </row>
    <row r="89" spans="1:12" s="7" customFormat="1" hidden="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4" spans="1:12" hidden="1" x14ac:dyDescent="0.25"/>
    <row r="95" spans="1:12" hidden="1" x14ac:dyDescent="0.25">
      <c r="A95" s="50"/>
      <c r="B95" s="50" t="s">
        <v>171</v>
      </c>
      <c r="C95" s="50"/>
      <c r="D95" s="52"/>
      <c r="E95" s="52">
        <f>E96*E97</f>
        <v>0</v>
      </c>
      <c r="F95" s="52">
        <f t="shared" ref="F95:H95" si="28">F96*F97</f>
        <v>0</v>
      </c>
      <c r="G95" s="52">
        <f t="shared" si="28"/>
        <v>0</v>
      </c>
      <c r="H95" s="52">
        <f t="shared" si="28"/>
        <v>0</v>
      </c>
    </row>
    <row r="96" spans="1:12" s="7" customFormat="1" hidden="1" x14ac:dyDescent="0.25">
      <c r="A96" s="10"/>
      <c r="B96" s="39" t="s">
        <v>144</v>
      </c>
      <c r="C96" s="10" t="s">
        <v>145</v>
      </c>
      <c r="D96" s="44"/>
      <c r="E96" s="44">
        <v>0</v>
      </c>
      <c r="F96" s="44">
        <v>0</v>
      </c>
      <c r="G96" s="44">
        <v>0</v>
      </c>
      <c r="H96" s="44">
        <v>0</v>
      </c>
      <c r="I96" s="62"/>
      <c r="J96" s="6"/>
      <c r="K96" s="6"/>
      <c r="L96" s="6"/>
    </row>
    <row r="97" spans="1:12" s="7" customFormat="1" hidden="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8" spans="1:12" hidden="1" x14ac:dyDescent="0.25"/>
    <row r="99" spans="1:12" x14ac:dyDescent="0.25">
      <c r="A99" s="50"/>
      <c r="B99" s="50" t="s">
        <v>130</v>
      </c>
      <c r="C99" s="50"/>
      <c r="D99" s="52"/>
      <c r="E99" s="52">
        <f>E100*E101+E102*E103+E104</f>
        <v>0</v>
      </c>
      <c r="F99" s="52">
        <f t="shared" ref="F99:H99" si="29">F100*F101+F102*F103+F104</f>
        <v>39787.199999999997</v>
      </c>
      <c r="G99" s="52">
        <f t="shared" si="29"/>
        <v>41498.049599999998</v>
      </c>
      <c r="H99" s="52">
        <f t="shared" si="29"/>
        <v>43282.465732799988</v>
      </c>
    </row>
    <row r="100" spans="1:12" hidden="1" x14ac:dyDescent="0.25">
      <c r="B100" s="39" t="s">
        <v>131</v>
      </c>
      <c r="C100" s="5" t="s">
        <v>132</v>
      </c>
      <c r="F100" s="44">
        <f>Training!$C$33</f>
        <v>81.10799999999999</v>
      </c>
      <c r="G100" s="44">
        <f>Training!$C$33</f>
        <v>81.10799999999999</v>
      </c>
      <c r="H100" s="44">
        <f>Training!$C$33</f>
        <v>81.10799999999999</v>
      </c>
    </row>
    <row r="101" spans="1:12" hidden="1" x14ac:dyDescent="0.25">
      <c r="B101" s="39" t="s">
        <v>133</v>
      </c>
      <c r="F101" s="44">
        <f>F88</f>
        <v>0</v>
      </c>
      <c r="G101" s="44">
        <f t="shared" ref="G101:H101" si="30">G88</f>
        <v>0</v>
      </c>
      <c r="H101" s="44">
        <f t="shared" si="30"/>
        <v>0</v>
      </c>
    </row>
    <row r="102" spans="1:12" hidden="1" x14ac:dyDescent="0.25">
      <c r="B102" s="39" t="s">
        <v>134</v>
      </c>
      <c r="F102" s="44">
        <f>Training!C$23</f>
        <v>709.375</v>
      </c>
      <c r="G102" s="44">
        <f>F102*(1+index)</f>
        <v>739.87812499999995</v>
      </c>
      <c r="H102" s="44">
        <f>G102*(1+index)</f>
        <v>771.69288437499995</v>
      </c>
    </row>
    <row r="103" spans="1:12" hidden="1" x14ac:dyDescent="0.25">
      <c r="B103" s="39" t="s">
        <v>135</v>
      </c>
      <c r="E103" s="44">
        <v>0</v>
      </c>
      <c r="F103" s="44">
        <v>0</v>
      </c>
      <c r="G103" s="33">
        <v>0</v>
      </c>
      <c r="H103" s="33">
        <v>0</v>
      </c>
    </row>
    <row r="104" spans="1:12" x14ac:dyDescent="0.25">
      <c r="B104" s="130" t="s">
        <v>245</v>
      </c>
      <c r="E104" s="44">
        <f>E105*E107</f>
        <v>0</v>
      </c>
      <c r="F104" s="44">
        <f>F105*F107</f>
        <v>39787.199999999997</v>
      </c>
      <c r="G104" s="44">
        <f t="shared" ref="G104:H104" si="31">G105*G107</f>
        <v>41498.049599999998</v>
      </c>
      <c r="H104" s="44">
        <f t="shared" si="31"/>
        <v>43282.465732799988</v>
      </c>
    </row>
    <row r="105" spans="1:12" x14ac:dyDescent="0.25">
      <c r="B105" s="39" t="s">
        <v>203</v>
      </c>
      <c r="C105" s="5" t="s">
        <v>137</v>
      </c>
      <c r="F105" s="44">
        <f>Training!$C$40</f>
        <v>994.68</v>
      </c>
      <c r="G105" s="44">
        <f>F105*(1+index)</f>
        <v>1037.4512399999999</v>
      </c>
      <c r="H105" s="44">
        <f>G105*(1+index)</f>
        <v>1082.0616433199998</v>
      </c>
    </row>
    <row r="106" spans="1:12" x14ac:dyDescent="0.25">
      <c r="B106" s="39" t="s">
        <v>244</v>
      </c>
      <c r="E106" s="34"/>
      <c r="F106" s="34"/>
      <c r="G106" s="34"/>
      <c r="H106" s="34"/>
    </row>
    <row r="107" spans="1:12" x14ac:dyDescent="0.25">
      <c r="B107" s="39" t="s">
        <v>133</v>
      </c>
      <c r="E107" s="44">
        <v>0</v>
      </c>
      <c r="F107" s="44">
        <v>40</v>
      </c>
      <c r="G107" s="44">
        <v>40</v>
      </c>
      <c r="H107" s="44">
        <v>40</v>
      </c>
    </row>
    <row r="108" spans="1:12" hidden="1" x14ac:dyDescent="0.25">
      <c r="B108" s="130" t="s">
        <v>247</v>
      </c>
      <c r="E108" s="44">
        <f>E109*E111</f>
        <v>0</v>
      </c>
      <c r="F108" s="44">
        <f t="shared" ref="F108:H108" si="32">F109*F111</f>
        <v>0</v>
      </c>
      <c r="G108" s="44">
        <f t="shared" si="32"/>
        <v>0</v>
      </c>
      <c r="H108" s="44">
        <f t="shared" si="32"/>
        <v>0</v>
      </c>
    </row>
    <row r="109" spans="1:12" hidden="1" x14ac:dyDescent="0.25">
      <c r="B109" s="39" t="s">
        <v>203</v>
      </c>
      <c r="C109" s="5" t="s">
        <v>137</v>
      </c>
      <c r="G109" s="44"/>
      <c r="H109" s="44"/>
    </row>
    <row r="110" spans="1:12" hidden="1" x14ac:dyDescent="0.25">
      <c r="B110" s="39" t="s">
        <v>244</v>
      </c>
      <c r="E110" s="45">
        <f>E106/2</f>
        <v>0</v>
      </c>
      <c r="F110" s="45">
        <f>E110*1.1</f>
        <v>0</v>
      </c>
      <c r="G110" s="45">
        <f t="shared" ref="G110:H110" si="33">F110*1.1</f>
        <v>0</v>
      </c>
      <c r="H110" s="45">
        <f t="shared" si="33"/>
        <v>0</v>
      </c>
    </row>
    <row r="111" spans="1:12" hidden="1" x14ac:dyDescent="0.25">
      <c r="B111" s="39" t="s">
        <v>133</v>
      </c>
      <c r="E111" s="44">
        <f>'Rates and GI'!$E$9*E110</f>
        <v>0</v>
      </c>
      <c r="F111" s="44">
        <f>'Rates and GI'!$E$9*F110</f>
        <v>0</v>
      </c>
      <c r="G111" s="44">
        <f>'Rates and GI'!$E$9*G110</f>
        <v>0</v>
      </c>
      <c r="H111" s="44">
        <f>'Rates and GI'!$E$9*H110</f>
        <v>0</v>
      </c>
    </row>
    <row r="112" spans="1:12" hidden="1" x14ac:dyDescent="0.25">
      <c r="B112" s="39"/>
    </row>
    <row r="113" spans="1:12" hidden="1" x14ac:dyDescent="0.25">
      <c r="A113" s="50"/>
      <c r="B113" s="50" t="s">
        <v>24</v>
      </c>
      <c r="C113" s="50"/>
      <c r="D113" s="52"/>
      <c r="E113" s="52">
        <f t="shared" ref="E113:H113" si="34">E114*E115</f>
        <v>0</v>
      </c>
      <c r="F113" s="52">
        <f t="shared" si="34"/>
        <v>0</v>
      </c>
      <c r="G113" s="52">
        <f t="shared" si="34"/>
        <v>0</v>
      </c>
      <c r="H113" s="52">
        <f t="shared" si="34"/>
        <v>0</v>
      </c>
    </row>
    <row r="114" spans="1:12" s="7" customFormat="1" hidden="1" x14ac:dyDescent="0.25">
      <c r="A114" s="5"/>
      <c r="B114" s="39" t="s">
        <v>53</v>
      </c>
      <c r="C114" s="5"/>
      <c r="D114" s="44"/>
      <c r="E114" s="44">
        <v>0</v>
      </c>
      <c r="F114" s="44">
        <v>0</v>
      </c>
      <c r="G114" s="44"/>
      <c r="H114" s="44"/>
      <c r="I114" s="62"/>
      <c r="J114" s="6"/>
      <c r="K114" s="6"/>
      <c r="L114" s="6"/>
    </row>
    <row r="115" spans="1:12" s="7" customFormat="1" hidden="1" x14ac:dyDescent="0.25">
      <c r="A115" s="5"/>
      <c r="B115" s="39" t="s">
        <v>54</v>
      </c>
      <c r="C115" s="5"/>
      <c r="D115" s="44"/>
      <c r="E115" s="44">
        <f>'Rates and GI'!D25</f>
        <v>6</v>
      </c>
      <c r="F115" s="44">
        <f>E115*(1+index)</f>
        <v>6.2579999999999991</v>
      </c>
      <c r="G115" s="44">
        <f>F115*(1+index)</f>
        <v>6.5270939999999991</v>
      </c>
      <c r="H115" s="44">
        <f>G115*(1+index)</f>
        <v>6.8077590419999989</v>
      </c>
      <c r="I115" s="62"/>
      <c r="J115" s="6"/>
      <c r="K115" s="6"/>
      <c r="L115" s="6"/>
    </row>
    <row r="116" spans="1:12" hidden="1" x14ac:dyDescent="0.25"/>
    <row r="117" spans="1:12" hidden="1" x14ac:dyDescent="0.25">
      <c r="A117" s="50"/>
      <c r="B117" s="50" t="s">
        <v>7</v>
      </c>
      <c r="C117" s="50"/>
      <c r="D117" s="52"/>
      <c r="E117" s="52"/>
      <c r="F117" s="52"/>
      <c r="G117" s="52"/>
      <c r="H117" s="52"/>
    </row>
    <row r="118" spans="1:12" s="7" customFormat="1" hidden="1" x14ac:dyDescent="0.25">
      <c r="A118" s="5"/>
      <c r="B118" s="4" t="s">
        <v>57</v>
      </c>
      <c r="C118" s="5"/>
      <c r="D118" s="44"/>
      <c r="E118" s="46"/>
      <c r="F118" s="46"/>
      <c r="G118" s="105"/>
      <c r="H118" s="105"/>
      <c r="I118" s="62"/>
      <c r="J118" s="6"/>
      <c r="K118" s="6"/>
      <c r="L118" s="6"/>
    </row>
    <row r="119" spans="1:12" s="43" customFormat="1" hidden="1" x14ac:dyDescent="0.25">
      <c r="A119" s="40"/>
      <c r="B119" s="41" t="s">
        <v>58</v>
      </c>
      <c r="C119" s="40" t="s">
        <v>55</v>
      </c>
      <c r="D119" s="71"/>
      <c r="E119" s="71"/>
      <c r="F119" s="71"/>
      <c r="G119" s="72"/>
      <c r="H119" s="72"/>
      <c r="I119" s="75"/>
      <c r="J119" s="42"/>
      <c r="K119" s="42"/>
      <c r="L119" s="42"/>
    </row>
    <row r="120" spans="1:12" s="40" customFormat="1" hidden="1" x14ac:dyDescent="0.25">
      <c r="B120" s="41" t="s">
        <v>56</v>
      </c>
      <c r="D120" s="71"/>
      <c r="E120" s="71"/>
      <c r="F120" s="71"/>
      <c r="G120" s="72"/>
      <c r="H120" s="72"/>
      <c r="I120" s="75"/>
      <c r="J120" s="42"/>
      <c r="K120" s="42"/>
      <c r="L120" s="42"/>
    </row>
    <row r="121" spans="1:12" s="40" customFormat="1" hidden="1" x14ac:dyDescent="0.25">
      <c r="B121" s="41" t="s">
        <v>59</v>
      </c>
      <c r="D121" s="71"/>
      <c r="E121" s="71"/>
      <c r="F121" s="71"/>
      <c r="G121" s="72"/>
      <c r="H121" s="72"/>
      <c r="I121" s="75"/>
      <c r="J121" s="42"/>
      <c r="K121" s="42"/>
      <c r="L121" s="42"/>
    </row>
    <row r="122" spans="1:12" hidden="1" x14ac:dyDescent="0.25"/>
    <row r="123" spans="1:12" hidden="1" x14ac:dyDescent="0.25">
      <c r="A123" s="50"/>
      <c r="B123" s="50" t="s">
        <v>26</v>
      </c>
      <c r="C123" s="50"/>
      <c r="D123" s="52"/>
      <c r="E123" s="52">
        <f>E128*E129</f>
        <v>0</v>
      </c>
      <c r="F123" s="52">
        <f>F128*F129</f>
        <v>0</v>
      </c>
      <c r="G123" s="52"/>
      <c r="H123" s="52"/>
    </row>
    <row r="124" spans="1:12" s="5" customFormat="1" hidden="1" x14ac:dyDescent="0.25">
      <c r="B124" s="55" t="s">
        <v>60</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s="5" customFormat="1" hidden="1" x14ac:dyDescent="0.25">
      <c r="B127" s="55" t="s">
        <v>123</v>
      </c>
      <c r="D127" s="44"/>
      <c r="E127" s="44"/>
      <c r="F127" s="44"/>
      <c r="G127" s="38"/>
      <c r="H127" s="38"/>
      <c r="I127" s="62"/>
      <c r="J127" s="6"/>
      <c r="K127" s="6"/>
      <c r="L127" s="6"/>
    </row>
    <row r="128" spans="1:12" s="5" customFormat="1" hidden="1" x14ac:dyDescent="0.25">
      <c r="B128" s="41" t="s">
        <v>147</v>
      </c>
      <c r="D128" s="44"/>
      <c r="E128" s="44">
        <f>'Rates and GI'!$D$31</f>
        <v>350</v>
      </c>
      <c r="F128" s="44">
        <f>'Rates and GI'!$D$31</f>
        <v>350</v>
      </c>
      <c r="G128" s="44">
        <f>'Rates and GI'!$D$31</f>
        <v>350</v>
      </c>
      <c r="H128" s="44">
        <f>'Rates and GI'!$D$31</f>
        <v>350</v>
      </c>
      <c r="I128" s="62"/>
      <c r="J128" s="6"/>
      <c r="K128" s="6"/>
      <c r="L128" s="6"/>
    </row>
    <row r="129" spans="1:12" s="5" customFormat="1" hidden="1" x14ac:dyDescent="0.25">
      <c r="B129" s="41" t="s">
        <v>146</v>
      </c>
      <c r="D129" s="44"/>
      <c r="E129" s="44">
        <v>0</v>
      </c>
      <c r="F129" s="44">
        <v>0</v>
      </c>
      <c r="G129" s="38"/>
      <c r="H129" s="38"/>
      <c r="I129" s="62"/>
      <c r="J129" s="6"/>
      <c r="K129" s="6"/>
      <c r="L129" s="6"/>
    </row>
    <row r="130" spans="1:12" s="5" customFormat="1" hidden="1" x14ac:dyDescent="0.25">
      <c r="B130" s="55" t="s">
        <v>8</v>
      </c>
      <c r="D130" s="44"/>
      <c r="E130" s="44"/>
      <c r="F130" s="44"/>
      <c r="G130" s="38"/>
      <c r="H130" s="38"/>
      <c r="I130" s="62"/>
      <c r="J130" s="6"/>
      <c r="K130" s="6"/>
      <c r="L130" s="6"/>
    </row>
    <row r="131" spans="1:12" s="5" customFormat="1" hidden="1" x14ac:dyDescent="0.25">
      <c r="B131" s="41" t="s">
        <v>147</v>
      </c>
      <c r="D131" s="44"/>
      <c r="E131" s="44"/>
      <c r="F131" s="44"/>
      <c r="G131" s="38"/>
      <c r="H131" s="38"/>
      <c r="I131" s="62"/>
      <c r="J131" s="6"/>
      <c r="K131" s="6"/>
      <c r="L131" s="6"/>
    </row>
    <row r="132" spans="1:12" s="5" customFormat="1" hidden="1" x14ac:dyDescent="0.25">
      <c r="B132" s="41" t="s">
        <v>146</v>
      </c>
      <c r="D132" s="44"/>
      <c r="E132" s="44"/>
      <c r="F132" s="44"/>
      <c r="G132" s="38"/>
      <c r="H132" s="38"/>
      <c r="I132" s="62"/>
      <c r="J132" s="6"/>
      <c r="K132" s="6"/>
      <c r="L132" s="6"/>
    </row>
    <row r="133" spans="1:12" hidden="1" x14ac:dyDescent="0.25"/>
    <row r="134" spans="1:12" x14ac:dyDescent="0.25">
      <c r="A134" s="50"/>
      <c r="B134" s="50" t="s">
        <v>25</v>
      </c>
      <c r="C134" s="50"/>
      <c r="D134" s="52"/>
      <c r="E134" s="52">
        <f>E135+E136+E139</f>
        <v>0</v>
      </c>
      <c r="F134" s="52">
        <f t="shared" ref="F134:H134" si="35">F135+F136+F139</f>
        <v>834.4</v>
      </c>
      <c r="G134" s="52">
        <f t="shared" si="35"/>
        <v>870.27919999999995</v>
      </c>
      <c r="H134" s="52">
        <f t="shared" si="35"/>
        <v>907.70120559999987</v>
      </c>
    </row>
    <row r="135" spans="1:12" s="5" customFormat="1" x14ac:dyDescent="0.25">
      <c r="B135" s="5" t="s">
        <v>205</v>
      </c>
      <c r="D135" s="44"/>
      <c r="E135" s="44"/>
      <c r="F135" s="44">
        <v>0</v>
      </c>
      <c r="G135" s="38"/>
      <c r="H135" s="38"/>
      <c r="I135" s="62"/>
      <c r="J135" s="6"/>
      <c r="K135" s="6"/>
      <c r="L135" s="6"/>
    </row>
    <row r="136" spans="1:12" s="5" customFormat="1" x14ac:dyDescent="0.25">
      <c r="B136" s="5" t="s">
        <v>248</v>
      </c>
      <c r="D136" s="44"/>
      <c r="E136" s="44">
        <f>E137*E138</f>
        <v>0</v>
      </c>
      <c r="F136" s="44">
        <f t="shared" ref="F136:H136" si="36">F137*F138</f>
        <v>834.4</v>
      </c>
      <c r="G136" s="44">
        <f t="shared" si="36"/>
        <v>870.27919999999995</v>
      </c>
      <c r="H136" s="44">
        <f t="shared" si="36"/>
        <v>907.70120559999987</v>
      </c>
      <c r="I136" s="62"/>
      <c r="J136" s="6"/>
      <c r="K136" s="6"/>
      <c r="L136" s="6"/>
    </row>
    <row r="137" spans="1:12" s="5" customFormat="1" x14ac:dyDescent="0.25">
      <c r="B137" s="41" t="s">
        <v>249</v>
      </c>
      <c r="D137" s="44"/>
      <c r="E137" s="44">
        <f>Training!C45</f>
        <v>20</v>
      </c>
      <c r="F137" s="44">
        <f>E137*(1+index)</f>
        <v>20.86</v>
      </c>
      <c r="G137" s="44">
        <f>F137*(1+index)</f>
        <v>21.756979999999999</v>
      </c>
      <c r="H137" s="44">
        <f>G137*(1+index)</f>
        <v>22.692530139999995</v>
      </c>
      <c r="I137" s="62"/>
      <c r="J137" s="6"/>
      <c r="K137" s="6"/>
      <c r="L137" s="6"/>
    </row>
    <row r="138" spans="1:12" s="5" customFormat="1" x14ac:dyDescent="0.25">
      <c r="B138" s="41" t="s">
        <v>250</v>
      </c>
      <c r="D138" s="44"/>
      <c r="E138" s="44">
        <f>E107+E111</f>
        <v>0</v>
      </c>
      <c r="F138" s="44">
        <f t="shared" ref="F138:H138" si="37">F107+F111</f>
        <v>40</v>
      </c>
      <c r="G138" s="44">
        <f t="shared" si="37"/>
        <v>40</v>
      </c>
      <c r="H138" s="44">
        <f t="shared" si="37"/>
        <v>40</v>
      </c>
      <c r="I138" s="62"/>
      <c r="J138" s="6"/>
      <c r="K138" s="6"/>
      <c r="L138" s="6"/>
    </row>
    <row r="139" spans="1:12" s="5" customFormat="1" hidden="1" x14ac:dyDescent="0.25">
      <c r="B139" s="5" t="s">
        <v>154</v>
      </c>
      <c r="D139" s="44"/>
      <c r="E139" s="44">
        <f>E140+E141*E142</f>
        <v>0</v>
      </c>
      <c r="F139" s="44">
        <f>F140+F141*F142</f>
        <v>0</v>
      </c>
      <c r="G139" s="44">
        <f t="shared" ref="G139:H139" si="38">G140+G141*G142</f>
        <v>0</v>
      </c>
      <c r="H139" s="44">
        <f t="shared" si="38"/>
        <v>0</v>
      </c>
      <c r="I139" s="73"/>
    </row>
    <row r="140" spans="1:12" hidden="1" x14ac:dyDescent="0.25">
      <c r="B140" s="41" t="s">
        <v>153</v>
      </c>
      <c r="F140" s="44">
        <f>'Rates and GI'!D46*0</f>
        <v>0</v>
      </c>
    </row>
    <row r="141" spans="1:12" hidden="1" x14ac:dyDescent="0.25">
      <c r="B141" s="41" t="s">
        <v>159</v>
      </c>
      <c r="E141" s="60">
        <f>'Rates and GI'!$D$48</f>
        <v>0.02</v>
      </c>
      <c r="F141" s="60">
        <f>'Rates and GI'!$D$48</f>
        <v>0.02</v>
      </c>
      <c r="G141" s="60">
        <f>'Rates and GI'!$D$48</f>
        <v>0.02</v>
      </c>
      <c r="H141" s="60">
        <f>'Rates and GI'!$D$48</f>
        <v>0.02</v>
      </c>
    </row>
    <row r="142" spans="1:12" hidden="1" x14ac:dyDescent="0.25">
      <c r="B142" s="41" t="s">
        <v>160</v>
      </c>
      <c r="E142" s="44">
        <v>0</v>
      </c>
      <c r="F142" s="44">
        <v>0</v>
      </c>
      <c r="G142" s="44">
        <v>0</v>
      </c>
      <c r="H142" s="44">
        <v>0</v>
      </c>
    </row>
    <row r="143" spans="1:12" s="5" customFormat="1" x14ac:dyDescent="0.25">
      <c r="A143" s="228"/>
      <c r="B143" s="231"/>
      <c r="C143" s="228"/>
      <c r="D143" s="230"/>
      <c r="E143" s="237"/>
      <c r="F143" s="237"/>
      <c r="G143" s="237"/>
      <c r="H143" s="237"/>
      <c r="I143" s="62"/>
      <c r="J143" s="6"/>
      <c r="K143" s="6"/>
      <c r="L143" s="6"/>
    </row>
    <row r="144" spans="1:12" hidden="1" x14ac:dyDescent="0.25">
      <c r="A144" s="50"/>
      <c r="B144" s="50" t="s">
        <v>21</v>
      </c>
      <c r="C144" s="50"/>
      <c r="D144" s="52"/>
      <c r="E144" s="52">
        <f>E145*E146+E147*E148++E149*E150+E151*E152</f>
        <v>0</v>
      </c>
      <c r="F144" s="52">
        <f t="shared" ref="F144:H144" si="39">F145*F146+F147*F148++F149*F150+F151*F152</f>
        <v>0</v>
      </c>
      <c r="G144" s="52">
        <f t="shared" si="39"/>
        <v>0</v>
      </c>
      <c r="H144" s="52">
        <f t="shared" si="39"/>
        <v>0</v>
      </c>
    </row>
    <row r="145" spans="1:12" hidden="1" x14ac:dyDescent="0.25">
      <c r="B145" s="41" t="s">
        <v>241</v>
      </c>
      <c r="F145" s="44">
        <v>0</v>
      </c>
      <c r="G145" s="44">
        <v>0</v>
      </c>
      <c r="H145" s="44"/>
    </row>
    <row r="146" spans="1:12" hidden="1" x14ac:dyDescent="0.25">
      <c r="B146" s="41" t="s">
        <v>151</v>
      </c>
      <c r="E146" s="44">
        <f>'Rates and GI'!$D$58</f>
        <v>5000</v>
      </c>
      <c r="F146" s="44">
        <f>'Rates and GI'!$D$58</f>
        <v>5000</v>
      </c>
      <c r="G146" s="44">
        <f>'Rates and GI'!$D$58</f>
        <v>5000</v>
      </c>
      <c r="H146" s="44">
        <f>'Rates and GI'!$D$58</f>
        <v>5000</v>
      </c>
    </row>
    <row r="147" spans="1:12" hidden="1" x14ac:dyDescent="0.25">
      <c r="B147" s="41" t="s">
        <v>148</v>
      </c>
      <c r="E147" s="44">
        <v>0</v>
      </c>
      <c r="F147" s="44">
        <v>0</v>
      </c>
      <c r="G147" s="44">
        <v>0</v>
      </c>
      <c r="H147" s="44">
        <v>0</v>
      </c>
    </row>
    <row r="148" spans="1:12" hidden="1" x14ac:dyDescent="0.25">
      <c r="B148" s="41" t="s">
        <v>149</v>
      </c>
      <c r="E148" s="44">
        <f>'Rates and GI'!$D$59</f>
        <v>1500</v>
      </c>
      <c r="F148" s="44">
        <f>'Rates and GI'!$D$59</f>
        <v>1500</v>
      </c>
      <c r="G148" s="44">
        <f>'Rates and GI'!$D$59</f>
        <v>1500</v>
      </c>
      <c r="H148" s="44">
        <f>'Rates and GI'!$D$59</f>
        <v>1500</v>
      </c>
    </row>
    <row r="149" spans="1:12" ht="27" hidden="1" x14ac:dyDescent="0.25">
      <c r="B149" s="63" t="s">
        <v>162</v>
      </c>
      <c r="E149" s="44">
        <v>0</v>
      </c>
      <c r="F149" s="44">
        <v>0</v>
      </c>
      <c r="G149" s="44"/>
      <c r="H149" s="44">
        <v>0</v>
      </c>
    </row>
    <row r="150" spans="1:12" ht="27" hidden="1" x14ac:dyDescent="0.25">
      <c r="B150" s="63" t="s">
        <v>161</v>
      </c>
      <c r="E150" s="44">
        <f>'Rates and GI'!$D$60</f>
        <v>200</v>
      </c>
      <c r="F150" s="44">
        <f>'Rates and GI'!$D$60</f>
        <v>200</v>
      </c>
      <c r="G150" s="44">
        <f>'Rates and GI'!$D$60</f>
        <v>200</v>
      </c>
      <c r="H150" s="44">
        <f>'Rates and GI'!$D$60</f>
        <v>200</v>
      </c>
    </row>
    <row r="151" spans="1:12" s="5" customFormat="1" hidden="1" x14ac:dyDescent="0.25">
      <c r="B151" s="41" t="s">
        <v>217</v>
      </c>
      <c r="D151" s="44"/>
      <c r="E151" s="44">
        <v>0</v>
      </c>
      <c r="F151" s="44">
        <v>0</v>
      </c>
      <c r="G151" s="44">
        <v>0</v>
      </c>
      <c r="H151" s="44">
        <v>0</v>
      </c>
      <c r="I151" s="62"/>
      <c r="J151" s="6"/>
      <c r="K151" s="6"/>
      <c r="L151" s="6"/>
    </row>
    <row r="152" spans="1:12" s="5" customFormat="1" hidden="1" x14ac:dyDescent="0.25">
      <c r="B152" s="41" t="s">
        <v>214</v>
      </c>
      <c r="D152" s="44"/>
      <c r="E152" s="44">
        <f>'Rates and GI'!$D$61</f>
        <v>50</v>
      </c>
      <c r="F152" s="44">
        <f>'Rates and GI'!$D$61</f>
        <v>50</v>
      </c>
      <c r="G152" s="38">
        <f>'Rates and GI'!$D$61</f>
        <v>50</v>
      </c>
      <c r="H152" s="38">
        <f>'Rates and GI'!$D$61</f>
        <v>50</v>
      </c>
      <c r="I152" s="62"/>
      <c r="J152" s="6"/>
      <c r="K152" s="6"/>
      <c r="L152" s="6"/>
    </row>
    <row r="153" spans="1:12" hidden="1" x14ac:dyDescent="0.25">
      <c r="A153" s="50"/>
      <c r="B153" s="127"/>
      <c r="C153" s="50"/>
      <c r="D153" s="52"/>
      <c r="E153" s="52"/>
      <c r="F153" s="52"/>
      <c r="G153" s="52"/>
      <c r="H153" s="52"/>
    </row>
    <row r="154" spans="1:12" hidden="1" x14ac:dyDescent="0.25">
      <c r="A154" s="50"/>
      <c r="B154" s="50" t="s">
        <v>194</v>
      </c>
      <c r="C154" s="50"/>
      <c r="D154" s="52"/>
      <c r="E154" s="52">
        <f>E155+E158+E161+E170+E175</f>
        <v>0</v>
      </c>
      <c r="F154" s="52">
        <f t="shared" ref="F154:H154" si="40">F155+F158+F161+F170+F175</f>
        <v>0</v>
      </c>
      <c r="G154" s="52">
        <f t="shared" si="40"/>
        <v>0</v>
      </c>
      <c r="H154" s="52">
        <f t="shared" si="40"/>
        <v>0</v>
      </c>
    </row>
    <row r="155" spans="1:12" s="5" customFormat="1" hidden="1" x14ac:dyDescent="0.25">
      <c r="B155" s="5" t="s">
        <v>173</v>
      </c>
      <c r="D155" s="44"/>
      <c r="E155" s="44">
        <f>E156+E159*E160</f>
        <v>0</v>
      </c>
      <c r="F155" s="44">
        <f>F156+F159*F160</f>
        <v>0</v>
      </c>
      <c r="G155" s="44">
        <f>G156+G159*G160</f>
        <v>0</v>
      </c>
      <c r="H155" s="44">
        <f t="shared" ref="H155" si="41">H156+H159*H160</f>
        <v>0</v>
      </c>
      <c r="I155" s="73"/>
    </row>
    <row r="156" spans="1:12" hidden="1" x14ac:dyDescent="0.25">
      <c r="B156" s="41" t="s">
        <v>184</v>
      </c>
      <c r="F156" s="44">
        <f>('Rates and GI'!$D$45+'Rates and GI'!$D$49)*0</f>
        <v>0</v>
      </c>
      <c r="G156" s="44">
        <f>('Rates and GI'!$D$45+'Rates and GI'!$D$49)*0</f>
        <v>0</v>
      </c>
      <c r="H156" s="44"/>
    </row>
    <row r="157" spans="1:12" hidden="1" x14ac:dyDescent="0.25">
      <c r="B157" s="41" t="s">
        <v>187</v>
      </c>
      <c r="F157" s="44">
        <f>'Rates and GI'!$D$51*0</f>
        <v>0</v>
      </c>
      <c r="G157" s="44">
        <f>'Rates and GI'!$D$51*0</f>
        <v>0</v>
      </c>
      <c r="H157" s="44"/>
    </row>
    <row r="158" spans="1:12" hidden="1" x14ac:dyDescent="0.25">
      <c r="B158" s="5" t="s">
        <v>174</v>
      </c>
      <c r="E158" s="44">
        <f>E159*E160</f>
        <v>0</v>
      </c>
      <c r="F158" s="44">
        <f t="shared" ref="F158:H158" si="42">F159*F160</f>
        <v>0</v>
      </c>
      <c r="G158" s="44">
        <f t="shared" si="42"/>
        <v>0</v>
      </c>
      <c r="H158" s="44">
        <f t="shared" si="42"/>
        <v>0</v>
      </c>
    </row>
    <row r="159" spans="1:12" hidden="1" x14ac:dyDescent="0.25">
      <c r="B159" s="41" t="s">
        <v>164</v>
      </c>
      <c r="F159" s="44">
        <f>'Rates and GI'!$D$54</f>
        <v>24.066499999999998</v>
      </c>
      <c r="G159" s="44">
        <f>'Rates and GI'!$D$54</f>
        <v>24.066499999999998</v>
      </c>
      <c r="H159" s="44">
        <f>'Rates and GI'!$D$54</f>
        <v>24.066499999999998</v>
      </c>
    </row>
    <row r="160" spans="1:12" hidden="1" x14ac:dyDescent="0.25">
      <c r="B160" s="41" t="s">
        <v>163</v>
      </c>
      <c r="F160" s="44">
        <v>0</v>
      </c>
      <c r="G160" s="38">
        <v>0</v>
      </c>
      <c r="H160" s="38">
        <v>0</v>
      </c>
    </row>
    <row r="161" spans="1:12" hidden="1" x14ac:dyDescent="0.25">
      <c r="B161" s="5" t="s">
        <v>175</v>
      </c>
      <c r="E161" s="44">
        <f>E162+E166</f>
        <v>0</v>
      </c>
      <c r="F161" s="44">
        <f t="shared" ref="F161:H161" si="43">F162+F166</f>
        <v>0</v>
      </c>
      <c r="G161" s="44">
        <f t="shared" si="43"/>
        <v>0</v>
      </c>
      <c r="H161" s="44">
        <f t="shared" si="43"/>
        <v>0</v>
      </c>
    </row>
    <row r="162" spans="1:12" hidden="1" x14ac:dyDescent="0.25">
      <c r="B162" s="41" t="s">
        <v>189</v>
      </c>
      <c r="E162" s="44">
        <f>E163*E164</f>
        <v>0</v>
      </c>
      <c r="F162" s="44">
        <f t="shared" ref="F162:H162" si="44">F163*F164</f>
        <v>0</v>
      </c>
      <c r="G162" s="44">
        <f t="shared" si="44"/>
        <v>0</v>
      </c>
      <c r="H162" s="44">
        <f t="shared" si="44"/>
        <v>0</v>
      </c>
    </row>
    <row r="163" spans="1:12" hidden="1" x14ac:dyDescent="0.25">
      <c r="B163" s="41" t="s">
        <v>176</v>
      </c>
      <c r="C163" s="5" t="s">
        <v>177</v>
      </c>
      <c r="E163" s="44">
        <v>0</v>
      </c>
      <c r="F163" s="44">
        <v>0</v>
      </c>
      <c r="G163" s="38">
        <v>0</v>
      </c>
      <c r="H163" s="38">
        <v>0</v>
      </c>
    </row>
    <row r="164" spans="1:12" hidden="1" x14ac:dyDescent="0.25">
      <c r="B164" s="41" t="s">
        <v>178</v>
      </c>
      <c r="E164" s="44">
        <f>'Rates and GI'!$D$52</f>
        <v>150</v>
      </c>
      <c r="F164" s="44">
        <f>'Rates and GI'!$D$52</f>
        <v>150</v>
      </c>
      <c r="G164" s="44">
        <f>'Rates and GI'!$D$52</f>
        <v>150</v>
      </c>
      <c r="H164" s="44">
        <f>'Rates and GI'!$D$52</f>
        <v>150</v>
      </c>
    </row>
    <row r="165" spans="1:12" hidden="1" x14ac:dyDescent="0.25">
      <c r="B165" s="6"/>
    </row>
    <row r="166" spans="1:12" hidden="1" x14ac:dyDescent="0.25">
      <c r="B166" s="41" t="s">
        <v>190</v>
      </c>
      <c r="E166" s="44">
        <f>E167*E168</f>
        <v>0</v>
      </c>
      <c r="F166" s="44">
        <f t="shared" ref="F166:H166" si="45">F167*F168</f>
        <v>0</v>
      </c>
      <c r="G166" s="44">
        <f t="shared" si="45"/>
        <v>0</v>
      </c>
      <c r="H166" s="44">
        <f t="shared" si="45"/>
        <v>0</v>
      </c>
    </row>
    <row r="167" spans="1:12" hidden="1" x14ac:dyDescent="0.25">
      <c r="B167" s="41" t="s">
        <v>176</v>
      </c>
      <c r="C167" s="5" t="s">
        <v>177</v>
      </c>
      <c r="E167" s="44">
        <v>0</v>
      </c>
      <c r="F167" s="44">
        <v>0</v>
      </c>
      <c r="G167" s="38">
        <v>0</v>
      </c>
      <c r="H167" s="38">
        <v>0</v>
      </c>
    </row>
    <row r="168" spans="1:12" s="62" customFormat="1" hidden="1" x14ac:dyDescent="0.25">
      <c r="A168" s="5"/>
      <c r="B168" s="41" t="s">
        <v>178</v>
      </c>
      <c r="C168" s="5"/>
      <c r="D168" s="44"/>
      <c r="E168" s="44">
        <f>'Rates and GI'!$D$53</f>
        <v>20</v>
      </c>
      <c r="F168" s="44">
        <f>'Rates and GI'!$D$53</f>
        <v>20</v>
      </c>
      <c r="G168" s="44">
        <f>'Rates and GI'!$D$53</f>
        <v>20</v>
      </c>
      <c r="H168" s="44">
        <f>'Rates and GI'!$D$53</f>
        <v>20</v>
      </c>
      <c r="J168" s="6"/>
      <c r="K168" s="6"/>
      <c r="L168" s="6"/>
    </row>
    <row r="169" spans="1:12" s="62" customFormat="1" hidden="1" x14ac:dyDescent="0.25">
      <c r="A169" s="5"/>
      <c r="B169" s="6"/>
      <c r="C169" s="5"/>
      <c r="D169" s="44"/>
      <c r="E169" s="44"/>
      <c r="F169" s="44"/>
      <c r="G169" s="38"/>
      <c r="H169" s="38"/>
      <c r="J169" s="6"/>
      <c r="K169" s="6"/>
      <c r="L169" s="6"/>
    </row>
    <row r="170" spans="1:12" s="62" customFormat="1" hidden="1" x14ac:dyDescent="0.25">
      <c r="A170" s="5"/>
      <c r="B170" s="5" t="s">
        <v>179</v>
      </c>
      <c r="C170" s="5"/>
      <c r="D170" s="44"/>
      <c r="E170" s="44">
        <f>E171*E172*E173</f>
        <v>0</v>
      </c>
      <c r="F170" s="44">
        <f t="shared" ref="F170:H170" si="46">F171*F172*F173</f>
        <v>0</v>
      </c>
      <c r="G170" s="44">
        <f t="shared" si="46"/>
        <v>0</v>
      </c>
      <c r="H170" s="44">
        <f t="shared" si="46"/>
        <v>0</v>
      </c>
      <c r="J170" s="6"/>
      <c r="K170" s="6"/>
      <c r="L170" s="6"/>
    </row>
    <row r="171" spans="1:12" s="62" customFormat="1" hidden="1" x14ac:dyDescent="0.25">
      <c r="A171" s="5"/>
      <c r="B171" s="41" t="s">
        <v>191</v>
      </c>
      <c r="C171" s="5"/>
      <c r="D171" s="44"/>
      <c r="E171" s="44"/>
      <c r="F171" s="44">
        <f>'Rates and GI'!$D$55</f>
        <v>300</v>
      </c>
      <c r="G171" s="44">
        <f>'Rates and GI'!$D$55</f>
        <v>300</v>
      </c>
      <c r="H171" s="44">
        <f>'Rates and GI'!$D$55</f>
        <v>300</v>
      </c>
      <c r="J171" s="6"/>
      <c r="K171" s="6"/>
      <c r="L171" s="6"/>
    </row>
    <row r="172" spans="1:12" s="62" customFormat="1" hidden="1" x14ac:dyDescent="0.25">
      <c r="A172" s="5"/>
      <c r="B172" s="41" t="s">
        <v>192</v>
      </c>
      <c r="C172" s="5"/>
      <c r="D172" s="44"/>
      <c r="E172" s="44"/>
      <c r="F172" s="44">
        <v>3</v>
      </c>
      <c r="G172" s="44">
        <v>3</v>
      </c>
      <c r="H172" s="44">
        <v>3</v>
      </c>
      <c r="J172" s="6"/>
      <c r="K172" s="6"/>
      <c r="L172" s="6"/>
    </row>
    <row r="173" spans="1:12" s="62" customFormat="1" hidden="1" x14ac:dyDescent="0.25">
      <c r="A173" s="5"/>
      <c r="B173" s="41" t="s">
        <v>193</v>
      </c>
      <c r="C173" s="5"/>
      <c r="D173" s="44"/>
      <c r="E173" s="44"/>
      <c r="F173" s="44">
        <v>0</v>
      </c>
      <c r="G173" s="44">
        <v>0</v>
      </c>
      <c r="H173" s="44">
        <v>0</v>
      </c>
      <c r="J173" s="6"/>
      <c r="K173" s="6"/>
      <c r="L173" s="6"/>
    </row>
    <row r="174" spans="1:12" hidden="1" x14ac:dyDescent="0.25"/>
    <row r="175" spans="1:12" s="62" customFormat="1" hidden="1" x14ac:dyDescent="0.25">
      <c r="A175" s="5"/>
      <c r="B175" s="5" t="s">
        <v>172</v>
      </c>
      <c r="C175" s="5"/>
      <c r="D175" s="44"/>
      <c r="E175" s="44">
        <f>E176+E177*E178</f>
        <v>0</v>
      </c>
      <c r="F175" s="44">
        <f>F176+F177*F178</f>
        <v>0</v>
      </c>
      <c r="G175" s="44">
        <f>G176+G177*G178</f>
        <v>0</v>
      </c>
      <c r="H175" s="44">
        <f>H176+H177*H178</f>
        <v>0</v>
      </c>
      <c r="J175" s="6"/>
      <c r="K175" s="6"/>
      <c r="L175" s="6"/>
    </row>
    <row r="176" spans="1:12" s="62" customFormat="1" hidden="1" x14ac:dyDescent="0.25">
      <c r="A176" s="5"/>
      <c r="B176" s="41" t="s">
        <v>153</v>
      </c>
      <c r="C176" s="5"/>
      <c r="D176" s="44"/>
      <c r="E176" s="44"/>
      <c r="F176" s="44">
        <f>'Rates and GI'!D46*0</f>
        <v>0</v>
      </c>
      <c r="G176" s="38"/>
      <c r="H176" s="38"/>
      <c r="J176" s="6"/>
      <c r="K176" s="6"/>
      <c r="L176" s="6"/>
    </row>
    <row r="177" spans="1:12" s="62" customFormat="1" hidden="1" x14ac:dyDescent="0.25">
      <c r="A177" s="5"/>
      <c r="B177" s="41" t="s">
        <v>159</v>
      </c>
      <c r="C177" s="5"/>
      <c r="D177" s="44"/>
      <c r="E177" s="44"/>
      <c r="F177" s="65">
        <f>'Rates and GI'!$D$47</f>
        <v>0.05</v>
      </c>
      <c r="G177" s="65">
        <f>'Rates and GI'!$D$47</f>
        <v>0.05</v>
      </c>
      <c r="H177" s="65">
        <f>'Rates and GI'!$D$47</f>
        <v>0.05</v>
      </c>
      <c r="J177" s="6"/>
      <c r="K177" s="6"/>
      <c r="L177" s="6"/>
    </row>
    <row r="178" spans="1:12" s="62" customFormat="1" hidden="1" x14ac:dyDescent="0.25">
      <c r="A178" s="5"/>
      <c r="B178" s="41" t="s">
        <v>160</v>
      </c>
      <c r="C178" s="5"/>
      <c r="D178" s="44"/>
      <c r="E178" s="44"/>
      <c r="F178" s="44">
        <v>0</v>
      </c>
      <c r="G178" s="38">
        <v>0</v>
      </c>
      <c r="H178" s="38"/>
      <c r="J178" s="6"/>
      <c r="K178" s="6"/>
      <c r="L178" s="6"/>
    </row>
    <row r="179" spans="1:12" hidden="1" x14ac:dyDescent="0.25"/>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sheetData>
  <pageMargins left="0.7" right="0.7" top="0.75" bottom="0.75" header="0.3" footer="0.3"/>
  <pageSetup paperSize="9" scale="56" fitToHeight="0"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5"/>
  <sheetViews>
    <sheetView topLeftCell="A44" zoomScaleNormal="100" workbookViewId="0">
      <selection activeCell="C108" sqref="C10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51.75" x14ac:dyDescent="0.3">
      <c r="A1" s="123">
        <v>28</v>
      </c>
      <c r="B1" s="126" t="s">
        <v>312</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E64</f>
        <v>0</v>
      </c>
      <c r="F5" s="44">
        <f t="shared" ref="F5:H5" si="1">F64</f>
        <v>0</v>
      </c>
      <c r="G5" s="44">
        <f t="shared" si="1"/>
        <v>0</v>
      </c>
      <c r="H5" s="44">
        <f t="shared" si="1"/>
        <v>0</v>
      </c>
    </row>
    <row r="6" spans="1:12" x14ac:dyDescent="0.25">
      <c r="B6" s="16" t="s">
        <v>168</v>
      </c>
      <c r="D6" s="44">
        <f t="shared" si="0"/>
        <v>0</v>
      </c>
      <c r="E6" s="44">
        <f>E68</f>
        <v>0</v>
      </c>
      <c r="F6" s="44">
        <f t="shared" ref="F6:H6" si="2">F68</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1816.4635211764707</v>
      </c>
      <c r="E10" s="44">
        <f>E88</f>
        <v>1816.4635211764707</v>
      </c>
      <c r="F10" s="44">
        <f t="shared" ref="F10:H10" si="4">F88</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1816.4635211764707</v>
      </c>
      <c r="E12" s="47">
        <f t="shared" ref="E12:H12" si="5">SUBTOTAL(9,E10:E11)</f>
        <v>1816.4635211764707</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E96</f>
        <v>0</v>
      </c>
      <c r="F15" s="44">
        <f t="shared" ref="F15:H15" si="7">F96</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D21" si="9">SUM(E20:H20)</f>
        <v>0</v>
      </c>
      <c r="G20" s="44"/>
      <c r="H20" s="44"/>
    </row>
    <row r="21" spans="1:12" x14ac:dyDescent="0.25">
      <c r="B21" s="16" t="s">
        <v>313</v>
      </c>
      <c r="D21" s="44">
        <f t="shared" si="9"/>
        <v>127964.26521</v>
      </c>
      <c r="E21" s="44">
        <f>E100</f>
        <v>30000</v>
      </c>
      <c r="F21" s="44">
        <f t="shared" ref="F21:H21" si="10">F100</f>
        <v>31290</v>
      </c>
      <c r="G21" s="44">
        <f t="shared" si="10"/>
        <v>32635.469999999998</v>
      </c>
      <c r="H21" s="44">
        <f t="shared" si="10"/>
        <v>34038.795209999997</v>
      </c>
    </row>
    <row r="22" spans="1:12" x14ac:dyDescent="0.25">
      <c r="B22" s="16" t="s">
        <v>139</v>
      </c>
      <c r="D22" s="44">
        <f t="shared" ref="D22" si="11">SUM(E22:H22)</f>
        <v>0</v>
      </c>
    </row>
    <row r="23" spans="1:12" ht="14.25" thickBot="1" x14ac:dyDescent="0.3">
      <c r="A23" s="13"/>
      <c r="B23" s="13" t="s">
        <v>140</v>
      </c>
      <c r="C23" s="13"/>
      <c r="D23" s="47">
        <f>SUBTOTAL(9,D20:D22)</f>
        <v>127964.26521</v>
      </c>
      <c r="E23" s="47">
        <f t="shared" ref="E23:H23" si="12">SUBTOTAL(9,E20:E22)</f>
        <v>30000</v>
      </c>
      <c r="F23" s="47">
        <f t="shared" si="12"/>
        <v>31290</v>
      </c>
      <c r="G23" s="47">
        <f t="shared" si="12"/>
        <v>32635.469999999998</v>
      </c>
      <c r="H23" s="47">
        <f t="shared" si="12"/>
        <v>34038.795209999997</v>
      </c>
    </row>
    <row r="24" spans="1:12" ht="5.25" customHeight="1" x14ac:dyDescent="0.25"/>
    <row r="25" spans="1:12" x14ac:dyDescent="0.25">
      <c r="A25" s="15"/>
      <c r="B25" s="15" t="s">
        <v>72</v>
      </c>
      <c r="C25" s="15"/>
      <c r="D25" s="53"/>
      <c r="E25" s="53"/>
      <c r="F25" s="53"/>
      <c r="G25" s="54"/>
      <c r="H25" s="54"/>
      <c r="I25" s="61"/>
      <c r="J25" s="12"/>
      <c r="K25" s="12"/>
      <c r="L25" s="12"/>
    </row>
    <row r="26" spans="1:12" x14ac:dyDescent="0.25">
      <c r="B26" s="16" t="s">
        <v>24</v>
      </c>
      <c r="D26" s="44">
        <f>SUM(E26:H26)</f>
        <v>0</v>
      </c>
      <c r="E26" s="44">
        <f>E114</f>
        <v>0</v>
      </c>
      <c r="F26" s="44">
        <f t="shared" ref="F26:H26" si="13">F114</f>
        <v>0</v>
      </c>
      <c r="G26" s="44">
        <f t="shared" si="13"/>
        <v>0</v>
      </c>
      <c r="H26" s="44">
        <f t="shared" si="13"/>
        <v>0</v>
      </c>
    </row>
    <row r="27" spans="1:12" x14ac:dyDescent="0.25">
      <c r="B27" s="16" t="s">
        <v>25</v>
      </c>
      <c r="D27" s="44">
        <f t="shared" ref="D27" si="14">SUM(E27:H27)</f>
        <v>0</v>
      </c>
      <c r="E27" s="44">
        <f>E135</f>
        <v>0</v>
      </c>
      <c r="F27" s="44">
        <f t="shared" ref="F27:H27" si="15">F135</f>
        <v>0</v>
      </c>
      <c r="G27" s="44">
        <f t="shared" si="15"/>
        <v>0</v>
      </c>
      <c r="H27" s="44">
        <f t="shared" si="15"/>
        <v>0</v>
      </c>
    </row>
    <row r="28" spans="1:12" x14ac:dyDescent="0.25">
      <c r="B28" s="16" t="s">
        <v>233</v>
      </c>
    </row>
    <row r="29" spans="1:12" ht="14.25" thickBot="1" x14ac:dyDescent="0.3">
      <c r="A29" s="13"/>
      <c r="B29" s="13" t="s">
        <v>73</v>
      </c>
      <c r="C29" s="13"/>
      <c r="D29" s="47">
        <f>SUBTOTAL(9,D26:D28)</f>
        <v>0</v>
      </c>
      <c r="E29" s="47">
        <f t="shared" ref="E29:H29" si="16">SUBTOTAL(9,E26:E28)</f>
        <v>0</v>
      </c>
      <c r="F29" s="47">
        <f t="shared" si="16"/>
        <v>0</v>
      </c>
      <c r="G29" s="47">
        <f t="shared" si="16"/>
        <v>0</v>
      </c>
      <c r="H29" s="47">
        <f t="shared" si="16"/>
        <v>0</v>
      </c>
    </row>
    <row r="30" spans="1:12" ht="6" customHeight="1" x14ac:dyDescent="0.25"/>
    <row r="31" spans="1:12" x14ac:dyDescent="0.25">
      <c r="A31" s="15"/>
      <c r="B31" s="15" t="s">
        <v>7</v>
      </c>
      <c r="C31" s="15"/>
      <c r="D31" s="53"/>
      <c r="E31" s="53"/>
      <c r="F31" s="53"/>
      <c r="G31" s="54"/>
      <c r="H31" s="54"/>
      <c r="I31" s="61"/>
      <c r="J31" s="12"/>
      <c r="K31" s="12"/>
      <c r="L31" s="12"/>
    </row>
    <row r="32" spans="1:12" x14ac:dyDescent="0.25">
      <c r="B32" s="16" t="s">
        <v>57</v>
      </c>
      <c r="D32" s="44">
        <f t="shared" ref="D32:D35" si="17">SUM(E32:H32)</f>
        <v>0</v>
      </c>
    </row>
    <row r="33" spans="1:12" x14ac:dyDescent="0.25">
      <c r="B33" s="16" t="s">
        <v>26</v>
      </c>
      <c r="D33" s="44">
        <f t="shared" si="17"/>
        <v>0</v>
      </c>
      <c r="E33" s="44">
        <f>E124</f>
        <v>0</v>
      </c>
    </row>
    <row r="34" spans="1:12" x14ac:dyDescent="0.25">
      <c r="B34" s="16" t="s">
        <v>8</v>
      </c>
      <c r="D34" s="44">
        <f t="shared" si="17"/>
        <v>0</v>
      </c>
    </row>
    <row r="35" spans="1:12" x14ac:dyDescent="0.25">
      <c r="B35" s="16" t="s">
        <v>9</v>
      </c>
      <c r="D35" s="44">
        <f t="shared" si="17"/>
        <v>0</v>
      </c>
    </row>
    <row r="36" spans="1:12" ht="14.25" thickBot="1" x14ac:dyDescent="0.3">
      <c r="A36" s="13"/>
      <c r="B36" s="13" t="s">
        <v>67</v>
      </c>
      <c r="C36" s="13"/>
      <c r="D36" s="47">
        <f>SUBTOTAL(9,D32:D35)</f>
        <v>0</v>
      </c>
      <c r="E36" s="47">
        <f t="shared" ref="E36:H36" si="18">SUBTOTAL(9,E32:E35)</f>
        <v>0</v>
      </c>
      <c r="F36" s="47">
        <f t="shared" si="18"/>
        <v>0</v>
      </c>
      <c r="G36" s="47">
        <f t="shared" si="18"/>
        <v>0</v>
      </c>
      <c r="H36" s="47">
        <f t="shared" si="18"/>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19">SUM(E39:H39)</f>
        <v>0</v>
      </c>
    </row>
    <row r="40" spans="1:12" x14ac:dyDescent="0.25">
      <c r="A40" s="2"/>
      <c r="B40" s="2" t="s">
        <v>18</v>
      </c>
      <c r="C40" s="2"/>
      <c r="D40" s="44">
        <f t="shared" si="19"/>
        <v>0</v>
      </c>
    </row>
    <row r="41" spans="1:12" x14ac:dyDescent="0.25">
      <c r="A41" s="2"/>
      <c r="B41" s="2" t="s">
        <v>19</v>
      </c>
      <c r="C41" s="2"/>
      <c r="D41" s="44">
        <f t="shared" si="19"/>
        <v>0</v>
      </c>
      <c r="E41" s="44">
        <f>E182</f>
        <v>0</v>
      </c>
      <c r="F41" s="44">
        <f t="shared" ref="F41:H41" si="20">F182</f>
        <v>0</v>
      </c>
      <c r="G41" s="44">
        <f t="shared" si="20"/>
        <v>0</v>
      </c>
      <c r="H41" s="44">
        <f t="shared" si="20"/>
        <v>0</v>
      </c>
    </row>
    <row r="42" spans="1:12" x14ac:dyDescent="0.25">
      <c r="A42" s="3"/>
      <c r="B42" s="3" t="s">
        <v>13</v>
      </c>
      <c r="C42" s="3"/>
      <c r="D42" s="44">
        <f t="shared" si="19"/>
        <v>0</v>
      </c>
    </row>
    <row r="43" spans="1:12" x14ac:dyDescent="0.25">
      <c r="A43" s="3"/>
      <c r="B43" s="3" t="s">
        <v>22</v>
      </c>
      <c r="C43" s="3"/>
      <c r="D43" s="44">
        <f t="shared" si="19"/>
        <v>0</v>
      </c>
    </row>
    <row r="44" spans="1:12" ht="14.25" thickBot="1" x14ac:dyDescent="0.3">
      <c r="A44" s="13"/>
      <c r="B44" s="13" t="s">
        <v>68</v>
      </c>
      <c r="C44" s="13"/>
      <c r="D44" s="47">
        <f>SUBTOTAL(9,D39:D43)</f>
        <v>0</v>
      </c>
      <c r="E44" s="47">
        <f t="shared" ref="E44:H44" si="21">SUBTOTAL(9,E39:E43)</f>
        <v>0</v>
      </c>
      <c r="F44" s="47">
        <f t="shared" si="21"/>
        <v>0</v>
      </c>
      <c r="G44" s="47">
        <f t="shared" si="21"/>
        <v>0</v>
      </c>
      <c r="H44" s="47">
        <f t="shared" si="21"/>
        <v>0</v>
      </c>
    </row>
    <row r="45" spans="1:12" ht="5.25" customHeight="1" x14ac:dyDescent="0.25">
      <c r="A45" s="3"/>
      <c r="B45" s="6"/>
      <c r="C45" s="3"/>
    </row>
    <row r="46" spans="1:12" x14ac:dyDescent="0.25">
      <c r="A46" s="15"/>
      <c r="B46" s="15" t="s">
        <v>20</v>
      </c>
      <c r="C46" s="15"/>
      <c r="D46" s="53"/>
      <c r="E46" s="53"/>
      <c r="F46" s="53"/>
      <c r="G46" s="54"/>
      <c r="H46" s="54"/>
      <c r="I46" s="61"/>
      <c r="J46" s="12"/>
      <c r="K46" s="12"/>
      <c r="L46" s="12"/>
    </row>
    <row r="47" spans="1:12" x14ac:dyDescent="0.25">
      <c r="A47" s="3"/>
      <c r="B47" s="3" t="s">
        <v>194</v>
      </c>
      <c r="C47" s="3"/>
      <c r="D47" s="44">
        <f t="shared" ref="D47:D48" si="22">SUM(E47:H47)</f>
        <v>0</v>
      </c>
      <c r="E47" s="44">
        <f>E155</f>
        <v>0</v>
      </c>
      <c r="F47" s="44">
        <f t="shared" ref="F47:H47" si="23">F155</f>
        <v>0</v>
      </c>
      <c r="G47" s="44">
        <f t="shared" si="23"/>
        <v>0</v>
      </c>
      <c r="H47" s="44">
        <f t="shared" si="23"/>
        <v>0</v>
      </c>
    </row>
    <row r="48" spans="1:12" x14ac:dyDescent="0.25">
      <c r="A48" s="3"/>
      <c r="B48" s="3" t="s">
        <v>21</v>
      </c>
      <c r="C48" s="3"/>
      <c r="D48" s="44">
        <f t="shared" si="22"/>
        <v>0</v>
      </c>
      <c r="E48" s="44">
        <f>E145</f>
        <v>0</v>
      </c>
      <c r="F48" s="44">
        <f t="shared" ref="F48:H48" si="24">F145</f>
        <v>0</v>
      </c>
      <c r="G48" s="44">
        <f t="shared" si="24"/>
        <v>0</v>
      </c>
      <c r="H48" s="44">
        <f t="shared" si="24"/>
        <v>0</v>
      </c>
    </row>
    <row r="49" spans="1:9" ht="14.25" thickBot="1" x14ac:dyDescent="0.3">
      <c r="A49" s="13"/>
      <c r="B49" s="13" t="s">
        <v>69</v>
      </c>
      <c r="C49" s="13"/>
      <c r="D49" s="47">
        <f>SUBTOTAL(9,D47:D48)</f>
        <v>0</v>
      </c>
      <c r="E49" s="47">
        <f>SUBTOTAL(9,E47:E48)</f>
        <v>0</v>
      </c>
      <c r="F49" s="47">
        <f>SUBTOTAL(9,F47:F48)</f>
        <v>0</v>
      </c>
      <c r="G49" s="47">
        <f>SUBTOTAL(9,G47:G48)</f>
        <v>0</v>
      </c>
      <c r="H49" s="47">
        <f>SUBTOTAL(9,H47:H48)</f>
        <v>0</v>
      </c>
    </row>
    <row r="50" spans="1:9" ht="5.25" customHeight="1" x14ac:dyDescent="0.25">
      <c r="A50" s="1"/>
      <c r="B50" s="1"/>
      <c r="C50" s="1"/>
    </row>
    <row r="51" spans="1:9" ht="14.25" thickBot="1" x14ac:dyDescent="0.3">
      <c r="A51" s="48"/>
      <c r="B51" s="48" t="s">
        <v>142</v>
      </c>
      <c r="C51" s="48"/>
      <c r="D51" s="49">
        <f>SUBTOTAL(9,D5:D49)</f>
        <v>129780.72873117647</v>
      </c>
      <c r="E51" s="49">
        <f>SUBTOTAL(9,E5:E49)</f>
        <v>31816.463521176469</v>
      </c>
      <c r="F51" s="49">
        <f>SUBTOTAL(9,F5:F49)</f>
        <v>31290</v>
      </c>
      <c r="G51" s="49">
        <f>SUBTOTAL(9,G5:G49)</f>
        <v>32635.469999999998</v>
      </c>
      <c r="H51" s="49">
        <f>SUBTOTAL(9,H5:H49)</f>
        <v>34038.795209999997</v>
      </c>
    </row>
    <row r="52" spans="1:9" ht="14.25" thickBot="1" x14ac:dyDescent="0.3">
      <c r="A52" s="1"/>
      <c r="B52" s="1"/>
      <c r="C52" s="1"/>
      <c r="D52" s="33"/>
      <c r="E52" s="33"/>
      <c r="F52" s="33"/>
      <c r="G52" s="28"/>
      <c r="H52" s="28"/>
      <c r="I52" s="6"/>
    </row>
    <row r="53" spans="1:9" ht="18" thickTop="1" x14ac:dyDescent="0.3">
      <c r="A53" s="120"/>
      <c r="B53" s="121" t="s">
        <v>27</v>
      </c>
      <c r="C53" s="121"/>
      <c r="D53" s="122"/>
      <c r="E53" s="122"/>
      <c r="F53" s="122"/>
      <c r="G53" s="122"/>
      <c r="H53" s="122"/>
      <c r="I53" s="6"/>
    </row>
    <row r="54" spans="1:9" ht="6.75" customHeight="1" x14ac:dyDescent="0.25">
      <c r="A54" s="1"/>
      <c r="B54" s="1"/>
      <c r="C54" s="1"/>
      <c r="D54" s="33"/>
      <c r="E54" s="33"/>
      <c r="F54" s="33"/>
      <c r="G54" s="28"/>
      <c r="H54" s="28"/>
      <c r="I54" s="6"/>
    </row>
    <row r="55" spans="1:9" s="14" customFormat="1" x14ac:dyDescent="0.25">
      <c r="A55" s="81"/>
      <c r="B55" s="81" t="s">
        <v>65</v>
      </c>
      <c r="C55" s="81" t="s">
        <v>64</v>
      </c>
      <c r="D55" s="82"/>
      <c r="E55" s="83">
        <f>start</f>
        <v>43831</v>
      </c>
      <c r="F55" s="83">
        <f>EOMONTH(E55,11)+1</f>
        <v>44197</v>
      </c>
      <c r="G55" s="83">
        <f>EOMONTH(F55,11)+1</f>
        <v>44562</v>
      </c>
      <c r="H55" s="83">
        <f>EOMONTH(G55,11)+1</f>
        <v>44927</v>
      </c>
    </row>
    <row r="56" spans="1:9" ht="6.75" customHeight="1" x14ac:dyDescent="0.25">
      <c r="D56" s="33"/>
      <c r="E56" s="33"/>
      <c r="F56" s="33"/>
      <c r="G56" s="28"/>
      <c r="H56" s="28"/>
      <c r="I56" s="6"/>
    </row>
    <row r="57" spans="1:9" hidden="1" x14ac:dyDescent="0.25">
      <c r="A57" s="50"/>
      <c r="B57" s="50" t="s">
        <v>0</v>
      </c>
      <c r="C57" s="50"/>
      <c r="D57" s="52"/>
      <c r="E57" s="52"/>
      <c r="F57" s="52"/>
      <c r="G57" s="52"/>
      <c r="H57" s="52"/>
    </row>
    <row r="58" spans="1:9" hidden="1" x14ac:dyDescent="0.25">
      <c r="B58" s="5" t="s">
        <v>2</v>
      </c>
      <c r="E58" s="44">
        <f>E59*E60*E61*E62</f>
        <v>0</v>
      </c>
      <c r="F58" s="45"/>
      <c r="G58" s="37"/>
      <c r="H58" s="37"/>
    </row>
    <row r="59" spans="1:9" hidden="1" x14ac:dyDescent="0.25">
      <c r="A59" s="9"/>
      <c r="B59" s="9" t="s">
        <v>36</v>
      </c>
      <c r="C59" s="9"/>
      <c r="E59" s="44">
        <v>0</v>
      </c>
    </row>
    <row r="60" spans="1:9" hidden="1" x14ac:dyDescent="0.25">
      <c r="A60" s="9"/>
      <c r="B60" s="9" t="s">
        <v>37</v>
      </c>
      <c r="C60" s="9"/>
      <c r="D60" s="45"/>
      <c r="E60" s="45">
        <v>0</v>
      </c>
    </row>
    <row r="61" spans="1:9" hidden="1" x14ac:dyDescent="0.25">
      <c r="A61" s="9"/>
      <c r="B61" s="9" t="s">
        <v>38</v>
      </c>
      <c r="C61" s="9"/>
      <c r="E61" s="44">
        <v>0</v>
      </c>
    </row>
    <row r="62" spans="1:9" hidden="1" x14ac:dyDescent="0.25">
      <c r="A62" s="9"/>
      <c r="B62" s="9" t="s">
        <v>39</v>
      </c>
      <c r="C62" s="9"/>
      <c r="E62" s="46">
        <v>0</v>
      </c>
    </row>
    <row r="63" spans="1:9" hidden="1" x14ac:dyDescent="0.25">
      <c r="A63" s="9"/>
      <c r="B63" s="9"/>
      <c r="C63" s="9"/>
    </row>
    <row r="64" spans="1:9" hidden="1" x14ac:dyDescent="0.25">
      <c r="B64" s="5" t="s">
        <v>23</v>
      </c>
      <c r="E64" s="44">
        <f>E65*E66</f>
        <v>0</v>
      </c>
      <c r="F64" s="44">
        <f t="shared" ref="F64:H64" si="25">F65*F66</f>
        <v>0</v>
      </c>
      <c r="G64" s="44">
        <f t="shared" si="25"/>
        <v>0</v>
      </c>
      <c r="H64" s="44">
        <f t="shared" si="25"/>
        <v>0</v>
      </c>
    </row>
    <row r="65" spans="1:12" hidden="1" x14ac:dyDescent="0.25">
      <c r="A65" s="9"/>
      <c r="B65" s="9" t="s">
        <v>114</v>
      </c>
      <c r="C65" s="9" t="s">
        <v>113</v>
      </c>
      <c r="E65" s="44">
        <v>0</v>
      </c>
      <c r="F65" s="44">
        <v>0</v>
      </c>
      <c r="G65" s="44">
        <v>0</v>
      </c>
      <c r="H65" s="44">
        <v>0</v>
      </c>
    </row>
    <row r="66" spans="1:12" hidden="1" x14ac:dyDescent="0.25">
      <c r="A66" s="9"/>
      <c r="B66" s="9" t="s">
        <v>40</v>
      </c>
      <c r="C66" s="9"/>
      <c r="E66" s="44">
        <f>'Rates and GI'!D12</f>
        <v>17.675000000000001</v>
      </c>
      <c r="F66" s="44">
        <f>E66*(1+index)</f>
        <v>18.435025</v>
      </c>
      <c r="G66" s="44">
        <f>F66*(1+index)</f>
        <v>19.227731074999998</v>
      </c>
      <c r="H66" s="44">
        <f>G66*(1+index)</f>
        <v>20.054523511224996</v>
      </c>
    </row>
    <row r="67" spans="1:12" hidden="1" x14ac:dyDescent="0.25"/>
    <row r="68" spans="1:12" s="7" customFormat="1" hidden="1" x14ac:dyDescent="0.25">
      <c r="A68" s="5"/>
      <c r="B68" s="5" t="s">
        <v>168</v>
      </c>
      <c r="C68" s="5"/>
      <c r="D68" s="44"/>
      <c r="E68" s="44">
        <f>E69*E70</f>
        <v>0</v>
      </c>
      <c r="F68" s="44">
        <f t="shared" ref="F68:H68" si="26">F69*F70</f>
        <v>0</v>
      </c>
      <c r="G68" s="44">
        <f t="shared" si="26"/>
        <v>0</v>
      </c>
      <c r="H68" s="44">
        <f t="shared" si="26"/>
        <v>0</v>
      </c>
      <c r="I68" s="62"/>
      <c r="J68" s="6"/>
      <c r="K68" s="6"/>
      <c r="L68" s="6"/>
    </row>
    <row r="69" spans="1:12" s="7" customFormat="1" hidden="1" x14ac:dyDescent="0.25">
      <c r="A69" s="9"/>
      <c r="B69" s="9" t="s">
        <v>170</v>
      </c>
      <c r="C69" s="9" t="s">
        <v>113</v>
      </c>
      <c r="D69" s="44"/>
      <c r="E69" s="44">
        <v>0</v>
      </c>
      <c r="F69" s="44">
        <v>0</v>
      </c>
      <c r="G69" s="44">
        <v>0</v>
      </c>
      <c r="H69" s="44">
        <v>0</v>
      </c>
      <c r="I69" s="62"/>
      <c r="J69" s="6"/>
      <c r="K69" s="6"/>
      <c r="L69" s="6"/>
    </row>
    <row r="70" spans="1:12" s="7" customFormat="1" hidden="1" x14ac:dyDescent="0.25">
      <c r="A70" s="9"/>
      <c r="B70" s="9" t="s">
        <v>40</v>
      </c>
      <c r="C70" s="9"/>
      <c r="D70" s="44"/>
      <c r="E70" s="44">
        <f>'Rates and GI'!D13</f>
        <v>162.21599999999998</v>
      </c>
      <c r="F70" s="44">
        <f>E70*(1+index)</f>
        <v>169.19128799999996</v>
      </c>
      <c r="G70" s="44">
        <f>F70*(1+index)</f>
        <v>176.46651338399994</v>
      </c>
      <c r="H70" s="44">
        <f>G70*(1+index)</f>
        <v>184.05457345951191</v>
      </c>
      <c r="I70" s="62"/>
      <c r="J70" s="6"/>
      <c r="K70" s="6"/>
      <c r="L70" s="6"/>
    </row>
    <row r="71" spans="1:12" hidden="1" x14ac:dyDescent="0.25"/>
    <row r="72" spans="1:12" s="7" customFormat="1" hidden="1" x14ac:dyDescent="0.25">
      <c r="A72" s="5"/>
      <c r="B72" s="5" t="s">
        <v>1</v>
      </c>
      <c r="C72" s="5"/>
      <c r="D72" s="44"/>
      <c r="E72" s="44"/>
      <c r="F72" s="44"/>
      <c r="G72" s="38"/>
      <c r="H72" s="38"/>
      <c r="I72" s="62"/>
      <c r="J72" s="6"/>
      <c r="K72" s="6"/>
      <c r="L72" s="6"/>
    </row>
    <row r="73" spans="1:12" s="7" customFormat="1" hidden="1" x14ac:dyDescent="0.25">
      <c r="A73" s="9"/>
      <c r="B73" s="9" t="s">
        <v>41</v>
      </c>
      <c r="C73" s="9"/>
      <c r="D73" s="44"/>
      <c r="E73" s="44">
        <v>0</v>
      </c>
      <c r="F73" s="44"/>
      <c r="G73" s="38"/>
      <c r="H73" s="38"/>
      <c r="I73" s="62"/>
      <c r="J73" s="6"/>
      <c r="K73" s="6"/>
      <c r="L73" s="6"/>
    </row>
    <row r="74" spans="1:12" s="7" customFormat="1" hidden="1" x14ac:dyDescent="0.25">
      <c r="A74" s="9"/>
      <c r="B74" s="9" t="s">
        <v>42</v>
      </c>
      <c r="C74" s="9"/>
      <c r="D74" s="44"/>
      <c r="E74" s="44">
        <v>0</v>
      </c>
      <c r="F74" s="44"/>
      <c r="G74" s="38"/>
      <c r="H74" s="38"/>
      <c r="I74" s="62"/>
      <c r="J74" s="6"/>
      <c r="K74" s="6"/>
      <c r="L74" s="6"/>
    </row>
    <row r="75" spans="1:12" s="7" customFormat="1" hidden="1" x14ac:dyDescent="0.25">
      <c r="A75" s="9"/>
      <c r="B75" s="9" t="s">
        <v>43</v>
      </c>
      <c r="C75" s="9"/>
      <c r="D75" s="44"/>
      <c r="E75" s="44">
        <v>0</v>
      </c>
      <c r="F75" s="44"/>
      <c r="G75" s="38"/>
      <c r="H75" s="38"/>
      <c r="I75" s="62"/>
      <c r="J75" s="6"/>
      <c r="K75" s="6"/>
      <c r="L75" s="6"/>
    </row>
    <row r="76" spans="1:12" s="7" customFormat="1" hidden="1" x14ac:dyDescent="0.25">
      <c r="A76" s="9"/>
      <c r="B76" s="9" t="s">
        <v>44</v>
      </c>
      <c r="C76" s="9"/>
      <c r="D76" s="44"/>
      <c r="E76" s="44">
        <v>0</v>
      </c>
      <c r="F76" s="44"/>
      <c r="G76" s="38"/>
      <c r="H76" s="38"/>
      <c r="I76" s="62"/>
      <c r="J76" s="6"/>
      <c r="K76" s="6"/>
      <c r="L76" s="6"/>
    </row>
    <row r="77" spans="1:12" hidden="1" x14ac:dyDescent="0.25"/>
    <row r="78" spans="1:12" s="7" customFormat="1" hidden="1" x14ac:dyDescent="0.25">
      <c r="A78" s="5"/>
      <c r="B78" s="5" t="s">
        <v>3</v>
      </c>
      <c r="C78" s="5"/>
      <c r="D78" s="44"/>
      <c r="E78" s="44"/>
      <c r="F78" s="44"/>
      <c r="G78" s="38"/>
      <c r="H78" s="38"/>
      <c r="I78" s="62"/>
      <c r="J78" s="6"/>
      <c r="K78" s="6"/>
      <c r="L78" s="6"/>
    </row>
    <row r="79" spans="1:12" s="7" customFormat="1" hidden="1" x14ac:dyDescent="0.25">
      <c r="A79" s="9"/>
      <c r="B79" s="9" t="s">
        <v>45</v>
      </c>
      <c r="C79" s="9"/>
      <c r="D79" s="44"/>
      <c r="E79" s="44">
        <v>0</v>
      </c>
      <c r="F79" s="44"/>
      <c r="G79" s="38"/>
      <c r="H79" s="38"/>
      <c r="I79" s="62"/>
      <c r="J79" s="6"/>
      <c r="K79" s="6"/>
      <c r="L79" s="6"/>
    </row>
    <row r="80" spans="1:12" s="7" customFormat="1" hidden="1" x14ac:dyDescent="0.25">
      <c r="A80" s="9"/>
      <c r="B80" s="9" t="s">
        <v>46</v>
      </c>
      <c r="C80" s="9"/>
      <c r="D80" s="44"/>
      <c r="E80" s="44">
        <v>0</v>
      </c>
      <c r="F80" s="44"/>
      <c r="G80" s="38"/>
      <c r="H80" s="38"/>
      <c r="I80" s="62"/>
      <c r="J80" s="6"/>
      <c r="K80" s="6"/>
      <c r="L80" s="6"/>
    </row>
    <row r="81" spans="1:12" hidden="1" x14ac:dyDescent="0.25"/>
    <row r="82" spans="1:12" s="7" customFormat="1" hidden="1" x14ac:dyDescent="0.25">
      <c r="A82" s="5"/>
      <c r="B82" s="5" t="s">
        <v>4</v>
      </c>
      <c r="C82" s="5"/>
      <c r="D82" s="44"/>
      <c r="E82" s="44"/>
      <c r="F82" s="44"/>
      <c r="G82" s="38"/>
      <c r="H82" s="38"/>
      <c r="I82" s="62"/>
      <c r="J82" s="6"/>
      <c r="K82" s="6"/>
      <c r="L82" s="6"/>
    </row>
    <row r="83" spans="1:12" s="7" customFormat="1" hidden="1" x14ac:dyDescent="0.25">
      <c r="A83" s="9"/>
      <c r="B83" s="9" t="s">
        <v>47</v>
      </c>
      <c r="C83" s="9"/>
      <c r="D83" s="44"/>
      <c r="E83" s="44">
        <v>0</v>
      </c>
      <c r="F83" s="44"/>
      <c r="G83" s="38"/>
      <c r="H83" s="38"/>
      <c r="I83" s="62"/>
      <c r="J83" s="6"/>
      <c r="K83" s="6"/>
      <c r="L83" s="6"/>
    </row>
    <row r="84" spans="1:12" s="7" customFormat="1" hidden="1" x14ac:dyDescent="0.25">
      <c r="A84" s="9"/>
      <c r="B84" s="9" t="s">
        <v>48</v>
      </c>
      <c r="C84" s="9"/>
      <c r="D84" s="44"/>
      <c r="E84" s="44">
        <v>0</v>
      </c>
      <c r="F84" s="44"/>
      <c r="G84" s="38"/>
      <c r="H84" s="38"/>
      <c r="I84" s="62"/>
      <c r="J84" s="6"/>
      <c r="K84" s="6"/>
      <c r="L84" s="6"/>
    </row>
    <row r="85" spans="1:12" hidden="1" x14ac:dyDescent="0.25"/>
    <row r="86" spans="1:12" s="7" customFormat="1" hidden="1" x14ac:dyDescent="0.25">
      <c r="A86" s="9"/>
      <c r="B86" s="9" t="s">
        <v>39</v>
      </c>
      <c r="C86" s="9"/>
      <c r="D86" s="44"/>
      <c r="E86" s="46"/>
      <c r="F86" s="44"/>
      <c r="G86" s="38"/>
      <c r="H86" s="38"/>
      <c r="I86" s="62"/>
      <c r="J86" s="6"/>
      <c r="K86" s="6"/>
      <c r="L86" s="6"/>
    </row>
    <row r="87" spans="1:12" hidden="1" x14ac:dyDescent="0.25"/>
    <row r="88" spans="1:12" x14ac:dyDescent="0.25">
      <c r="A88" s="50"/>
      <c r="B88" s="50" t="s">
        <v>10</v>
      </c>
      <c r="C88" s="50"/>
      <c r="D88" s="52"/>
      <c r="E88" s="52">
        <f>E89*E90+E92*E93</f>
        <v>1816.4635211764707</v>
      </c>
      <c r="F88" s="52">
        <f t="shared" ref="F88:H88" si="27">F89*F90+F92*F93</f>
        <v>0</v>
      </c>
      <c r="G88" s="52">
        <f t="shared" si="27"/>
        <v>0</v>
      </c>
      <c r="H88" s="52">
        <f t="shared" si="27"/>
        <v>0</v>
      </c>
    </row>
    <row r="89" spans="1:12" s="7" customFormat="1" x14ac:dyDescent="0.25">
      <c r="A89" s="5"/>
      <c r="B89" s="9" t="s">
        <v>49</v>
      </c>
      <c r="C89" s="5"/>
      <c r="D89" s="44"/>
      <c r="E89" s="44">
        <v>2</v>
      </c>
      <c r="F89" s="44">
        <v>0</v>
      </c>
      <c r="G89" s="44">
        <v>0</v>
      </c>
      <c r="H89" s="44">
        <v>0</v>
      </c>
      <c r="I89" s="62"/>
      <c r="J89" s="6"/>
      <c r="K89" s="6"/>
      <c r="L89" s="6"/>
    </row>
    <row r="90" spans="1:12" s="7" customFormat="1" x14ac:dyDescent="0.25">
      <c r="A90" s="5"/>
      <c r="B90" s="9" t="s">
        <v>50</v>
      </c>
      <c r="C90" s="5"/>
      <c r="D90" s="44"/>
      <c r="E90" s="44">
        <f>Trips!$B$10</f>
        <v>908.23176058823537</v>
      </c>
      <c r="F90" s="44">
        <f>Trips!$B$10</f>
        <v>908.23176058823537</v>
      </c>
      <c r="G90" s="44">
        <f>Trips!$B$10</f>
        <v>908.23176058823537</v>
      </c>
      <c r="H90" s="44">
        <f>Trips!$B$10</f>
        <v>908.23176058823537</v>
      </c>
      <c r="I90" s="62"/>
      <c r="J90" s="6"/>
      <c r="K90" s="6"/>
      <c r="L90" s="6"/>
    </row>
    <row r="91" spans="1:12" hidden="1" x14ac:dyDescent="0.25"/>
    <row r="92" spans="1:12" s="7" customFormat="1" hidden="1" x14ac:dyDescent="0.25">
      <c r="A92" s="5"/>
      <c r="B92" s="9" t="s">
        <v>51</v>
      </c>
      <c r="C92" s="5"/>
      <c r="D92" s="44"/>
      <c r="E92" s="44">
        <v>0</v>
      </c>
      <c r="F92" s="44">
        <v>0</v>
      </c>
      <c r="G92" s="44">
        <v>0</v>
      </c>
      <c r="H92" s="44">
        <v>0</v>
      </c>
      <c r="I92" s="62"/>
      <c r="J92" s="6"/>
      <c r="K92" s="6"/>
      <c r="L92" s="6"/>
    </row>
    <row r="93" spans="1:12" s="7" customFormat="1" hidden="1" x14ac:dyDescent="0.25">
      <c r="A93" s="5"/>
      <c r="B93" s="9" t="s">
        <v>52</v>
      </c>
      <c r="C93" s="5"/>
      <c r="D93" s="44"/>
      <c r="E93" s="44">
        <f>Trips!$B$5</f>
        <v>52</v>
      </c>
      <c r="F93" s="44">
        <f>Trips!$B$5</f>
        <v>52</v>
      </c>
      <c r="G93" s="44">
        <f>Trips!$B$5</f>
        <v>52</v>
      </c>
      <c r="H93" s="44">
        <f>Trips!$B$5</f>
        <v>52</v>
      </c>
      <c r="I93" s="62"/>
      <c r="J93" s="6"/>
      <c r="K93" s="6"/>
      <c r="L93" s="6"/>
    </row>
    <row r="94" spans="1:12" hidden="1" x14ac:dyDescent="0.25"/>
    <row r="96" spans="1:12" hidden="1" x14ac:dyDescent="0.25">
      <c r="A96" s="50"/>
      <c r="B96" s="50" t="s">
        <v>171</v>
      </c>
      <c r="C96" s="50"/>
      <c r="D96" s="52"/>
      <c r="E96" s="52">
        <f>E97*E98</f>
        <v>0</v>
      </c>
      <c r="F96" s="52">
        <f t="shared" ref="F96:H96" si="28">F97*F98</f>
        <v>0</v>
      </c>
      <c r="G96" s="52">
        <f t="shared" si="28"/>
        <v>0</v>
      </c>
      <c r="H96" s="52">
        <f t="shared" si="28"/>
        <v>0</v>
      </c>
    </row>
    <row r="97" spans="1:12" s="7" customFormat="1" hidden="1" x14ac:dyDescent="0.25">
      <c r="A97" s="10"/>
      <c r="B97" s="39" t="s">
        <v>144</v>
      </c>
      <c r="C97" s="10" t="s">
        <v>145</v>
      </c>
      <c r="D97" s="44"/>
      <c r="E97" s="44">
        <v>0</v>
      </c>
      <c r="F97" s="44">
        <v>0</v>
      </c>
      <c r="G97" s="44">
        <v>0</v>
      </c>
      <c r="H97" s="44">
        <v>0</v>
      </c>
      <c r="I97" s="62"/>
      <c r="J97" s="6"/>
      <c r="K97" s="6"/>
      <c r="L97" s="6"/>
    </row>
    <row r="98" spans="1:12" s="7" customFormat="1" hidden="1" x14ac:dyDescent="0.25">
      <c r="A98" s="5"/>
      <c r="B98" s="39" t="s">
        <v>141</v>
      </c>
      <c r="C98" s="5"/>
      <c r="D98" s="44"/>
      <c r="E98" s="44">
        <f>Trips!B41</f>
        <v>631.70365882352939</v>
      </c>
      <c r="F98" s="44">
        <f>E98*(1+index)</f>
        <v>658.86691615294114</v>
      </c>
      <c r="G98" s="44">
        <f>F98*(1+index)</f>
        <v>687.19819354751758</v>
      </c>
      <c r="H98" s="44">
        <f>G98*(1+index)</f>
        <v>716.7477158700608</v>
      </c>
      <c r="I98" s="62"/>
      <c r="J98" s="6"/>
      <c r="K98" s="6"/>
      <c r="L98" s="6"/>
    </row>
    <row r="99" spans="1:12" hidden="1" x14ac:dyDescent="0.25"/>
    <row r="100" spans="1:12" x14ac:dyDescent="0.25">
      <c r="A100" s="50"/>
      <c r="B100" s="50" t="s">
        <v>313</v>
      </c>
      <c r="C100" s="50"/>
      <c r="D100" s="52"/>
      <c r="E100" s="52">
        <f>E101*E102+E103*E104+E105</f>
        <v>30000</v>
      </c>
      <c r="F100" s="52">
        <f t="shared" ref="F100:H100" si="29">F101*F102+F103*F104+F105</f>
        <v>31290</v>
      </c>
      <c r="G100" s="52">
        <f t="shared" si="29"/>
        <v>32635.469999999998</v>
      </c>
      <c r="H100" s="52">
        <f t="shared" si="29"/>
        <v>34038.795209999997</v>
      </c>
    </row>
    <row r="101" spans="1:12" hidden="1" x14ac:dyDescent="0.25">
      <c r="B101" s="39" t="s">
        <v>131</v>
      </c>
      <c r="C101" s="5" t="s">
        <v>132</v>
      </c>
      <c r="F101" s="44">
        <f>Training!$C$33</f>
        <v>81.10799999999999</v>
      </c>
      <c r="G101" s="44">
        <f>Training!$C$33</f>
        <v>81.10799999999999</v>
      </c>
      <c r="H101" s="44">
        <f>Training!$C$33</f>
        <v>81.10799999999999</v>
      </c>
    </row>
    <row r="102" spans="1:12" hidden="1" x14ac:dyDescent="0.25">
      <c r="B102" s="39" t="s">
        <v>133</v>
      </c>
      <c r="F102" s="44">
        <f>F89</f>
        <v>0</v>
      </c>
      <c r="G102" s="44">
        <f t="shared" ref="G102:H102" si="30">G89</f>
        <v>0</v>
      </c>
      <c r="H102" s="44">
        <f t="shared" si="30"/>
        <v>0</v>
      </c>
    </row>
    <row r="103" spans="1:12" hidden="1" x14ac:dyDescent="0.25">
      <c r="B103" s="39" t="s">
        <v>134</v>
      </c>
      <c r="F103" s="44">
        <f>Training!C$23</f>
        <v>709.375</v>
      </c>
      <c r="G103" s="44">
        <f>F103*(1+index)</f>
        <v>739.87812499999995</v>
      </c>
      <c r="H103" s="44">
        <f>G103*(1+index)</f>
        <v>771.69288437499995</v>
      </c>
    </row>
    <row r="104" spans="1:12" hidden="1" x14ac:dyDescent="0.25">
      <c r="B104" s="39" t="s">
        <v>135</v>
      </c>
      <c r="E104" s="44">
        <v>0</v>
      </c>
      <c r="F104" s="44">
        <v>0</v>
      </c>
      <c r="G104" s="33">
        <v>0</v>
      </c>
      <c r="H104" s="33">
        <v>0</v>
      </c>
    </row>
    <row r="105" spans="1:12" x14ac:dyDescent="0.25">
      <c r="B105" s="130" t="s">
        <v>313</v>
      </c>
      <c r="E105" s="44">
        <f>E106*E108</f>
        <v>30000</v>
      </c>
      <c r="F105" s="44">
        <f t="shared" ref="F105:H105" si="31">F106*F108</f>
        <v>31290</v>
      </c>
      <c r="G105" s="44">
        <f t="shared" si="31"/>
        <v>32635.469999999998</v>
      </c>
      <c r="H105" s="44">
        <f t="shared" si="31"/>
        <v>34038.795209999997</v>
      </c>
    </row>
    <row r="106" spans="1:12" x14ac:dyDescent="0.25">
      <c r="B106" s="39" t="s">
        <v>314</v>
      </c>
      <c r="C106" s="5" t="s">
        <v>137</v>
      </c>
      <c r="E106" s="44">
        <v>1000</v>
      </c>
      <c r="F106" s="44">
        <f>E106*(1+index)</f>
        <v>1043</v>
      </c>
      <c r="G106" s="44">
        <f>F106*(1+index)</f>
        <v>1087.8489999999999</v>
      </c>
      <c r="H106" s="44">
        <f>G106*(1+index)</f>
        <v>1134.6265069999999</v>
      </c>
    </row>
    <row r="107" spans="1:12" x14ac:dyDescent="0.25">
      <c r="B107" s="39" t="s">
        <v>244</v>
      </c>
      <c r="E107" s="34"/>
      <c r="F107" s="34"/>
      <c r="G107" s="34"/>
      <c r="H107" s="34"/>
    </row>
    <row r="108" spans="1:12" x14ac:dyDescent="0.25">
      <c r="B108" s="39" t="s">
        <v>133</v>
      </c>
      <c r="E108" s="44">
        <v>30</v>
      </c>
      <c r="F108" s="44">
        <v>30</v>
      </c>
      <c r="G108" s="44">
        <v>30</v>
      </c>
      <c r="H108" s="44">
        <v>30</v>
      </c>
    </row>
    <row r="109" spans="1:12" hidden="1" x14ac:dyDescent="0.25">
      <c r="B109" s="130" t="s">
        <v>247</v>
      </c>
      <c r="E109" s="44">
        <f>E110*E112</f>
        <v>0</v>
      </c>
      <c r="F109" s="44">
        <f t="shared" ref="F109:H109" si="32">F110*F112</f>
        <v>0</v>
      </c>
      <c r="G109" s="44">
        <f t="shared" si="32"/>
        <v>0</v>
      </c>
      <c r="H109" s="44">
        <f t="shared" si="32"/>
        <v>0</v>
      </c>
    </row>
    <row r="110" spans="1:12" hidden="1" x14ac:dyDescent="0.25">
      <c r="B110" s="39" t="s">
        <v>203</v>
      </c>
      <c r="C110" s="5" t="s">
        <v>137</v>
      </c>
      <c r="G110" s="44"/>
      <c r="H110" s="44"/>
    </row>
    <row r="111" spans="1:12" hidden="1" x14ac:dyDescent="0.25">
      <c r="B111" s="39" t="s">
        <v>244</v>
      </c>
      <c r="E111" s="45">
        <f>E107/2</f>
        <v>0</v>
      </c>
      <c r="F111" s="45">
        <f>E111*1.1</f>
        <v>0</v>
      </c>
      <c r="G111" s="45">
        <f t="shared" ref="G111:H111" si="33">F111*1.1</f>
        <v>0</v>
      </c>
      <c r="H111" s="45">
        <f t="shared" si="33"/>
        <v>0</v>
      </c>
    </row>
    <row r="112" spans="1:12" hidden="1" x14ac:dyDescent="0.25">
      <c r="B112" s="39" t="s">
        <v>133</v>
      </c>
      <c r="E112" s="44">
        <f>'Rates and GI'!$E$9*E111</f>
        <v>0</v>
      </c>
      <c r="F112" s="44">
        <f>'Rates and GI'!$E$9*F111</f>
        <v>0</v>
      </c>
      <c r="G112" s="44">
        <f>'Rates and GI'!$E$9*G111</f>
        <v>0</v>
      </c>
      <c r="H112" s="44">
        <f>'Rates and GI'!$E$9*H111</f>
        <v>0</v>
      </c>
    </row>
    <row r="113" spans="1:12" hidden="1" x14ac:dyDescent="0.25">
      <c r="B113" s="39"/>
    </row>
    <row r="114" spans="1:12" hidden="1" x14ac:dyDescent="0.25">
      <c r="A114" s="50"/>
      <c r="B114" s="50" t="s">
        <v>24</v>
      </c>
      <c r="C114" s="50"/>
      <c r="D114" s="52"/>
      <c r="E114" s="52">
        <f t="shared" ref="E114:H114" si="34">E115*E116</f>
        <v>0</v>
      </c>
      <c r="F114" s="52">
        <f t="shared" si="34"/>
        <v>0</v>
      </c>
      <c r="G114" s="52">
        <f t="shared" si="34"/>
        <v>0</v>
      </c>
      <c r="H114" s="52">
        <f t="shared" si="34"/>
        <v>0</v>
      </c>
    </row>
    <row r="115" spans="1:12" s="7" customFormat="1" hidden="1" x14ac:dyDescent="0.25">
      <c r="A115" s="5"/>
      <c r="B115" s="39" t="s">
        <v>53</v>
      </c>
      <c r="C115" s="5"/>
      <c r="D115" s="44"/>
      <c r="E115" s="44">
        <v>0</v>
      </c>
      <c r="F115" s="44">
        <v>0</v>
      </c>
      <c r="G115" s="44"/>
      <c r="H115" s="44"/>
      <c r="I115" s="62"/>
      <c r="J115" s="6"/>
      <c r="K115" s="6"/>
      <c r="L115" s="6"/>
    </row>
    <row r="116" spans="1:12" s="7" customFormat="1" hidden="1" x14ac:dyDescent="0.25">
      <c r="A116" s="5"/>
      <c r="B116" s="39" t="s">
        <v>54</v>
      </c>
      <c r="C116" s="5"/>
      <c r="D116" s="44"/>
      <c r="E116" s="44">
        <f>'Rates and GI'!D25</f>
        <v>6</v>
      </c>
      <c r="F116" s="44">
        <f>E116*(1+index)</f>
        <v>6.2579999999999991</v>
      </c>
      <c r="G116" s="44">
        <f>F116*(1+index)</f>
        <v>6.5270939999999991</v>
      </c>
      <c r="H116" s="44">
        <f>G116*(1+index)</f>
        <v>6.8077590419999989</v>
      </c>
      <c r="I116" s="62"/>
      <c r="J116" s="6"/>
      <c r="K116" s="6"/>
      <c r="L116" s="6"/>
    </row>
    <row r="117" spans="1:12" hidden="1" x14ac:dyDescent="0.25"/>
    <row r="118" spans="1:12" hidden="1" x14ac:dyDescent="0.25">
      <c r="A118" s="50"/>
      <c r="B118" s="50" t="s">
        <v>7</v>
      </c>
      <c r="C118" s="50"/>
      <c r="D118" s="52"/>
      <c r="E118" s="52"/>
      <c r="F118" s="52"/>
      <c r="G118" s="52"/>
      <c r="H118" s="52"/>
    </row>
    <row r="119" spans="1:12" s="7" customFormat="1" hidden="1" x14ac:dyDescent="0.25">
      <c r="A119" s="5"/>
      <c r="B119" s="4" t="s">
        <v>57</v>
      </c>
      <c r="C119" s="5"/>
      <c r="D119" s="44"/>
      <c r="E119" s="46"/>
      <c r="F119" s="46"/>
      <c r="G119" s="105"/>
      <c r="H119" s="105"/>
      <c r="I119" s="62"/>
      <c r="J119" s="6"/>
      <c r="K119" s="6"/>
      <c r="L119" s="6"/>
    </row>
    <row r="120" spans="1:12" s="43" customFormat="1" hidden="1" x14ac:dyDescent="0.25">
      <c r="A120" s="40"/>
      <c r="B120" s="41" t="s">
        <v>58</v>
      </c>
      <c r="C120" s="40" t="s">
        <v>55</v>
      </c>
      <c r="D120" s="71"/>
      <c r="E120" s="71"/>
      <c r="F120" s="71"/>
      <c r="G120" s="72"/>
      <c r="H120" s="72"/>
      <c r="I120" s="75"/>
      <c r="J120" s="42"/>
      <c r="K120" s="42"/>
      <c r="L120" s="42"/>
    </row>
    <row r="121" spans="1:12" s="40" customFormat="1" hidden="1" x14ac:dyDescent="0.25">
      <c r="B121" s="41" t="s">
        <v>56</v>
      </c>
      <c r="D121" s="71"/>
      <c r="E121" s="71"/>
      <c r="F121" s="71"/>
      <c r="G121" s="72"/>
      <c r="H121" s="72"/>
      <c r="I121" s="75"/>
      <c r="J121" s="42"/>
      <c r="K121" s="42"/>
      <c r="L121" s="42"/>
    </row>
    <row r="122" spans="1:12" s="40" customFormat="1" hidden="1" x14ac:dyDescent="0.25">
      <c r="B122" s="41" t="s">
        <v>59</v>
      </c>
      <c r="D122" s="71"/>
      <c r="E122" s="71"/>
      <c r="F122" s="71"/>
      <c r="G122" s="72"/>
      <c r="H122" s="72"/>
      <c r="I122" s="75"/>
      <c r="J122" s="42"/>
      <c r="K122" s="42"/>
      <c r="L122" s="42"/>
    </row>
    <row r="123" spans="1:12" hidden="1" x14ac:dyDescent="0.25"/>
    <row r="124" spans="1:12" hidden="1" x14ac:dyDescent="0.25">
      <c r="A124" s="50"/>
      <c r="B124" s="50" t="s">
        <v>26</v>
      </c>
      <c r="C124" s="50"/>
      <c r="D124" s="52"/>
      <c r="E124" s="52">
        <f>E129*E130</f>
        <v>0</v>
      </c>
      <c r="F124" s="52">
        <f>F129*F130</f>
        <v>0</v>
      </c>
      <c r="G124" s="52"/>
      <c r="H124" s="52"/>
    </row>
    <row r="125" spans="1:12" s="5" customFormat="1" hidden="1" x14ac:dyDescent="0.25">
      <c r="B125" s="55" t="s">
        <v>60</v>
      </c>
      <c r="D125" s="44"/>
      <c r="E125" s="44"/>
      <c r="F125" s="44"/>
      <c r="G125" s="38"/>
      <c r="H125" s="38"/>
      <c r="I125" s="62"/>
      <c r="J125" s="6"/>
      <c r="K125" s="6"/>
      <c r="L125" s="6"/>
    </row>
    <row r="126" spans="1:12" s="5" customFormat="1" hidden="1" x14ac:dyDescent="0.25">
      <c r="B126" s="41" t="s">
        <v>147</v>
      </c>
      <c r="D126" s="44"/>
      <c r="E126" s="44"/>
      <c r="F126" s="44"/>
      <c r="G126" s="38"/>
      <c r="H126" s="38"/>
      <c r="I126" s="62"/>
      <c r="J126" s="6"/>
      <c r="K126" s="6"/>
      <c r="L126" s="6"/>
    </row>
    <row r="127" spans="1:12" s="5" customFormat="1" hidden="1" x14ac:dyDescent="0.25">
      <c r="B127" s="41" t="s">
        <v>146</v>
      </c>
      <c r="D127" s="44"/>
      <c r="E127" s="44"/>
      <c r="F127" s="44"/>
      <c r="G127" s="38"/>
      <c r="H127" s="38"/>
      <c r="I127" s="62"/>
      <c r="J127" s="6"/>
      <c r="K127" s="6"/>
      <c r="L127" s="6"/>
    </row>
    <row r="128" spans="1:12" s="5" customFormat="1" hidden="1" x14ac:dyDescent="0.25">
      <c r="B128" s="55" t="s">
        <v>123</v>
      </c>
      <c r="D128" s="44"/>
      <c r="E128" s="44"/>
      <c r="F128" s="44"/>
      <c r="G128" s="38"/>
      <c r="H128" s="38"/>
      <c r="I128" s="62"/>
      <c r="J128" s="6"/>
      <c r="K128" s="6"/>
      <c r="L128" s="6"/>
    </row>
    <row r="129" spans="1:12" s="5" customFormat="1" hidden="1" x14ac:dyDescent="0.25">
      <c r="B129" s="41" t="s">
        <v>147</v>
      </c>
      <c r="D129" s="44"/>
      <c r="E129" s="44">
        <f>'Rates and GI'!$D$31</f>
        <v>350</v>
      </c>
      <c r="F129" s="44">
        <f>'Rates and GI'!$D$31</f>
        <v>350</v>
      </c>
      <c r="G129" s="44">
        <f>'Rates and GI'!$D$31</f>
        <v>350</v>
      </c>
      <c r="H129" s="44">
        <f>'Rates and GI'!$D$31</f>
        <v>350</v>
      </c>
      <c r="I129" s="62"/>
      <c r="J129" s="6"/>
      <c r="K129" s="6"/>
      <c r="L129" s="6"/>
    </row>
    <row r="130" spans="1:12" s="5" customFormat="1" hidden="1" x14ac:dyDescent="0.25">
      <c r="B130" s="41" t="s">
        <v>146</v>
      </c>
      <c r="D130" s="44"/>
      <c r="E130" s="44">
        <v>0</v>
      </c>
      <c r="F130" s="44">
        <v>0</v>
      </c>
      <c r="G130" s="38"/>
      <c r="H130" s="38"/>
      <c r="I130" s="62"/>
      <c r="J130" s="6"/>
      <c r="K130" s="6"/>
      <c r="L130" s="6"/>
    </row>
    <row r="131" spans="1:12" s="5" customFormat="1" hidden="1" x14ac:dyDescent="0.25">
      <c r="B131" s="55" t="s">
        <v>8</v>
      </c>
      <c r="D131" s="44"/>
      <c r="E131" s="44"/>
      <c r="F131" s="44"/>
      <c r="G131" s="38"/>
      <c r="H131" s="38"/>
      <c r="I131" s="62"/>
      <c r="J131" s="6"/>
      <c r="K131" s="6"/>
      <c r="L131" s="6"/>
    </row>
    <row r="132" spans="1:12" s="5" customFormat="1" hidden="1" x14ac:dyDescent="0.25">
      <c r="B132" s="41" t="s">
        <v>147</v>
      </c>
      <c r="D132" s="44"/>
      <c r="E132" s="44"/>
      <c r="F132" s="44"/>
      <c r="G132" s="38"/>
      <c r="H132" s="38"/>
      <c r="I132" s="62"/>
      <c r="J132" s="6"/>
      <c r="K132" s="6"/>
      <c r="L132" s="6"/>
    </row>
    <row r="133" spans="1:12" s="5" customFormat="1" hidden="1" x14ac:dyDescent="0.25">
      <c r="B133" s="41" t="s">
        <v>146</v>
      </c>
      <c r="D133" s="44"/>
      <c r="E133" s="44"/>
      <c r="F133" s="44"/>
      <c r="G133" s="38"/>
      <c r="H133" s="38"/>
      <c r="I133" s="62"/>
      <c r="J133" s="6"/>
      <c r="K133" s="6"/>
      <c r="L133" s="6"/>
    </row>
    <row r="134" spans="1:12" hidden="1" x14ac:dyDescent="0.25"/>
    <row r="135" spans="1:12" hidden="1" x14ac:dyDescent="0.25">
      <c r="A135" s="50"/>
      <c r="B135" s="50" t="s">
        <v>25</v>
      </c>
      <c r="C135" s="50"/>
      <c r="D135" s="52"/>
      <c r="E135" s="52">
        <f>E136+E137+E140</f>
        <v>0</v>
      </c>
      <c r="F135" s="52">
        <f t="shared" ref="F135:H135" si="35">F136+F137+F140</f>
        <v>0</v>
      </c>
      <c r="G135" s="52">
        <f t="shared" si="35"/>
        <v>0</v>
      </c>
      <c r="H135" s="52">
        <f t="shared" si="35"/>
        <v>0</v>
      </c>
    </row>
    <row r="136" spans="1:12" s="5" customFormat="1" hidden="1" x14ac:dyDescent="0.25">
      <c r="B136" s="5" t="s">
        <v>205</v>
      </c>
      <c r="D136" s="44"/>
      <c r="E136" s="44"/>
      <c r="F136" s="44">
        <v>0</v>
      </c>
      <c r="G136" s="38"/>
      <c r="H136" s="38"/>
      <c r="I136" s="62"/>
      <c r="J136" s="6"/>
      <c r="K136" s="6"/>
      <c r="L136" s="6"/>
    </row>
    <row r="137" spans="1:12" s="5" customFormat="1" hidden="1" x14ac:dyDescent="0.25">
      <c r="B137" s="5" t="s">
        <v>248</v>
      </c>
      <c r="D137" s="44"/>
      <c r="E137" s="44">
        <f>E138*E139</f>
        <v>0</v>
      </c>
      <c r="F137" s="44">
        <f t="shared" ref="F137:H137" si="36">F138*F139</f>
        <v>0</v>
      </c>
      <c r="G137" s="44">
        <f t="shared" si="36"/>
        <v>0</v>
      </c>
      <c r="H137" s="44">
        <f t="shared" si="36"/>
        <v>0</v>
      </c>
      <c r="I137" s="62"/>
      <c r="J137" s="6"/>
      <c r="K137" s="6"/>
      <c r="L137" s="6"/>
    </row>
    <row r="138" spans="1:12" s="5" customFormat="1" hidden="1" x14ac:dyDescent="0.25">
      <c r="B138" s="41" t="s">
        <v>249</v>
      </c>
      <c r="D138" s="44"/>
      <c r="E138" s="44">
        <f>Training!C45</f>
        <v>20</v>
      </c>
      <c r="F138" s="44">
        <f>E138*(1+index)</f>
        <v>20.86</v>
      </c>
      <c r="G138" s="44">
        <f>F138*(1+index)</f>
        <v>21.756979999999999</v>
      </c>
      <c r="H138" s="44">
        <f>G138*(1+index)</f>
        <v>22.692530139999995</v>
      </c>
      <c r="I138" s="62"/>
      <c r="J138" s="6"/>
      <c r="K138" s="6"/>
      <c r="L138" s="6"/>
    </row>
    <row r="139" spans="1:12" s="5" customFormat="1" hidden="1" x14ac:dyDescent="0.25">
      <c r="B139" s="41" t="s">
        <v>250</v>
      </c>
      <c r="D139" s="44"/>
      <c r="E139" s="44">
        <v>0</v>
      </c>
      <c r="F139" s="44">
        <v>0</v>
      </c>
      <c r="G139" s="44">
        <v>0</v>
      </c>
      <c r="H139" s="44">
        <v>0</v>
      </c>
      <c r="I139" s="62"/>
      <c r="J139" s="6"/>
      <c r="K139" s="6"/>
      <c r="L139" s="6"/>
    </row>
    <row r="140" spans="1:12" s="5" customFormat="1" hidden="1" x14ac:dyDescent="0.25">
      <c r="B140" s="5" t="s">
        <v>154</v>
      </c>
      <c r="D140" s="44"/>
      <c r="E140" s="44">
        <f>E141+E142*E143</f>
        <v>0</v>
      </c>
      <c r="F140" s="44">
        <f>F141+F142*F143</f>
        <v>0</v>
      </c>
      <c r="G140" s="44">
        <f t="shared" ref="G140:H140" si="37">G141+G142*G143</f>
        <v>0</v>
      </c>
      <c r="H140" s="44">
        <f t="shared" si="37"/>
        <v>0</v>
      </c>
      <c r="I140" s="73"/>
    </row>
    <row r="141" spans="1:12" hidden="1" x14ac:dyDescent="0.25">
      <c r="B141" s="41" t="s">
        <v>153</v>
      </c>
      <c r="F141" s="44">
        <f>'Rates and GI'!D46*0</f>
        <v>0</v>
      </c>
    </row>
    <row r="142" spans="1:12" hidden="1" x14ac:dyDescent="0.25">
      <c r="B142" s="41" t="s">
        <v>159</v>
      </c>
      <c r="E142" s="60">
        <f>'Rates and GI'!$D$48</f>
        <v>0.02</v>
      </c>
      <c r="F142" s="60">
        <f>'Rates and GI'!$D$48</f>
        <v>0.02</v>
      </c>
      <c r="G142" s="60">
        <f>'Rates and GI'!$D$48</f>
        <v>0.02</v>
      </c>
      <c r="H142" s="60">
        <f>'Rates and GI'!$D$48</f>
        <v>0.02</v>
      </c>
    </row>
    <row r="143" spans="1:12" hidden="1" x14ac:dyDescent="0.25">
      <c r="B143" s="41" t="s">
        <v>160</v>
      </c>
      <c r="E143" s="44">
        <v>0</v>
      </c>
      <c r="F143" s="44">
        <v>0</v>
      </c>
      <c r="G143" s="44">
        <v>0</v>
      </c>
      <c r="H143" s="44">
        <v>0</v>
      </c>
    </row>
    <row r="144" spans="1:12" s="5" customFormat="1" hidden="1" x14ac:dyDescent="0.25">
      <c r="B144" s="41"/>
      <c r="D144" s="44"/>
      <c r="E144" s="33"/>
      <c r="F144" s="33"/>
      <c r="G144" s="28"/>
      <c r="H144" s="28"/>
      <c r="I144" s="62"/>
      <c r="J144" s="6"/>
      <c r="K144" s="6"/>
      <c r="L144" s="6"/>
    </row>
    <row r="145" spans="1:12" hidden="1" x14ac:dyDescent="0.25">
      <c r="A145" s="50"/>
      <c r="B145" s="50" t="s">
        <v>21</v>
      </c>
      <c r="C145" s="50"/>
      <c r="D145" s="52"/>
      <c r="E145" s="52">
        <f>E146*E147+E148*E149++E150*E151+E152*E153</f>
        <v>0</v>
      </c>
      <c r="F145" s="52">
        <f t="shared" ref="F145:H145" si="38">F146*F147+F148*F149++F150*F151+F152*F153</f>
        <v>0</v>
      </c>
      <c r="G145" s="52">
        <f t="shared" si="38"/>
        <v>0</v>
      </c>
      <c r="H145" s="52">
        <f t="shared" si="38"/>
        <v>0</v>
      </c>
    </row>
    <row r="146" spans="1:12" hidden="1" x14ac:dyDescent="0.25">
      <c r="B146" s="41" t="s">
        <v>241</v>
      </c>
      <c r="F146" s="44">
        <v>0</v>
      </c>
      <c r="G146" s="44">
        <v>0</v>
      </c>
      <c r="H146" s="44"/>
    </row>
    <row r="147" spans="1:12" hidden="1" x14ac:dyDescent="0.25">
      <c r="B147" s="41" t="s">
        <v>151</v>
      </c>
      <c r="E147" s="44">
        <f>'Rates and GI'!$D$58</f>
        <v>5000</v>
      </c>
      <c r="F147" s="44">
        <f>'Rates and GI'!$D$58</f>
        <v>5000</v>
      </c>
      <c r="G147" s="44">
        <f>'Rates and GI'!$D$58</f>
        <v>5000</v>
      </c>
      <c r="H147" s="44">
        <f>'Rates and GI'!$D$58</f>
        <v>5000</v>
      </c>
    </row>
    <row r="148" spans="1:12" hidden="1" x14ac:dyDescent="0.25">
      <c r="B148" s="41" t="s">
        <v>148</v>
      </c>
      <c r="E148" s="44">
        <v>0</v>
      </c>
      <c r="F148" s="44">
        <v>0</v>
      </c>
      <c r="G148" s="44">
        <v>0</v>
      </c>
      <c r="H148" s="44">
        <v>0</v>
      </c>
    </row>
    <row r="149" spans="1:12" hidden="1" x14ac:dyDescent="0.25">
      <c r="B149" s="41" t="s">
        <v>149</v>
      </c>
      <c r="E149" s="44">
        <f>'Rates and GI'!$D$59</f>
        <v>1500</v>
      </c>
      <c r="F149" s="44">
        <f>'Rates and GI'!$D$59</f>
        <v>1500</v>
      </c>
      <c r="G149" s="44">
        <f>'Rates and GI'!$D$59</f>
        <v>1500</v>
      </c>
      <c r="H149" s="44">
        <f>'Rates and GI'!$D$59</f>
        <v>1500</v>
      </c>
    </row>
    <row r="150" spans="1:12" ht="27" hidden="1" x14ac:dyDescent="0.25">
      <c r="B150" s="63" t="s">
        <v>162</v>
      </c>
      <c r="E150" s="44">
        <v>0</v>
      </c>
      <c r="F150" s="44">
        <v>0</v>
      </c>
      <c r="G150" s="44"/>
      <c r="H150" s="44">
        <v>0</v>
      </c>
    </row>
    <row r="151" spans="1:12" ht="27" hidden="1" x14ac:dyDescent="0.25">
      <c r="B151" s="63" t="s">
        <v>161</v>
      </c>
      <c r="E151" s="44">
        <f>'Rates and GI'!$D$60</f>
        <v>200</v>
      </c>
      <c r="F151" s="44">
        <f>'Rates and GI'!$D$60</f>
        <v>200</v>
      </c>
      <c r="G151" s="44">
        <f>'Rates and GI'!$D$60</f>
        <v>200</v>
      </c>
      <c r="H151" s="44">
        <f>'Rates and GI'!$D$60</f>
        <v>200</v>
      </c>
    </row>
    <row r="152" spans="1:12" s="5" customFormat="1" hidden="1" x14ac:dyDescent="0.25">
      <c r="B152" s="41" t="s">
        <v>217</v>
      </c>
      <c r="D152" s="44"/>
      <c r="E152" s="44">
        <v>0</v>
      </c>
      <c r="F152" s="44">
        <v>0</v>
      </c>
      <c r="G152" s="44">
        <v>0</v>
      </c>
      <c r="H152" s="44">
        <v>0</v>
      </c>
      <c r="I152" s="62"/>
      <c r="J152" s="6"/>
      <c r="K152" s="6"/>
      <c r="L152" s="6"/>
    </row>
    <row r="153" spans="1:12" s="5" customFormat="1" hidden="1" x14ac:dyDescent="0.25">
      <c r="B153" s="41" t="s">
        <v>214</v>
      </c>
      <c r="D153" s="44"/>
      <c r="E153" s="44">
        <f>'Rates and GI'!$D$61</f>
        <v>50</v>
      </c>
      <c r="F153" s="44">
        <f>'Rates and GI'!$D$61</f>
        <v>50</v>
      </c>
      <c r="G153" s="38">
        <f>'Rates and GI'!$D$61</f>
        <v>50</v>
      </c>
      <c r="H153" s="38">
        <f>'Rates and GI'!$D$61</f>
        <v>50</v>
      </c>
      <c r="I153" s="62"/>
      <c r="J153" s="6"/>
      <c r="K153" s="6"/>
      <c r="L153" s="6"/>
    </row>
    <row r="154" spans="1:12" hidden="1" x14ac:dyDescent="0.25">
      <c r="A154" s="50"/>
      <c r="B154" s="127"/>
      <c r="C154" s="50"/>
      <c r="D154" s="52"/>
      <c r="E154" s="52"/>
      <c r="F154" s="52"/>
      <c r="G154" s="52"/>
      <c r="H154" s="52"/>
    </row>
    <row r="155" spans="1:12" hidden="1" x14ac:dyDescent="0.25">
      <c r="A155" s="50"/>
      <c r="B155" s="50" t="s">
        <v>194</v>
      </c>
      <c r="C155" s="50"/>
      <c r="D155" s="52"/>
      <c r="E155" s="52">
        <f>E156+E159+E162+E171+E176</f>
        <v>0</v>
      </c>
      <c r="F155" s="52">
        <f t="shared" ref="F155:H155" si="39">F156+F159+F162+F171+F176</f>
        <v>0</v>
      </c>
      <c r="G155" s="52">
        <f t="shared" si="39"/>
        <v>0</v>
      </c>
      <c r="H155" s="52">
        <f t="shared" si="39"/>
        <v>0</v>
      </c>
    </row>
    <row r="156" spans="1:12" s="5" customFormat="1" hidden="1" x14ac:dyDescent="0.25">
      <c r="B156" s="5" t="s">
        <v>173</v>
      </c>
      <c r="D156" s="44"/>
      <c r="E156" s="44">
        <f>E157+E160*E161</f>
        <v>0</v>
      </c>
      <c r="F156" s="44">
        <f>F157+F160*F161</f>
        <v>0</v>
      </c>
      <c r="G156" s="44">
        <f>G157+G160*G161</f>
        <v>0</v>
      </c>
      <c r="H156" s="44">
        <f t="shared" ref="H156" si="40">H157+H160*H161</f>
        <v>0</v>
      </c>
      <c r="I156" s="73"/>
    </row>
    <row r="157" spans="1:12" hidden="1" x14ac:dyDescent="0.25">
      <c r="B157" s="41" t="s">
        <v>184</v>
      </c>
      <c r="F157" s="44">
        <f>('Rates and GI'!$D$45+'Rates and GI'!$D$49)*0</f>
        <v>0</v>
      </c>
      <c r="G157" s="44">
        <f>('Rates and GI'!$D$45+'Rates and GI'!$D$49)*0</f>
        <v>0</v>
      </c>
      <c r="H157" s="44"/>
    </row>
    <row r="158" spans="1:12" hidden="1" x14ac:dyDescent="0.25">
      <c r="B158" s="41" t="s">
        <v>187</v>
      </c>
      <c r="F158" s="44">
        <f>'Rates and GI'!$D$51*0</f>
        <v>0</v>
      </c>
      <c r="G158" s="44">
        <f>'Rates and GI'!$D$51*0</f>
        <v>0</v>
      </c>
      <c r="H158" s="44"/>
    </row>
    <row r="159" spans="1:12" hidden="1" x14ac:dyDescent="0.25">
      <c r="B159" s="5" t="s">
        <v>174</v>
      </c>
      <c r="E159" s="44">
        <f>E160*E161</f>
        <v>0</v>
      </c>
      <c r="F159" s="44">
        <f t="shared" ref="F159:H159" si="41">F160*F161</f>
        <v>0</v>
      </c>
      <c r="G159" s="44">
        <f t="shared" si="41"/>
        <v>0</v>
      </c>
      <c r="H159" s="44">
        <f t="shared" si="41"/>
        <v>0</v>
      </c>
    </row>
    <row r="160" spans="1:12" hidden="1" x14ac:dyDescent="0.25">
      <c r="B160" s="41" t="s">
        <v>164</v>
      </c>
      <c r="F160" s="44">
        <f>'Rates and GI'!$D$54</f>
        <v>24.066499999999998</v>
      </c>
      <c r="G160" s="44">
        <f>'Rates and GI'!$D$54</f>
        <v>24.066499999999998</v>
      </c>
      <c r="H160" s="44">
        <f>'Rates and GI'!$D$54</f>
        <v>24.066499999999998</v>
      </c>
    </row>
    <row r="161" spans="1:12" hidden="1" x14ac:dyDescent="0.25">
      <c r="B161" s="41" t="s">
        <v>163</v>
      </c>
      <c r="F161" s="44">
        <v>0</v>
      </c>
      <c r="G161" s="38">
        <v>0</v>
      </c>
      <c r="H161" s="38">
        <v>0</v>
      </c>
    </row>
    <row r="162" spans="1:12" hidden="1" x14ac:dyDescent="0.25">
      <c r="B162" s="5" t="s">
        <v>175</v>
      </c>
      <c r="E162" s="44">
        <f>E163+E167</f>
        <v>0</v>
      </c>
      <c r="F162" s="44">
        <f t="shared" ref="F162:H162" si="42">F163+F167</f>
        <v>0</v>
      </c>
      <c r="G162" s="44">
        <f t="shared" si="42"/>
        <v>0</v>
      </c>
      <c r="H162" s="44">
        <f t="shared" si="42"/>
        <v>0</v>
      </c>
    </row>
    <row r="163" spans="1:12" hidden="1" x14ac:dyDescent="0.25">
      <c r="B163" s="41" t="s">
        <v>189</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hidden="1" x14ac:dyDescent="0.25">
      <c r="B165" s="41" t="s">
        <v>178</v>
      </c>
      <c r="E165" s="44">
        <f>'Rates and GI'!$D$52</f>
        <v>150</v>
      </c>
      <c r="F165" s="44">
        <f>'Rates and GI'!$D$52</f>
        <v>150</v>
      </c>
      <c r="G165" s="44">
        <f>'Rates and GI'!$D$52</f>
        <v>150</v>
      </c>
      <c r="H165" s="44">
        <f>'Rates and GI'!$D$52</f>
        <v>150</v>
      </c>
    </row>
    <row r="166" spans="1:12" hidden="1" x14ac:dyDescent="0.25">
      <c r="B166" s="6"/>
    </row>
    <row r="167" spans="1:12" hidden="1" x14ac:dyDescent="0.25">
      <c r="B167" s="41" t="s">
        <v>190</v>
      </c>
      <c r="E167" s="44">
        <f>E168*E169</f>
        <v>0</v>
      </c>
      <c r="F167" s="44">
        <f t="shared" ref="F167:H167" si="44">F168*F169</f>
        <v>0</v>
      </c>
      <c r="G167" s="44">
        <f t="shared" si="44"/>
        <v>0</v>
      </c>
      <c r="H167" s="44">
        <f t="shared" si="44"/>
        <v>0</v>
      </c>
    </row>
    <row r="168" spans="1:12" hidden="1" x14ac:dyDescent="0.25">
      <c r="B168" s="41" t="s">
        <v>176</v>
      </c>
      <c r="C168" s="5" t="s">
        <v>177</v>
      </c>
      <c r="E168" s="44">
        <v>0</v>
      </c>
      <c r="F168" s="44">
        <v>0</v>
      </c>
      <c r="G168" s="38">
        <v>0</v>
      </c>
      <c r="H168" s="38">
        <v>0</v>
      </c>
    </row>
    <row r="169" spans="1:12" s="62" customFormat="1" hidden="1" x14ac:dyDescent="0.25">
      <c r="A169" s="5"/>
      <c r="B169" s="41" t="s">
        <v>178</v>
      </c>
      <c r="C169" s="5"/>
      <c r="D169" s="44"/>
      <c r="E169" s="44">
        <f>'Rates and GI'!$D$53</f>
        <v>20</v>
      </c>
      <c r="F169" s="44">
        <f>'Rates and GI'!$D$53</f>
        <v>20</v>
      </c>
      <c r="G169" s="44">
        <f>'Rates and GI'!$D$53</f>
        <v>20</v>
      </c>
      <c r="H169" s="44">
        <f>'Rates and GI'!$D$53</f>
        <v>20</v>
      </c>
      <c r="J169" s="6"/>
      <c r="K169" s="6"/>
      <c r="L169" s="6"/>
    </row>
    <row r="170" spans="1:12" s="62" customFormat="1" hidden="1" x14ac:dyDescent="0.25">
      <c r="A170" s="5"/>
      <c r="B170" s="6"/>
      <c r="C170" s="5"/>
      <c r="D170" s="44"/>
      <c r="E170" s="44"/>
      <c r="F170" s="44"/>
      <c r="G170" s="38"/>
      <c r="H170" s="38"/>
      <c r="J170" s="6"/>
      <c r="K170" s="6"/>
      <c r="L170" s="6"/>
    </row>
    <row r="171" spans="1:12" s="62" customFormat="1" hidden="1" x14ac:dyDescent="0.25">
      <c r="A171" s="5"/>
      <c r="B171" s="5" t="s">
        <v>179</v>
      </c>
      <c r="C171" s="5"/>
      <c r="D171" s="44"/>
      <c r="E171" s="44">
        <f>E172*E173*E174</f>
        <v>0</v>
      </c>
      <c r="F171" s="44">
        <f t="shared" ref="F171:H171" si="45">F172*F173*F174</f>
        <v>0</v>
      </c>
      <c r="G171" s="44">
        <f t="shared" si="45"/>
        <v>0</v>
      </c>
      <c r="H171" s="44">
        <f t="shared" si="45"/>
        <v>0</v>
      </c>
      <c r="J171" s="6"/>
      <c r="K171" s="6"/>
      <c r="L171" s="6"/>
    </row>
    <row r="172" spans="1:12" s="62" customFormat="1" hidden="1" x14ac:dyDescent="0.25">
      <c r="A172" s="5"/>
      <c r="B172" s="41" t="s">
        <v>191</v>
      </c>
      <c r="C172" s="5"/>
      <c r="D172" s="44"/>
      <c r="E172" s="44"/>
      <c r="F172" s="44">
        <f>'Rates and GI'!$D$55</f>
        <v>300</v>
      </c>
      <c r="G172" s="44">
        <f>'Rates and GI'!$D$55</f>
        <v>300</v>
      </c>
      <c r="H172" s="44">
        <f>'Rates and GI'!$D$55</f>
        <v>300</v>
      </c>
      <c r="J172" s="6"/>
      <c r="K172" s="6"/>
      <c r="L172" s="6"/>
    </row>
    <row r="173" spans="1:12" s="62" customFormat="1" hidden="1" x14ac:dyDescent="0.25">
      <c r="A173" s="5"/>
      <c r="B173" s="41" t="s">
        <v>192</v>
      </c>
      <c r="C173" s="5"/>
      <c r="D173" s="44"/>
      <c r="E173" s="44"/>
      <c r="F173" s="44">
        <v>3</v>
      </c>
      <c r="G173" s="44">
        <v>3</v>
      </c>
      <c r="H173" s="44">
        <v>3</v>
      </c>
      <c r="J173" s="6"/>
      <c r="K173" s="6"/>
      <c r="L173" s="6"/>
    </row>
    <row r="174" spans="1:12" s="62" customFormat="1" hidden="1" x14ac:dyDescent="0.25">
      <c r="A174" s="5"/>
      <c r="B174" s="41" t="s">
        <v>193</v>
      </c>
      <c r="C174" s="5"/>
      <c r="D174" s="44"/>
      <c r="E174" s="44"/>
      <c r="F174" s="44">
        <v>0</v>
      </c>
      <c r="G174" s="44">
        <v>0</v>
      </c>
      <c r="H174" s="44">
        <v>0</v>
      </c>
      <c r="J174" s="6"/>
      <c r="K174" s="6"/>
      <c r="L174" s="6"/>
    </row>
    <row r="175" spans="1:12" hidden="1" x14ac:dyDescent="0.25"/>
    <row r="176" spans="1:12" s="62" customFormat="1" hidden="1" x14ac:dyDescent="0.25">
      <c r="A176" s="5"/>
      <c r="B176" s="5" t="s">
        <v>172</v>
      </c>
      <c r="C176" s="5"/>
      <c r="D176" s="44"/>
      <c r="E176" s="44">
        <f>E177+E178*E179</f>
        <v>0</v>
      </c>
      <c r="F176" s="44">
        <f>F177+F178*F179</f>
        <v>0</v>
      </c>
      <c r="G176" s="44">
        <f>G177+G178*G179</f>
        <v>0</v>
      </c>
      <c r="H176" s="44">
        <f>H177+H178*H179</f>
        <v>0</v>
      </c>
      <c r="J176" s="6"/>
      <c r="K176" s="6"/>
      <c r="L176" s="6"/>
    </row>
    <row r="177" spans="1:12" s="62" customFormat="1" hidden="1" x14ac:dyDescent="0.25">
      <c r="A177" s="5"/>
      <c r="B177" s="41" t="s">
        <v>153</v>
      </c>
      <c r="C177" s="5"/>
      <c r="D177" s="44"/>
      <c r="E177" s="44"/>
      <c r="F177" s="44">
        <f>'Rates and GI'!D46*0</f>
        <v>0</v>
      </c>
      <c r="G177" s="38"/>
      <c r="H177" s="38"/>
      <c r="J177" s="6"/>
      <c r="K177" s="6"/>
      <c r="L177" s="6"/>
    </row>
    <row r="178" spans="1:12" s="62" customFormat="1" hidden="1" x14ac:dyDescent="0.25">
      <c r="A178" s="5"/>
      <c r="B178" s="41" t="s">
        <v>159</v>
      </c>
      <c r="C178" s="5"/>
      <c r="D178" s="44"/>
      <c r="E178" s="44"/>
      <c r="F178" s="65">
        <f>'Rates and GI'!$D$47</f>
        <v>0.05</v>
      </c>
      <c r="G178" s="65">
        <f>'Rates and GI'!$D$47</f>
        <v>0.05</v>
      </c>
      <c r="H178" s="65">
        <f>'Rates and GI'!$D$47</f>
        <v>0.05</v>
      </c>
      <c r="J178" s="6"/>
      <c r="K178" s="6"/>
      <c r="L178" s="6"/>
    </row>
    <row r="179" spans="1:12" s="62" customFormat="1" hidden="1" x14ac:dyDescent="0.25">
      <c r="A179" s="5"/>
      <c r="B179" s="41" t="s">
        <v>160</v>
      </c>
      <c r="C179" s="5"/>
      <c r="D179" s="44"/>
      <c r="E179" s="44"/>
      <c r="F179" s="44">
        <v>0</v>
      </c>
      <c r="G179" s="38">
        <v>0</v>
      </c>
      <c r="H179" s="38"/>
      <c r="J179" s="6"/>
      <c r="K179" s="6"/>
      <c r="L179" s="6"/>
    </row>
    <row r="180" spans="1:12" hidden="1" x14ac:dyDescent="0.25"/>
    <row r="181" spans="1:12" hidden="1" x14ac:dyDescent="0.25"/>
    <row r="182" spans="1:12" s="62" customFormat="1" hidden="1" x14ac:dyDescent="0.25">
      <c r="A182" s="50"/>
      <c r="B182" s="50" t="s">
        <v>19</v>
      </c>
      <c r="C182" s="50"/>
      <c r="D182" s="52"/>
      <c r="E182" s="52">
        <v>0</v>
      </c>
      <c r="F182" s="52">
        <v>0</v>
      </c>
      <c r="G182" s="52">
        <v>0</v>
      </c>
      <c r="H182" s="52">
        <v>0</v>
      </c>
      <c r="J182" s="6"/>
      <c r="K182" s="6"/>
      <c r="L182" s="6"/>
    </row>
    <row r="183" spans="1:12" hidden="1" x14ac:dyDescent="0.25"/>
    <row r="185" spans="1:12" x14ac:dyDescent="0.25">
      <c r="A185" s="228"/>
      <c r="B185" s="228"/>
      <c r="C185" s="228"/>
      <c r="D185" s="230"/>
      <c r="E185" s="230"/>
      <c r="F185" s="230"/>
      <c r="G185" s="230"/>
      <c r="H185" s="230"/>
    </row>
  </sheetData>
  <pageMargins left="0.7" right="0.7" top="0.75" bottom="0.75" header="0.3" footer="0.3"/>
  <pageSetup paperSize="9" scale="56" fitToHeight="0"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2"/>
  <sheetViews>
    <sheetView topLeftCell="A102" zoomScaleNormal="100" workbookViewId="0">
      <selection activeCell="B188" sqref="B18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8554687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29</v>
      </c>
      <c r="B1" s="126" t="s">
        <v>278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2969.4</v>
      </c>
      <c r="E5" s="44">
        <f>E63</f>
        <v>2969.4</v>
      </c>
      <c r="F5" s="44">
        <f t="shared" ref="F5:H5" si="1">F63</f>
        <v>0</v>
      </c>
      <c r="G5" s="44">
        <f t="shared" si="1"/>
        <v>0</v>
      </c>
      <c r="H5" s="44">
        <f t="shared" si="1"/>
        <v>0</v>
      </c>
    </row>
    <row r="6" spans="1:12" x14ac:dyDescent="0.25">
      <c r="B6" s="16" t="s">
        <v>168</v>
      </c>
      <c r="D6" s="44">
        <f t="shared" si="0"/>
        <v>6813.0719999999992</v>
      </c>
      <c r="E6" s="44">
        <f>E67</f>
        <v>6813.0719999999992</v>
      </c>
      <c r="F6" s="44">
        <f t="shared" ref="F6:H6" si="2">F67</f>
        <v>0</v>
      </c>
      <c r="G6" s="44">
        <f t="shared" si="2"/>
        <v>0</v>
      </c>
      <c r="H6" s="44">
        <f t="shared" si="2"/>
        <v>0</v>
      </c>
    </row>
    <row r="7" spans="1:12" ht="14.25" thickBot="1" x14ac:dyDescent="0.3">
      <c r="A7" s="13"/>
      <c r="B7" s="13" t="s">
        <v>5</v>
      </c>
      <c r="C7" s="13"/>
      <c r="D7" s="47">
        <f>SUBTOTAL(9,D5:D6)</f>
        <v>9782.4719999999998</v>
      </c>
      <c r="E7" s="47">
        <f>SUBTOTAL(9,E5:E6)</f>
        <v>9782.4719999999998</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1816.4635211764707</v>
      </c>
      <c r="E10" s="44">
        <f>E87</f>
        <v>1816.4635211764707</v>
      </c>
      <c r="F10" s="44">
        <f t="shared" ref="F10:H10" si="4">F87</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1816.4635211764707</v>
      </c>
      <c r="E12" s="47">
        <f t="shared" ref="E12:H12" si="5">SUBTOTAL(9,E10:E11)</f>
        <v>1816.4635211764707</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631.70365882352939</v>
      </c>
      <c r="E15" s="44">
        <f>E95</f>
        <v>631.70365882352939</v>
      </c>
      <c r="F15" s="44">
        <f t="shared" ref="F15:H15" si="7">F95</f>
        <v>0</v>
      </c>
      <c r="G15" s="44">
        <f t="shared" si="7"/>
        <v>0</v>
      </c>
      <c r="H15" s="44">
        <f t="shared" si="7"/>
        <v>0</v>
      </c>
    </row>
    <row r="16" spans="1:12" x14ac:dyDescent="0.25">
      <c r="B16" s="16" t="s">
        <v>71</v>
      </c>
    </row>
    <row r="17" spans="1:12" ht="14.25" thickBot="1" x14ac:dyDescent="0.3">
      <c r="A17" s="13"/>
      <c r="B17" s="13" t="s">
        <v>74</v>
      </c>
      <c r="C17" s="13"/>
      <c r="D17" s="47">
        <f>SUBTOTAL(9,D15:D16)</f>
        <v>631.70365882352939</v>
      </c>
      <c r="E17" s="47">
        <f t="shared" ref="E17:H17" si="8">SUBTOTAL(9,E15:E16)</f>
        <v>631.70365882352939</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15291.324438890624</v>
      </c>
      <c r="E20" s="44">
        <f>E99</f>
        <v>3709.0909999999999</v>
      </c>
      <c r="F20" s="44">
        <f t="shared" ref="F20:H20" si="10">F99</f>
        <v>3699.390625</v>
      </c>
      <c r="G20" s="44">
        <f t="shared" si="10"/>
        <v>3858.464421875</v>
      </c>
      <c r="H20" s="44">
        <f t="shared" si="10"/>
        <v>4024.3783920156243</v>
      </c>
    </row>
    <row r="21" spans="1:12" x14ac:dyDescent="0.25">
      <c r="B21" s="16" t="s">
        <v>139</v>
      </c>
      <c r="D21" s="44">
        <f t="shared" ref="D21" si="11">SUM(E21:H21)</f>
        <v>0</v>
      </c>
    </row>
    <row r="22" spans="1:12" ht="14.25" thickBot="1" x14ac:dyDescent="0.3">
      <c r="A22" s="13"/>
      <c r="B22" s="13" t="s">
        <v>140</v>
      </c>
      <c r="C22" s="13"/>
      <c r="D22" s="47">
        <f>SUBTOTAL(9,D20:D21)</f>
        <v>15291.324438890624</v>
      </c>
      <c r="E22" s="47">
        <f t="shared" ref="E22:H22" si="12">SUBTOTAL(9,E20:E21)</f>
        <v>3709.0909999999999</v>
      </c>
      <c r="F22" s="47">
        <f t="shared" si="12"/>
        <v>3699.390625</v>
      </c>
      <c r="G22" s="47">
        <f t="shared" si="12"/>
        <v>3858.464421875</v>
      </c>
      <c r="H22" s="47">
        <f t="shared" si="12"/>
        <v>4024.3783920156243</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450</v>
      </c>
      <c r="E25" s="44">
        <f>E113</f>
        <v>450</v>
      </c>
      <c r="F25" s="44">
        <f t="shared" ref="F25:H25" si="13">F113</f>
        <v>0</v>
      </c>
      <c r="G25" s="44">
        <f t="shared" si="13"/>
        <v>0</v>
      </c>
      <c r="H25" s="44">
        <f t="shared" si="13"/>
        <v>0</v>
      </c>
    </row>
    <row r="26" spans="1:12" x14ac:dyDescent="0.25">
      <c r="B26" s="16" t="s">
        <v>25</v>
      </c>
      <c r="D26" s="44">
        <f t="shared" ref="D26" si="14">SUM(E26:H26)</f>
        <v>520</v>
      </c>
      <c r="E26" s="44">
        <f>E134</f>
        <v>355</v>
      </c>
      <c r="F26" s="44">
        <f t="shared" ref="F26:H26" si="15">F134</f>
        <v>55</v>
      </c>
      <c r="G26" s="44">
        <f t="shared" si="15"/>
        <v>55</v>
      </c>
      <c r="H26" s="44">
        <f t="shared" si="15"/>
        <v>55</v>
      </c>
    </row>
    <row r="27" spans="1:12" x14ac:dyDescent="0.25">
      <c r="B27" s="16" t="s">
        <v>233</v>
      </c>
    </row>
    <row r="28" spans="1:12" ht="14.25" thickBot="1" x14ac:dyDescent="0.3">
      <c r="A28" s="13"/>
      <c r="B28" s="13" t="s">
        <v>73</v>
      </c>
      <c r="C28" s="13"/>
      <c r="D28" s="47">
        <f>SUBTOTAL(9,D25:D27)</f>
        <v>970</v>
      </c>
      <c r="E28" s="47">
        <f t="shared" ref="E28:H28" si="16">SUBTOTAL(9,E25:E27)</f>
        <v>805</v>
      </c>
      <c r="F28" s="47">
        <f t="shared" si="16"/>
        <v>55</v>
      </c>
      <c r="G28" s="47">
        <f t="shared" si="16"/>
        <v>55</v>
      </c>
      <c r="H28" s="47">
        <f t="shared" si="16"/>
        <v>55</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E123</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E181</f>
        <v>0</v>
      </c>
      <c r="F40" s="44">
        <f t="shared" ref="F40:H40" si="20">F181</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20</v>
      </c>
      <c r="C45" s="15"/>
      <c r="D45" s="53"/>
      <c r="E45" s="53"/>
      <c r="F45" s="53"/>
      <c r="G45" s="54"/>
      <c r="H45" s="54"/>
      <c r="I45" s="61"/>
      <c r="J45" s="12"/>
      <c r="K45" s="12"/>
      <c r="L45" s="12"/>
    </row>
    <row r="46" spans="1:12" x14ac:dyDescent="0.25">
      <c r="A46" s="3"/>
      <c r="B46" s="3" t="s">
        <v>194</v>
      </c>
      <c r="C46" s="3"/>
      <c r="D46" s="44">
        <f t="shared" ref="D46:D47" si="22">SUM(E46:H46)</f>
        <v>0</v>
      </c>
      <c r="E46" s="44">
        <f>E154</f>
        <v>0</v>
      </c>
      <c r="F46" s="44">
        <f t="shared" ref="F46:H46" si="23">F154</f>
        <v>0</v>
      </c>
      <c r="G46" s="44">
        <f t="shared" si="23"/>
        <v>0</v>
      </c>
      <c r="H46" s="44">
        <f t="shared" si="23"/>
        <v>0</v>
      </c>
    </row>
    <row r="47" spans="1:12" x14ac:dyDescent="0.25">
      <c r="A47" s="3"/>
      <c r="B47" s="3" t="s">
        <v>21</v>
      </c>
      <c r="C47" s="3"/>
      <c r="D47" s="44">
        <f t="shared" si="22"/>
        <v>0</v>
      </c>
      <c r="E47" s="44">
        <f>E144</f>
        <v>0</v>
      </c>
      <c r="F47" s="44">
        <f t="shared" ref="F47:H47" si="24">F144</f>
        <v>0</v>
      </c>
      <c r="G47" s="44">
        <f t="shared" si="24"/>
        <v>0</v>
      </c>
      <c r="H47" s="44">
        <f t="shared" si="24"/>
        <v>0</v>
      </c>
    </row>
    <row r="48" spans="1:12" ht="14.25" thickBot="1" x14ac:dyDescent="0.3">
      <c r="A48" s="13"/>
      <c r="B48" s="13" t="s">
        <v>69</v>
      </c>
      <c r="C48" s="13"/>
      <c r="D48" s="47">
        <f>SUBTOTAL(9,D46:D47)</f>
        <v>0</v>
      </c>
      <c r="E48" s="47">
        <f>SUBTOTAL(9,E46:E47)</f>
        <v>0</v>
      </c>
      <c r="F48" s="47">
        <f>SUBTOTAL(9,F46:F47)</f>
        <v>0</v>
      </c>
      <c r="G48" s="47">
        <f>SUBTOTAL(9,G46:G47)</f>
        <v>0</v>
      </c>
      <c r="H48" s="47">
        <f>SUBTOTAL(9,H46:H47)</f>
        <v>0</v>
      </c>
    </row>
    <row r="49" spans="1:9" ht="5.25" customHeight="1" x14ac:dyDescent="0.25">
      <c r="A49" s="1"/>
      <c r="B49" s="1"/>
      <c r="C49" s="1"/>
    </row>
    <row r="50" spans="1:9" ht="14.25" thickBot="1" x14ac:dyDescent="0.3">
      <c r="A50" s="48"/>
      <c r="B50" s="48" t="s">
        <v>142</v>
      </c>
      <c r="C50" s="48"/>
      <c r="D50" s="49">
        <f>SUBTOTAL(9,D5:D48)</f>
        <v>28491.963618890622</v>
      </c>
      <c r="E50" s="49">
        <f>SUBTOTAL(9,E5:E48)</f>
        <v>16744.730179999999</v>
      </c>
      <c r="F50" s="49">
        <f>SUBTOTAL(9,F5:F48)</f>
        <v>3754.390625</v>
      </c>
      <c r="G50" s="49">
        <f>SUBTOTAL(9,G5:G48)</f>
        <v>3913.464421875</v>
      </c>
      <c r="H50" s="49">
        <f>SUBTOTAL(9,H5:H48)</f>
        <v>4079.3783920156243</v>
      </c>
    </row>
    <row r="51" spans="1:9" ht="14.25" thickBot="1" x14ac:dyDescent="0.3">
      <c r="A51" s="1"/>
      <c r="B51" s="1"/>
      <c r="C51" s="1"/>
      <c r="D51" s="33"/>
      <c r="E51" s="33"/>
      <c r="F51" s="33"/>
      <c r="G51" s="28"/>
      <c r="H51" s="28"/>
      <c r="I51" s="6"/>
    </row>
    <row r="52" spans="1:9" ht="18" thickTop="1" x14ac:dyDescent="0.3">
      <c r="A52" s="120"/>
      <c r="B52" s="121" t="s">
        <v>27</v>
      </c>
      <c r="C52" s="121"/>
      <c r="D52" s="122"/>
      <c r="E52" s="122"/>
      <c r="F52" s="122"/>
      <c r="G52" s="122"/>
      <c r="H52" s="122"/>
      <c r="I52" s="6"/>
    </row>
    <row r="53" spans="1:9" ht="6.75" customHeight="1" x14ac:dyDescent="0.25">
      <c r="A53" s="1"/>
      <c r="B53" s="1"/>
      <c r="C53" s="1"/>
      <c r="D53" s="33"/>
      <c r="E53" s="33"/>
      <c r="F53" s="33"/>
      <c r="G53" s="28"/>
      <c r="H53" s="28"/>
      <c r="I53" s="6"/>
    </row>
    <row r="54" spans="1:9" s="14" customFormat="1" x14ac:dyDescent="0.25">
      <c r="A54" s="81"/>
      <c r="B54" s="81" t="s">
        <v>65</v>
      </c>
      <c r="C54" s="81" t="s">
        <v>64</v>
      </c>
      <c r="D54" s="82"/>
      <c r="E54" s="83">
        <f>start</f>
        <v>43831</v>
      </c>
      <c r="F54" s="83">
        <f>EOMONTH(E54,11)+1</f>
        <v>44197</v>
      </c>
      <c r="G54" s="83">
        <f>EOMONTH(F54,11)+1</f>
        <v>44562</v>
      </c>
      <c r="H54" s="83">
        <f>EOMONTH(G54,11)+1</f>
        <v>44927</v>
      </c>
    </row>
    <row r="55" spans="1:9" ht="6.75" customHeight="1" x14ac:dyDescent="0.25">
      <c r="D55" s="33"/>
      <c r="E55" s="33"/>
      <c r="F55" s="33"/>
      <c r="G55" s="28"/>
      <c r="H55" s="28"/>
      <c r="I55" s="6"/>
    </row>
    <row r="56" spans="1:9" x14ac:dyDescent="0.25">
      <c r="A56" s="50"/>
      <c r="B56" s="50" t="s">
        <v>0</v>
      </c>
      <c r="C56" s="50"/>
      <c r="D56" s="52"/>
      <c r="E56" s="52"/>
      <c r="F56" s="52"/>
      <c r="G56" s="52"/>
      <c r="H56" s="52"/>
    </row>
    <row r="57" spans="1:9" hidden="1" x14ac:dyDescent="0.25">
      <c r="B57" s="5" t="s">
        <v>2</v>
      </c>
      <c r="E57" s="44">
        <f>E58*E59*E60*E61</f>
        <v>0</v>
      </c>
      <c r="F57" s="45"/>
      <c r="G57" s="37"/>
      <c r="H57" s="37"/>
    </row>
    <row r="58" spans="1:9" hidden="1" x14ac:dyDescent="0.25">
      <c r="A58" s="9"/>
      <c r="B58" s="9" t="s">
        <v>36</v>
      </c>
      <c r="C58" s="9"/>
      <c r="E58" s="44">
        <v>0</v>
      </c>
    </row>
    <row r="59" spans="1:9" hidden="1" x14ac:dyDescent="0.25">
      <c r="A59" s="9"/>
      <c r="B59" s="9" t="s">
        <v>37</v>
      </c>
      <c r="C59" s="9"/>
      <c r="D59" s="45"/>
      <c r="E59" s="45">
        <v>0</v>
      </c>
    </row>
    <row r="60" spans="1:9" hidden="1" x14ac:dyDescent="0.25">
      <c r="A60" s="9"/>
      <c r="B60" s="9" t="s">
        <v>38</v>
      </c>
      <c r="C60" s="9"/>
      <c r="E60" s="44">
        <v>0</v>
      </c>
    </row>
    <row r="61" spans="1:9" hidden="1" x14ac:dyDescent="0.25">
      <c r="A61" s="9"/>
      <c r="B61" s="9" t="s">
        <v>39</v>
      </c>
      <c r="C61" s="9"/>
      <c r="E61" s="46">
        <v>0</v>
      </c>
    </row>
    <row r="62" spans="1:9" x14ac:dyDescent="0.25">
      <c r="A62" s="9"/>
      <c r="B62" s="9"/>
      <c r="C62" s="9"/>
    </row>
    <row r="63" spans="1:9" x14ac:dyDescent="0.25">
      <c r="B63" s="5" t="s">
        <v>23</v>
      </c>
      <c r="E63" s="44">
        <f>E64*E65</f>
        <v>2969.4</v>
      </c>
      <c r="F63" s="44">
        <f t="shared" ref="F63:H63" si="25">F64*F65</f>
        <v>0</v>
      </c>
      <c r="G63" s="44">
        <f t="shared" si="25"/>
        <v>0</v>
      </c>
      <c r="H63" s="44">
        <f t="shared" si="25"/>
        <v>0</v>
      </c>
    </row>
    <row r="64" spans="1:9" x14ac:dyDescent="0.25">
      <c r="A64" s="9"/>
      <c r="B64" s="9" t="s">
        <v>114</v>
      </c>
      <c r="C64" s="9" t="s">
        <v>113</v>
      </c>
      <c r="E64" s="44">
        <f>8*21</f>
        <v>168</v>
      </c>
      <c r="F64" s="44">
        <v>0</v>
      </c>
      <c r="G64" s="44">
        <v>0</v>
      </c>
      <c r="H64" s="44">
        <v>0</v>
      </c>
    </row>
    <row r="65" spans="1:12" x14ac:dyDescent="0.25">
      <c r="A65" s="9"/>
      <c r="B65" s="9" t="s">
        <v>40</v>
      </c>
      <c r="C65" s="9"/>
      <c r="E65" s="44">
        <f>'Rates and GI'!D12</f>
        <v>17.675000000000001</v>
      </c>
      <c r="F65" s="44">
        <f>E65*(1+index)</f>
        <v>18.435025</v>
      </c>
      <c r="G65" s="44">
        <f>F65*(1+index)</f>
        <v>19.227731074999998</v>
      </c>
      <c r="H65" s="44">
        <f>G65*(1+index)</f>
        <v>20.054523511224996</v>
      </c>
    </row>
    <row r="67" spans="1:12" s="7" customFormat="1" x14ac:dyDescent="0.25">
      <c r="A67" s="5"/>
      <c r="B67" s="5" t="s">
        <v>168</v>
      </c>
      <c r="C67" s="5"/>
      <c r="D67" s="44"/>
      <c r="E67" s="44">
        <f>E68*E69</f>
        <v>6813.0719999999992</v>
      </c>
      <c r="F67" s="44">
        <f t="shared" ref="F67:H67" si="26">F68*F69</f>
        <v>0</v>
      </c>
      <c r="G67" s="44">
        <f t="shared" si="26"/>
        <v>0</v>
      </c>
      <c r="H67" s="44">
        <f t="shared" si="26"/>
        <v>0</v>
      </c>
      <c r="I67" s="62"/>
      <c r="J67" s="6"/>
      <c r="K67" s="6"/>
      <c r="L67" s="6"/>
    </row>
    <row r="68" spans="1:12" s="7" customFormat="1" x14ac:dyDescent="0.25">
      <c r="A68" s="9"/>
      <c r="B68" s="9" t="s">
        <v>170</v>
      </c>
      <c r="C68" s="9" t="s">
        <v>113</v>
      </c>
      <c r="D68" s="44"/>
      <c r="E68" s="44">
        <f>2*21</f>
        <v>42</v>
      </c>
      <c r="F68" s="44">
        <v>0</v>
      </c>
      <c r="G68" s="44">
        <v>0</v>
      </c>
      <c r="H68" s="44">
        <v>0</v>
      </c>
      <c r="I68" s="62"/>
      <c r="J68" s="6"/>
      <c r="K68" s="6"/>
      <c r="L68" s="6"/>
    </row>
    <row r="69" spans="1:12" s="7" customFormat="1" x14ac:dyDescent="0.25">
      <c r="A69" s="9"/>
      <c r="B69" s="9" t="s">
        <v>40</v>
      </c>
      <c r="C69" s="9"/>
      <c r="D69" s="44"/>
      <c r="E69" s="44">
        <f>'Rates and GI'!D13</f>
        <v>162.21599999999998</v>
      </c>
      <c r="F69" s="44">
        <f>E69*(1+index)</f>
        <v>169.19128799999996</v>
      </c>
      <c r="G69" s="44">
        <f>F69*(1+index)</f>
        <v>176.46651338399994</v>
      </c>
      <c r="H69" s="44">
        <f>G69*(1+index)</f>
        <v>184.05457345951191</v>
      </c>
      <c r="I69" s="62"/>
      <c r="J69" s="6"/>
      <c r="K69" s="6"/>
      <c r="L69" s="6"/>
    </row>
    <row r="70" spans="1:12" hidden="1" x14ac:dyDescent="0.25"/>
    <row r="71" spans="1:12" s="7" customFormat="1" hidden="1" x14ac:dyDescent="0.25">
      <c r="A71" s="5"/>
      <c r="B71" s="5" t="s">
        <v>1</v>
      </c>
      <c r="C71" s="5"/>
      <c r="D71" s="44"/>
      <c r="E71" s="44"/>
      <c r="F71" s="44"/>
      <c r="G71" s="38"/>
      <c r="H71" s="38"/>
      <c r="I71" s="62"/>
      <c r="J71" s="6"/>
      <c r="K71" s="6"/>
      <c r="L71" s="6"/>
    </row>
    <row r="72" spans="1:12" s="7" customFormat="1" hidden="1" x14ac:dyDescent="0.25">
      <c r="A72" s="9"/>
      <c r="B72" s="9" t="s">
        <v>41</v>
      </c>
      <c r="C72" s="9"/>
      <c r="D72" s="44"/>
      <c r="E72" s="44">
        <v>0</v>
      </c>
      <c r="F72" s="44"/>
      <c r="G72" s="38"/>
      <c r="H72" s="38"/>
      <c r="I72" s="62"/>
      <c r="J72" s="6"/>
      <c r="K72" s="6"/>
      <c r="L72" s="6"/>
    </row>
    <row r="73" spans="1:12" s="7" customFormat="1" hidden="1" x14ac:dyDescent="0.25">
      <c r="A73" s="9"/>
      <c r="B73" s="9" t="s">
        <v>42</v>
      </c>
      <c r="C73" s="9"/>
      <c r="D73" s="44"/>
      <c r="E73" s="44">
        <v>0</v>
      </c>
      <c r="F73" s="44"/>
      <c r="G73" s="38"/>
      <c r="H73" s="38"/>
      <c r="I73" s="62"/>
      <c r="J73" s="6"/>
      <c r="K73" s="6"/>
      <c r="L73" s="6"/>
    </row>
    <row r="74" spans="1:12" s="7" customFormat="1" hidden="1" x14ac:dyDescent="0.25">
      <c r="A74" s="9"/>
      <c r="B74" s="9" t="s">
        <v>43</v>
      </c>
      <c r="C74" s="9"/>
      <c r="D74" s="44"/>
      <c r="E74" s="44">
        <v>0</v>
      </c>
      <c r="F74" s="44"/>
      <c r="G74" s="38"/>
      <c r="H74" s="38"/>
      <c r="I74" s="62"/>
      <c r="J74" s="6"/>
      <c r="K74" s="6"/>
      <c r="L74" s="6"/>
    </row>
    <row r="75" spans="1:12" s="7" customFormat="1" hidden="1" x14ac:dyDescent="0.25">
      <c r="A75" s="9"/>
      <c r="B75" s="9" t="s">
        <v>44</v>
      </c>
      <c r="C75" s="9"/>
      <c r="D75" s="44"/>
      <c r="E75" s="44">
        <v>0</v>
      </c>
      <c r="F75" s="44"/>
      <c r="G75" s="38"/>
      <c r="H75" s="38"/>
      <c r="I75" s="62"/>
      <c r="J75" s="6"/>
      <c r="K75" s="6"/>
      <c r="L75" s="6"/>
    </row>
    <row r="76" spans="1:12" hidden="1" x14ac:dyDescent="0.25"/>
    <row r="77" spans="1:12" s="7" customFormat="1" hidden="1" x14ac:dyDescent="0.25">
      <c r="A77" s="5"/>
      <c r="B77" s="5" t="s">
        <v>3</v>
      </c>
      <c r="C77" s="5"/>
      <c r="D77" s="44"/>
      <c r="E77" s="44"/>
      <c r="F77" s="44"/>
      <c r="G77" s="38"/>
      <c r="H77" s="38"/>
      <c r="I77" s="62"/>
      <c r="J77" s="6"/>
      <c r="K77" s="6"/>
      <c r="L77" s="6"/>
    </row>
    <row r="78" spans="1:12" s="7" customFormat="1" hidden="1" x14ac:dyDescent="0.25">
      <c r="A78" s="9"/>
      <c r="B78" s="9" t="s">
        <v>45</v>
      </c>
      <c r="C78" s="9"/>
      <c r="D78" s="44"/>
      <c r="E78" s="44">
        <v>0</v>
      </c>
      <c r="F78" s="44"/>
      <c r="G78" s="38"/>
      <c r="H78" s="38"/>
      <c r="I78" s="62"/>
      <c r="J78" s="6"/>
      <c r="K78" s="6"/>
      <c r="L78" s="6"/>
    </row>
    <row r="79" spans="1:12" s="7" customFormat="1" hidden="1" x14ac:dyDescent="0.25">
      <c r="A79" s="9"/>
      <c r="B79" s="9" t="s">
        <v>46</v>
      </c>
      <c r="C79" s="9"/>
      <c r="D79" s="44"/>
      <c r="E79" s="44">
        <v>0</v>
      </c>
      <c r="F79" s="44"/>
      <c r="G79" s="38"/>
      <c r="H79" s="38"/>
      <c r="I79" s="62"/>
      <c r="J79" s="6"/>
      <c r="K79" s="6"/>
      <c r="L79" s="6"/>
    </row>
    <row r="80" spans="1:12" hidden="1" x14ac:dyDescent="0.25"/>
    <row r="81" spans="1:12" s="7" customFormat="1" hidden="1" x14ac:dyDescent="0.25">
      <c r="A81" s="5"/>
      <c r="B81" s="5" t="s">
        <v>4</v>
      </c>
      <c r="C81" s="5"/>
      <c r="D81" s="44"/>
      <c r="E81" s="44"/>
      <c r="F81" s="44"/>
      <c r="G81" s="38"/>
      <c r="H81" s="38"/>
      <c r="I81" s="62"/>
      <c r="J81" s="6"/>
      <c r="K81" s="6"/>
      <c r="L81" s="6"/>
    </row>
    <row r="82" spans="1:12" s="7" customFormat="1" hidden="1" x14ac:dyDescent="0.25">
      <c r="A82" s="9"/>
      <c r="B82" s="9" t="s">
        <v>47</v>
      </c>
      <c r="C82" s="9"/>
      <c r="D82" s="44"/>
      <c r="E82" s="44">
        <v>0</v>
      </c>
      <c r="F82" s="44"/>
      <c r="G82" s="38"/>
      <c r="H82" s="38"/>
      <c r="I82" s="62"/>
      <c r="J82" s="6"/>
      <c r="K82" s="6"/>
      <c r="L82" s="6"/>
    </row>
    <row r="83" spans="1:12" s="7" customFormat="1" hidden="1" x14ac:dyDescent="0.25">
      <c r="A83" s="9"/>
      <c r="B83" s="9" t="s">
        <v>48</v>
      </c>
      <c r="C83" s="9"/>
      <c r="D83" s="44"/>
      <c r="E83" s="44">
        <v>0</v>
      </c>
      <c r="F83" s="44"/>
      <c r="G83" s="38"/>
      <c r="H83" s="38"/>
      <c r="I83" s="62"/>
      <c r="J83" s="6"/>
      <c r="K83" s="6"/>
      <c r="L83" s="6"/>
    </row>
    <row r="84" spans="1:12" hidden="1" x14ac:dyDescent="0.25"/>
    <row r="85" spans="1:12" s="7" customFormat="1" hidden="1" x14ac:dyDescent="0.25">
      <c r="A85" s="9"/>
      <c r="B85" s="9" t="s">
        <v>39</v>
      </c>
      <c r="C85" s="9"/>
      <c r="D85" s="44"/>
      <c r="E85" s="46"/>
      <c r="F85" s="44"/>
      <c r="G85" s="38"/>
      <c r="H85" s="38"/>
      <c r="I85" s="62"/>
      <c r="J85" s="6"/>
      <c r="K85" s="6"/>
      <c r="L85" s="6"/>
    </row>
    <row r="87" spans="1:12" x14ac:dyDescent="0.25">
      <c r="A87" s="50"/>
      <c r="B87" s="50" t="s">
        <v>10</v>
      </c>
      <c r="C87" s="50"/>
      <c r="D87" s="52"/>
      <c r="E87" s="52">
        <f>E88*E89+E91*E92</f>
        <v>1816.4635211764707</v>
      </c>
      <c r="F87" s="52">
        <f t="shared" ref="F87:H87" si="27">F88*F89+F91*F92</f>
        <v>0</v>
      </c>
      <c r="G87" s="52">
        <f t="shared" si="27"/>
        <v>0</v>
      </c>
      <c r="H87" s="52">
        <f t="shared" si="27"/>
        <v>0</v>
      </c>
    </row>
    <row r="88" spans="1:12" s="7" customFormat="1" x14ac:dyDescent="0.25">
      <c r="A88" s="5"/>
      <c r="B88" s="9" t="s">
        <v>49</v>
      </c>
      <c r="C88" s="5"/>
      <c r="D88" s="44"/>
      <c r="E88" s="44">
        <v>2</v>
      </c>
      <c r="F88" s="44">
        <v>0</v>
      </c>
      <c r="G88" s="44">
        <v>0</v>
      </c>
      <c r="H88" s="44">
        <v>0</v>
      </c>
      <c r="I88" s="62"/>
      <c r="J88" s="6"/>
      <c r="K88" s="6"/>
      <c r="L88" s="6"/>
    </row>
    <row r="89" spans="1:12" s="7" customFormat="1" x14ac:dyDescent="0.25">
      <c r="A89" s="5"/>
      <c r="B89" s="9" t="s">
        <v>50</v>
      </c>
      <c r="C89" s="5"/>
      <c r="D89" s="44"/>
      <c r="E89" s="44">
        <f>Trips!$B$10</f>
        <v>908.23176058823537</v>
      </c>
      <c r="F89" s="44">
        <f>Trips!$B$10</f>
        <v>908.23176058823537</v>
      </c>
      <c r="G89" s="44">
        <f>Trips!$B$10</f>
        <v>908.23176058823537</v>
      </c>
      <c r="H89" s="44">
        <f>Trips!$B$10</f>
        <v>908.23176058823537</v>
      </c>
      <c r="I89" s="62"/>
      <c r="J89" s="6"/>
      <c r="K89" s="6"/>
      <c r="L89" s="6"/>
    </row>
    <row r="90" spans="1:12" hidden="1" x14ac:dyDescent="0.25"/>
    <row r="91" spans="1:12" s="7" customFormat="1" hidden="1" x14ac:dyDescent="0.25">
      <c r="A91" s="5"/>
      <c r="B91" s="9" t="s">
        <v>51</v>
      </c>
      <c r="C91" s="5"/>
      <c r="D91" s="44"/>
      <c r="E91" s="44">
        <v>0</v>
      </c>
      <c r="F91" s="44">
        <v>0</v>
      </c>
      <c r="G91" s="44">
        <v>0</v>
      </c>
      <c r="H91" s="44">
        <v>0</v>
      </c>
      <c r="I91" s="62"/>
      <c r="J91" s="6"/>
      <c r="K91" s="6"/>
      <c r="L91" s="6"/>
    </row>
    <row r="92" spans="1:12" s="7" customFormat="1" hidden="1" x14ac:dyDescent="0.25">
      <c r="A92" s="5"/>
      <c r="B92" s="9" t="s">
        <v>52</v>
      </c>
      <c r="C92" s="5"/>
      <c r="D92" s="44"/>
      <c r="E92" s="44">
        <f>Trips!$B$5</f>
        <v>52</v>
      </c>
      <c r="F92" s="44">
        <f>Trips!$B$5</f>
        <v>52</v>
      </c>
      <c r="G92" s="44">
        <f>Trips!$B$5</f>
        <v>52</v>
      </c>
      <c r="H92" s="44">
        <f>Trips!$B$5</f>
        <v>52</v>
      </c>
      <c r="I92" s="62"/>
      <c r="J92" s="6"/>
      <c r="K92" s="6"/>
      <c r="L92" s="6"/>
    </row>
    <row r="93" spans="1:12" hidden="1" x14ac:dyDescent="0.25"/>
    <row r="95" spans="1:12" x14ac:dyDescent="0.25">
      <c r="A95" s="50"/>
      <c r="B95" s="50" t="s">
        <v>171</v>
      </c>
      <c r="C95" s="50"/>
      <c r="D95" s="52"/>
      <c r="E95" s="52">
        <f>E96*E97</f>
        <v>631.70365882352939</v>
      </c>
      <c r="F95" s="52">
        <f t="shared" ref="F95:H95" si="28">F96*F97</f>
        <v>0</v>
      </c>
      <c r="G95" s="52">
        <f t="shared" si="28"/>
        <v>0</v>
      </c>
      <c r="H95" s="52">
        <f t="shared" si="28"/>
        <v>0</v>
      </c>
    </row>
    <row r="96" spans="1:12" s="7" customFormat="1" x14ac:dyDescent="0.25">
      <c r="A96" s="10"/>
      <c r="B96" s="39" t="s">
        <v>144</v>
      </c>
      <c r="C96" s="10" t="s">
        <v>145</v>
      </c>
      <c r="D96" s="44"/>
      <c r="E96" s="44">
        <v>1</v>
      </c>
      <c r="F96" s="44">
        <v>0</v>
      </c>
      <c r="G96" s="44">
        <v>0</v>
      </c>
      <c r="H96" s="44">
        <v>0</v>
      </c>
      <c r="I96" s="62"/>
      <c r="J96" s="6"/>
      <c r="K96" s="6"/>
      <c r="L96" s="6"/>
    </row>
    <row r="97" spans="1:12" s="7" customFormat="1" x14ac:dyDescent="0.25">
      <c r="A97" s="5"/>
      <c r="B97" s="39" t="s">
        <v>141</v>
      </c>
      <c r="C97" s="5"/>
      <c r="D97" s="44"/>
      <c r="E97" s="44">
        <f>Trips!B41</f>
        <v>631.70365882352939</v>
      </c>
      <c r="F97" s="44">
        <f>E97*(1+index)</f>
        <v>658.86691615294114</v>
      </c>
      <c r="G97" s="44">
        <f>F97*(1+index)</f>
        <v>687.19819354751758</v>
      </c>
      <c r="H97" s="44">
        <f>G97*(1+index)</f>
        <v>716.7477158700608</v>
      </c>
      <c r="I97" s="62"/>
      <c r="J97" s="6"/>
      <c r="K97" s="6"/>
      <c r="L97" s="6"/>
    </row>
    <row r="99" spans="1:12" x14ac:dyDescent="0.25">
      <c r="A99" s="50"/>
      <c r="B99" s="50" t="s">
        <v>130</v>
      </c>
      <c r="C99" s="50"/>
      <c r="D99" s="52"/>
      <c r="E99" s="52">
        <f>E100*E101+E102*E103+E104</f>
        <v>3709.0909999999999</v>
      </c>
      <c r="F99" s="52">
        <f t="shared" ref="F99:H99" si="29">F100*F101+F102*F103+F104</f>
        <v>3699.390625</v>
      </c>
      <c r="G99" s="52">
        <f t="shared" si="29"/>
        <v>3858.464421875</v>
      </c>
      <c r="H99" s="52">
        <f t="shared" si="29"/>
        <v>4024.3783920156243</v>
      </c>
    </row>
    <row r="100" spans="1:12" x14ac:dyDescent="0.25">
      <c r="B100" s="39" t="s">
        <v>131</v>
      </c>
      <c r="C100" s="5" t="s">
        <v>132</v>
      </c>
      <c r="E100" s="44">
        <f>Training!$C$33</f>
        <v>81.10799999999999</v>
      </c>
      <c r="F100" s="44">
        <f>Training!$C$33</f>
        <v>81.10799999999999</v>
      </c>
      <c r="G100" s="44">
        <f>Training!$C$33</f>
        <v>81.10799999999999</v>
      </c>
      <c r="H100" s="44">
        <f>Training!$C$33</f>
        <v>81.10799999999999</v>
      </c>
    </row>
    <row r="101" spans="1:12" x14ac:dyDescent="0.25">
      <c r="B101" s="39" t="s">
        <v>133</v>
      </c>
      <c r="E101" s="44">
        <v>2</v>
      </c>
      <c r="F101" s="44">
        <f>F88</f>
        <v>0</v>
      </c>
      <c r="G101" s="44">
        <f t="shared" ref="G101:H101" si="30">G88</f>
        <v>0</v>
      </c>
      <c r="H101" s="44">
        <f t="shared" si="30"/>
        <v>0</v>
      </c>
    </row>
    <row r="102" spans="1:12" x14ac:dyDescent="0.25">
      <c r="B102" s="39" t="s">
        <v>134</v>
      </c>
      <c r="E102" s="44">
        <f>Training!C$23</f>
        <v>709.375</v>
      </c>
      <c r="F102" s="44">
        <f>E102*(1+index)</f>
        <v>739.87812499999995</v>
      </c>
      <c r="G102" s="44">
        <f>F102*(1+index)</f>
        <v>771.69288437499995</v>
      </c>
      <c r="H102" s="44">
        <f>G102*(1+index)</f>
        <v>804.87567840312488</v>
      </c>
    </row>
    <row r="103" spans="1:12" x14ac:dyDescent="0.25">
      <c r="B103" s="39" t="s">
        <v>135</v>
      </c>
      <c r="E103" s="44">
        <v>5</v>
      </c>
      <c r="F103" s="44">
        <v>5</v>
      </c>
      <c r="G103" s="44">
        <v>5</v>
      </c>
      <c r="H103" s="44">
        <v>5</v>
      </c>
    </row>
    <row r="104" spans="1:12" hidden="1" x14ac:dyDescent="0.25">
      <c r="B104" s="130" t="s">
        <v>245</v>
      </c>
      <c r="E104" s="44">
        <f>E105*E107</f>
        <v>0</v>
      </c>
      <c r="F104" s="44">
        <f t="shared" ref="F104:H104" si="31">F105*F107</f>
        <v>0</v>
      </c>
      <c r="G104" s="44">
        <f t="shared" si="31"/>
        <v>0</v>
      </c>
      <c r="H104" s="44">
        <f t="shared" si="31"/>
        <v>0</v>
      </c>
    </row>
    <row r="105" spans="1:12" hidden="1" x14ac:dyDescent="0.25">
      <c r="B105" s="39" t="s">
        <v>203</v>
      </c>
      <c r="C105" s="5" t="s">
        <v>137</v>
      </c>
      <c r="G105" s="44"/>
      <c r="H105" s="44"/>
    </row>
    <row r="106" spans="1:12" hidden="1" x14ac:dyDescent="0.25">
      <c r="B106" s="39" t="s">
        <v>244</v>
      </c>
      <c r="E106" s="45">
        <v>0</v>
      </c>
      <c r="F106" s="45">
        <f>E106*1.1</f>
        <v>0</v>
      </c>
      <c r="G106" s="45">
        <f t="shared" ref="G106:H106" si="32">F106*1.1</f>
        <v>0</v>
      </c>
      <c r="H106" s="45">
        <f t="shared" si="32"/>
        <v>0</v>
      </c>
    </row>
    <row r="107" spans="1:12" hidden="1" x14ac:dyDescent="0.25">
      <c r="B107" s="39" t="s">
        <v>133</v>
      </c>
      <c r="E107" s="44">
        <v>0</v>
      </c>
      <c r="F107" s="44">
        <v>0</v>
      </c>
      <c r="G107" s="44">
        <v>0</v>
      </c>
      <c r="H107" s="44">
        <v>0</v>
      </c>
    </row>
    <row r="108" spans="1:12" hidden="1" x14ac:dyDescent="0.25">
      <c r="B108" s="130" t="s">
        <v>247</v>
      </c>
      <c r="E108" s="44">
        <f>E109*E111</f>
        <v>0</v>
      </c>
      <c r="F108" s="44">
        <f t="shared" ref="F108:H108" si="33">F109*F111</f>
        <v>0</v>
      </c>
      <c r="G108" s="44">
        <f t="shared" si="33"/>
        <v>0</v>
      </c>
      <c r="H108" s="44">
        <f t="shared" si="33"/>
        <v>0</v>
      </c>
    </row>
    <row r="109" spans="1:12" hidden="1" x14ac:dyDescent="0.25">
      <c r="B109" s="39" t="s">
        <v>203</v>
      </c>
      <c r="C109" s="5" t="s">
        <v>137</v>
      </c>
      <c r="G109" s="44"/>
      <c r="H109" s="44"/>
    </row>
    <row r="110" spans="1:12" hidden="1" x14ac:dyDescent="0.25">
      <c r="B110" s="39" t="s">
        <v>244</v>
      </c>
      <c r="E110" s="45">
        <f>E106/2</f>
        <v>0</v>
      </c>
      <c r="F110" s="45">
        <f>E110*1.1</f>
        <v>0</v>
      </c>
      <c r="G110" s="45">
        <f t="shared" ref="G110:H110" si="34">F110*1.1</f>
        <v>0</v>
      </c>
      <c r="H110" s="45">
        <f t="shared" si="34"/>
        <v>0</v>
      </c>
    </row>
    <row r="111" spans="1:12" hidden="1" x14ac:dyDescent="0.25">
      <c r="B111" s="39" t="s">
        <v>133</v>
      </c>
      <c r="E111" s="44">
        <v>0</v>
      </c>
      <c r="F111" s="44">
        <v>0</v>
      </c>
      <c r="G111" s="44">
        <v>0</v>
      </c>
      <c r="H111" s="44">
        <v>0</v>
      </c>
    </row>
    <row r="112" spans="1:12" x14ac:dyDescent="0.25">
      <c r="B112" s="39"/>
    </row>
    <row r="113" spans="1:12" x14ac:dyDescent="0.25">
      <c r="A113" s="50"/>
      <c r="B113" s="50" t="s">
        <v>24</v>
      </c>
      <c r="C113" s="50"/>
      <c r="D113" s="52"/>
      <c r="E113" s="52">
        <f t="shared" ref="E113:H113" si="35">E114*E115</f>
        <v>450</v>
      </c>
      <c r="F113" s="52">
        <f t="shared" si="35"/>
        <v>0</v>
      </c>
      <c r="G113" s="52">
        <f t="shared" si="35"/>
        <v>0</v>
      </c>
      <c r="H113" s="52">
        <f t="shared" si="35"/>
        <v>0</v>
      </c>
    </row>
    <row r="114" spans="1:12" s="7" customFormat="1" x14ac:dyDescent="0.25">
      <c r="A114" s="5"/>
      <c r="B114" s="39" t="s">
        <v>53</v>
      </c>
      <c r="C114" s="5"/>
      <c r="D114" s="44"/>
      <c r="E114" s="44">
        <v>75</v>
      </c>
      <c r="F114" s="44">
        <v>0</v>
      </c>
      <c r="G114" s="44"/>
      <c r="H114" s="44"/>
      <c r="I114" s="62"/>
      <c r="J114" s="6"/>
      <c r="K114" s="6"/>
      <c r="L114" s="6"/>
    </row>
    <row r="115" spans="1:12" s="7" customFormat="1" x14ac:dyDescent="0.25">
      <c r="A115" s="5"/>
      <c r="B115" s="39" t="s">
        <v>54</v>
      </c>
      <c r="C115" s="5"/>
      <c r="D115" s="44"/>
      <c r="E115" s="44">
        <f>'Rates and GI'!D25</f>
        <v>6</v>
      </c>
      <c r="F115" s="44">
        <f>E115*(1+index)</f>
        <v>6.2579999999999991</v>
      </c>
      <c r="G115" s="44">
        <f>F115*(1+index)</f>
        <v>6.5270939999999991</v>
      </c>
      <c r="H115" s="44">
        <f>G115*(1+index)</f>
        <v>6.8077590419999989</v>
      </c>
      <c r="I115" s="62"/>
      <c r="J115" s="6"/>
      <c r="K115" s="6"/>
      <c r="L115" s="6"/>
    </row>
    <row r="117" spans="1:12" hidden="1" x14ac:dyDescent="0.25">
      <c r="A117" s="50"/>
      <c r="B117" s="50" t="s">
        <v>7</v>
      </c>
      <c r="C117" s="50"/>
      <c r="D117" s="52"/>
      <c r="E117" s="52"/>
      <c r="F117" s="52"/>
      <c r="G117" s="52"/>
      <c r="H117" s="52"/>
    </row>
    <row r="118" spans="1:12" s="7" customFormat="1" hidden="1" x14ac:dyDescent="0.25">
      <c r="A118" s="5"/>
      <c r="B118" s="4" t="s">
        <v>57</v>
      </c>
      <c r="C118" s="5"/>
      <c r="D118" s="44"/>
      <c r="E118" s="46"/>
      <c r="F118" s="46"/>
      <c r="G118" s="105"/>
      <c r="H118" s="105"/>
      <c r="I118" s="62"/>
      <c r="J118" s="6"/>
      <c r="K118" s="6"/>
      <c r="L118" s="6"/>
    </row>
    <row r="119" spans="1:12" s="43" customFormat="1" hidden="1" x14ac:dyDescent="0.25">
      <c r="A119" s="40"/>
      <c r="B119" s="41" t="s">
        <v>58</v>
      </c>
      <c r="C119" s="40" t="s">
        <v>55</v>
      </c>
      <c r="D119" s="71"/>
      <c r="E119" s="71"/>
      <c r="F119" s="71"/>
      <c r="G119" s="72"/>
      <c r="H119" s="72"/>
      <c r="I119" s="75"/>
      <c r="J119" s="42"/>
      <c r="K119" s="42"/>
      <c r="L119" s="42"/>
    </row>
    <row r="120" spans="1:12" s="40" customFormat="1" hidden="1" x14ac:dyDescent="0.25">
      <c r="B120" s="41" t="s">
        <v>56</v>
      </c>
      <c r="D120" s="71"/>
      <c r="E120" s="71"/>
      <c r="F120" s="71"/>
      <c r="G120" s="72"/>
      <c r="H120" s="72"/>
      <c r="I120" s="75"/>
      <c r="J120" s="42"/>
      <c r="K120" s="42"/>
      <c r="L120" s="42"/>
    </row>
    <row r="121" spans="1:12" s="40" customFormat="1" hidden="1" x14ac:dyDescent="0.25">
      <c r="B121" s="41" t="s">
        <v>59</v>
      </c>
      <c r="D121" s="71"/>
      <c r="E121" s="71"/>
      <c r="F121" s="71"/>
      <c r="G121" s="72"/>
      <c r="H121" s="72"/>
      <c r="I121" s="75"/>
      <c r="J121" s="42"/>
      <c r="K121" s="42"/>
      <c r="L121" s="42"/>
    </row>
    <row r="122" spans="1:12" hidden="1" x14ac:dyDescent="0.25"/>
    <row r="123" spans="1:12" hidden="1" x14ac:dyDescent="0.25">
      <c r="A123" s="50"/>
      <c r="B123" s="50" t="s">
        <v>26</v>
      </c>
      <c r="C123" s="50"/>
      <c r="D123" s="52"/>
      <c r="E123" s="52">
        <f>E128*E129</f>
        <v>0</v>
      </c>
      <c r="F123" s="52">
        <f>F128*F129</f>
        <v>0</v>
      </c>
      <c r="G123" s="52"/>
      <c r="H123" s="52"/>
    </row>
    <row r="124" spans="1:12" s="5" customFormat="1" hidden="1" x14ac:dyDescent="0.25">
      <c r="B124" s="55" t="s">
        <v>60</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s="5" customFormat="1" hidden="1" x14ac:dyDescent="0.25">
      <c r="B127" s="55" t="s">
        <v>123</v>
      </c>
      <c r="D127" s="44"/>
      <c r="E127" s="44"/>
      <c r="F127" s="44"/>
      <c r="G127" s="38"/>
      <c r="H127" s="38"/>
      <c r="I127" s="62"/>
      <c r="J127" s="6"/>
      <c r="K127" s="6"/>
      <c r="L127" s="6"/>
    </row>
    <row r="128" spans="1:12" s="5" customFormat="1" hidden="1" x14ac:dyDescent="0.25">
      <c r="B128" s="41" t="s">
        <v>147</v>
      </c>
      <c r="D128" s="44"/>
      <c r="E128" s="44">
        <f>'Rates and GI'!$D$31</f>
        <v>350</v>
      </c>
      <c r="F128" s="44">
        <f>'Rates and GI'!$D$31</f>
        <v>350</v>
      </c>
      <c r="G128" s="44">
        <f>'Rates and GI'!$D$31</f>
        <v>350</v>
      </c>
      <c r="H128" s="44">
        <f>'Rates and GI'!$D$31</f>
        <v>350</v>
      </c>
      <c r="I128" s="62"/>
      <c r="J128" s="6"/>
      <c r="K128" s="6"/>
      <c r="L128" s="6"/>
    </row>
    <row r="129" spans="1:12" s="5" customFormat="1" hidden="1" x14ac:dyDescent="0.25">
      <c r="B129" s="41" t="s">
        <v>146</v>
      </c>
      <c r="D129" s="44"/>
      <c r="E129" s="44">
        <v>0</v>
      </c>
      <c r="F129" s="44">
        <v>0</v>
      </c>
      <c r="G129" s="38"/>
      <c r="H129" s="38"/>
      <c r="I129" s="62"/>
      <c r="J129" s="6"/>
      <c r="K129" s="6"/>
      <c r="L129" s="6"/>
    </row>
    <row r="130" spans="1:12" s="5" customFormat="1" hidden="1" x14ac:dyDescent="0.25">
      <c r="B130" s="55" t="s">
        <v>8</v>
      </c>
      <c r="D130" s="44"/>
      <c r="E130" s="44"/>
      <c r="F130" s="44"/>
      <c r="G130" s="38"/>
      <c r="H130" s="38"/>
      <c r="I130" s="62"/>
      <c r="J130" s="6"/>
      <c r="K130" s="6"/>
      <c r="L130" s="6"/>
    </row>
    <row r="131" spans="1:12" s="5" customFormat="1" hidden="1" x14ac:dyDescent="0.25">
      <c r="B131" s="41" t="s">
        <v>147</v>
      </c>
      <c r="D131" s="44"/>
      <c r="E131" s="44"/>
      <c r="F131" s="44"/>
      <c r="G131" s="38"/>
      <c r="H131" s="38"/>
      <c r="I131" s="62"/>
      <c r="J131" s="6"/>
      <c r="K131" s="6"/>
      <c r="L131" s="6"/>
    </row>
    <row r="132" spans="1:12" s="5" customFormat="1" hidden="1" x14ac:dyDescent="0.25">
      <c r="B132" s="41" t="s">
        <v>146</v>
      </c>
      <c r="D132" s="44"/>
      <c r="E132" s="44"/>
      <c r="F132" s="44"/>
      <c r="G132" s="38"/>
      <c r="H132" s="38"/>
      <c r="I132" s="62"/>
      <c r="J132" s="6"/>
      <c r="K132" s="6"/>
      <c r="L132" s="6"/>
    </row>
    <row r="133" spans="1:12" hidden="1" x14ac:dyDescent="0.25"/>
    <row r="134" spans="1:12" x14ac:dyDescent="0.25">
      <c r="A134" s="50"/>
      <c r="B134" s="50" t="s">
        <v>25</v>
      </c>
      <c r="C134" s="50"/>
      <c r="D134" s="52"/>
      <c r="E134" s="52">
        <f>E135+E136+E139</f>
        <v>355</v>
      </c>
      <c r="F134" s="52">
        <f t="shared" ref="F134:H134" si="36">F135+F136+F139</f>
        <v>55</v>
      </c>
      <c r="G134" s="52">
        <f t="shared" si="36"/>
        <v>55</v>
      </c>
      <c r="H134" s="52">
        <f t="shared" si="36"/>
        <v>55</v>
      </c>
    </row>
    <row r="135" spans="1:12" s="5" customFormat="1" hidden="1" x14ac:dyDescent="0.25">
      <c r="B135" s="5" t="s">
        <v>205</v>
      </c>
      <c r="D135" s="44"/>
      <c r="E135" s="44"/>
      <c r="F135" s="44">
        <v>0</v>
      </c>
      <c r="G135" s="38"/>
      <c r="H135" s="38"/>
      <c r="I135" s="62"/>
      <c r="J135" s="6"/>
      <c r="K135" s="6"/>
      <c r="L135" s="6"/>
    </row>
    <row r="136" spans="1:12" s="5" customFormat="1" hidden="1" x14ac:dyDescent="0.25">
      <c r="B136" s="5" t="s">
        <v>248</v>
      </c>
      <c r="D136" s="44"/>
      <c r="E136" s="44">
        <f>E137*E138</f>
        <v>0</v>
      </c>
      <c r="F136" s="44">
        <f t="shared" ref="F136:H136" si="37">F137*F138</f>
        <v>0</v>
      </c>
      <c r="G136" s="44">
        <f t="shared" si="37"/>
        <v>0</v>
      </c>
      <c r="H136" s="44">
        <f t="shared" si="37"/>
        <v>0</v>
      </c>
      <c r="I136" s="62"/>
      <c r="J136" s="6"/>
      <c r="K136" s="6"/>
      <c r="L136" s="6"/>
    </row>
    <row r="137" spans="1:12" s="5" customFormat="1" hidden="1" x14ac:dyDescent="0.25">
      <c r="B137" s="41" t="s">
        <v>249</v>
      </c>
      <c r="D137" s="44"/>
      <c r="E137" s="44">
        <f>Training!C45</f>
        <v>20</v>
      </c>
      <c r="F137" s="44">
        <f>E137*(1+index)</f>
        <v>20.86</v>
      </c>
      <c r="G137" s="44">
        <f>F137*(1+index)</f>
        <v>21.756979999999999</v>
      </c>
      <c r="H137" s="44">
        <f>G137*(1+index)</f>
        <v>22.692530139999995</v>
      </c>
      <c r="I137" s="62"/>
      <c r="J137" s="6"/>
      <c r="K137" s="6"/>
      <c r="L137" s="6"/>
    </row>
    <row r="138" spans="1:12" s="5" customFormat="1" hidden="1" x14ac:dyDescent="0.25">
      <c r="B138" s="41" t="s">
        <v>250</v>
      </c>
      <c r="D138" s="44"/>
      <c r="E138" s="44">
        <f>E107+E111</f>
        <v>0</v>
      </c>
      <c r="F138" s="44">
        <f t="shared" ref="F138:H138" si="38">F107+F111</f>
        <v>0</v>
      </c>
      <c r="G138" s="44">
        <f t="shared" si="38"/>
        <v>0</v>
      </c>
      <c r="H138" s="44">
        <f t="shared" si="38"/>
        <v>0</v>
      </c>
      <c r="I138" s="62"/>
      <c r="J138" s="6"/>
      <c r="K138" s="6"/>
      <c r="L138" s="6"/>
    </row>
    <row r="139" spans="1:12" s="5" customFormat="1" x14ac:dyDescent="0.25">
      <c r="B139" s="5" t="s">
        <v>154</v>
      </c>
      <c r="D139" s="44"/>
      <c r="E139" s="44">
        <f>E140+E141*E142</f>
        <v>355</v>
      </c>
      <c r="F139" s="44">
        <f>F140+F141*F142</f>
        <v>55</v>
      </c>
      <c r="G139" s="44">
        <f t="shared" ref="G139:H139" si="39">G140+G141*G142</f>
        <v>55</v>
      </c>
      <c r="H139" s="44">
        <f t="shared" si="39"/>
        <v>55</v>
      </c>
      <c r="I139" s="73"/>
    </row>
    <row r="140" spans="1:12" x14ac:dyDescent="0.25">
      <c r="B140" s="41" t="s">
        <v>153</v>
      </c>
      <c r="E140" s="44">
        <f>'Rates and GI'!D46*2</f>
        <v>300</v>
      </c>
      <c r="F140" s="44">
        <f>'Rates and GI'!D46*0</f>
        <v>0</v>
      </c>
    </row>
    <row r="141" spans="1:12" x14ac:dyDescent="0.25">
      <c r="B141" s="41" t="s">
        <v>159</v>
      </c>
      <c r="E141" s="60">
        <f>'Rates and GI'!$D$47</f>
        <v>0.05</v>
      </c>
      <c r="F141" s="60">
        <f>'Rates and GI'!$D$47</f>
        <v>0.05</v>
      </c>
      <c r="G141" s="60">
        <f>'Rates and GI'!$D$47</f>
        <v>0.05</v>
      </c>
      <c r="H141" s="60">
        <f>'Rates and GI'!$D$47</f>
        <v>0.05</v>
      </c>
    </row>
    <row r="142" spans="1:12" x14ac:dyDescent="0.25">
      <c r="B142" s="41" t="s">
        <v>160</v>
      </c>
      <c r="E142" s="44">
        <f>10*5*22</f>
        <v>1100</v>
      </c>
      <c r="F142" s="44">
        <f t="shared" ref="F142:H142" si="40">10*5*22</f>
        <v>1100</v>
      </c>
      <c r="G142" s="44">
        <f t="shared" si="40"/>
        <v>1100</v>
      </c>
      <c r="H142" s="44">
        <f t="shared" si="40"/>
        <v>1100</v>
      </c>
    </row>
    <row r="143" spans="1:12" s="5" customFormat="1" x14ac:dyDescent="0.25">
      <c r="A143" s="228"/>
      <c r="B143" s="231"/>
      <c r="C143" s="228"/>
      <c r="D143" s="230"/>
      <c r="E143" s="237"/>
      <c r="F143" s="237"/>
      <c r="G143" s="237"/>
      <c r="H143" s="237"/>
      <c r="I143" s="62"/>
      <c r="J143" s="6"/>
      <c r="K143" s="6"/>
      <c r="L143" s="6"/>
    </row>
    <row r="144" spans="1:12" hidden="1" x14ac:dyDescent="0.25">
      <c r="A144" s="50"/>
      <c r="B144" s="50" t="s">
        <v>21</v>
      </c>
      <c r="C144" s="50"/>
      <c r="D144" s="52"/>
      <c r="E144" s="52">
        <f>E145*E146+E147*E148++E149*E150+E151*E152</f>
        <v>0</v>
      </c>
      <c r="F144" s="52">
        <f t="shared" ref="F144:H144" si="41">F145*F146+F147*F148++F149*F150+F151*F152</f>
        <v>0</v>
      </c>
      <c r="G144" s="52">
        <f t="shared" si="41"/>
        <v>0</v>
      </c>
      <c r="H144" s="52">
        <f t="shared" si="41"/>
        <v>0</v>
      </c>
    </row>
    <row r="145" spans="1:12" hidden="1" x14ac:dyDescent="0.25">
      <c r="B145" s="41" t="s">
        <v>241</v>
      </c>
      <c r="F145" s="44">
        <v>0</v>
      </c>
      <c r="G145" s="44">
        <v>0</v>
      </c>
      <c r="H145" s="44"/>
    </row>
    <row r="146" spans="1:12" hidden="1" x14ac:dyDescent="0.25">
      <c r="B146" s="41" t="s">
        <v>151</v>
      </c>
      <c r="E146" s="44">
        <f>'Rates and GI'!$D$58</f>
        <v>5000</v>
      </c>
      <c r="F146" s="44">
        <f>'Rates and GI'!$D$58</f>
        <v>5000</v>
      </c>
      <c r="G146" s="44">
        <f>'Rates and GI'!$D$58</f>
        <v>5000</v>
      </c>
      <c r="H146" s="44">
        <f>'Rates and GI'!$D$58</f>
        <v>5000</v>
      </c>
    </row>
    <row r="147" spans="1:12" hidden="1" x14ac:dyDescent="0.25">
      <c r="B147" s="41" t="s">
        <v>148</v>
      </c>
      <c r="E147" s="44">
        <v>0</v>
      </c>
      <c r="F147" s="44">
        <v>0</v>
      </c>
      <c r="G147" s="44">
        <v>0</v>
      </c>
      <c r="H147" s="44">
        <v>0</v>
      </c>
    </row>
    <row r="148" spans="1:12" hidden="1" x14ac:dyDescent="0.25">
      <c r="B148" s="41" t="s">
        <v>149</v>
      </c>
      <c r="E148" s="44">
        <f>'Rates and GI'!$D$59</f>
        <v>1500</v>
      </c>
      <c r="F148" s="44">
        <f>'Rates and GI'!$D$59</f>
        <v>1500</v>
      </c>
      <c r="G148" s="44">
        <f>'Rates and GI'!$D$59</f>
        <v>1500</v>
      </c>
      <c r="H148" s="44">
        <f>'Rates and GI'!$D$59</f>
        <v>1500</v>
      </c>
    </row>
    <row r="149" spans="1:12" ht="27" hidden="1" x14ac:dyDescent="0.25">
      <c r="B149" s="63" t="s">
        <v>162</v>
      </c>
      <c r="E149" s="44">
        <v>0</v>
      </c>
      <c r="F149" s="44">
        <v>0</v>
      </c>
      <c r="G149" s="44"/>
      <c r="H149" s="44">
        <v>0</v>
      </c>
    </row>
    <row r="150" spans="1:12" ht="27" hidden="1" x14ac:dyDescent="0.25">
      <c r="B150" s="63" t="s">
        <v>161</v>
      </c>
      <c r="E150" s="44">
        <f>'Rates and GI'!$D$60</f>
        <v>200</v>
      </c>
      <c r="F150" s="44">
        <f>'Rates and GI'!$D$60</f>
        <v>200</v>
      </c>
      <c r="G150" s="44">
        <f>'Rates and GI'!$D$60</f>
        <v>200</v>
      </c>
      <c r="H150" s="44">
        <f>'Rates and GI'!$D$60</f>
        <v>200</v>
      </c>
    </row>
    <row r="151" spans="1:12" s="5" customFormat="1" hidden="1" x14ac:dyDescent="0.25">
      <c r="B151" s="41" t="s">
        <v>217</v>
      </c>
      <c r="D151" s="44"/>
      <c r="E151" s="44">
        <v>0</v>
      </c>
      <c r="F151" s="44">
        <v>0</v>
      </c>
      <c r="G151" s="44">
        <v>0</v>
      </c>
      <c r="H151" s="44">
        <v>0</v>
      </c>
      <c r="I151" s="62"/>
      <c r="J151" s="6"/>
      <c r="K151" s="6"/>
      <c r="L151" s="6"/>
    </row>
    <row r="152" spans="1:12" s="5" customFormat="1" hidden="1" x14ac:dyDescent="0.25">
      <c r="B152" s="41" t="s">
        <v>214</v>
      </c>
      <c r="D152" s="44"/>
      <c r="E152" s="44">
        <f>'Rates and GI'!$D$61</f>
        <v>50</v>
      </c>
      <c r="F152" s="44">
        <f>'Rates and GI'!$D$61</f>
        <v>50</v>
      </c>
      <c r="G152" s="38">
        <f>'Rates and GI'!$D$61</f>
        <v>50</v>
      </c>
      <c r="H152" s="38">
        <f>'Rates and GI'!$D$61</f>
        <v>50</v>
      </c>
      <c r="I152" s="62"/>
      <c r="J152" s="6"/>
      <c r="K152" s="6"/>
      <c r="L152" s="6"/>
    </row>
    <row r="153" spans="1:12" hidden="1" x14ac:dyDescent="0.25">
      <c r="A153" s="50"/>
      <c r="B153" s="127"/>
      <c r="C153" s="50"/>
      <c r="D153" s="52"/>
      <c r="E153" s="52"/>
      <c r="F153" s="52"/>
      <c r="G153" s="52"/>
      <c r="H153" s="52"/>
    </row>
    <row r="154" spans="1:12" hidden="1" x14ac:dyDescent="0.25">
      <c r="A154" s="50"/>
      <c r="B154" s="50" t="s">
        <v>194</v>
      </c>
      <c r="C154" s="50"/>
      <c r="D154" s="52"/>
      <c r="E154" s="52">
        <f>E155+E158+E161+E170+E175</f>
        <v>0</v>
      </c>
      <c r="F154" s="52">
        <f t="shared" ref="F154:H154" si="42">F155+F158+F161+F170+F175</f>
        <v>0</v>
      </c>
      <c r="G154" s="52">
        <f t="shared" si="42"/>
        <v>0</v>
      </c>
      <c r="H154" s="52">
        <f t="shared" si="42"/>
        <v>0</v>
      </c>
    </row>
    <row r="155" spans="1:12" s="5" customFormat="1" hidden="1" x14ac:dyDescent="0.25">
      <c r="B155" s="5" t="s">
        <v>173</v>
      </c>
      <c r="D155" s="44"/>
      <c r="E155" s="44">
        <f>E156+E159*E160</f>
        <v>0</v>
      </c>
      <c r="F155" s="44">
        <f>F156+F159*F160</f>
        <v>0</v>
      </c>
      <c r="G155" s="44">
        <f>G156+G159*G160</f>
        <v>0</v>
      </c>
      <c r="H155" s="44">
        <f t="shared" ref="H155" si="43">H156+H159*H160</f>
        <v>0</v>
      </c>
      <c r="I155" s="73"/>
    </row>
    <row r="156" spans="1:12" hidden="1" x14ac:dyDescent="0.25">
      <c r="B156" s="41" t="s">
        <v>184</v>
      </c>
      <c r="F156" s="44">
        <f>('Rates and GI'!$D$45+'Rates and GI'!$D$49)*0</f>
        <v>0</v>
      </c>
      <c r="G156" s="44">
        <f>('Rates and GI'!$D$45+'Rates and GI'!$D$49)*0</f>
        <v>0</v>
      </c>
      <c r="H156" s="44"/>
    </row>
    <row r="157" spans="1:12" hidden="1" x14ac:dyDescent="0.25">
      <c r="B157" s="41" t="s">
        <v>187</v>
      </c>
      <c r="F157" s="44">
        <f>'Rates and GI'!$D$51*0</f>
        <v>0</v>
      </c>
      <c r="G157" s="44">
        <f>'Rates and GI'!$D$51*0</f>
        <v>0</v>
      </c>
      <c r="H157" s="44"/>
    </row>
    <row r="158" spans="1:12" hidden="1" x14ac:dyDescent="0.25">
      <c r="B158" s="5" t="s">
        <v>174</v>
      </c>
      <c r="E158" s="44">
        <f>E159*E160</f>
        <v>0</v>
      </c>
      <c r="F158" s="44">
        <f t="shared" ref="F158:H158" si="44">F159*F160</f>
        <v>0</v>
      </c>
      <c r="G158" s="44">
        <f t="shared" si="44"/>
        <v>0</v>
      </c>
      <c r="H158" s="44">
        <f t="shared" si="44"/>
        <v>0</v>
      </c>
    </row>
    <row r="159" spans="1:12" hidden="1" x14ac:dyDescent="0.25">
      <c r="B159" s="41" t="s">
        <v>164</v>
      </c>
      <c r="F159" s="44">
        <f>'Rates and GI'!$D$54</f>
        <v>24.066499999999998</v>
      </c>
      <c r="G159" s="44">
        <f>'Rates and GI'!$D$54</f>
        <v>24.066499999999998</v>
      </c>
      <c r="H159" s="44">
        <f>'Rates and GI'!$D$54</f>
        <v>24.066499999999998</v>
      </c>
    </row>
    <row r="160" spans="1:12" hidden="1" x14ac:dyDescent="0.25">
      <c r="B160" s="41" t="s">
        <v>163</v>
      </c>
      <c r="F160" s="44">
        <v>0</v>
      </c>
      <c r="G160" s="38">
        <v>0</v>
      </c>
      <c r="H160" s="38">
        <v>0</v>
      </c>
    </row>
    <row r="161" spans="1:12" hidden="1" x14ac:dyDescent="0.25">
      <c r="B161" s="5" t="s">
        <v>175</v>
      </c>
      <c r="E161" s="44">
        <f>E162+E166</f>
        <v>0</v>
      </c>
      <c r="F161" s="44">
        <f t="shared" ref="F161:H161" si="45">F162+F166</f>
        <v>0</v>
      </c>
      <c r="G161" s="44">
        <f t="shared" si="45"/>
        <v>0</v>
      </c>
      <c r="H161" s="44">
        <f t="shared" si="45"/>
        <v>0</v>
      </c>
    </row>
    <row r="162" spans="1:12" hidden="1" x14ac:dyDescent="0.25">
      <c r="B162" s="41" t="s">
        <v>189</v>
      </c>
      <c r="E162" s="44">
        <f>E163*E164</f>
        <v>0</v>
      </c>
      <c r="F162" s="44">
        <f t="shared" ref="F162:H162" si="46">F163*F164</f>
        <v>0</v>
      </c>
      <c r="G162" s="44">
        <f t="shared" si="46"/>
        <v>0</v>
      </c>
      <c r="H162" s="44">
        <f t="shared" si="46"/>
        <v>0</v>
      </c>
    </row>
    <row r="163" spans="1:12" hidden="1" x14ac:dyDescent="0.25">
      <c r="B163" s="41" t="s">
        <v>176</v>
      </c>
      <c r="C163" s="5" t="s">
        <v>177</v>
      </c>
      <c r="E163" s="44">
        <v>0</v>
      </c>
      <c r="F163" s="44">
        <v>0</v>
      </c>
      <c r="G163" s="38">
        <v>0</v>
      </c>
      <c r="H163" s="38">
        <v>0</v>
      </c>
    </row>
    <row r="164" spans="1:12" hidden="1" x14ac:dyDescent="0.25">
      <c r="B164" s="41" t="s">
        <v>178</v>
      </c>
      <c r="E164" s="44">
        <f>'Rates and GI'!$D$52</f>
        <v>150</v>
      </c>
      <c r="F164" s="44">
        <f>'Rates and GI'!$D$52</f>
        <v>150</v>
      </c>
      <c r="G164" s="44">
        <f>'Rates and GI'!$D$52</f>
        <v>150</v>
      </c>
      <c r="H164" s="44">
        <f>'Rates and GI'!$D$52</f>
        <v>150</v>
      </c>
    </row>
    <row r="165" spans="1:12" hidden="1" x14ac:dyDescent="0.25">
      <c r="B165" s="6"/>
    </row>
    <row r="166" spans="1:12" hidden="1" x14ac:dyDescent="0.25">
      <c r="B166" s="41" t="s">
        <v>190</v>
      </c>
      <c r="E166" s="44">
        <f>E167*E168</f>
        <v>0</v>
      </c>
      <c r="F166" s="44">
        <f t="shared" ref="F166:H166" si="47">F167*F168</f>
        <v>0</v>
      </c>
      <c r="G166" s="44">
        <f t="shared" si="47"/>
        <v>0</v>
      </c>
      <c r="H166" s="44">
        <f t="shared" si="47"/>
        <v>0</v>
      </c>
    </row>
    <row r="167" spans="1:12" hidden="1" x14ac:dyDescent="0.25">
      <c r="B167" s="41" t="s">
        <v>176</v>
      </c>
      <c r="C167" s="5" t="s">
        <v>177</v>
      </c>
      <c r="E167" s="44">
        <v>0</v>
      </c>
      <c r="F167" s="44">
        <v>0</v>
      </c>
      <c r="G167" s="38">
        <v>0</v>
      </c>
      <c r="H167" s="38">
        <v>0</v>
      </c>
    </row>
    <row r="168" spans="1:12" s="62" customFormat="1" hidden="1" x14ac:dyDescent="0.25">
      <c r="A168" s="5"/>
      <c r="B168" s="41" t="s">
        <v>178</v>
      </c>
      <c r="C168" s="5"/>
      <c r="D168" s="44"/>
      <c r="E168" s="44">
        <f>'Rates and GI'!$D$53</f>
        <v>20</v>
      </c>
      <c r="F168" s="44">
        <f>'Rates and GI'!$D$53</f>
        <v>20</v>
      </c>
      <c r="G168" s="44">
        <f>'Rates and GI'!$D$53</f>
        <v>20</v>
      </c>
      <c r="H168" s="44">
        <f>'Rates and GI'!$D$53</f>
        <v>20</v>
      </c>
      <c r="J168" s="6"/>
      <c r="K168" s="6"/>
      <c r="L168" s="6"/>
    </row>
    <row r="169" spans="1:12" s="62" customFormat="1" hidden="1" x14ac:dyDescent="0.25">
      <c r="A169" s="5"/>
      <c r="B169" s="6"/>
      <c r="C169" s="5"/>
      <c r="D169" s="44"/>
      <c r="E169" s="44"/>
      <c r="F169" s="44"/>
      <c r="G169" s="38"/>
      <c r="H169" s="38"/>
      <c r="J169" s="6"/>
      <c r="K169" s="6"/>
      <c r="L169" s="6"/>
    </row>
    <row r="170" spans="1:12" s="62" customFormat="1" hidden="1" x14ac:dyDescent="0.25">
      <c r="A170" s="5"/>
      <c r="B170" s="5" t="s">
        <v>179</v>
      </c>
      <c r="C170" s="5"/>
      <c r="D170" s="44"/>
      <c r="E170" s="44">
        <f>E171*E172*E173</f>
        <v>0</v>
      </c>
      <c r="F170" s="44">
        <f t="shared" ref="F170:H170" si="48">F171*F172*F173</f>
        <v>0</v>
      </c>
      <c r="G170" s="44">
        <f t="shared" si="48"/>
        <v>0</v>
      </c>
      <c r="H170" s="44">
        <f t="shared" si="48"/>
        <v>0</v>
      </c>
      <c r="J170" s="6"/>
      <c r="K170" s="6"/>
      <c r="L170" s="6"/>
    </row>
    <row r="171" spans="1:12" s="62" customFormat="1" hidden="1" x14ac:dyDescent="0.25">
      <c r="A171" s="5"/>
      <c r="B171" s="41" t="s">
        <v>191</v>
      </c>
      <c r="C171" s="5"/>
      <c r="D171" s="44"/>
      <c r="E171" s="44"/>
      <c r="F171" s="44">
        <f>'Rates and GI'!$D$55</f>
        <v>300</v>
      </c>
      <c r="G171" s="44">
        <f>'Rates and GI'!$D$55</f>
        <v>300</v>
      </c>
      <c r="H171" s="44">
        <f>'Rates and GI'!$D$55</f>
        <v>300</v>
      </c>
      <c r="J171" s="6"/>
      <c r="K171" s="6"/>
      <c r="L171" s="6"/>
    </row>
    <row r="172" spans="1:12" s="62" customFormat="1" hidden="1" x14ac:dyDescent="0.25">
      <c r="A172" s="5"/>
      <c r="B172" s="41" t="s">
        <v>192</v>
      </c>
      <c r="C172" s="5"/>
      <c r="D172" s="44"/>
      <c r="E172" s="44"/>
      <c r="F172" s="44">
        <v>3</v>
      </c>
      <c r="G172" s="44">
        <v>3</v>
      </c>
      <c r="H172" s="44">
        <v>3</v>
      </c>
      <c r="J172" s="6"/>
      <c r="K172" s="6"/>
      <c r="L172" s="6"/>
    </row>
    <row r="173" spans="1:12" s="62" customFormat="1" hidden="1" x14ac:dyDescent="0.25">
      <c r="A173" s="5"/>
      <c r="B173" s="41" t="s">
        <v>193</v>
      </c>
      <c r="C173" s="5"/>
      <c r="D173" s="44"/>
      <c r="E173" s="44"/>
      <c r="F173" s="44">
        <v>0</v>
      </c>
      <c r="G173" s="44">
        <v>0</v>
      </c>
      <c r="H173" s="44">
        <v>0</v>
      </c>
      <c r="J173" s="6"/>
      <c r="K173" s="6"/>
      <c r="L173" s="6"/>
    </row>
    <row r="174" spans="1:12" hidden="1" x14ac:dyDescent="0.25"/>
    <row r="175" spans="1:12" s="62" customFormat="1" hidden="1" x14ac:dyDescent="0.25">
      <c r="A175" s="5"/>
      <c r="B175" s="5" t="s">
        <v>172</v>
      </c>
      <c r="C175" s="5"/>
      <c r="D175" s="44"/>
      <c r="E175" s="44">
        <f>E176+E177*E178</f>
        <v>0</v>
      </c>
      <c r="F175" s="44">
        <f>F176+F177*F178</f>
        <v>0</v>
      </c>
      <c r="G175" s="44">
        <f>G176+G177*G178</f>
        <v>0</v>
      </c>
      <c r="H175" s="44">
        <f>H176+H177*H178</f>
        <v>0</v>
      </c>
      <c r="J175" s="6"/>
      <c r="K175" s="6"/>
      <c r="L175" s="6"/>
    </row>
    <row r="176" spans="1:12" s="62" customFormat="1" hidden="1" x14ac:dyDescent="0.25">
      <c r="A176" s="5"/>
      <c r="B176" s="41" t="s">
        <v>153</v>
      </c>
      <c r="C176" s="5"/>
      <c r="D176" s="44"/>
      <c r="E176" s="44"/>
      <c r="F176" s="44">
        <f>'Rates and GI'!D46*0</f>
        <v>0</v>
      </c>
      <c r="G176" s="38"/>
      <c r="H176" s="38"/>
      <c r="J176" s="6"/>
      <c r="K176" s="6"/>
      <c r="L176" s="6"/>
    </row>
    <row r="177" spans="1:12" s="62" customFormat="1" hidden="1" x14ac:dyDescent="0.25">
      <c r="A177" s="5"/>
      <c r="B177" s="41" t="s">
        <v>159</v>
      </c>
      <c r="C177" s="5"/>
      <c r="D177" s="44"/>
      <c r="E177" s="44"/>
      <c r="F177" s="65">
        <f>'Rates and GI'!$D$47</f>
        <v>0.05</v>
      </c>
      <c r="G177" s="65">
        <f>'Rates and GI'!$D$47</f>
        <v>0.05</v>
      </c>
      <c r="H177" s="65">
        <f>'Rates and GI'!$D$47</f>
        <v>0.05</v>
      </c>
      <c r="J177" s="6"/>
      <c r="K177" s="6"/>
      <c r="L177" s="6"/>
    </row>
    <row r="178" spans="1:12" s="62" customFormat="1" hidden="1" x14ac:dyDescent="0.25">
      <c r="A178" s="5"/>
      <c r="B178" s="41" t="s">
        <v>160</v>
      </c>
      <c r="C178" s="5"/>
      <c r="D178" s="44"/>
      <c r="E178" s="44"/>
      <c r="F178" s="44">
        <v>0</v>
      </c>
      <c r="G178" s="38">
        <v>0</v>
      </c>
      <c r="H178" s="38"/>
      <c r="J178" s="6"/>
      <c r="K178" s="6"/>
      <c r="L178" s="6"/>
    </row>
    <row r="179" spans="1:12" hidden="1" x14ac:dyDescent="0.25"/>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sheetData>
  <pageMargins left="0.7" right="0.7" top="0.75" bottom="0.75" header="0.3" footer="0.3"/>
  <pageSetup paperSize="9" scale="56" fitToHeight="0"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54"/>
  <sheetViews>
    <sheetView topLeftCell="A179" workbookViewId="0">
      <selection activeCell="B260" sqref="B26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31</v>
      </c>
      <c r="B1" s="126" t="s">
        <v>319</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E67</f>
        <v>0</v>
      </c>
      <c r="F5" s="44">
        <f t="shared" ref="F5:H5" si="1">F67</f>
        <v>0</v>
      </c>
      <c r="G5" s="44">
        <f t="shared" si="1"/>
        <v>0</v>
      </c>
      <c r="H5" s="44">
        <f t="shared" si="1"/>
        <v>0</v>
      </c>
    </row>
    <row r="6" spans="1:12" x14ac:dyDescent="0.25">
      <c r="B6" s="16" t="s">
        <v>168</v>
      </c>
      <c r="D6" s="44">
        <f t="shared" si="0"/>
        <v>0</v>
      </c>
      <c r="E6" s="44">
        <f>E72</f>
        <v>0</v>
      </c>
      <c r="F6" s="44">
        <f t="shared" ref="F6:H6" si="2">F72</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E92</f>
        <v>0</v>
      </c>
      <c r="F10" s="44">
        <f t="shared" ref="F10:H10" si="4">F92</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E100</f>
        <v>0</v>
      </c>
      <c r="F15" s="44">
        <f t="shared" ref="F15:H15" si="7">F100</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6051.6433755562493</v>
      </c>
      <c r="E20" s="44">
        <f>E104</f>
        <v>1418.75</v>
      </c>
      <c r="F20" s="44">
        <f t="shared" ref="F20:H20" si="10">F104</f>
        <v>1479.7562499999999</v>
      </c>
      <c r="G20" s="44">
        <f t="shared" si="10"/>
        <v>1543.3857687499999</v>
      </c>
      <c r="H20" s="44">
        <f t="shared" si="10"/>
        <v>1609.7513568062498</v>
      </c>
    </row>
    <row r="21" spans="1:12" x14ac:dyDescent="0.25">
      <c r="B21" s="16" t="s">
        <v>139</v>
      </c>
      <c r="D21" s="44">
        <f t="shared" ref="D21" si="11">SUM(E21:H21)</f>
        <v>0</v>
      </c>
    </row>
    <row r="22" spans="1:12" ht="14.25" thickBot="1" x14ac:dyDescent="0.3">
      <c r="A22" s="13"/>
      <c r="B22" s="13" t="s">
        <v>140</v>
      </c>
      <c r="C22" s="13"/>
      <c r="D22" s="47">
        <f>SUBTOTAL(9,D20:D21)</f>
        <v>6051.6433755562493</v>
      </c>
      <c r="E22" s="47">
        <f t="shared" ref="E22:H22" si="12">SUBTOTAL(9,E20:E21)</f>
        <v>1418.75</v>
      </c>
      <c r="F22" s="47">
        <f t="shared" si="12"/>
        <v>1479.7562499999999</v>
      </c>
      <c r="G22" s="47">
        <f t="shared" si="12"/>
        <v>1543.3857687499999</v>
      </c>
      <c r="H22" s="47">
        <f t="shared" si="12"/>
        <v>1609.7513568062498</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511.85706083999992</v>
      </c>
      <c r="E25" s="44">
        <f>E112</f>
        <v>120</v>
      </c>
      <c r="F25" s="44">
        <f t="shared" ref="F25:H25" si="13">F112</f>
        <v>125.15999999999998</v>
      </c>
      <c r="G25" s="44">
        <f t="shared" si="13"/>
        <v>130.54187999999999</v>
      </c>
      <c r="H25" s="44">
        <f t="shared" si="13"/>
        <v>136.15518083999999</v>
      </c>
    </row>
    <row r="26" spans="1:12" x14ac:dyDescent="0.25">
      <c r="B26" s="16" t="s">
        <v>25</v>
      </c>
      <c r="D26" s="44">
        <f t="shared" ref="D26" si="14">SUM(E26:H26)</f>
        <v>0</v>
      </c>
      <c r="E26" s="44">
        <f>E202</f>
        <v>0</v>
      </c>
      <c r="F26" s="44">
        <f t="shared" ref="F26:H26" si="15">F202</f>
        <v>0</v>
      </c>
      <c r="G26" s="44">
        <f t="shared" si="15"/>
        <v>0</v>
      </c>
      <c r="H26" s="44">
        <f t="shared" si="15"/>
        <v>0</v>
      </c>
    </row>
    <row r="27" spans="1:12" x14ac:dyDescent="0.25">
      <c r="B27" s="16" t="s">
        <v>233</v>
      </c>
    </row>
    <row r="28" spans="1:12" ht="14.25" thickBot="1" x14ac:dyDescent="0.3">
      <c r="A28" s="13"/>
      <c r="B28" s="13" t="s">
        <v>73</v>
      </c>
      <c r="C28" s="13"/>
      <c r="D28" s="47">
        <f>SUBTOTAL(9,D25:D27)</f>
        <v>511.85706083999992</v>
      </c>
      <c r="E28" s="47">
        <f t="shared" ref="E28:H28" si="16">SUBTOTAL(9,E25:E27)</f>
        <v>120</v>
      </c>
      <c r="F28" s="47">
        <f t="shared" si="16"/>
        <v>125.15999999999998</v>
      </c>
      <c r="G28" s="47">
        <f t="shared" si="16"/>
        <v>130.54187999999999</v>
      </c>
      <c r="H28" s="47">
        <f t="shared" si="16"/>
        <v>136.15518083999999</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354</v>
      </c>
      <c r="D31" s="44">
        <f t="shared" ref="D31:D34" si="17">SUM(E31:H31)</f>
        <v>46652</v>
      </c>
      <c r="E31" s="44">
        <f>E118</f>
        <v>46652</v>
      </c>
      <c r="F31" s="44">
        <f t="shared" ref="F31:H31" si="18">F118</f>
        <v>0</v>
      </c>
      <c r="G31" s="44">
        <f t="shared" si="18"/>
        <v>0</v>
      </c>
      <c r="H31" s="44">
        <f t="shared" si="18"/>
        <v>0</v>
      </c>
    </row>
    <row r="32" spans="1:12" x14ac:dyDescent="0.25">
      <c r="B32" s="16" t="s">
        <v>26</v>
      </c>
      <c r="D32" s="44">
        <f t="shared" si="17"/>
        <v>8198.1128460013933</v>
      </c>
      <c r="E32" s="44">
        <f>E172</f>
        <v>4717.0823440000004</v>
      </c>
      <c r="F32" s="44">
        <f t="shared" ref="F32:H32" si="19">F172</f>
        <v>1111.8487355989998</v>
      </c>
      <c r="G32" s="44">
        <f t="shared" si="19"/>
        <v>1159.6582312297569</v>
      </c>
      <c r="H32" s="44">
        <f t="shared" si="19"/>
        <v>1209.5235351726365</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54850.112846001393</v>
      </c>
      <c r="E35" s="47">
        <f>SUBTOTAL(9,E31:E34)</f>
        <v>51369.082344000002</v>
      </c>
      <c r="F35" s="47">
        <f t="shared" ref="F35:H35" si="20">SUBTOTAL(9,F31:F34)</f>
        <v>1111.8487355989998</v>
      </c>
      <c r="G35" s="47">
        <f>SUBTOTAL(9,G31:G34)</f>
        <v>1159.6582312297569</v>
      </c>
      <c r="H35" s="47">
        <f t="shared" si="20"/>
        <v>1209.5235351726365</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1">SUM(E38:H38)</f>
        <v>0</v>
      </c>
    </row>
    <row r="39" spans="1:12" x14ac:dyDescent="0.25">
      <c r="A39" s="2"/>
      <c r="B39" s="2" t="s">
        <v>18</v>
      </c>
      <c r="C39" s="2"/>
      <c r="D39" s="44">
        <f t="shared" si="21"/>
        <v>0</v>
      </c>
    </row>
    <row r="40" spans="1:12" x14ac:dyDescent="0.25">
      <c r="A40" s="2"/>
      <c r="B40" s="2" t="s">
        <v>19</v>
      </c>
      <c r="C40" s="2"/>
      <c r="D40" s="44">
        <f t="shared" si="21"/>
        <v>0</v>
      </c>
      <c r="E40" s="44">
        <f>E247</f>
        <v>0</v>
      </c>
      <c r="F40" s="44">
        <f t="shared" ref="F40:H40" si="22">F247</f>
        <v>0</v>
      </c>
      <c r="G40" s="44">
        <f t="shared" si="22"/>
        <v>0</v>
      </c>
      <c r="H40" s="44">
        <f t="shared" si="22"/>
        <v>0</v>
      </c>
    </row>
    <row r="41" spans="1:12" x14ac:dyDescent="0.25">
      <c r="A41" s="3"/>
      <c r="B41" s="3" t="s">
        <v>13</v>
      </c>
      <c r="C41" s="3"/>
      <c r="D41" s="44">
        <f t="shared" si="21"/>
        <v>0</v>
      </c>
    </row>
    <row r="42" spans="1:12" x14ac:dyDescent="0.25">
      <c r="A42" s="3"/>
      <c r="B42" s="3" t="s">
        <v>22</v>
      </c>
      <c r="C42" s="3"/>
      <c r="D42" s="44">
        <f t="shared" si="21"/>
        <v>0</v>
      </c>
    </row>
    <row r="43" spans="1:12" ht="14.25" thickBot="1" x14ac:dyDescent="0.3">
      <c r="A43" s="13"/>
      <c r="B43" s="13" t="s">
        <v>68</v>
      </c>
      <c r="C43" s="13"/>
      <c r="D43" s="47">
        <f>SUBTOTAL(9,D38:D42)</f>
        <v>0</v>
      </c>
      <c r="E43" s="47">
        <f t="shared" ref="E43:H43" si="23">SUBTOTAL(9,E38:E42)</f>
        <v>0</v>
      </c>
      <c r="F43" s="47">
        <f t="shared" si="23"/>
        <v>0</v>
      </c>
      <c r="G43" s="47">
        <f t="shared" si="23"/>
        <v>0</v>
      </c>
      <c r="H43" s="47">
        <f t="shared" si="23"/>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4">SUM(E46:H46)</f>
        <v>0</v>
      </c>
      <c r="E46" s="44">
        <f>E252</f>
        <v>0</v>
      </c>
      <c r="F46" s="44">
        <f t="shared" ref="F46:H46" si="25">F252</f>
        <v>0</v>
      </c>
      <c r="G46" s="44">
        <f t="shared" si="25"/>
        <v>0</v>
      </c>
      <c r="H46" s="44">
        <f t="shared" si="25"/>
        <v>0</v>
      </c>
      <c r="I46" s="6"/>
    </row>
    <row r="47" spans="1:12" ht="14.25" thickBot="1" x14ac:dyDescent="0.3">
      <c r="A47" s="13"/>
      <c r="B47" s="13" t="s">
        <v>256</v>
      </c>
      <c r="C47" s="136"/>
      <c r="D47" s="47">
        <f>SUBTOTAL(9,D46)</f>
        <v>0</v>
      </c>
      <c r="E47" s="47">
        <f t="shared" ref="E47:H47" si="26">SUBTOTAL(9,E46)</f>
        <v>0</v>
      </c>
      <c r="F47" s="47">
        <f t="shared" si="26"/>
        <v>0</v>
      </c>
      <c r="G47" s="47">
        <f t="shared" si="26"/>
        <v>0</v>
      </c>
      <c r="H47" s="47">
        <f t="shared" si="26"/>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7">SUM(E50:H50)</f>
        <v>0</v>
      </c>
      <c r="E50" s="44">
        <f>E221</f>
        <v>0</v>
      </c>
      <c r="F50" s="44">
        <f t="shared" ref="F50:H50" si="28">F221</f>
        <v>0</v>
      </c>
      <c r="G50" s="44">
        <f t="shared" si="28"/>
        <v>0</v>
      </c>
      <c r="H50" s="44">
        <f t="shared" si="28"/>
        <v>0</v>
      </c>
    </row>
    <row r="51" spans="1:12" x14ac:dyDescent="0.25">
      <c r="A51" s="3"/>
      <c r="B51" s="3" t="s">
        <v>21</v>
      </c>
      <c r="C51" s="3"/>
      <c r="D51" s="44">
        <f t="shared" si="27"/>
        <v>0</v>
      </c>
      <c r="E51" s="44">
        <f>E211</f>
        <v>0</v>
      </c>
      <c r="F51" s="44">
        <f t="shared" ref="F51:H51" si="29">F211</f>
        <v>0</v>
      </c>
      <c r="G51" s="44">
        <f t="shared" si="29"/>
        <v>0</v>
      </c>
      <c r="H51" s="44">
        <f t="shared" si="29"/>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61413.613282397644</v>
      </c>
      <c r="E54" s="49">
        <f>SUBTOTAL(9,E5:E52)</f>
        <v>52907.832344000002</v>
      </c>
      <c r="F54" s="49">
        <f>SUBTOTAL(9,F5:F52)</f>
        <v>2716.7649855989998</v>
      </c>
      <c r="G54" s="49">
        <f>SUBTOTAL(9,G5:G52)</f>
        <v>2833.585879979757</v>
      </c>
      <c r="H54" s="49">
        <f>SUBTOTAL(9,H5:H52)</f>
        <v>2955.4300728188864</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hidden="1"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hidden="1" x14ac:dyDescent="0.25">
      <c r="B67" s="5" t="s">
        <v>23</v>
      </c>
      <c r="E67" s="44">
        <f>E68*E69</f>
        <v>0</v>
      </c>
      <c r="F67" s="44">
        <f t="shared" ref="F67:H67" si="30">F68*F69</f>
        <v>0</v>
      </c>
      <c r="G67" s="44">
        <f t="shared" si="30"/>
        <v>0</v>
      </c>
      <c r="H67" s="44">
        <f t="shared" si="30"/>
        <v>0</v>
      </c>
    </row>
    <row r="68" spans="1:12" hidden="1" x14ac:dyDescent="0.25">
      <c r="A68" s="9"/>
      <c r="B68" s="9" t="s">
        <v>114</v>
      </c>
      <c r="C68" s="9" t="s">
        <v>113</v>
      </c>
      <c r="E68" s="44">
        <v>0</v>
      </c>
      <c r="F68" s="44">
        <v>0</v>
      </c>
      <c r="G68" s="44">
        <v>0</v>
      </c>
      <c r="H68" s="44">
        <v>0</v>
      </c>
    </row>
    <row r="69" spans="1:12" hidden="1"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c r="A70" s="9"/>
      <c r="B70" s="9"/>
      <c r="C70" s="9"/>
      <c r="G70" s="44"/>
      <c r="H70" s="44"/>
    </row>
    <row r="71" spans="1:12" hidden="1" x14ac:dyDescent="0.25"/>
    <row r="72" spans="1:12" s="7" customFormat="1" hidden="1" x14ac:dyDescent="0.25">
      <c r="A72" s="5"/>
      <c r="B72" s="5" t="s">
        <v>168</v>
      </c>
      <c r="C72" s="5"/>
      <c r="D72" s="44"/>
      <c r="E72" s="44">
        <f>E73*E74</f>
        <v>0</v>
      </c>
      <c r="F72" s="44">
        <f t="shared" ref="F72:H72" si="31">F73*F74</f>
        <v>0</v>
      </c>
      <c r="G72" s="44">
        <f t="shared" si="31"/>
        <v>0</v>
      </c>
      <c r="H72" s="44">
        <f t="shared" si="31"/>
        <v>0</v>
      </c>
      <c r="I72" s="62"/>
      <c r="J72" s="6"/>
      <c r="K72" s="6"/>
      <c r="L72" s="6"/>
    </row>
    <row r="73" spans="1:12" s="7" customFormat="1" hidden="1" x14ac:dyDescent="0.25">
      <c r="A73" s="9"/>
      <c r="B73" s="9" t="s">
        <v>170</v>
      </c>
      <c r="C73" s="9" t="s">
        <v>113</v>
      </c>
      <c r="D73" s="44"/>
      <c r="E73" s="44">
        <v>0</v>
      </c>
      <c r="F73" s="44">
        <v>0</v>
      </c>
      <c r="G73" s="44">
        <v>0</v>
      </c>
      <c r="H73" s="44">
        <v>0</v>
      </c>
      <c r="I73" s="62"/>
      <c r="J73" s="6"/>
      <c r="K73" s="6"/>
      <c r="L73" s="6"/>
    </row>
    <row r="74" spans="1:12" s="7" customFormat="1" hidden="1" x14ac:dyDescent="0.25">
      <c r="A74" s="9"/>
      <c r="B74" s="9" t="s">
        <v>40</v>
      </c>
      <c r="C74" s="9"/>
      <c r="D74" s="44"/>
      <c r="E74" s="44">
        <f>'Rates and GI'!D13</f>
        <v>162.21599999999998</v>
      </c>
      <c r="F74" s="44">
        <f>E74*(1+index)</f>
        <v>169.19128799999996</v>
      </c>
      <c r="G74" s="44">
        <f>F74*(1+index)</f>
        <v>176.46651338399994</v>
      </c>
      <c r="H74" s="44">
        <f>G74*(1+index)</f>
        <v>184.05457345951191</v>
      </c>
      <c r="I74" s="62"/>
      <c r="J74" s="6"/>
      <c r="K74" s="6"/>
      <c r="L74" s="6"/>
    </row>
    <row r="75" spans="1:12" hidden="1" x14ac:dyDescent="0.25"/>
    <row r="76" spans="1:12" s="7" customFormat="1" hidden="1" x14ac:dyDescent="0.25">
      <c r="A76" s="5"/>
      <c r="B76" s="5" t="s">
        <v>1</v>
      </c>
      <c r="C76" s="5"/>
      <c r="D76" s="44"/>
      <c r="E76" s="44"/>
      <c r="F76" s="44"/>
      <c r="G76" s="38"/>
      <c r="H76" s="38"/>
      <c r="I76" s="62"/>
      <c r="J76" s="6"/>
      <c r="K76" s="6"/>
      <c r="L76" s="6"/>
    </row>
    <row r="77" spans="1:12" s="7" customFormat="1" hidden="1" x14ac:dyDescent="0.25">
      <c r="A77" s="9"/>
      <c r="B77" s="9" t="s">
        <v>41</v>
      </c>
      <c r="C77" s="9"/>
      <c r="D77" s="44"/>
      <c r="E77" s="44">
        <v>0</v>
      </c>
      <c r="F77" s="44"/>
      <c r="G77" s="38"/>
      <c r="H77" s="38"/>
      <c r="I77" s="62"/>
      <c r="J77" s="6"/>
      <c r="K77" s="6"/>
      <c r="L77" s="6"/>
    </row>
    <row r="78" spans="1:12" s="7" customFormat="1" hidden="1" x14ac:dyDescent="0.25">
      <c r="A78" s="9"/>
      <c r="B78" s="9" t="s">
        <v>42</v>
      </c>
      <c r="C78" s="9"/>
      <c r="D78" s="44"/>
      <c r="E78" s="44">
        <v>0</v>
      </c>
      <c r="F78" s="44"/>
      <c r="G78" s="38"/>
      <c r="H78" s="38"/>
      <c r="I78" s="62"/>
      <c r="J78" s="6"/>
      <c r="K78" s="6"/>
      <c r="L78" s="6"/>
    </row>
    <row r="79" spans="1:12" s="7" customFormat="1" hidden="1" x14ac:dyDescent="0.25">
      <c r="A79" s="9"/>
      <c r="B79" s="9" t="s">
        <v>43</v>
      </c>
      <c r="C79" s="9"/>
      <c r="D79" s="44"/>
      <c r="E79" s="44">
        <v>0</v>
      </c>
      <c r="F79" s="44"/>
      <c r="G79" s="38"/>
      <c r="H79" s="38"/>
      <c r="I79" s="62"/>
      <c r="J79" s="6"/>
      <c r="K79" s="6"/>
      <c r="L79" s="6"/>
    </row>
    <row r="80" spans="1:12" s="7" customFormat="1" hidden="1" x14ac:dyDescent="0.25">
      <c r="A80" s="9"/>
      <c r="B80" s="9" t="s">
        <v>44</v>
      </c>
      <c r="C80" s="9"/>
      <c r="D80" s="44"/>
      <c r="E80" s="44">
        <v>0</v>
      </c>
      <c r="F80" s="44"/>
      <c r="G80" s="38"/>
      <c r="H80" s="38"/>
      <c r="I80" s="62"/>
      <c r="J80" s="6"/>
      <c r="K80" s="6"/>
      <c r="L80" s="6"/>
    </row>
    <row r="81" spans="1:12" hidden="1" x14ac:dyDescent="0.25"/>
    <row r="82" spans="1:12" s="7" customFormat="1" hidden="1" x14ac:dyDescent="0.25">
      <c r="A82" s="5"/>
      <c r="B82" s="5" t="s">
        <v>3</v>
      </c>
      <c r="C82" s="5"/>
      <c r="D82" s="44"/>
      <c r="E82" s="44"/>
      <c r="F82" s="44"/>
      <c r="G82" s="38"/>
      <c r="H82" s="38"/>
      <c r="I82" s="62"/>
      <c r="J82" s="6"/>
      <c r="K82" s="6"/>
      <c r="L82" s="6"/>
    </row>
    <row r="83" spans="1:12" s="7" customFormat="1" hidden="1" x14ac:dyDescent="0.25">
      <c r="A83" s="9"/>
      <c r="B83" s="9" t="s">
        <v>45</v>
      </c>
      <c r="C83" s="9"/>
      <c r="D83" s="44"/>
      <c r="E83" s="44">
        <v>0</v>
      </c>
      <c r="F83" s="44"/>
      <c r="G83" s="38"/>
      <c r="H83" s="38"/>
      <c r="I83" s="62"/>
      <c r="J83" s="6"/>
      <c r="K83" s="6"/>
      <c r="L83" s="6"/>
    </row>
    <row r="84" spans="1:12" s="7" customFormat="1" hidden="1" x14ac:dyDescent="0.25">
      <c r="A84" s="9"/>
      <c r="B84" s="9" t="s">
        <v>46</v>
      </c>
      <c r="C84" s="9"/>
      <c r="D84" s="44"/>
      <c r="E84" s="44">
        <v>0</v>
      </c>
      <c r="F84" s="44"/>
      <c r="G84" s="38"/>
      <c r="H84" s="38"/>
      <c r="I84" s="62"/>
      <c r="J84" s="6"/>
      <c r="K84" s="6"/>
      <c r="L84" s="6"/>
    </row>
    <row r="85" spans="1:12" hidden="1" x14ac:dyDescent="0.25"/>
    <row r="86" spans="1:12" s="7" customFormat="1" hidden="1" x14ac:dyDescent="0.25">
      <c r="A86" s="5"/>
      <c r="B86" s="5" t="s">
        <v>4</v>
      </c>
      <c r="C86" s="5"/>
      <c r="D86" s="44"/>
      <c r="E86" s="44"/>
      <c r="F86" s="44"/>
      <c r="G86" s="38"/>
      <c r="H86" s="38"/>
      <c r="I86" s="62"/>
      <c r="J86" s="6"/>
      <c r="K86" s="6"/>
      <c r="L86" s="6"/>
    </row>
    <row r="87" spans="1:12" s="7" customFormat="1" hidden="1" x14ac:dyDescent="0.25">
      <c r="A87" s="9"/>
      <c r="B87" s="9" t="s">
        <v>47</v>
      </c>
      <c r="C87" s="9"/>
      <c r="D87" s="44"/>
      <c r="E87" s="44">
        <v>0</v>
      </c>
      <c r="F87" s="44"/>
      <c r="G87" s="38"/>
      <c r="H87" s="38"/>
      <c r="I87" s="62"/>
      <c r="J87" s="6"/>
      <c r="K87" s="6"/>
      <c r="L87" s="6"/>
    </row>
    <row r="88" spans="1:12" s="7" customFormat="1" hidden="1" x14ac:dyDescent="0.25">
      <c r="A88" s="9"/>
      <c r="B88" s="9" t="s">
        <v>48</v>
      </c>
      <c r="C88" s="9"/>
      <c r="D88" s="44"/>
      <c r="E88" s="44">
        <v>0</v>
      </c>
      <c r="F88" s="44"/>
      <c r="G88" s="38"/>
      <c r="H88" s="38"/>
      <c r="I88" s="62"/>
      <c r="J88" s="6"/>
      <c r="K88" s="6"/>
      <c r="L88" s="6"/>
    </row>
    <row r="89" spans="1:12" hidden="1" x14ac:dyDescent="0.25"/>
    <row r="90" spans="1:12" s="7" customFormat="1" hidden="1" x14ac:dyDescent="0.25">
      <c r="A90" s="9"/>
      <c r="B90" s="9" t="s">
        <v>39</v>
      </c>
      <c r="C90" s="9"/>
      <c r="D90" s="44"/>
      <c r="E90" s="46"/>
      <c r="F90" s="44"/>
      <c r="G90" s="38"/>
      <c r="H90" s="38"/>
      <c r="I90" s="62"/>
      <c r="J90" s="6"/>
      <c r="K90" s="6"/>
      <c r="L90" s="6"/>
    </row>
    <row r="91" spans="1:12" hidden="1" x14ac:dyDescent="0.25"/>
    <row r="92" spans="1:12" hidden="1" x14ac:dyDescent="0.25">
      <c r="A92" s="50"/>
      <c r="B92" s="50" t="s">
        <v>10</v>
      </c>
      <c r="C92" s="50"/>
      <c r="D92" s="52"/>
      <c r="E92" s="52">
        <f>E93*E94+E96*E97</f>
        <v>0</v>
      </c>
      <c r="F92" s="52">
        <f t="shared" ref="F92:H92" si="32">F93*F94+F96*F97</f>
        <v>0</v>
      </c>
      <c r="G92" s="52">
        <f t="shared" si="32"/>
        <v>0</v>
      </c>
      <c r="H92" s="52">
        <f t="shared" si="32"/>
        <v>0</v>
      </c>
    </row>
    <row r="93" spans="1:12" s="7" customFormat="1" hidden="1" x14ac:dyDescent="0.25">
      <c r="A93" s="5"/>
      <c r="B93" s="9" t="s">
        <v>49</v>
      </c>
      <c r="C93" s="5"/>
      <c r="D93" s="44"/>
      <c r="E93" s="44">
        <v>0</v>
      </c>
      <c r="F93" s="44">
        <v>0</v>
      </c>
      <c r="G93" s="44">
        <v>0</v>
      </c>
      <c r="H93" s="44">
        <v>0</v>
      </c>
      <c r="I93" s="62"/>
      <c r="J93" s="6"/>
      <c r="K93" s="6"/>
      <c r="L93" s="6"/>
    </row>
    <row r="94" spans="1:12" s="7" customFormat="1" hidden="1" x14ac:dyDescent="0.25">
      <c r="A94" s="5"/>
      <c r="B94" s="9" t="s">
        <v>50</v>
      </c>
      <c r="C94" s="5"/>
      <c r="D94" s="44"/>
      <c r="E94" s="44">
        <f>Trips!$B$10</f>
        <v>908.23176058823537</v>
      </c>
      <c r="F94" s="44">
        <f>Trips!$B$10</f>
        <v>908.23176058823537</v>
      </c>
      <c r="G94" s="44">
        <f>Trips!$B$10</f>
        <v>908.23176058823537</v>
      </c>
      <c r="H94" s="44">
        <f>Trips!$B$10</f>
        <v>908.23176058823537</v>
      </c>
      <c r="I94" s="62"/>
      <c r="J94" s="6"/>
      <c r="K94" s="6"/>
      <c r="L94" s="6"/>
    </row>
    <row r="95" spans="1:12" hidden="1" x14ac:dyDescent="0.25"/>
    <row r="96" spans="1:12" s="7" customFormat="1" hidden="1" x14ac:dyDescent="0.25">
      <c r="A96" s="5"/>
      <c r="B96" s="9" t="s">
        <v>51</v>
      </c>
      <c r="C96" s="5"/>
      <c r="D96" s="44"/>
      <c r="E96" s="44">
        <v>0</v>
      </c>
      <c r="F96" s="44">
        <v>0</v>
      </c>
      <c r="G96" s="44">
        <v>0</v>
      </c>
      <c r="H96" s="44">
        <v>0</v>
      </c>
      <c r="I96" s="62"/>
      <c r="J96" s="6"/>
      <c r="K96" s="6"/>
      <c r="L96" s="6"/>
    </row>
    <row r="97" spans="1:12" s="7" customFormat="1" hidden="1" x14ac:dyDescent="0.25">
      <c r="A97" s="5"/>
      <c r="B97" s="9" t="s">
        <v>52</v>
      </c>
      <c r="C97" s="5"/>
      <c r="D97" s="44"/>
      <c r="E97" s="44">
        <f>Trips!$B$5</f>
        <v>52</v>
      </c>
      <c r="F97" s="44">
        <f>Trips!$B$5</f>
        <v>52</v>
      </c>
      <c r="G97" s="44">
        <f>Trips!$B$5</f>
        <v>52</v>
      </c>
      <c r="H97" s="44">
        <f>Trips!$B$5</f>
        <v>52</v>
      </c>
      <c r="I97" s="62"/>
      <c r="J97" s="6"/>
      <c r="K97" s="6"/>
      <c r="L97" s="6"/>
    </row>
    <row r="98" spans="1:12" hidden="1" x14ac:dyDescent="0.25"/>
    <row r="99" spans="1:12" hidden="1" x14ac:dyDescent="0.25"/>
    <row r="100" spans="1:12" hidden="1" x14ac:dyDescent="0.25">
      <c r="A100" s="50"/>
      <c r="B100" s="50" t="s">
        <v>171</v>
      </c>
      <c r="C100" s="50"/>
      <c r="D100" s="52"/>
      <c r="E100" s="52">
        <f>E101*E102</f>
        <v>0</v>
      </c>
      <c r="F100" s="52">
        <f t="shared" ref="F100:H100" si="33">F101*F102</f>
        <v>0</v>
      </c>
      <c r="G100" s="52">
        <f t="shared" si="33"/>
        <v>0</v>
      </c>
      <c r="H100" s="52">
        <f t="shared" si="33"/>
        <v>0</v>
      </c>
    </row>
    <row r="101" spans="1:12" s="7" customFormat="1" hidden="1" x14ac:dyDescent="0.25">
      <c r="A101" s="10"/>
      <c r="B101" s="39" t="s">
        <v>144</v>
      </c>
      <c r="C101" s="10" t="s">
        <v>145</v>
      </c>
      <c r="D101" s="44"/>
      <c r="E101" s="44">
        <v>0</v>
      </c>
      <c r="F101" s="44">
        <v>0</v>
      </c>
      <c r="G101" s="44">
        <v>0</v>
      </c>
      <c r="H101" s="44">
        <v>0</v>
      </c>
      <c r="I101" s="62"/>
      <c r="J101" s="6"/>
      <c r="K101" s="6"/>
      <c r="L101" s="6"/>
    </row>
    <row r="102" spans="1:12" s="7" customFormat="1" hidden="1" x14ac:dyDescent="0.25">
      <c r="A102" s="5"/>
      <c r="B102" s="39" t="s">
        <v>141</v>
      </c>
      <c r="C102" s="5"/>
      <c r="D102" s="44"/>
      <c r="E102" s="44">
        <f>Trips!B41</f>
        <v>631.70365882352939</v>
      </c>
      <c r="F102" s="44">
        <f>E102*(1+index)</f>
        <v>658.86691615294114</v>
      </c>
      <c r="G102" s="44">
        <f>F102*(1+index)</f>
        <v>687.19819354751758</v>
      </c>
      <c r="H102" s="44">
        <f>G102*(1+index)</f>
        <v>716.7477158700608</v>
      </c>
      <c r="I102" s="62"/>
      <c r="J102" s="6"/>
      <c r="K102" s="6"/>
      <c r="L102" s="6"/>
    </row>
    <row r="103" spans="1:12" hidden="1" x14ac:dyDescent="0.25"/>
    <row r="104" spans="1:12" x14ac:dyDescent="0.25">
      <c r="A104" s="50"/>
      <c r="B104" s="50" t="s">
        <v>130</v>
      </c>
      <c r="C104" s="50"/>
      <c r="D104" s="52"/>
      <c r="E104" s="52">
        <f>E105*E106+E107*E108+E109*E110</f>
        <v>1418.75</v>
      </c>
      <c r="F104" s="52">
        <f t="shared" ref="F104:H104" si="34">F105*F106+F107*F108+F109*F110</f>
        <v>1479.7562499999999</v>
      </c>
      <c r="G104" s="52">
        <f t="shared" si="34"/>
        <v>1543.3857687499999</v>
      </c>
      <c r="H104" s="52">
        <f t="shared" si="34"/>
        <v>1609.7513568062498</v>
      </c>
    </row>
    <row r="105" spans="1:12" hidden="1" x14ac:dyDescent="0.25">
      <c r="B105" s="39" t="s">
        <v>131</v>
      </c>
      <c r="C105" s="5" t="s">
        <v>132</v>
      </c>
      <c r="E105" s="44">
        <f>Training!$C$33</f>
        <v>81.10799999999999</v>
      </c>
      <c r="F105" s="44">
        <f>E105*(1+index)</f>
        <v>84.595643999999979</v>
      </c>
      <c r="G105" s="44">
        <f>F105*(1+index)</f>
        <v>88.233256691999969</v>
      </c>
      <c r="H105" s="44">
        <f>G105*(1+index)</f>
        <v>92.027286729755957</v>
      </c>
    </row>
    <row r="106" spans="1:12" hidden="1" x14ac:dyDescent="0.25">
      <c r="B106" s="39" t="s">
        <v>133</v>
      </c>
      <c r="F106" s="44">
        <f>F93</f>
        <v>0</v>
      </c>
      <c r="G106" s="44">
        <f t="shared" ref="G106:H106" si="35">G93</f>
        <v>0</v>
      </c>
      <c r="H106" s="44">
        <f t="shared" si="35"/>
        <v>0</v>
      </c>
    </row>
    <row r="107" spans="1:12" x14ac:dyDescent="0.25">
      <c r="B107" s="39" t="s">
        <v>134</v>
      </c>
      <c r="C107" s="5" t="s">
        <v>471</v>
      </c>
      <c r="E107" s="44">
        <f>Training!C23*2</f>
        <v>1418.75</v>
      </c>
      <c r="F107" s="44">
        <f>E107*(1+index)</f>
        <v>1479.7562499999999</v>
      </c>
      <c r="G107" s="44">
        <f>F107*(1+index)</f>
        <v>1543.3857687499999</v>
      </c>
      <c r="H107" s="44">
        <f>G107*(1+index)</f>
        <v>1609.7513568062498</v>
      </c>
    </row>
    <row r="108" spans="1:12" x14ac:dyDescent="0.25">
      <c r="B108" s="39" t="s">
        <v>135</v>
      </c>
      <c r="E108" s="44">
        <f>Emp!C16/4/25+0.1</f>
        <v>1</v>
      </c>
      <c r="F108" s="44">
        <f>E108</f>
        <v>1</v>
      </c>
      <c r="G108" s="44">
        <f t="shared" ref="G108:H108" si="36">F108</f>
        <v>1</v>
      </c>
      <c r="H108" s="44">
        <f t="shared" si="36"/>
        <v>1</v>
      </c>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x14ac:dyDescent="0.25">
      <c r="B111" s="39"/>
    </row>
    <row r="112" spans="1:12" x14ac:dyDescent="0.25">
      <c r="A112" s="50"/>
      <c r="B112" s="50" t="s">
        <v>24</v>
      </c>
      <c r="C112" s="50"/>
      <c r="D112" s="52"/>
      <c r="E112" s="52">
        <f t="shared" ref="E112:H112" si="37">E114*E115</f>
        <v>120</v>
      </c>
      <c r="F112" s="52">
        <f t="shared" si="37"/>
        <v>125.15999999999998</v>
      </c>
      <c r="G112" s="52">
        <f t="shared" si="37"/>
        <v>130.54187999999999</v>
      </c>
      <c r="H112" s="52">
        <f t="shared" si="37"/>
        <v>136.15518083999999</v>
      </c>
    </row>
    <row r="113" spans="1:12" x14ac:dyDescent="0.25">
      <c r="B113" s="5" t="s">
        <v>486</v>
      </c>
      <c r="G113" s="44"/>
      <c r="H113" s="44"/>
    </row>
    <row r="114" spans="1:12" s="7" customFormat="1" x14ac:dyDescent="0.25">
      <c r="A114" s="5"/>
      <c r="B114" s="39" t="s">
        <v>53</v>
      </c>
      <c r="C114" s="5"/>
      <c r="D114" s="44"/>
      <c r="E114" s="44">
        <v>20</v>
      </c>
      <c r="F114" s="44">
        <v>20</v>
      </c>
      <c r="G114" s="44">
        <v>20</v>
      </c>
      <c r="H114" s="44">
        <v>20</v>
      </c>
      <c r="I114" s="62"/>
      <c r="J114" s="6"/>
      <c r="K114" s="6"/>
      <c r="L114" s="6"/>
    </row>
    <row r="115" spans="1:12" s="7" customFormat="1" x14ac:dyDescent="0.25">
      <c r="A115" s="5"/>
      <c r="B115" s="39" t="s">
        <v>487</v>
      </c>
      <c r="C115" s="5"/>
      <c r="D115" s="44"/>
      <c r="E115" s="44">
        <f>120/20</f>
        <v>6</v>
      </c>
      <c r="F115" s="44">
        <f>E115*(1+index)</f>
        <v>6.2579999999999991</v>
      </c>
      <c r="G115" s="44">
        <f>F115*(1+index)</f>
        <v>6.5270939999999991</v>
      </c>
      <c r="H115" s="44">
        <f>G115*(1+index)</f>
        <v>6.8077590419999989</v>
      </c>
      <c r="I115" s="62"/>
      <c r="J115" s="6"/>
      <c r="K115" s="6"/>
      <c r="L115" s="6"/>
    </row>
    <row r="117" spans="1:12" x14ac:dyDescent="0.25">
      <c r="A117" s="50"/>
      <c r="B117" s="50" t="s">
        <v>7</v>
      </c>
      <c r="C117" s="50"/>
      <c r="D117" s="52"/>
      <c r="E117" s="52"/>
      <c r="F117" s="52"/>
      <c r="G117" s="52"/>
      <c r="H117" s="52"/>
    </row>
    <row r="118" spans="1:12" ht="27" x14ac:dyDescent="0.25">
      <c r="B118" s="66" t="s">
        <v>320</v>
      </c>
      <c r="C118" s="77"/>
      <c r="E118" s="151">
        <f>E120+E121</f>
        <v>46652</v>
      </c>
      <c r="G118" s="44"/>
      <c r="H118" s="44"/>
    </row>
    <row r="119" spans="1:12" x14ac:dyDescent="0.25">
      <c r="B119" s="66"/>
      <c r="G119" s="44"/>
      <c r="H119" s="44"/>
    </row>
    <row r="120" spans="1:12" x14ac:dyDescent="0.25">
      <c r="B120" s="66" t="s">
        <v>337</v>
      </c>
      <c r="E120" s="44">
        <v>3852</v>
      </c>
      <c r="G120" s="44"/>
      <c r="H120" s="44"/>
    </row>
    <row r="121" spans="1:12" x14ac:dyDescent="0.25">
      <c r="B121" s="5" t="s">
        <v>336</v>
      </c>
      <c r="E121" s="44">
        <f>E122+E136+E150</f>
        <v>42800</v>
      </c>
      <c r="G121" s="44"/>
      <c r="H121" s="44"/>
    </row>
    <row r="122" spans="1:12" x14ac:dyDescent="0.25">
      <c r="B122" s="55" t="s">
        <v>321</v>
      </c>
      <c r="E122" s="151">
        <f>SUM(E123:E135)</f>
        <v>6000</v>
      </c>
      <c r="G122" s="44"/>
      <c r="H122" s="44"/>
    </row>
    <row r="123" spans="1:12" x14ac:dyDescent="0.25">
      <c r="B123" s="41" t="s">
        <v>326</v>
      </c>
      <c r="E123" s="44">
        <v>500</v>
      </c>
      <c r="G123" s="44"/>
      <c r="H123" s="44"/>
    </row>
    <row r="124" spans="1:12" x14ac:dyDescent="0.25">
      <c r="B124" s="41" t="s">
        <v>330</v>
      </c>
      <c r="E124" s="44">
        <v>750</v>
      </c>
      <c r="G124" s="44"/>
      <c r="H124" s="44"/>
    </row>
    <row r="125" spans="1:12" x14ac:dyDescent="0.25">
      <c r="B125" s="41" t="s">
        <v>333</v>
      </c>
      <c r="E125" s="44">
        <v>250</v>
      </c>
      <c r="G125" s="44"/>
      <c r="H125" s="44"/>
    </row>
    <row r="126" spans="1:12" x14ac:dyDescent="0.25">
      <c r="B126" s="41" t="s">
        <v>332</v>
      </c>
      <c r="E126" s="44">
        <v>250</v>
      </c>
      <c r="G126" s="44"/>
      <c r="H126" s="44"/>
    </row>
    <row r="127" spans="1:12" x14ac:dyDescent="0.25">
      <c r="B127" s="41" t="s">
        <v>332</v>
      </c>
      <c r="E127" s="44">
        <v>250</v>
      </c>
      <c r="G127" s="44"/>
      <c r="H127" s="44"/>
    </row>
    <row r="128" spans="1:12" x14ac:dyDescent="0.25">
      <c r="B128" s="41" t="s">
        <v>322</v>
      </c>
      <c r="E128" s="44">
        <v>1500</v>
      </c>
      <c r="G128" s="44"/>
      <c r="H128" s="44"/>
    </row>
    <row r="129" spans="2:8" x14ac:dyDescent="0.25">
      <c r="B129" s="41" t="s">
        <v>323</v>
      </c>
      <c r="E129" s="44">
        <v>250</v>
      </c>
      <c r="G129" s="44"/>
      <c r="H129" s="44"/>
    </row>
    <row r="130" spans="2:8" x14ac:dyDescent="0.25">
      <c r="B130" s="41" t="s">
        <v>329</v>
      </c>
      <c r="E130" s="44">
        <v>500</v>
      </c>
      <c r="G130" s="44"/>
      <c r="H130" s="44"/>
    </row>
    <row r="131" spans="2:8" x14ac:dyDescent="0.25">
      <c r="B131" s="41" t="s">
        <v>327</v>
      </c>
      <c r="E131" s="44">
        <v>250</v>
      </c>
      <c r="G131" s="44"/>
      <c r="H131" s="44"/>
    </row>
    <row r="132" spans="2:8" x14ac:dyDescent="0.25">
      <c r="B132" s="41" t="s">
        <v>324</v>
      </c>
      <c r="E132" s="44">
        <v>250</v>
      </c>
      <c r="G132" s="44"/>
      <c r="H132" s="44"/>
    </row>
    <row r="133" spans="2:8" x14ac:dyDescent="0.25">
      <c r="B133" s="41" t="s">
        <v>328</v>
      </c>
      <c r="E133" s="44">
        <v>750</v>
      </c>
      <c r="G133" s="44"/>
      <c r="H133" s="44"/>
    </row>
    <row r="134" spans="2:8" x14ac:dyDescent="0.25">
      <c r="B134" s="41" t="s">
        <v>331</v>
      </c>
      <c r="E134" s="44">
        <v>250</v>
      </c>
      <c r="G134" s="44"/>
      <c r="H134" s="44"/>
    </row>
    <row r="135" spans="2:8" x14ac:dyDescent="0.25">
      <c r="B135" s="41" t="s">
        <v>325</v>
      </c>
      <c r="E135" s="44">
        <v>250</v>
      </c>
      <c r="G135" s="44"/>
      <c r="H135" s="44"/>
    </row>
    <row r="136" spans="2:8" x14ac:dyDescent="0.25">
      <c r="B136" s="55" t="s">
        <v>334</v>
      </c>
      <c r="E136" s="151">
        <f>SUM(E137:E149)</f>
        <v>4600</v>
      </c>
      <c r="G136" s="44"/>
      <c r="H136" s="44"/>
    </row>
    <row r="137" spans="2:8" x14ac:dyDescent="0.25">
      <c r="B137" s="41" t="s">
        <v>326</v>
      </c>
      <c r="E137" s="44">
        <v>400</v>
      </c>
      <c r="G137" s="44"/>
      <c r="H137" s="44"/>
    </row>
    <row r="138" spans="2:8" x14ac:dyDescent="0.25">
      <c r="B138" s="41" t="s">
        <v>330</v>
      </c>
      <c r="E138" s="44">
        <v>500</v>
      </c>
      <c r="G138" s="44"/>
      <c r="H138" s="44"/>
    </row>
    <row r="139" spans="2:8" x14ac:dyDescent="0.25">
      <c r="B139" s="41" t="s">
        <v>333</v>
      </c>
      <c r="E139" s="44">
        <v>800</v>
      </c>
      <c r="G139" s="44"/>
      <c r="H139" s="44"/>
    </row>
    <row r="140" spans="2:8" x14ac:dyDescent="0.25">
      <c r="B140" s="41" t="s">
        <v>332</v>
      </c>
      <c r="E140" s="44">
        <v>200</v>
      </c>
      <c r="G140" s="44"/>
      <c r="H140" s="44"/>
    </row>
    <row r="141" spans="2:8" x14ac:dyDescent="0.25">
      <c r="B141" s="41" t="s">
        <v>332</v>
      </c>
      <c r="E141" s="44">
        <v>100</v>
      </c>
      <c r="G141" s="44"/>
      <c r="H141" s="44"/>
    </row>
    <row r="142" spans="2:8" x14ac:dyDescent="0.25">
      <c r="B142" s="41" t="s">
        <v>322</v>
      </c>
      <c r="E142" s="44">
        <v>600</v>
      </c>
      <c r="G142" s="44"/>
      <c r="H142" s="44"/>
    </row>
    <row r="143" spans="2:8" x14ac:dyDescent="0.25">
      <c r="B143" s="41" t="s">
        <v>323</v>
      </c>
      <c r="E143" s="44">
        <v>100</v>
      </c>
      <c r="G143" s="44"/>
      <c r="H143" s="44"/>
    </row>
    <row r="144" spans="2:8" x14ac:dyDescent="0.25">
      <c r="B144" s="41" t="s">
        <v>329</v>
      </c>
      <c r="E144" s="44">
        <v>300</v>
      </c>
      <c r="G144" s="44"/>
      <c r="H144" s="44"/>
    </row>
    <row r="145" spans="2:8" x14ac:dyDescent="0.25">
      <c r="B145" s="41" t="s">
        <v>327</v>
      </c>
      <c r="E145" s="44">
        <v>200</v>
      </c>
      <c r="G145" s="44"/>
      <c r="H145" s="44"/>
    </row>
    <row r="146" spans="2:8" x14ac:dyDescent="0.25">
      <c r="B146" s="41" t="s">
        <v>324</v>
      </c>
      <c r="E146" s="44">
        <v>600</v>
      </c>
      <c r="G146" s="44"/>
      <c r="H146" s="44"/>
    </row>
    <row r="147" spans="2:8" x14ac:dyDescent="0.25">
      <c r="B147" s="41" t="s">
        <v>328</v>
      </c>
      <c r="E147" s="44">
        <v>400</v>
      </c>
      <c r="G147" s="44"/>
      <c r="H147" s="44"/>
    </row>
    <row r="148" spans="2:8" x14ac:dyDescent="0.25">
      <c r="B148" s="41" t="s">
        <v>331</v>
      </c>
      <c r="E148" s="44">
        <v>200</v>
      </c>
      <c r="G148" s="44"/>
      <c r="H148" s="44"/>
    </row>
    <row r="149" spans="2:8" x14ac:dyDescent="0.25">
      <c r="B149" s="41" t="s">
        <v>325</v>
      </c>
      <c r="E149" s="44">
        <v>200</v>
      </c>
      <c r="G149" s="44"/>
      <c r="H149" s="44"/>
    </row>
    <row r="150" spans="2:8" x14ac:dyDescent="0.25">
      <c r="B150" s="55" t="s">
        <v>335</v>
      </c>
      <c r="E150" s="151">
        <f>SUM(E151:E163)</f>
        <v>32200</v>
      </c>
      <c r="G150" s="44"/>
      <c r="H150" s="44"/>
    </row>
    <row r="151" spans="2:8" x14ac:dyDescent="0.25">
      <c r="B151" s="41" t="s">
        <v>326</v>
      </c>
      <c r="E151" s="44">
        <v>2800</v>
      </c>
      <c r="G151" s="44"/>
      <c r="H151" s="44"/>
    </row>
    <row r="152" spans="2:8" x14ac:dyDescent="0.25">
      <c r="B152" s="41" t="s">
        <v>330</v>
      </c>
      <c r="E152" s="44">
        <v>3500</v>
      </c>
      <c r="G152" s="44"/>
      <c r="H152" s="44"/>
    </row>
    <row r="153" spans="2:8" x14ac:dyDescent="0.25">
      <c r="B153" s="41" t="s">
        <v>333</v>
      </c>
      <c r="E153" s="44">
        <v>5600</v>
      </c>
      <c r="G153" s="44"/>
      <c r="H153" s="44"/>
    </row>
    <row r="154" spans="2:8" x14ac:dyDescent="0.25">
      <c r="B154" s="41" t="s">
        <v>332</v>
      </c>
      <c r="E154" s="44">
        <v>1400</v>
      </c>
      <c r="G154" s="44"/>
      <c r="H154" s="44"/>
    </row>
    <row r="155" spans="2:8" x14ac:dyDescent="0.25">
      <c r="B155" s="41" t="s">
        <v>332</v>
      </c>
      <c r="E155" s="44">
        <v>700</v>
      </c>
      <c r="G155" s="44"/>
      <c r="H155" s="44"/>
    </row>
    <row r="156" spans="2:8" x14ac:dyDescent="0.25">
      <c r="B156" s="41" t="s">
        <v>322</v>
      </c>
      <c r="E156" s="44">
        <v>4200</v>
      </c>
      <c r="G156" s="44"/>
      <c r="H156" s="44"/>
    </row>
    <row r="157" spans="2:8" x14ac:dyDescent="0.25">
      <c r="B157" s="41" t="s">
        <v>323</v>
      </c>
      <c r="E157" s="44">
        <v>700</v>
      </c>
      <c r="G157" s="44"/>
      <c r="H157" s="44"/>
    </row>
    <row r="158" spans="2:8" x14ac:dyDescent="0.25">
      <c r="B158" s="41" t="s">
        <v>329</v>
      </c>
      <c r="E158" s="44">
        <v>2100</v>
      </c>
      <c r="G158" s="44"/>
      <c r="H158" s="44"/>
    </row>
    <row r="159" spans="2:8" x14ac:dyDescent="0.25">
      <c r="B159" s="41" t="s">
        <v>327</v>
      </c>
      <c r="E159" s="44">
        <v>1400</v>
      </c>
      <c r="G159" s="44"/>
      <c r="H159" s="44"/>
    </row>
    <row r="160" spans="2:8" x14ac:dyDescent="0.25">
      <c r="B160" s="41" t="s">
        <v>324</v>
      </c>
      <c r="E160" s="44">
        <v>4200</v>
      </c>
      <c r="G160" s="44"/>
      <c r="H160" s="44"/>
    </row>
    <row r="161" spans="1:12" x14ac:dyDescent="0.25">
      <c r="B161" s="41" t="s">
        <v>328</v>
      </c>
      <c r="E161" s="44">
        <v>2800</v>
      </c>
      <c r="G161" s="44"/>
      <c r="H161" s="44"/>
    </row>
    <row r="162" spans="1:12" x14ac:dyDescent="0.25">
      <c r="B162" s="41" t="s">
        <v>331</v>
      </c>
      <c r="E162" s="44">
        <v>1400</v>
      </c>
      <c r="G162" s="44"/>
      <c r="H162" s="44"/>
    </row>
    <row r="163" spans="1:12" x14ac:dyDescent="0.25">
      <c r="B163" s="41" t="s">
        <v>325</v>
      </c>
      <c r="E163" s="44">
        <v>1400</v>
      </c>
      <c r="G163" s="44"/>
      <c r="H163" s="44"/>
    </row>
    <row r="164" spans="1:12" x14ac:dyDescent="0.25">
      <c r="B164" s="41"/>
      <c r="G164" s="44"/>
      <c r="H164" s="44"/>
    </row>
    <row r="165" spans="1:12" hidden="1" x14ac:dyDescent="0.25">
      <c r="B165" s="41"/>
      <c r="G165" s="44"/>
      <c r="H165" s="44"/>
    </row>
    <row r="166" spans="1:12" hidden="1" x14ac:dyDescent="0.25">
      <c r="G166" s="44"/>
      <c r="H166" s="44"/>
    </row>
    <row r="167" spans="1:12" s="7" customFormat="1" hidden="1" x14ac:dyDescent="0.25">
      <c r="A167" s="5"/>
      <c r="B167" s="4" t="s">
        <v>57</v>
      </c>
      <c r="C167" s="5"/>
      <c r="D167" s="44"/>
      <c r="E167" s="46"/>
      <c r="F167" s="46"/>
      <c r="G167" s="105"/>
      <c r="H167" s="105"/>
      <c r="I167" s="62"/>
      <c r="J167" s="6"/>
      <c r="K167" s="6"/>
      <c r="L167" s="6"/>
    </row>
    <row r="168" spans="1:12" s="43" customFormat="1" hidden="1" x14ac:dyDescent="0.25">
      <c r="A168" s="40"/>
      <c r="B168" s="41" t="s">
        <v>58</v>
      </c>
      <c r="C168" s="40" t="s">
        <v>55</v>
      </c>
      <c r="D168" s="71"/>
      <c r="E168" s="71"/>
      <c r="F168" s="71"/>
      <c r="G168" s="72"/>
      <c r="H168" s="72"/>
      <c r="I168" s="75"/>
      <c r="J168" s="42"/>
      <c r="K168" s="42"/>
      <c r="L168" s="42"/>
    </row>
    <row r="169" spans="1:12" s="40" customFormat="1" hidden="1" x14ac:dyDescent="0.25">
      <c r="B169" s="41" t="s">
        <v>56</v>
      </c>
      <c r="D169" s="71"/>
      <c r="E169" s="71"/>
      <c r="F169" s="71"/>
      <c r="G169" s="72"/>
      <c r="H169" s="72"/>
      <c r="I169" s="75"/>
      <c r="J169" s="42"/>
      <c r="K169" s="42"/>
      <c r="L169" s="42"/>
    </row>
    <row r="170" spans="1:12" s="40" customFormat="1" hidden="1" x14ac:dyDescent="0.25">
      <c r="B170" s="41" t="s">
        <v>59</v>
      </c>
      <c r="D170" s="71"/>
      <c r="E170" s="71"/>
      <c r="F170" s="71"/>
      <c r="G170" s="72"/>
      <c r="H170" s="72"/>
      <c r="I170" s="75"/>
      <c r="J170" s="42"/>
      <c r="K170" s="42"/>
      <c r="L170" s="42"/>
    </row>
    <row r="172" spans="1:12" x14ac:dyDescent="0.25">
      <c r="A172" s="50"/>
      <c r="B172" s="50" t="s">
        <v>26</v>
      </c>
      <c r="C172" s="50"/>
      <c r="D172" s="52"/>
      <c r="E172" s="52">
        <f>E173+E176+E179+E182+E185</f>
        <v>4717.0823440000004</v>
      </c>
      <c r="F172" s="52">
        <f t="shared" ref="F172:H172" si="38">F173+F176+F179+F182+F185</f>
        <v>1111.8487355989998</v>
      </c>
      <c r="G172" s="52">
        <f t="shared" si="38"/>
        <v>1159.6582312297569</v>
      </c>
      <c r="H172" s="52">
        <f t="shared" si="38"/>
        <v>1209.5235351726365</v>
      </c>
    </row>
    <row r="173" spans="1:12" x14ac:dyDescent="0.25">
      <c r="B173" s="5" t="s">
        <v>481</v>
      </c>
      <c r="E173" s="44">
        <f>E174*E175</f>
        <v>1357</v>
      </c>
      <c r="F173" s="44">
        <f t="shared" ref="F173:H173" si="39">F174*F175</f>
        <v>492.29599999999999</v>
      </c>
      <c r="G173" s="44">
        <f t="shared" si="39"/>
        <v>513.46472799999992</v>
      </c>
      <c r="H173" s="44">
        <f t="shared" si="39"/>
        <v>535.54371130399988</v>
      </c>
    </row>
    <row r="174" spans="1:12" x14ac:dyDescent="0.25">
      <c r="B174" s="41" t="s">
        <v>277</v>
      </c>
      <c r="E174" s="44">
        <v>59</v>
      </c>
      <c r="F174" s="44">
        <f>E174*(1+index)</f>
        <v>61.536999999999999</v>
      </c>
      <c r="G174" s="44">
        <f>F174*(1+index)</f>
        <v>64.18309099999999</v>
      </c>
      <c r="H174" s="44">
        <f>G174*(1+index)</f>
        <v>66.942963912999986</v>
      </c>
    </row>
    <row r="175" spans="1:12" x14ac:dyDescent="0.25">
      <c r="B175" s="41" t="s">
        <v>274</v>
      </c>
      <c r="E175" s="44">
        <f>(2+36+77)*20%</f>
        <v>23</v>
      </c>
      <c r="F175" s="44">
        <v>8</v>
      </c>
      <c r="G175" s="44">
        <v>8</v>
      </c>
      <c r="H175" s="44">
        <v>8</v>
      </c>
    </row>
    <row r="176" spans="1:12" x14ac:dyDescent="0.25">
      <c r="B176" s="5" t="s">
        <v>482</v>
      </c>
      <c r="E176" s="44">
        <f>E177*E178</f>
        <v>518.40000000000009</v>
      </c>
      <c r="F176" s="44">
        <f t="shared" ref="F176" si="40">F177*F178</f>
        <v>180.2304</v>
      </c>
      <c r="G176" s="44">
        <f t="shared" ref="G176" si="41">G177*G178</f>
        <v>187.9803072</v>
      </c>
      <c r="H176" s="44">
        <f t="shared" ref="H176" si="42">H177*H178</f>
        <v>196.0634604096</v>
      </c>
    </row>
    <row r="177" spans="2:12" x14ac:dyDescent="0.25">
      <c r="B177" s="41" t="s">
        <v>277</v>
      </c>
      <c r="E177" s="44">
        <v>43.2</v>
      </c>
      <c r="F177" s="44">
        <f>E177*(1+index)</f>
        <v>45.057600000000001</v>
      </c>
      <c r="G177" s="44">
        <f>F177*(1+index)</f>
        <v>46.9950768</v>
      </c>
      <c r="H177" s="44">
        <f>G177*(1+index)</f>
        <v>49.015865102399999</v>
      </c>
    </row>
    <row r="178" spans="2:12" x14ac:dyDescent="0.25">
      <c r="B178" s="41" t="s">
        <v>274</v>
      </c>
      <c r="E178" s="44">
        <v>12</v>
      </c>
      <c r="F178" s="44">
        <v>4</v>
      </c>
      <c r="G178" s="44">
        <v>4</v>
      </c>
      <c r="H178" s="44">
        <v>4</v>
      </c>
    </row>
    <row r="179" spans="2:12" x14ac:dyDescent="0.25">
      <c r="B179" s="73" t="s">
        <v>483</v>
      </c>
      <c r="E179" s="44">
        <f>E180*E181</f>
        <v>2016</v>
      </c>
      <c r="F179" s="44">
        <f t="shared" ref="F179:H179" si="43">F180*F181</f>
        <v>300.38399999999996</v>
      </c>
      <c r="G179" s="44">
        <f t="shared" si="43"/>
        <v>313.30051199999997</v>
      </c>
      <c r="H179" s="44">
        <f t="shared" si="43"/>
        <v>326.77243401599992</v>
      </c>
    </row>
    <row r="180" spans="2:12" x14ac:dyDescent="0.25">
      <c r="B180" s="41" t="s">
        <v>277</v>
      </c>
      <c r="E180" s="44">
        <f>40*0.6</f>
        <v>24</v>
      </c>
      <c r="F180" s="44">
        <f>E180*(1+index)</f>
        <v>25.031999999999996</v>
      </c>
      <c r="G180" s="44">
        <f>F180*(1+index)</f>
        <v>26.108375999999996</v>
      </c>
      <c r="H180" s="44">
        <f>G180*(1+index)</f>
        <v>27.231036167999996</v>
      </c>
    </row>
    <row r="181" spans="2:12" x14ac:dyDescent="0.25">
      <c r="B181" s="41" t="s">
        <v>274</v>
      </c>
      <c r="E181" s="44">
        <f>12*7</f>
        <v>84</v>
      </c>
      <c r="F181" s="44">
        <v>12</v>
      </c>
      <c r="G181" s="44">
        <v>12</v>
      </c>
      <c r="H181" s="44">
        <v>12</v>
      </c>
    </row>
    <row r="182" spans="2:12" x14ac:dyDescent="0.25">
      <c r="B182" s="5" t="s">
        <v>484</v>
      </c>
      <c r="E182" s="44">
        <f>E183*E184</f>
        <v>585.68234400000006</v>
      </c>
      <c r="F182" s="44">
        <f t="shared" ref="F182:H182" si="44">F183*F184</f>
        <v>76.358335599</v>
      </c>
      <c r="G182" s="44">
        <f t="shared" si="44"/>
        <v>79.641744029756993</v>
      </c>
      <c r="H182" s="44">
        <f t="shared" si="44"/>
        <v>83.066339023036548</v>
      </c>
    </row>
    <row r="183" spans="2:12" x14ac:dyDescent="0.25">
      <c r="B183" s="41" t="s">
        <v>277</v>
      </c>
      <c r="E183" s="44">
        <f>39*1.3*usd</f>
        <v>24.403431000000001</v>
      </c>
      <c r="F183" s="44">
        <f>E183*(1+index)</f>
        <v>25.452778533</v>
      </c>
      <c r="G183" s="44">
        <f>F183*(1+index)</f>
        <v>26.547248009918999</v>
      </c>
      <c r="H183" s="44">
        <f>G183*(1+index)</f>
        <v>27.688779674345515</v>
      </c>
    </row>
    <row r="184" spans="2:12" x14ac:dyDescent="0.25">
      <c r="B184" s="41" t="s">
        <v>274</v>
      </c>
      <c r="E184" s="44">
        <f>12*2</f>
        <v>24</v>
      </c>
      <c r="F184" s="44">
        <v>3</v>
      </c>
      <c r="G184" s="44">
        <v>3</v>
      </c>
      <c r="H184" s="44">
        <v>3</v>
      </c>
    </row>
    <row r="185" spans="2:12" x14ac:dyDescent="0.25">
      <c r="B185" s="5" t="s">
        <v>485</v>
      </c>
      <c r="E185" s="44">
        <f>E186*E187</f>
        <v>240</v>
      </c>
      <c r="F185" s="44">
        <f t="shared" ref="F185:H185" si="45">F186*F187</f>
        <v>62.58</v>
      </c>
      <c r="G185" s="44">
        <f t="shared" si="45"/>
        <v>65.270939999999996</v>
      </c>
      <c r="H185" s="44">
        <f t="shared" si="45"/>
        <v>68.077590419999979</v>
      </c>
    </row>
    <row r="186" spans="2:12" x14ac:dyDescent="0.25">
      <c r="B186" s="41" t="s">
        <v>277</v>
      </c>
      <c r="E186" s="44">
        <v>5</v>
      </c>
      <c r="F186" s="44">
        <f>E186*(1+index)</f>
        <v>5.2149999999999999</v>
      </c>
      <c r="G186" s="44">
        <f>F186*(1+index)</f>
        <v>5.4392449999999997</v>
      </c>
      <c r="H186" s="44">
        <f>G186*(1+index)</f>
        <v>5.6731325349999988</v>
      </c>
    </row>
    <row r="187" spans="2:12" x14ac:dyDescent="0.25">
      <c r="B187" s="41" t="s">
        <v>274</v>
      </c>
      <c r="E187" s="44">
        <f>E184*2</f>
        <v>48</v>
      </c>
      <c r="F187" s="44">
        <v>12</v>
      </c>
      <c r="G187" s="44">
        <v>12</v>
      </c>
      <c r="H187" s="44">
        <v>12</v>
      </c>
    </row>
    <row r="188" spans="2:12" x14ac:dyDescent="0.25">
      <c r="G188" s="44"/>
      <c r="H188" s="44"/>
    </row>
    <row r="189" spans="2:12" x14ac:dyDescent="0.25">
      <c r="G189" s="44"/>
      <c r="H189" s="44"/>
    </row>
    <row r="190" spans="2:12" x14ac:dyDescent="0.25">
      <c r="B190" s="41" t="s">
        <v>556</v>
      </c>
      <c r="D190" s="44">
        <f>2+36+77</f>
        <v>115</v>
      </c>
      <c r="G190" s="44"/>
    </row>
    <row r="191" spans="2:12" x14ac:dyDescent="0.25">
      <c r="G191" s="44"/>
      <c r="H191" s="44"/>
    </row>
    <row r="192" spans="2:12" s="5" customFormat="1" hidden="1" x14ac:dyDescent="0.25">
      <c r="B192" s="55" t="s">
        <v>60</v>
      </c>
      <c r="D192" s="44"/>
      <c r="E192" s="44"/>
      <c r="F192" s="44"/>
      <c r="G192" s="38"/>
      <c r="H192" s="38"/>
      <c r="I192" s="62"/>
      <c r="J192" s="6"/>
      <c r="K192" s="6"/>
      <c r="L192" s="6"/>
    </row>
    <row r="193" spans="1:12" s="5" customFormat="1" hidden="1" x14ac:dyDescent="0.25">
      <c r="B193" s="41" t="s">
        <v>147</v>
      </c>
      <c r="D193" s="44"/>
      <c r="E193" s="44"/>
      <c r="F193" s="44"/>
      <c r="G193" s="38"/>
      <c r="H193" s="38"/>
      <c r="I193" s="62"/>
      <c r="J193" s="6"/>
      <c r="K193" s="6"/>
      <c r="L193" s="6"/>
    </row>
    <row r="194" spans="1:12" s="5" customFormat="1" hidden="1" x14ac:dyDescent="0.25">
      <c r="B194" s="41" t="s">
        <v>146</v>
      </c>
      <c r="D194" s="44"/>
      <c r="E194" s="44"/>
      <c r="F194" s="44"/>
      <c r="G194" s="38"/>
      <c r="H194" s="38"/>
      <c r="I194" s="62"/>
      <c r="J194" s="6"/>
      <c r="K194" s="6"/>
      <c r="L194" s="6"/>
    </row>
    <row r="195" spans="1:12" s="5" customFormat="1" hidden="1" x14ac:dyDescent="0.25">
      <c r="B195" s="55" t="s">
        <v>123</v>
      </c>
      <c r="D195" s="44"/>
      <c r="E195" s="44"/>
      <c r="F195" s="44"/>
      <c r="G195" s="38"/>
      <c r="H195" s="38"/>
      <c r="I195" s="62"/>
      <c r="J195" s="6"/>
      <c r="K195" s="6"/>
      <c r="L195" s="6"/>
    </row>
    <row r="196" spans="1:12" s="5" customFormat="1" hidden="1" x14ac:dyDescent="0.25">
      <c r="B196" s="41" t="s">
        <v>147</v>
      </c>
      <c r="D196" s="44"/>
      <c r="E196" s="44">
        <f>'Rates and GI'!$D$31</f>
        <v>350</v>
      </c>
      <c r="F196" s="44">
        <f>'Rates and GI'!$D$31</f>
        <v>350</v>
      </c>
      <c r="G196" s="44">
        <f>'Rates and GI'!$D$31</f>
        <v>350</v>
      </c>
      <c r="H196" s="44">
        <f>'Rates and GI'!$D$31</f>
        <v>350</v>
      </c>
      <c r="I196" s="62"/>
      <c r="J196" s="6"/>
      <c r="K196" s="6"/>
      <c r="L196" s="6"/>
    </row>
    <row r="197" spans="1:12" s="5" customFormat="1" hidden="1" x14ac:dyDescent="0.25">
      <c r="B197" s="41" t="s">
        <v>146</v>
      </c>
      <c r="D197" s="44"/>
      <c r="E197" s="44">
        <v>0</v>
      </c>
      <c r="F197" s="44">
        <v>0</v>
      </c>
      <c r="G197" s="38"/>
      <c r="H197" s="38"/>
      <c r="I197" s="62"/>
      <c r="J197" s="6"/>
      <c r="K197" s="6"/>
      <c r="L197" s="6"/>
    </row>
    <row r="198" spans="1:12" s="5" customFormat="1" hidden="1" x14ac:dyDescent="0.25">
      <c r="B198" s="55" t="s">
        <v>8</v>
      </c>
      <c r="D198" s="44"/>
      <c r="E198" s="44"/>
      <c r="F198" s="44"/>
      <c r="G198" s="38"/>
      <c r="H198" s="38"/>
      <c r="I198" s="62"/>
      <c r="J198" s="6"/>
      <c r="K198" s="6"/>
      <c r="L198" s="6"/>
    </row>
    <row r="199" spans="1:12" s="5" customFormat="1" hidden="1" x14ac:dyDescent="0.25">
      <c r="B199" s="41" t="s">
        <v>147</v>
      </c>
      <c r="D199" s="44"/>
      <c r="E199" s="44"/>
      <c r="F199" s="44"/>
      <c r="G199" s="38"/>
      <c r="H199" s="38"/>
      <c r="I199" s="62"/>
      <c r="J199" s="6"/>
      <c r="K199" s="6"/>
      <c r="L199" s="6"/>
    </row>
    <row r="200" spans="1:12" s="5" customFormat="1" hidden="1" x14ac:dyDescent="0.25">
      <c r="B200" s="41" t="s">
        <v>146</v>
      </c>
      <c r="D200" s="44"/>
      <c r="E200" s="44"/>
      <c r="F200" s="44"/>
      <c r="G200" s="38"/>
      <c r="H200" s="38"/>
      <c r="I200" s="62"/>
      <c r="J200" s="6"/>
      <c r="K200" s="6"/>
      <c r="L200" s="6"/>
    </row>
    <row r="201" spans="1:12" hidden="1" x14ac:dyDescent="0.25"/>
    <row r="202" spans="1:12" hidden="1" x14ac:dyDescent="0.25">
      <c r="A202" s="50"/>
      <c r="B202" s="50" t="s">
        <v>25</v>
      </c>
      <c r="C202" s="50"/>
      <c r="D202" s="52"/>
      <c r="E202" s="52">
        <f>E203+E206</f>
        <v>0</v>
      </c>
      <c r="F202" s="52">
        <f t="shared" ref="F202:H202" si="46">F203+F206</f>
        <v>0</v>
      </c>
      <c r="G202" s="52">
        <f t="shared" si="46"/>
        <v>0</v>
      </c>
      <c r="H202" s="52">
        <f t="shared" si="46"/>
        <v>0</v>
      </c>
    </row>
    <row r="203" spans="1:12" s="5" customFormat="1" hidden="1" x14ac:dyDescent="0.25">
      <c r="B203" s="5" t="s">
        <v>205</v>
      </c>
      <c r="D203" s="44"/>
      <c r="E203" s="44"/>
      <c r="F203" s="44">
        <v>0</v>
      </c>
      <c r="G203" s="38"/>
      <c r="H203" s="38"/>
      <c r="I203" s="62"/>
      <c r="J203" s="6"/>
      <c r="K203" s="6"/>
      <c r="L203" s="6"/>
    </row>
    <row r="204" spans="1:12" s="5" customFormat="1" hidden="1" x14ac:dyDescent="0.25">
      <c r="B204" s="41"/>
      <c r="D204" s="44"/>
      <c r="E204" s="44"/>
      <c r="F204" s="44"/>
      <c r="G204" s="38"/>
      <c r="H204" s="38"/>
      <c r="I204" s="62"/>
      <c r="J204" s="6"/>
      <c r="K204" s="6"/>
      <c r="L204" s="6"/>
    </row>
    <row r="205" spans="1:12" s="5" customFormat="1" hidden="1" x14ac:dyDescent="0.25">
      <c r="B205" s="41"/>
      <c r="D205" s="44"/>
      <c r="E205" s="44"/>
      <c r="F205" s="44"/>
      <c r="G205" s="38"/>
      <c r="H205" s="38"/>
      <c r="I205" s="62"/>
      <c r="J205" s="6"/>
      <c r="K205" s="6"/>
      <c r="L205" s="6"/>
    </row>
    <row r="206" spans="1:12" s="5" customFormat="1" hidden="1" x14ac:dyDescent="0.25">
      <c r="B206" s="5" t="s">
        <v>154</v>
      </c>
      <c r="D206" s="44"/>
      <c r="E206" s="44">
        <f>E207+E208*E209</f>
        <v>0</v>
      </c>
      <c r="F206" s="44">
        <f>F207+F208*F209</f>
        <v>0</v>
      </c>
      <c r="G206" s="44">
        <f t="shared" ref="G206:H206" si="47">G207+G208*G209</f>
        <v>0</v>
      </c>
      <c r="H206" s="44">
        <f t="shared" si="47"/>
        <v>0</v>
      </c>
      <c r="I206" s="73"/>
    </row>
    <row r="207" spans="1:12" hidden="1" x14ac:dyDescent="0.25">
      <c r="B207" s="41" t="s">
        <v>153</v>
      </c>
      <c r="F207" s="44">
        <f>'Rates and GI'!D46*0</f>
        <v>0</v>
      </c>
    </row>
    <row r="208" spans="1:12" hidden="1" x14ac:dyDescent="0.25">
      <c r="B208" s="41" t="s">
        <v>159</v>
      </c>
      <c r="E208" s="60">
        <f>'Rates and GI'!$D$48</f>
        <v>0.02</v>
      </c>
      <c r="F208" s="60">
        <f>'Rates and GI'!$D$48</f>
        <v>0.02</v>
      </c>
      <c r="G208" s="60">
        <f>'Rates and GI'!$D$48</f>
        <v>0.02</v>
      </c>
      <c r="H208" s="60">
        <f>'Rates and GI'!$D$48</f>
        <v>0.02</v>
      </c>
    </row>
    <row r="209" spans="1:12" hidden="1" x14ac:dyDescent="0.25">
      <c r="B209" s="41" t="s">
        <v>160</v>
      </c>
      <c r="E209" s="44">
        <v>0</v>
      </c>
      <c r="F209" s="44">
        <v>0</v>
      </c>
      <c r="G209" s="44">
        <v>0</v>
      </c>
      <c r="H209" s="44">
        <v>0</v>
      </c>
    </row>
    <row r="210" spans="1:12" s="5" customFormat="1" hidden="1" x14ac:dyDescent="0.25">
      <c r="B210" s="41"/>
      <c r="D210" s="44"/>
      <c r="E210" s="44"/>
      <c r="F210" s="44"/>
      <c r="G210" s="38"/>
      <c r="H210" s="38"/>
      <c r="I210" s="62"/>
      <c r="J210" s="6"/>
      <c r="K210" s="6"/>
      <c r="L210" s="6"/>
    </row>
    <row r="211" spans="1:12" hidden="1" x14ac:dyDescent="0.25">
      <c r="A211" s="50"/>
      <c r="B211" s="50" t="s">
        <v>21</v>
      </c>
      <c r="C211" s="50"/>
      <c r="D211" s="52"/>
      <c r="E211" s="52">
        <f>E212*E213+E214*E215++E216*E217+E218*E219</f>
        <v>0</v>
      </c>
      <c r="F211" s="52">
        <f t="shared" ref="F211:H211" si="48">F212*F213+F214*F215++F216*F217+F218*F219</f>
        <v>0</v>
      </c>
      <c r="G211" s="52">
        <f t="shared" si="48"/>
        <v>0</v>
      </c>
      <c r="H211" s="52">
        <f t="shared" si="48"/>
        <v>0</v>
      </c>
    </row>
    <row r="212" spans="1:12" hidden="1" x14ac:dyDescent="0.25">
      <c r="B212" s="41" t="s">
        <v>150</v>
      </c>
      <c r="G212" s="44">
        <v>0</v>
      </c>
      <c r="H212" s="44"/>
    </row>
    <row r="213" spans="1:12" hidden="1" x14ac:dyDescent="0.25">
      <c r="B213" s="41" t="s">
        <v>151</v>
      </c>
      <c r="E213" s="44">
        <f>'Rates and GI'!$D$58</f>
        <v>5000</v>
      </c>
      <c r="F213" s="44">
        <f>'Rates and GI'!$D$58</f>
        <v>5000</v>
      </c>
      <c r="G213" s="44">
        <f>'Rates and GI'!$D$58</f>
        <v>5000</v>
      </c>
      <c r="H213" s="44">
        <f>'Rates and GI'!$D$58</f>
        <v>5000</v>
      </c>
    </row>
    <row r="214" spans="1:12" hidden="1" x14ac:dyDescent="0.25">
      <c r="B214" s="41" t="s">
        <v>148</v>
      </c>
      <c r="E214" s="44">
        <v>0</v>
      </c>
      <c r="F214" s="44">
        <v>0</v>
      </c>
      <c r="G214" s="44">
        <v>0</v>
      </c>
      <c r="H214" s="44">
        <v>0</v>
      </c>
    </row>
    <row r="215" spans="1:12" hidden="1" x14ac:dyDescent="0.25">
      <c r="B215" s="41" t="s">
        <v>149</v>
      </c>
      <c r="E215" s="44">
        <f>'Rates and GI'!$D$59</f>
        <v>1500</v>
      </c>
      <c r="F215" s="44">
        <f>'Rates and GI'!$D$59</f>
        <v>1500</v>
      </c>
      <c r="G215" s="44">
        <f>'Rates and GI'!$D$59</f>
        <v>1500</v>
      </c>
      <c r="H215" s="44">
        <f>'Rates and GI'!$D$59</f>
        <v>1500</v>
      </c>
    </row>
    <row r="216" spans="1:12" ht="27" hidden="1" x14ac:dyDescent="0.25">
      <c r="B216" s="63" t="s">
        <v>162</v>
      </c>
      <c r="E216" s="44">
        <v>0</v>
      </c>
      <c r="F216" s="44">
        <v>0</v>
      </c>
      <c r="G216" s="44">
        <v>0</v>
      </c>
      <c r="H216" s="44">
        <v>0</v>
      </c>
    </row>
    <row r="217" spans="1:12" ht="27" hidden="1" x14ac:dyDescent="0.25">
      <c r="B217" s="63" t="s">
        <v>161</v>
      </c>
      <c r="E217" s="44">
        <f>'Rates and GI'!$D$60</f>
        <v>200</v>
      </c>
      <c r="F217" s="44">
        <f>'Rates and GI'!$D$60</f>
        <v>200</v>
      </c>
      <c r="G217" s="44">
        <f>'Rates and GI'!$D$60</f>
        <v>200</v>
      </c>
      <c r="H217" s="44">
        <f>'Rates and GI'!$D$60</f>
        <v>200</v>
      </c>
    </row>
    <row r="218" spans="1:12" s="5" customFormat="1" hidden="1" x14ac:dyDescent="0.25">
      <c r="B218" s="41" t="s">
        <v>217</v>
      </c>
      <c r="D218" s="44"/>
      <c r="E218" s="44">
        <v>0</v>
      </c>
      <c r="F218" s="44">
        <v>0</v>
      </c>
      <c r="G218" s="44">
        <v>0</v>
      </c>
      <c r="H218" s="44">
        <v>0</v>
      </c>
      <c r="I218" s="62"/>
      <c r="J218" s="6"/>
      <c r="K218" s="6"/>
      <c r="L218" s="6"/>
    </row>
    <row r="219" spans="1:12" s="5" customFormat="1" hidden="1" x14ac:dyDescent="0.25">
      <c r="B219" s="41" t="s">
        <v>214</v>
      </c>
      <c r="D219" s="44"/>
      <c r="E219" s="44">
        <f>'Rates and GI'!$D$61</f>
        <v>50</v>
      </c>
      <c r="F219" s="44">
        <f>'Rates and GI'!$D$61</f>
        <v>50</v>
      </c>
      <c r="G219" s="38">
        <f>'Rates and GI'!$D$61</f>
        <v>50</v>
      </c>
      <c r="H219" s="38">
        <f>'Rates and GI'!$D$61</f>
        <v>50</v>
      </c>
      <c r="I219" s="62"/>
      <c r="J219" s="6"/>
      <c r="K219" s="6"/>
      <c r="L219" s="6"/>
    </row>
    <row r="220" spans="1:12" hidden="1" x14ac:dyDescent="0.25">
      <c r="A220" s="50"/>
      <c r="B220" s="50"/>
      <c r="C220" s="50"/>
      <c r="D220" s="52"/>
      <c r="E220" s="52"/>
      <c r="F220" s="52"/>
      <c r="G220" s="52"/>
      <c r="H220" s="52"/>
    </row>
    <row r="221" spans="1:12" hidden="1" x14ac:dyDescent="0.25">
      <c r="A221" s="50"/>
      <c r="B221" s="50" t="s">
        <v>194</v>
      </c>
      <c r="C221" s="50"/>
      <c r="D221" s="52"/>
      <c r="E221" s="52">
        <f>E222+E225+E228+E237+E242</f>
        <v>0</v>
      </c>
      <c r="F221" s="52">
        <f t="shared" ref="F221:H221" si="49">F222+F225+F228+F237+F242</f>
        <v>0</v>
      </c>
      <c r="G221" s="52">
        <f t="shared" si="49"/>
        <v>0</v>
      </c>
      <c r="H221" s="52">
        <f t="shared" si="49"/>
        <v>0</v>
      </c>
    </row>
    <row r="222" spans="1:12" s="5" customFormat="1" hidden="1" x14ac:dyDescent="0.25">
      <c r="B222" s="5" t="s">
        <v>173</v>
      </c>
      <c r="D222" s="44"/>
      <c r="E222" s="44">
        <f>E223+E226*E227</f>
        <v>0</v>
      </c>
      <c r="F222" s="44">
        <f>F223+F226*F227</f>
        <v>0</v>
      </c>
      <c r="G222" s="44">
        <f>G223+G226*G227</f>
        <v>0</v>
      </c>
      <c r="H222" s="44">
        <f t="shared" ref="H222" si="50">H223+H226*H227</f>
        <v>0</v>
      </c>
      <c r="I222" s="73"/>
    </row>
    <row r="223" spans="1:12" hidden="1" x14ac:dyDescent="0.25">
      <c r="B223" s="41" t="s">
        <v>184</v>
      </c>
      <c r="F223" s="44">
        <f>('Rates and GI'!$D$45+'Rates and GI'!$D$49)*0</f>
        <v>0</v>
      </c>
      <c r="G223" s="44">
        <f>('Rates and GI'!$D$45+'Rates and GI'!$D$49)*0</f>
        <v>0</v>
      </c>
      <c r="H223" s="44"/>
    </row>
    <row r="224" spans="1:12" hidden="1" x14ac:dyDescent="0.25">
      <c r="B224" s="41" t="s">
        <v>187</v>
      </c>
      <c r="F224" s="44">
        <f>'Rates and GI'!$D$51*0</f>
        <v>0</v>
      </c>
      <c r="G224" s="44">
        <f>'Rates and GI'!$D$51*0</f>
        <v>0</v>
      </c>
      <c r="H224" s="44"/>
    </row>
    <row r="225" spans="1:12" hidden="1" x14ac:dyDescent="0.25">
      <c r="B225" s="5" t="s">
        <v>174</v>
      </c>
      <c r="E225" s="44">
        <f>E226*E227</f>
        <v>0</v>
      </c>
      <c r="F225" s="44">
        <f t="shared" ref="F225:H225" si="51">F226*F227</f>
        <v>0</v>
      </c>
      <c r="G225" s="44">
        <f t="shared" si="51"/>
        <v>0</v>
      </c>
      <c r="H225" s="44">
        <f t="shared" si="51"/>
        <v>0</v>
      </c>
    </row>
    <row r="226" spans="1:12" hidden="1" x14ac:dyDescent="0.25">
      <c r="B226" s="41" t="s">
        <v>164</v>
      </c>
      <c r="F226" s="44">
        <f>'Rates and GI'!$D$54</f>
        <v>24.066499999999998</v>
      </c>
      <c r="G226" s="44">
        <f>'Rates and GI'!$D$54</f>
        <v>24.066499999999998</v>
      </c>
      <c r="H226" s="44">
        <f>'Rates and GI'!$D$54</f>
        <v>24.066499999999998</v>
      </c>
    </row>
    <row r="227" spans="1:12" hidden="1" x14ac:dyDescent="0.25">
      <c r="B227" s="41" t="s">
        <v>163</v>
      </c>
      <c r="F227" s="44">
        <v>0</v>
      </c>
      <c r="G227" s="38">
        <v>0</v>
      </c>
      <c r="H227" s="38">
        <v>0</v>
      </c>
    </row>
    <row r="228" spans="1:12" hidden="1" x14ac:dyDescent="0.25">
      <c r="B228" s="5" t="s">
        <v>175</v>
      </c>
      <c r="E228" s="44">
        <f>E229+E233</f>
        <v>0</v>
      </c>
      <c r="F228" s="44">
        <f t="shared" ref="F228:H228" si="52">F229+F233</f>
        <v>0</v>
      </c>
      <c r="G228" s="44">
        <f t="shared" si="52"/>
        <v>0</v>
      </c>
      <c r="H228" s="44">
        <f t="shared" si="52"/>
        <v>0</v>
      </c>
    </row>
    <row r="229" spans="1:12" hidden="1" x14ac:dyDescent="0.25">
      <c r="B229" s="41" t="s">
        <v>189</v>
      </c>
      <c r="E229" s="44">
        <f>E230*E231</f>
        <v>0</v>
      </c>
      <c r="F229" s="44">
        <f t="shared" ref="F229:H229" si="53">F230*F231</f>
        <v>0</v>
      </c>
      <c r="G229" s="44">
        <f t="shared" si="53"/>
        <v>0</v>
      </c>
      <c r="H229" s="44">
        <f t="shared" si="53"/>
        <v>0</v>
      </c>
    </row>
    <row r="230" spans="1:12" hidden="1" x14ac:dyDescent="0.25">
      <c r="B230" s="41" t="s">
        <v>176</v>
      </c>
      <c r="C230" s="5" t="s">
        <v>177</v>
      </c>
      <c r="E230" s="44">
        <v>0</v>
      </c>
      <c r="F230" s="44">
        <v>0</v>
      </c>
      <c r="G230" s="38">
        <v>0</v>
      </c>
      <c r="H230" s="38">
        <v>0</v>
      </c>
    </row>
    <row r="231" spans="1:12" hidden="1" x14ac:dyDescent="0.25">
      <c r="B231" s="41" t="s">
        <v>178</v>
      </c>
      <c r="E231" s="44">
        <f>'Rates and GI'!$D$52</f>
        <v>150</v>
      </c>
      <c r="F231" s="44">
        <f>'Rates and GI'!$D$52</f>
        <v>150</v>
      </c>
      <c r="G231" s="44">
        <f>'Rates and GI'!$D$52</f>
        <v>150</v>
      </c>
      <c r="H231" s="44">
        <f>'Rates and GI'!$D$52</f>
        <v>150</v>
      </c>
    </row>
    <row r="232" spans="1:12" hidden="1" x14ac:dyDescent="0.25">
      <c r="B232" s="6"/>
    </row>
    <row r="233" spans="1:12" hidden="1" x14ac:dyDescent="0.25">
      <c r="B233" s="41" t="s">
        <v>190</v>
      </c>
      <c r="E233" s="44">
        <f>E234*E235</f>
        <v>0</v>
      </c>
      <c r="F233" s="44">
        <f t="shared" ref="F233:H233" si="54">F234*F235</f>
        <v>0</v>
      </c>
      <c r="G233" s="44">
        <f t="shared" si="54"/>
        <v>0</v>
      </c>
      <c r="H233" s="44">
        <f t="shared" si="54"/>
        <v>0</v>
      </c>
    </row>
    <row r="234" spans="1:12" hidden="1" x14ac:dyDescent="0.25">
      <c r="B234" s="41" t="s">
        <v>176</v>
      </c>
      <c r="C234" s="5" t="s">
        <v>177</v>
      </c>
      <c r="E234" s="44">
        <v>0</v>
      </c>
      <c r="F234" s="44">
        <v>0</v>
      </c>
      <c r="G234" s="38">
        <v>0</v>
      </c>
      <c r="H234" s="38">
        <v>0</v>
      </c>
    </row>
    <row r="235" spans="1:12" s="62" customFormat="1" hidden="1" x14ac:dyDescent="0.25">
      <c r="A235" s="5"/>
      <c r="B235" s="41" t="s">
        <v>178</v>
      </c>
      <c r="C235" s="5"/>
      <c r="D235" s="44"/>
      <c r="E235" s="44">
        <f>'Rates and GI'!$D$53</f>
        <v>20</v>
      </c>
      <c r="F235" s="44">
        <f>'Rates and GI'!$D$53</f>
        <v>20</v>
      </c>
      <c r="G235" s="44">
        <f>'Rates and GI'!$D$53</f>
        <v>20</v>
      </c>
      <c r="H235" s="44">
        <f>'Rates and GI'!$D$53</f>
        <v>20</v>
      </c>
      <c r="J235" s="6"/>
      <c r="K235" s="6"/>
      <c r="L235" s="6"/>
    </row>
    <row r="236" spans="1:12" s="62" customFormat="1" hidden="1" x14ac:dyDescent="0.25">
      <c r="A236" s="5"/>
      <c r="B236" s="6"/>
      <c r="C236" s="5"/>
      <c r="D236" s="44"/>
      <c r="E236" s="44"/>
      <c r="F236" s="44"/>
      <c r="G236" s="38"/>
      <c r="H236" s="38"/>
      <c r="J236" s="6"/>
      <c r="K236" s="6"/>
      <c r="L236" s="6"/>
    </row>
    <row r="237" spans="1:12" s="62" customFormat="1" hidden="1" x14ac:dyDescent="0.25">
      <c r="A237" s="5"/>
      <c r="B237" s="5" t="s">
        <v>179</v>
      </c>
      <c r="C237" s="5"/>
      <c r="D237" s="44"/>
      <c r="E237" s="44">
        <f>E238*E239*E240</f>
        <v>0</v>
      </c>
      <c r="F237" s="44">
        <f t="shared" ref="F237:H237" si="55">F238*F239*F240</f>
        <v>0</v>
      </c>
      <c r="G237" s="44">
        <f t="shared" si="55"/>
        <v>0</v>
      </c>
      <c r="H237" s="44">
        <f t="shared" si="55"/>
        <v>0</v>
      </c>
      <c r="J237" s="6"/>
      <c r="K237" s="6"/>
      <c r="L237" s="6"/>
    </row>
    <row r="238" spans="1:12" s="62" customFormat="1" hidden="1" x14ac:dyDescent="0.25">
      <c r="A238" s="5"/>
      <c r="B238" s="41" t="s">
        <v>191</v>
      </c>
      <c r="C238" s="5"/>
      <c r="D238" s="44"/>
      <c r="E238" s="44"/>
      <c r="F238" s="44">
        <f>'Rates and GI'!$D$55</f>
        <v>300</v>
      </c>
      <c r="G238" s="44">
        <f>'Rates and GI'!$D$55</f>
        <v>300</v>
      </c>
      <c r="H238" s="44">
        <f>'Rates and GI'!$D$55</f>
        <v>300</v>
      </c>
      <c r="J238" s="6"/>
      <c r="K238" s="6"/>
      <c r="L238" s="6"/>
    </row>
    <row r="239" spans="1:12" s="62" customFormat="1" hidden="1" x14ac:dyDescent="0.25">
      <c r="A239" s="5"/>
      <c r="B239" s="41" t="s">
        <v>192</v>
      </c>
      <c r="C239" s="5"/>
      <c r="D239" s="44"/>
      <c r="E239" s="44"/>
      <c r="F239" s="44">
        <v>3</v>
      </c>
      <c r="G239" s="44">
        <v>3</v>
      </c>
      <c r="H239" s="44">
        <v>3</v>
      </c>
      <c r="J239" s="6"/>
      <c r="K239" s="6"/>
      <c r="L239" s="6"/>
    </row>
    <row r="240" spans="1:12" s="62" customFormat="1" hidden="1" x14ac:dyDescent="0.25">
      <c r="A240" s="5"/>
      <c r="B240" s="41" t="s">
        <v>193</v>
      </c>
      <c r="C240" s="5"/>
      <c r="D240" s="44"/>
      <c r="E240" s="44"/>
      <c r="F240" s="44">
        <v>0</v>
      </c>
      <c r="G240" s="44">
        <v>0</v>
      </c>
      <c r="H240" s="44">
        <v>0</v>
      </c>
      <c r="J240" s="6"/>
      <c r="K240" s="6"/>
      <c r="L240" s="6"/>
    </row>
    <row r="241" spans="1:12" hidden="1" x14ac:dyDescent="0.25"/>
    <row r="242" spans="1:12" s="62" customFormat="1" hidden="1" x14ac:dyDescent="0.25">
      <c r="A242" s="5"/>
      <c r="B242" s="5" t="s">
        <v>172</v>
      </c>
      <c r="C242" s="5"/>
      <c r="D242" s="44"/>
      <c r="E242" s="44">
        <f>E243+E244*E245</f>
        <v>0</v>
      </c>
      <c r="F242" s="44">
        <f>F243+F244*F245</f>
        <v>0</v>
      </c>
      <c r="G242" s="44">
        <f>G243+G244*G245</f>
        <v>0</v>
      </c>
      <c r="H242" s="44">
        <f>H243+H244*H245</f>
        <v>0</v>
      </c>
      <c r="J242" s="6"/>
      <c r="K242" s="6"/>
      <c r="L242" s="6"/>
    </row>
    <row r="243" spans="1:12" s="62" customFormat="1" hidden="1" x14ac:dyDescent="0.25">
      <c r="A243" s="5"/>
      <c r="B243" s="41" t="s">
        <v>153</v>
      </c>
      <c r="C243" s="5"/>
      <c r="D243" s="44"/>
      <c r="E243" s="44"/>
      <c r="F243" s="44">
        <f>'Rates and GI'!D46*0</f>
        <v>0</v>
      </c>
      <c r="G243" s="38"/>
      <c r="H243" s="38"/>
      <c r="J243" s="6"/>
      <c r="K243" s="6"/>
      <c r="L243" s="6"/>
    </row>
    <row r="244" spans="1:12" s="62" customFormat="1" hidden="1" x14ac:dyDescent="0.25">
      <c r="A244" s="5"/>
      <c r="B244" s="41" t="s">
        <v>159</v>
      </c>
      <c r="C244" s="5"/>
      <c r="D244" s="44"/>
      <c r="E244" s="44"/>
      <c r="F244" s="65">
        <f>'Rates and GI'!$D$47</f>
        <v>0.05</v>
      </c>
      <c r="G244" s="65">
        <f>'Rates and GI'!$D$47</f>
        <v>0.05</v>
      </c>
      <c r="H244" s="65">
        <f>'Rates and GI'!$D$47</f>
        <v>0.05</v>
      </c>
      <c r="J244" s="6"/>
      <c r="K244" s="6"/>
      <c r="L244" s="6"/>
    </row>
    <row r="245" spans="1:12" s="62" customFormat="1" hidden="1" x14ac:dyDescent="0.25">
      <c r="A245" s="5"/>
      <c r="B245" s="41" t="s">
        <v>160</v>
      </c>
      <c r="C245" s="5"/>
      <c r="D245" s="44"/>
      <c r="E245" s="44"/>
      <c r="F245" s="44">
        <v>0</v>
      </c>
      <c r="G245" s="38">
        <v>0</v>
      </c>
      <c r="H245" s="38"/>
      <c r="J245" s="6"/>
      <c r="K245" s="6"/>
      <c r="L245" s="6"/>
    </row>
    <row r="246" spans="1:12" hidden="1" x14ac:dyDescent="0.25"/>
    <row r="247" spans="1:12" s="62" customFormat="1" hidden="1" x14ac:dyDescent="0.25">
      <c r="A247" s="50"/>
      <c r="B247" s="50" t="s">
        <v>19</v>
      </c>
      <c r="C247" s="50"/>
      <c r="D247" s="52"/>
      <c r="E247" s="52">
        <v>0</v>
      </c>
      <c r="F247" s="52">
        <v>0</v>
      </c>
      <c r="G247" s="52">
        <v>0</v>
      </c>
      <c r="H247" s="52">
        <v>0</v>
      </c>
      <c r="J247" s="6"/>
      <c r="K247" s="6"/>
      <c r="L247" s="6"/>
    </row>
    <row r="248" spans="1:12" hidden="1" x14ac:dyDescent="0.25"/>
    <row r="249" spans="1:12" ht="27" hidden="1" x14ac:dyDescent="0.25">
      <c r="A249" s="50"/>
      <c r="B249" s="132" t="s">
        <v>252</v>
      </c>
      <c r="C249" s="133"/>
      <c r="D249" s="51"/>
      <c r="E249" s="51"/>
      <c r="F249" s="51"/>
      <c r="G249" s="51"/>
      <c r="H249" s="51"/>
    </row>
    <row r="250" spans="1:12" hidden="1" x14ac:dyDescent="0.25">
      <c r="A250" s="10"/>
      <c r="B250" s="39" t="s">
        <v>253</v>
      </c>
      <c r="C250" s="134">
        <v>1</v>
      </c>
      <c r="D250" s="33"/>
      <c r="E250" s="44">
        <v>0</v>
      </c>
      <c r="F250" s="44">
        <v>0</v>
      </c>
      <c r="G250" s="44">
        <v>0</v>
      </c>
      <c r="H250" s="44">
        <v>0</v>
      </c>
    </row>
    <row r="251" spans="1:12" hidden="1" x14ac:dyDescent="0.25">
      <c r="B251" s="39" t="s">
        <v>254</v>
      </c>
      <c r="C251" s="44">
        <v>0</v>
      </c>
      <c r="D251" s="33"/>
      <c r="G251" s="44"/>
      <c r="H251" s="44"/>
    </row>
    <row r="252" spans="1:12" hidden="1" x14ac:dyDescent="0.25">
      <c r="B252" s="39" t="s">
        <v>255</v>
      </c>
      <c r="C252" s="73"/>
      <c r="D252" s="33"/>
      <c r="E252" s="44">
        <f>$C$251/$C$250*E250</f>
        <v>0</v>
      </c>
      <c r="F252" s="44">
        <f t="shared" ref="F252:H252" si="56">$C$251/$C$250*F250</f>
        <v>0</v>
      </c>
      <c r="G252" s="44">
        <f t="shared" si="56"/>
        <v>0</v>
      </c>
      <c r="H252" s="44">
        <f t="shared" si="56"/>
        <v>0</v>
      </c>
    </row>
    <row r="253" spans="1:12" hidden="1" x14ac:dyDescent="0.25"/>
    <row r="254" spans="1:12" x14ac:dyDescent="0.25">
      <c r="A254" s="228"/>
      <c r="B254" s="228"/>
      <c r="C254" s="228"/>
      <c r="D254" s="230"/>
      <c r="E254" s="230"/>
      <c r="F254" s="230"/>
      <c r="G254" s="230"/>
      <c r="H254" s="230"/>
    </row>
  </sheetData>
  <sortState ref="B149:E161">
    <sortCondition ref="B149"/>
  </sortState>
  <pageMargins left="0.7" right="0.7" top="0.75" bottom="0.75" header="0.3" footer="0.3"/>
  <pageSetup paperSize="9" scale="56" fitToHeight="0"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7"/>
  <sheetViews>
    <sheetView topLeftCell="A66" workbookViewId="0">
      <selection activeCell="B193" sqref="B19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32</v>
      </c>
      <c r="B1" s="126" t="s">
        <v>355</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1516.62105</v>
      </c>
      <c r="E5" s="44">
        <f>E67</f>
        <v>742.35</v>
      </c>
      <c r="F5" s="44">
        <f t="shared" ref="F5:H5" si="1">F67</f>
        <v>774.27104999999995</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1516.62105</v>
      </c>
      <c r="E7" s="47">
        <f>SUBTOTAL(9,E5:E6)</f>
        <v>742.35</v>
      </c>
      <c r="F7" s="47">
        <f>SUBTOTAL(9,F5:F6)</f>
        <v>774.27104999999995</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40278.765954210416</v>
      </c>
      <c r="E20" s="44">
        <f>E103</f>
        <v>7813.7656249999991</v>
      </c>
      <c r="F20" s="44">
        <f t="shared" ref="F20:H20" si="10">F103</f>
        <v>10369.391921874998</v>
      </c>
      <c r="G20" s="44">
        <f t="shared" si="10"/>
        <v>10815.275774515623</v>
      </c>
      <c r="H20" s="44">
        <f t="shared" si="10"/>
        <v>11280.332632819795</v>
      </c>
    </row>
    <row r="21" spans="1:12" x14ac:dyDescent="0.25">
      <c r="B21" s="16" t="s">
        <v>139</v>
      </c>
      <c r="D21" s="44">
        <f t="shared" ref="D21" si="11">SUM(E21:H21)</f>
        <v>0</v>
      </c>
    </row>
    <row r="22" spans="1:12" ht="14.25" thickBot="1" x14ac:dyDescent="0.3">
      <c r="A22" s="13"/>
      <c r="B22" s="13" t="s">
        <v>140</v>
      </c>
      <c r="C22" s="13"/>
      <c r="D22" s="47">
        <f>SUBTOTAL(9,D20:D21)</f>
        <v>40278.765954210416</v>
      </c>
      <c r="E22" s="47">
        <f t="shared" ref="E22:H22" si="12">SUBTOTAL(9,E20:E21)</f>
        <v>7813.7656249999991</v>
      </c>
      <c r="F22" s="47">
        <f t="shared" si="12"/>
        <v>10369.391921874998</v>
      </c>
      <c r="G22" s="47">
        <f t="shared" si="12"/>
        <v>10815.275774515623</v>
      </c>
      <c r="H22" s="47">
        <f t="shared" si="12"/>
        <v>11280.332632819795</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E136</f>
        <v>0</v>
      </c>
      <c r="F26" s="44">
        <f t="shared" ref="F26:H26" si="15">F136</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354</v>
      </c>
      <c r="D31" s="44">
        <f t="shared" ref="D31:D34" si="17">SUM(E31:H31)</f>
        <v>0</v>
      </c>
      <c r="E31" s="44">
        <f>E116</f>
        <v>0</v>
      </c>
      <c r="F31" s="44">
        <f t="shared" ref="F31:H31" si="18">F116</f>
        <v>0</v>
      </c>
      <c r="G31" s="44">
        <f t="shared" si="18"/>
        <v>0</v>
      </c>
      <c r="H31" s="44">
        <f t="shared" si="18"/>
        <v>0</v>
      </c>
    </row>
    <row r="32" spans="1:12" x14ac:dyDescent="0.25">
      <c r="B32" s="16" t="s">
        <v>26</v>
      </c>
      <c r="D32" s="44">
        <f t="shared" si="17"/>
        <v>0</v>
      </c>
      <c r="E32" s="44">
        <f>E125</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SUBTOTAL(9,E31:E34)</f>
        <v>0</v>
      </c>
      <c r="F35" s="47">
        <f t="shared" ref="F35:H35" si="19">SUBTOTAL(9,F31:F34)</f>
        <v>0</v>
      </c>
      <c r="G35" s="47">
        <f>SUBTOTAL(9,G31:G34)</f>
        <v>0</v>
      </c>
      <c r="H35" s="47">
        <f t="shared" si="19"/>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E181</f>
        <v>0</v>
      </c>
      <c r="F40" s="44">
        <f t="shared" ref="F40:H40" si="21">F181</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E186</f>
        <v>0</v>
      </c>
      <c r="F46" s="44">
        <f t="shared" ref="F46:H46" si="24">F186</f>
        <v>0</v>
      </c>
      <c r="G46" s="44">
        <f t="shared" si="24"/>
        <v>0</v>
      </c>
      <c r="H46" s="44">
        <f t="shared" si="24"/>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E155</f>
        <v>0</v>
      </c>
      <c r="F50" s="44">
        <f t="shared" ref="F50:H50" si="27">F155</f>
        <v>0</v>
      </c>
      <c r="G50" s="44">
        <f t="shared" si="27"/>
        <v>0</v>
      </c>
      <c r="H50" s="44">
        <f t="shared" si="27"/>
        <v>0</v>
      </c>
    </row>
    <row r="51" spans="1:12" x14ac:dyDescent="0.25">
      <c r="A51" s="3"/>
      <c r="B51" s="3" t="s">
        <v>21</v>
      </c>
      <c r="C51" s="3"/>
      <c r="D51" s="44">
        <f t="shared" si="26"/>
        <v>0</v>
      </c>
      <c r="E51" s="44">
        <f>E145</f>
        <v>0</v>
      </c>
      <c r="F51" s="44">
        <f t="shared" ref="F51:H51" si="28">F145</f>
        <v>0</v>
      </c>
      <c r="G51" s="44">
        <f t="shared" si="28"/>
        <v>0</v>
      </c>
      <c r="H51" s="44">
        <f t="shared" si="28"/>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41795.387004210417</v>
      </c>
      <c r="E54" s="49">
        <f>SUBTOTAL(9,E5:E52)</f>
        <v>8556.1156249999985</v>
      </c>
      <c r="F54" s="49">
        <f>SUBTOTAL(9,F5:F52)</f>
        <v>11143.662971874997</v>
      </c>
      <c r="G54" s="49">
        <f>SUBTOTAL(9,G5:G52)</f>
        <v>10815.275774515623</v>
      </c>
      <c r="H54" s="49">
        <f>SUBTOTAL(9,H5:H52)</f>
        <v>11280.332632819795</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742.35</v>
      </c>
      <c r="F67" s="44">
        <f t="shared" ref="F67:H67" si="29">F68*F69</f>
        <v>774.27104999999995</v>
      </c>
      <c r="G67" s="44">
        <f t="shared" si="29"/>
        <v>0</v>
      </c>
      <c r="H67" s="44">
        <f t="shared" si="29"/>
        <v>0</v>
      </c>
    </row>
    <row r="68" spans="1:12" x14ac:dyDescent="0.25">
      <c r="A68" s="9"/>
      <c r="B68" s="9" t="s">
        <v>114</v>
      </c>
      <c r="C68" s="9" t="s">
        <v>113</v>
      </c>
      <c r="E68" s="44">
        <f>2*21</f>
        <v>42</v>
      </c>
      <c r="F68" s="44">
        <f>2*21</f>
        <v>42</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hidden="1" x14ac:dyDescent="0.25">
      <c r="A71" s="5"/>
      <c r="B71" s="5" t="s">
        <v>168</v>
      </c>
      <c r="C71" s="5"/>
      <c r="D71" s="44"/>
      <c r="E71" s="44">
        <f>E72*E73</f>
        <v>0</v>
      </c>
      <c r="F71" s="44">
        <f t="shared" ref="F71:H71" si="30">F72*F73</f>
        <v>0</v>
      </c>
      <c r="G71" s="44">
        <f t="shared" si="30"/>
        <v>0</v>
      </c>
      <c r="H71" s="44">
        <f t="shared" si="30"/>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1">F92*F93+F95*F96</f>
        <v>0</v>
      </c>
      <c r="G91" s="52">
        <f t="shared" si="31"/>
        <v>0</v>
      </c>
      <c r="H91" s="52">
        <f t="shared" si="31"/>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x14ac:dyDescent="0.25">
      <c r="A99" s="50"/>
      <c r="B99" s="50" t="s">
        <v>171</v>
      </c>
      <c r="C99" s="50"/>
      <c r="D99" s="52"/>
      <c r="E99" s="52">
        <f>E100*E101</f>
        <v>0</v>
      </c>
      <c r="F99" s="52">
        <f t="shared" ref="F99:H99" si="32">F100*F101</f>
        <v>0</v>
      </c>
      <c r="G99" s="52">
        <f t="shared" si="32"/>
        <v>0</v>
      </c>
      <c r="H99" s="52">
        <f t="shared" si="32"/>
        <v>0</v>
      </c>
    </row>
    <row r="100" spans="1:12" s="7" customFormat="1" x14ac:dyDescent="0.25">
      <c r="A100" s="10"/>
      <c r="B100" s="39" t="s">
        <v>144</v>
      </c>
      <c r="C100" s="10" t="s">
        <v>145</v>
      </c>
      <c r="D100" s="44"/>
      <c r="E100" s="44">
        <v>0</v>
      </c>
      <c r="F100" s="44">
        <v>0</v>
      </c>
      <c r="G100" s="44">
        <v>0</v>
      </c>
      <c r="H100" s="44">
        <v>0</v>
      </c>
      <c r="I100" s="62"/>
      <c r="J100" s="6"/>
      <c r="K100" s="6"/>
      <c r="L100" s="6"/>
    </row>
    <row r="101" spans="1:12" s="7" customFormat="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3" spans="1:12" x14ac:dyDescent="0.25">
      <c r="A103" s="50"/>
      <c r="B103" s="50" t="s">
        <v>130</v>
      </c>
      <c r="C103" s="50"/>
      <c r="D103" s="52"/>
      <c r="E103" s="52">
        <f>E104*E105+E106*E107+E108*E109</f>
        <v>7813.7656249999991</v>
      </c>
      <c r="F103" s="52">
        <f t="shared" ref="F103:H103" si="33">F104*F105+F106*F107+F108*F109</f>
        <v>10369.391921874998</v>
      </c>
      <c r="G103" s="52">
        <f t="shared" si="33"/>
        <v>10815.275774515623</v>
      </c>
      <c r="H103" s="52">
        <f t="shared" si="33"/>
        <v>11280.332632819795</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4">G92</f>
        <v>0</v>
      </c>
      <c r="H105" s="44">
        <f t="shared" si="34"/>
        <v>0</v>
      </c>
    </row>
    <row r="106" spans="1:12" x14ac:dyDescent="0.25">
      <c r="B106" s="39" t="s">
        <v>134</v>
      </c>
      <c r="C106" s="5" t="s">
        <v>471</v>
      </c>
      <c r="E106" s="44">
        <f>Training!C23</f>
        <v>709.375</v>
      </c>
      <c r="F106" s="44">
        <f>E106*(1+index)</f>
        <v>739.87812499999995</v>
      </c>
      <c r="G106" s="44">
        <f>F106*(1+index)</f>
        <v>771.69288437499995</v>
      </c>
      <c r="H106" s="44">
        <f>G106*(1+index)</f>
        <v>804.87567840312488</v>
      </c>
    </row>
    <row r="107" spans="1:12" x14ac:dyDescent="0.25">
      <c r="B107" s="39" t="s">
        <v>135</v>
      </c>
      <c r="E107" s="44">
        <f>Emp!B16/4/25*50%+0.1</f>
        <v>11.014999999999999</v>
      </c>
      <c r="F107" s="44">
        <f>E107+3</f>
        <v>14.014999999999999</v>
      </c>
      <c r="G107" s="44">
        <f t="shared" ref="G107:H107" si="35">F107</f>
        <v>14.014999999999999</v>
      </c>
      <c r="H107" s="44">
        <f t="shared" si="35"/>
        <v>14.014999999999999</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A110" s="228"/>
      <c r="B110" s="239"/>
      <c r="C110" s="228"/>
      <c r="D110" s="230"/>
      <c r="E110" s="230"/>
      <c r="F110" s="230"/>
      <c r="G110" s="230"/>
      <c r="H110" s="230"/>
    </row>
    <row r="111" spans="1:12" hidden="1" x14ac:dyDescent="0.25">
      <c r="A111" s="50"/>
      <c r="B111" s="50" t="s">
        <v>24</v>
      </c>
      <c r="C111" s="50"/>
      <c r="D111" s="52"/>
      <c r="E111" s="52">
        <f t="shared" ref="E111:H111" si="36">E112*E113</f>
        <v>0</v>
      </c>
      <c r="F111" s="52">
        <f t="shared" si="36"/>
        <v>0</v>
      </c>
      <c r="G111" s="52">
        <f t="shared" si="36"/>
        <v>0</v>
      </c>
      <c r="H111" s="52">
        <f t="shared" si="36"/>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ht="27" hidden="1" x14ac:dyDescent="0.25">
      <c r="B116" s="66" t="s">
        <v>320</v>
      </c>
      <c r="C116" s="77"/>
      <c r="E116" s="152">
        <f>E118+E119</f>
        <v>0</v>
      </c>
      <c r="G116" s="44"/>
      <c r="H116" s="44"/>
    </row>
    <row r="117" spans="1:12" hidden="1" x14ac:dyDescent="0.25">
      <c r="B117" s="66"/>
      <c r="G117" s="44"/>
      <c r="H117" s="44"/>
    </row>
    <row r="118" spans="1:12" hidden="1" x14ac:dyDescent="0.25">
      <c r="B118" s="66" t="s">
        <v>337</v>
      </c>
      <c r="G118" s="44"/>
      <c r="H118" s="44"/>
    </row>
    <row r="119" spans="1:12" hidden="1" x14ac:dyDescent="0.25">
      <c r="B119" s="5" t="s">
        <v>336</v>
      </c>
      <c r="G119" s="44"/>
      <c r="H119" s="44"/>
    </row>
    <row r="120" spans="1:12" s="7" customFormat="1" hidden="1" x14ac:dyDescent="0.25">
      <c r="A120" s="5"/>
      <c r="B120" s="4" t="s">
        <v>57</v>
      </c>
      <c r="C120" s="5"/>
      <c r="D120" s="44"/>
      <c r="E120" s="46"/>
      <c r="F120" s="46"/>
      <c r="G120" s="105"/>
      <c r="H120" s="105"/>
      <c r="I120" s="61"/>
      <c r="J120" s="6"/>
      <c r="K120" s="6"/>
      <c r="L120" s="6"/>
    </row>
    <row r="121" spans="1:12" s="43" customFormat="1" hidden="1" x14ac:dyDescent="0.25">
      <c r="A121" s="40"/>
      <c r="B121" s="41" t="s">
        <v>58</v>
      </c>
      <c r="C121" s="40" t="s">
        <v>55</v>
      </c>
      <c r="D121" s="71"/>
      <c r="E121" s="71"/>
      <c r="F121" s="71"/>
      <c r="G121" s="72"/>
      <c r="H121" s="72"/>
      <c r="I121" s="75"/>
      <c r="J121" s="42"/>
      <c r="K121" s="42"/>
      <c r="L121" s="42"/>
    </row>
    <row r="122" spans="1:12" s="40" customFormat="1" hidden="1" x14ac:dyDescent="0.25">
      <c r="B122" s="41" t="s">
        <v>56</v>
      </c>
      <c r="D122" s="71"/>
      <c r="E122" s="71"/>
      <c r="F122" s="71"/>
      <c r="G122" s="72"/>
      <c r="H122" s="72"/>
      <c r="I122" s="75"/>
      <c r="J122" s="42"/>
      <c r="K122" s="42"/>
      <c r="L122" s="42"/>
    </row>
    <row r="123" spans="1:12" s="40" customFormat="1" hidden="1" x14ac:dyDescent="0.25">
      <c r="B123" s="41" t="s">
        <v>59</v>
      </c>
      <c r="D123" s="71"/>
      <c r="E123" s="71"/>
      <c r="F123" s="71"/>
      <c r="G123" s="72"/>
      <c r="H123" s="72"/>
      <c r="I123" s="75"/>
      <c r="J123" s="42"/>
      <c r="K123" s="42"/>
      <c r="L123" s="42"/>
    </row>
    <row r="124" spans="1:12" hidden="1" x14ac:dyDescent="0.25"/>
    <row r="125" spans="1:12" hidden="1" x14ac:dyDescent="0.25">
      <c r="A125" s="50"/>
      <c r="B125" s="50" t="s">
        <v>26</v>
      </c>
      <c r="C125" s="50"/>
      <c r="D125" s="52"/>
      <c r="E125" s="52">
        <f>E130*E131</f>
        <v>0</v>
      </c>
      <c r="F125" s="52">
        <f>F130*F131</f>
        <v>0</v>
      </c>
      <c r="G125" s="52"/>
      <c r="H125" s="52"/>
    </row>
    <row r="126" spans="1:12" s="5" customFormat="1" hidden="1" x14ac:dyDescent="0.25">
      <c r="B126" s="55" t="s">
        <v>60</v>
      </c>
      <c r="D126" s="44"/>
      <c r="E126" s="44"/>
      <c r="F126" s="44"/>
      <c r="G126" s="38"/>
      <c r="H126" s="38"/>
      <c r="I126" s="62"/>
      <c r="J126" s="6"/>
      <c r="K126" s="6"/>
      <c r="L126" s="6"/>
    </row>
    <row r="127" spans="1:12" s="5" customFormat="1" hidden="1" x14ac:dyDescent="0.25">
      <c r="B127" s="41" t="s">
        <v>147</v>
      </c>
      <c r="D127" s="44"/>
      <c r="E127" s="44"/>
      <c r="F127" s="44"/>
      <c r="G127" s="38"/>
      <c r="H127" s="38"/>
      <c r="I127" s="62"/>
      <c r="J127" s="6"/>
      <c r="K127" s="6"/>
      <c r="L127" s="6"/>
    </row>
    <row r="128" spans="1:12" s="5" customFormat="1" hidden="1" x14ac:dyDescent="0.25">
      <c r="B128" s="41" t="s">
        <v>146</v>
      </c>
      <c r="D128" s="44"/>
      <c r="E128" s="44"/>
      <c r="F128" s="44"/>
      <c r="G128" s="38"/>
      <c r="H128" s="38"/>
      <c r="I128" s="62"/>
      <c r="J128" s="6"/>
      <c r="K128" s="6"/>
      <c r="L128" s="6"/>
    </row>
    <row r="129" spans="1:12" s="5" customFormat="1" hidden="1" x14ac:dyDescent="0.25">
      <c r="B129" s="55" t="s">
        <v>123</v>
      </c>
      <c r="D129" s="44"/>
      <c r="E129" s="44"/>
      <c r="F129" s="44"/>
      <c r="G129" s="38"/>
      <c r="H129" s="38"/>
      <c r="I129" s="62"/>
      <c r="J129" s="6"/>
      <c r="K129" s="6"/>
      <c r="L129" s="6"/>
    </row>
    <row r="130" spans="1:12" s="5" customFormat="1" hidden="1" x14ac:dyDescent="0.25">
      <c r="B130" s="41" t="s">
        <v>147</v>
      </c>
      <c r="D130" s="44"/>
      <c r="E130" s="44">
        <f>'Rates and GI'!$D$31</f>
        <v>350</v>
      </c>
      <c r="F130" s="44">
        <f>'Rates and GI'!$D$31</f>
        <v>350</v>
      </c>
      <c r="G130" s="44">
        <f>'Rates and GI'!$D$31</f>
        <v>350</v>
      </c>
      <c r="H130" s="44">
        <f>'Rates and GI'!$D$31</f>
        <v>350</v>
      </c>
      <c r="I130" s="62"/>
      <c r="J130" s="6"/>
      <c r="K130" s="6"/>
      <c r="L130" s="6"/>
    </row>
    <row r="131" spans="1:12" s="5" customFormat="1" hidden="1" x14ac:dyDescent="0.25">
      <c r="B131" s="41" t="s">
        <v>146</v>
      </c>
      <c r="D131" s="44"/>
      <c r="E131" s="44">
        <v>0</v>
      </c>
      <c r="F131" s="44">
        <v>0</v>
      </c>
      <c r="G131" s="38"/>
      <c r="H131" s="38"/>
      <c r="I131" s="62"/>
      <c r="J131" s="6"/>
      <c r="K131" s="6"/>
      <c r="L131" s="6"/>
    </row>
    <row r="132" spans="1:12" s="5" customFormat="1" hidden="1" x14ac:dyDescent="0.25">
      <c r="B132" s="55" t="s">
        <v>8</v>
      </c>
      <c r="D132" s="44"/>
      <c r="E132" s="44"/>
      <c r="F132" s="44"/>
      <c r="G132" s="38"/>
      <c r="H132" s="38"/>
      <c r="I132" s="62"/>
      <c r="J132" s="6"/>
      <c r="K132" s="6"/>
      <c r="L132" s="6"/>
    </row>
    <row r="133" spans="1:12" s="5" customFormat="1" hidden="1" x14ac:dyDescent="0.25">
      <c r="B133" s="41" t="s">
        <v>147</v>
      </c>
      <c r="D133" s="44"/>
      <c r="E133" s="44"/>
      <c r="F133" s="44"/>
      <c r="G133" s="38"/>
      <c r="H133" s="38"/>
      <c r="I133" s="62"/>
      <c r="J133" s="6"/>
      <c r="K133" s="6"/>
      <c r="L133" s="6"/>
    </row>
    <row r="134" spans="1:12" s="5" customFormat="1" hidden="1" x14ac:dyDescent="0.25">
      <c r="B134" s="41" t="s">
        <v>146</v>
      </c>
      <c r="D134" s="44"/>
      <c r="E134" s="44"/>
      <c r="F134" s="44"/>
      <c r="G134" s="38"/>
      <c r="H134" s="38"/>
      <c r="I134" s="62"/>
      <c r="J134" s="6"/>
      <c r="K134" s="6"/>
      <c r="L134" s="6"/>
    </row>
    <row r="135" spans="1:12" hidden="1" x14ac:dyDescent="0.25"/>
    <row r="136" spans="1:12" hidden="1" x14ac:dyDescent="0.25">
      <c r="A136" s="50"/>
      <c r="B136" s="50" t="s">
        <v>25</v>
      </c>
      <c r="C136" s="50"/>
      <c r="D136" s="52"/>
      <c r="E136" s="52">
        <f>E137+E140</f>
        <v>0</v>
      </c>
      <c r="F136" s="52">
        <f t="shared" ref="F136:H136" si="37">F137+F140</f>
        <v>0</v>
      </c>
      <c r="G136" s="52">
        <f t="shared" si="37"/>
        <v>0</v>
      </c>
      <c r="H136" s="52">
        <f t="shared" si="37"/>
        <v>0</v>
      </c>
    </row>
    <row r="137" spans="1:12" s="5" customFormat="1" hidden="1" x14ac:dyDescent="0.25">
      <c r="B137" s="5" t="s">
        <v>205</v>
      </c>
      <c r="D137" s="44"/>
      <c r="E137" s="44"/>
      <c r="F137" s="44">
        <v>0</v>
      </c>
      <c r="G137" s="38"/>
      <c r="H137" s="38"/>
      <c r="I137" s="62"/>
      <c r="J137" s="6"/>
      <c r="K137" s="6"/>
      <c r="L137" s="6"/>
    </row>
    <row r="138" spans="1:12" s="5" customFormat="1" hidden="1" x14ac:dyDescent="0.25">
      <c r="B138" s="41"/>
      <c r="D138" s="44"/>
      <c r="E138" s="44"/>
      <c r="F138" s="44"/>
      <c r="G138" s="38"/>
      <c r="H138" s="38"/>
      <c r="I138" s="62"/>
      <c r="J138" s="6"/>
      <c r="K138" s="6"/>
      <c r="L138" s="6"/>
    </row>
    <row r="139" spans="1:12" s="5" customFormat="1" hidden="1" x14ac:dyDescent="0.25">
      <c r="B139" s="41"/>
      <c r="D139" s="44"/>
      <c r="E139" s="44"/>
      <c r="F139" s="44"/>
      <c r="G139" s="38"/>
      <c r="H139" s="38"/>
      <c r="I139" s="62"/>
      <c r="J139" s="6"/>
      <c r="K139" s="6"/>
      <c r="L139" s="6"/>
    </row>
    <row r="140" spans="1:12" s="5" customFormat="1" hidden="1" x14ac:dyDescent="0.25">
      <c r="B140" s="5" t="s">
        <v>154</v>
      </c>
      <c r="D140" s="44"/>
      <c r="E140" s="44">
        <f>E141+E142*E143</f>
        <v>0</v>
      </c>
      <c r="F140" s="44">
        <f>F141+F142*F143</f>
        <v>0</v>
      </c>
      <c r="G140" s="44">
        <f t="shared" ref="G140:H140" si="38">G141+G142*G143</f>
        <v>0</v>
      </c>
      <c r="H140" s="44">
        <f t="shared" si="38"/>
        <v>0</v>
      </c>
      <c r="I140" s="73"/>
    </row>
    <row r="141" spans="1:12" hidden="1" x14ac:dyDescent="0.25">
      <c r="B141" s="41" t="s">
        <v>153</v>
      </c>
      <c r="F141" s="44">
        <f>'Rates and GI'!D46*0</f>
        <v>0</v>
      </c>
    </row>
    <row r="142" spans="1:12" hidden="1" x14ac:dyDescent="0.25">
      <c r="B142" s="41" t="s">
        <v>159</v>
      </c>
      <c r="E142" s="60">
        <f>'Rates and GI'!$D$48</f>
        <v>0.02</v>
      </c>
      <c r="F142" s="60">
        <f>'Rates and GI'!$D$48</f>
        <v>0.02</v>
      </c>
      <c r="G142" s="60">
        <f>'Rates and GI'!$D$48</f>
        <v>0.02</v>
      </c>
      <c r="H142" s="60">
        <f>'Rates and GI'!$D$48</f>
        <v>0.02</v>
      </c>
    </row>
    <row r="143" spans="1:12" hidden="1" x14ac:dyDescent="0.25">
      <c r="B143" s="41" t="s">
        <v>160</v>
      </c>
      <c r="E143" s="44">
        <v>0</v>
      </c>
      <c r="F143" s="44">
        <v>0</v>
      </c>
      <c r="G143" s="44">
        <v>0</v>
      </c>
      <c r="H143" s="44">
        <v>0</v>
      </c>
    </row>
    <row r="144" spans="1:12" s="5" customFormat="1" hidden="1" x14ac:dyDescent="0.25">
      <c r="B144" s="41"/>
      <c r="D144" s="44"/>
      <c r="E144" s="44"/>
      <c r="F144" s="44"/>
      <c r="G144" s="38"/>
      <c r="H144" s="38"/>
      <c r="I144" s="62"/>
      <c r="J144" s="6"/>
      <c r="K144" s="6"/>
      <c r="L144" s="6"/>
    </row>
    <row r="145" spans="1:12" hidden="1" x14ac:dyDescent="0.25">
      <c r="A145" s="50"/>
      <c r="B145" s="50" t="s">
        <v>21</v>
      </c>
      <c r="C145" s="50"/>
      <c r="D145" s="52"/>
      <c r="E145" s="52">
        <f>E146*E147+E148*E149++E150*E151+E152*E153</f>
        <v>0</v>
      </c>
      <c r="F145" s="52">
        <f t="shared" ref="F145:H145" si="39">F146*F147+F148*F149++F150*F151+F152*F153</f>
        <v>0</v>
      </c>
      <c r="G145" s="52">
        <f t="shared" si="39"/>
        <v>0</v>
      </c>
      <c r="H145" s="52">
        <f t="shared" si="39"/>
        <v>0</v>
      </c>
    </row>
    <row r="146" spans="1:12" hidden="1" x14ac:dyDescent="0.25">
      <c r="B146" s="41" t="s">
        <v>150</v>
      </c>
      <c r="G146" s="44">
        <v>0</v>
      </c>
      <c r="H146" s="44"/>
    </row>
    <row r="147" spans="1:12" hidden="1" x14ac:dyDescent="0.25">
      <c r="B147" s="41" t="s">
        <v>151</v>
      </c>
      <c r="E147" s="44">
        <f>'Rates and GI'!$D$58</f>
        <v>5000</v>
      </c>
      <c r="F147" s="44">
        <f>'Rates and GI'!$D$58</f>
        <v>5000</v>
      </c>
      <c r="G147" s="44">
        <f>'Rates and GI'!$D$58</f>
        <v>5000</v>
      </c>
      <c r="H147" s="44">
        <f>'Rates and GI'!$D$58</f>
        <v>5000</v>
      </c>
    </row>
    <row r="148" spans="1:12" hidden="1" x14ac:dyDescent="0.25">
      <c r="B148" s="41" t="s">
        <v>148</v>
      </c>
      <c r="E148" s="44">
        <v>0</v>
      </c>
      <c r="F148" s="44">
        <v>0</v>
      </c>
      <c r="G148" s="44">
        <v>0</v>
      </c>
      <c r="H148" s="44">
        <v>0</v>
      </c>
    </row>
    <row r="149" spans="1:12" hidden="1" x14ac:dyDescent="0.25">
      <c r="B149" s="41" t="s">
        <v>149</v>
      </c>
      <c r="E149" s="44">
        <f>'Rates and GI'!$D$59</f>
        <v>1500</v>
      </c>
      <c r="F149" s="44">
        <f>'Rates and GI'!$D$59</f>
        <v>1500</v>
      </c>
      <c r="G149" s="44">
        <f>'Rates and GI'!$D$59</f>
        <v>1500</v>
      </c>
      <c r="H149" s="44">
        <f>'Rates and GI'!$D$59</f>
        <v>1500</v>
      </c>
    </row>
    <row r="150" spans="1:12" ht="27" hidden="1" x14ac:dyDescent="0.25">
      <c r="B150" s="63" t="s">
        <v>162</v>
      </c>
      <c r="E150" s="44">
        <v>0</v>
      </c>
      <c r="F150" s="44">
        <v>0</v>
      </c>
      <c r="G150" s="44">
        <v>0</v>
      </c>
      <c r="H150" s="44">
        <v>0</v>
      </c>
    </row>
    <row r="151" spans="1:12" ht="27" hidden="1" x14ac:dyDescent="0.25">
      <c r="B151" s="63" t="s">
        <v>161</v>
      </c>
      <c r="E151" s="44">
        <f>'Rates and GI'!$D$60</f>
        <v>200</v>
      </c>
      <c r="F151" s="44">
        <f>'Rates and GI'!$D$60</f>
        <v>200</v>
      </c>
      <c r="G151" s="44">
        <f>'Rates and GI'!$D$60</f>
        <v>200</v>
      </c>
      <c r="H151" s="44">
        <f>'Rates and GI'!$D$60</f>
        <v>200</v>
      </c>
    </row>
    <row r="152" spans="1:12" s="5" customFormat="1" hidden="1" x14ac:dyDescent="0.25">
      <c r="B152" s="41" t="s">
        <v>217</v>
      </c>
      <c r="D152" s="44"/>
      <c r="E152" s="44">
        <v>0</v>
      </c>
      <c r="F152" s="44">
        <v>0</v>
      </c>
      <c r="G152" s="44">
        <v>0</v>
      </c>
      <c r="H152" s="44">
        <v>0</v>
      </c>
      <c r="I152" s="62"/>
      <c r="J152" s="6"/>
      <c r="K152" s="6"/>
      <c r="L152" s="6"/>
    </row>
    <row r="153" spans="1:12" s="5" customFormat="1" hidden="1" x14ac:dyDescent="0.25">
      <c r="B153" s="41" t="s">
        <v>214</v>
      </c>
      <c r="D153" s="44"/>
      <c r="E153" s="44">
        <f>'Rates and GI'!$D$61</f>
        <v>50</v>
      </c>
      <c r="F153" s="44">
        <f>'Rates and GI'!$D$61</f>
        <v>50</v>
      </c>
      <c r="G153" s="38">
        <f>'Rates and GI'!$D$61</f>
        <v>50</v>
      </c>
      <c r="H153" s="38">
        <f>'Rates and GI'!$D$61</f>
        <v>50</v>
      </c>
      <c r="I153" s="62"/>
      <c r="J153" s="6"/>
      <c r="K153" s="6"/>
      <c r="L153" s="6"/>
    </row>
    <row r="154" spans="1:12" hidden="1" x14ac:dyDescent="0.25">
      <c r="A154" s="50"/>
      <c r="B154" s="50"/>
      <c r="C154" s="50"/>
      <c r="D154" s="52"/>
      <c r="E154" s="52"/>
      <c r="F154" s="52"/>
      <c r="G154" s="52"/>
      <c r="H154" s="52"/>
    </row>
    <row r="155" spans="1:12" hidden="1" x14ac:dyDescent="0.25">
      <c r="A155" s="50"/>
      <c r="B155" s="50" t="s">
        <v>194</v>
      </c>
      <c r="C155" s="50"/>
      <c r="D155" s="52"/>
      <c r="E155" s="52">
        <f>E156+E159+E162+E171+E176</f>
        <v>0</v>
      </c>
      <c r="F155" s="52">
        <f t="shared" ref="F155:H155" si="40">F156+F159+F162+F171+F176</f>
        <v>0</v>
      </c>
      <c r="G155" s="52">
        <f t="shared" si="40"/>
        <v>0</v>
      </c>
      <c r="H155" s="52">
        <f t="shared" si="40"/>
        <v>0</v>
      </c>
    </row>
    <row r="156" spans="1:12" s="5" customFormat="1" hidden="1" x14ac:dyDescent="0.25">
      <c r="B156" s="5" t="s">
        <v>173</v>
      </c>
      <c r="D156" s="44"/>
      <c r="E156" s="44">
        <f>E157+E160*E161</f>
        <v>0</v>
      </c>
      <c r="F156" s="44">
        <f>F157+F160*F161</f>
        <v>0</v>
      </c>
      <c r="G156" s="44">
        <f>G157+G160*G161</f>
        <v>0</v>
      </c>
      <c r="H156" s="44">
        <f t="shared" ref="H156" si="41">H157+H160*H161</f>
        <v>0</v>
      </c>
      <c r="I156" s="73"/>
    </row>
    <row r="157" spans="1:12" hidden="1" x14ac:dyDescent="0.25">
      <c r="B157" s="41" t="s">
        <v>184</v>
      </c>
      <c r="F157" s="44">
        <f>('Rates and GI'!$D$45+'Rates and GI'!$D$49)*0</f>
        <v>0</v>
      </c>
      <c r="G157" s="44">
        <f>('Rates and GI'!$D$45+'Rates and GI'!$D$49)*0</f>
        <v>0</v>
      </c>
      <c r="H157" s="44"/>
    </row>
    <row r="158" spans="1:12" hidden="1" x14ac:dyDescent="0.25">
      <c r="B158" s="41" t="s">
        <v>187</v>
      </c>
      <c r="F158" s="44">
        <f>'Rates and GI'!$D$51*0</f>
        <v>0</v>
      </c>
      <c r="G158" s="44">
        <f>'Rates and GI'!$D$51*0</f>
        <v>0</v>
      </c>
      <c r="H158" s="44"/>
    </row>
    <row r="159" spans="1:12" hidden="1" x14ac:dyDescent="0.25">
      <c r="B159" s="5" t="s">
        <v>174</v>
      </c>
      <c r="E159" s="44">
        <f>E160*E161</f>
        <v>0</v>
      </c>
      <c r="F159" s="44">
        <f t="shared" ref="F159:H159" si="42">F160*F161</f>
        <v>0</v>
      </c>
      <c r="G159" s="44">
        <f t="shared" si="42"/>
        <v>0</v>
      </c>
      <c r="H159" s="44">
        <f t="shared" si="42"/>
        <v>0</v>
      </c>
    </row>
    <row r="160" spans="1:12" hidden="1" x14ac:dyDescent="0.25">
      <c r="B160" s="41" t="s">
        <v>164</v>
      </c>
      <c r="F160" s="44">
        <f>'Rates and GI'!$D$54</f>
        <v>24.066499999999998</v>
      </c>
      <c r="G160" s="44">
        <f>'Rates and GI'!$D$54</f>
        <v>24.066499999999998</v>
      </c>
      <c r="H160" s="44">
        <f>'Rates and GI'!$D$54</f>
        <v>24.066499999999998</v>
      </c>
    </row>
    <row r="161" spans="1:12" hidden="1" x14ac:dyDescent="0.25">
      <c r="B161" s="41" t="s">
        <v>163</v>
      </c>
      <c r="F161" s="44">
        <v>0</v>
      </c>
      <c r="G161" s="38">
        <v>0</v>
      </c>
      <c r="H161" s="38">
        <v>0</v>
      </c>
    </row>
    <row r="162" spans="1:12" hidden="1" x14ac:dyDescent="0.25">
      <c r="B162" s="5" t="s">
        <v>175</v>
      </c>
      <c r="E162" s="44">
        <f>E163+E167</f>
        <v>0</v>
      </c>
      <c r="F162" s="44">
        <f t="shared" ref="F162:H162" si="43">F163+F167</f>
        <v>0</v>
      </c>
      <c r="G162" s="44">
        <f t="shared" si="43"/>
        <v>0</v>
      </c>
      <c r="H162" s="44">
        <f t="shared" si="43"/>
        <v>0</v>
      </c>
    </row>
    <row r="163" spans="1:12" hidden="1" x14ac:dyDescent="0.25">
      <c r="B163" s="41" t="s">
        <v>189</v>
      </c>
      <c r="E163" s="44">
        <f>E164*E165</f>
        <v>0</v>
      </c>
      <c r="F163" s="44">
        <f t="shared" ref="F163:H163" si="44">F164*F165</f>
        <v>0</v>
      </c>
      <c r="G163" s="44">
        <f t="shared" si="44"/>
        <v>0</v>
      </c>
      <c r="H163" s="44">
        <f t="shared" si="44"/>
        <v>0</v>
      </c>
    </row>
    <row r="164" spans="1:12" hidden="1" x14ac:dyDescent="0.25">
      <c r="B164" s="41" t="s">
        <v>176</v>
      </c>
      <c r="C164" s="5" t="s">
        <v>177</v>
      </c>
      <c r="E164" s="44">
        <v>0</v>
      </c>
      <c r="F164" s="44">
        <v>0</v>
      </c>
      <c r="G164" s="38">
        <v>0</v>
      </c>
      <c r="H164" s="38">
        <v>0</v>
      </c>
    </row>
    <row r="165" spans="1:12" hidden="1" x14ac:dyDescent="0.25">
      <c r="B165" s="41" t="s">
        <v>178</v>
      </c>
      <c r="E165" s="44">
        <f>'Rates and GI'!$D$52</f>
        <v>150</v>
      </c>
      <c r="F165" s="44">
        <f>'Rates and GI'!$D$52</f>
        <v>150</v>
      </c>
      <c r="G165" s="44">
        <f>'Rates and GI'!$D$52</f>
        <v>150</v>
      </c>
      <c r="H165" s="44">
        <f>'Rates and GI'!$D$52</f>
        <v>150</v>
      </c>
    </row>
    <row r="166" spans="1:12" hidden="1" x14ac:dyDescent="0.25">
      <c r="B166" s="6"/>
    </row>
    <row r="167" spans="1:12" hidden="1" x14ac:dyDescent="0.25">
      <c r="B167" s="41" t="s">
        <v>190</v>
      </c>
      <c r="E167" s="44">
        <f>E168*E169</f>
        <v>0</v>
      </c>
      <c r="F167" s="44">
        <f t="shared" ref="F167:H167" si="45">F168*F169</f>
        <v>0</v>
      </c>
      <c r="G167" s="44">
        <f t="shared" si="45"/>
        <v>0</v>
      </c>
      <c r="H167" s="44">
        <f t="shared" si="45"/>
        <v>0</v>
      </c>
    </row>
    <row r="168" spans="1:12" hidden="1" x14ac:dyDescent="0.25">
      <c r="B168" s="41" t="s">
        <v>176</v>
      </c>
      <c r="C168" s="5" t="s">
        <v>177</v>
      </c>
      <c r="E168" s="44">
        <v>0</v>
      </c>
      <c r="F168" s="44">
        <v>0</v>
      </c>
      <c r="G168" s="38">
        <v>0</v>
      </c>
      <c r="H168" s="38">
        <v>0</v>
      </c>
    </row>
    <row r="169" spans="1:12" s="62" customFormat="1" hidden="1" x14ac:dyDescent="0.25">
      <c r="A169" s="5"/>
      <c r="B169" s="41" t="s">
        <v>178</v>
      </c>
      <c r="C169" s="5"/>
      <c r="D169" s="44"/>
      <c r="E169" s="44">
        <f>'Rates and GI'!$D$53</f>
        <v>20</v>
      </c>
      <c r="F169" s="44">
        <f>'Rates and GI'!$D$53</f>
        <v>20</v>
      </c>
      <c r="G169" s="44">
        <f>'Rates and GI'!$D$53</f>
        <v>20</v>
      </c>
      <c r="H169" s="44">
        <f>'Rates and GI'!$D$53</f>
        <v>20</v>
      </c>
      <c r="J169" s="6"/>
      <c r="K169" s="6"/>
      <c r="L169" s="6"/>
    </row>
    <row r="170" spans="1:12" s="62" customFormat="1" hidden="1" x14ac:dyDescent="0.25">
      <c r="A170" s="5"/>
      <c r="B170" s="6"/>
      <c r="C170" s="5"/>
      <c r="D170" s="44"/>
      <c r="E170" s="44"/>
      <c r="F170" s="44"/>
      <c r="G170" s="38"/>
      <c r="H170" s="38"/>
      <c r="J170" s="6"/>
      <c r="K170" s="6"/>
      <c r="L170" s="6"/>
    </row>
    <row r="171" spans="1:12" s="62" customFormat="1" hidden="1" x14ac:dyDescent="0.25">
      <c r="A171" s="5"/>
      <c r="B171" s="5" t="s">
        <v>179</v>
      </c>
      <c r="C171" s="5"/>
      <c r="D171" s="44"/>
      <c r="E171" s="44">
        <f>E172*E173*E174</f>
        <v>0</v>
      </c>
      <c r="F171" s="44">
        <f t="shared" ref="F171:H171" si="46">F172*F173*F174</f>
        <v>0</v>
      </c>
      <c r="G171" s="44">
        <f t="shared" si="46"/>
        <v>0</v>
      </c>
      <c r="H171" s="44">
        <f t="shared" si="46"/>
        <v>0</v>
      </c>
      <c r="J171" s="6"/>
      <c r="K171" s="6"/>
      <c r="L171" s="6"/>
    </row>
    <row r="172" spans="1:12" s="62" customFormat="1" hidden="1" x14ac:dyDescent="0.25">
      <c r="A172" s="5"/>
      <c r="B172" s="41" t="s">
        <v>191</v>
      </c>
      <c r="C172" s="5"/>
      <c r="D172" s="44"/>
      <c r="E172" s="44"/>
      <c r="F172" s="44">
        <f>'Rates and GI'!$D$55</f>
        <v>300</v>
      </c>
      <c r="G172" s="44">
        <f>'Rates and GI'!$D$55</f>
        <v>300</v>
      </c>
      <c r="H172" s="44">
        <f>'Rates and GI'!$D$55</f>
        <v>300</v>
      </c>
      <c r="J172" s="6"/>
      <c r="K172" s="6"/>
      <c r="L172" s="6"/>
    </row>
    <row r="173" spans="1:12" s="62" customFormat="1" hidden="1" x14ac:dyDescent="0.25">
      <c r="A173" s="5"/>
      <c r="B173" s="41" t="s">
        <v>192</v>
      </c>
      <c r="C173" s="5"/>
      <c r="D173" s="44"/>
      <c r="E173" s="44"/>
      <c r="F173" s="44">
        <v>3</v>
      </c>
      <c r="G173" s="44">
        <v>3</v>
      </c>
      <c r="H173" s="44">
        <v>3</v>
      </c>
      <c r="J173" s="6"/>
      <c r="K173" s="6"/>
      <c r="L173" s="6"/>
    </row>
    <row r="174" spans="1:12" s="62" customFormat="1" hidden="1" x14ac:dyDescent="0.25">
      <c r="A174" s="5"/>
      <c r="B174" s="41" t="s">
        <v>193</v>
      </c>
      <c r="C174" s="5"/>
      <c r="D174" s="44"/>
      <c r="E174" s="44"/>
      <c r="F174" s="44">
        <v>0</v>
      </c>
      <c r="G174" s="44">
        <v>0</v>
      </c>
      <c r="H174" s="44">
        <v>0</v>
      </c>
      <c r="J174" s="6"/>
      <c r="K174" s="6"/>
      <c r="L174" s="6"/>
    </row>
    <row r="175" spans="1:12" hidden="1" x14ac:dyDescent="0.25"/>
    <row r="176" spans="1:12" s="62" customFormat="1" hidden="1" x14ac:dyDescent="0.25">
      <c r="A176" s="5"/>
      <c r="B176" s="5" t="s">
        <v>172</v>
      </c>
      <c r="C176" s="5"/>
      <c r="D176" s="44"/>
      <c r="E176" s="44">
        <f>E177+E178*E179</f>
        <v>0</v>
      </c>
      <c r="F176" s="44">
        <f>F177+F178*F179</f>
        <v>0</v>
      </c>
      <c r="G176" s="44">
        <f>G177+G178*G179</f>
        <v>0</v>
      </c>
      <c r="H176" s="44">
        <f>H177+H178*H179</f>
        <v>0</v>
      </c>
      <c r="J176" s="6"/>
      <c r="K176" s="6"/>
      <c r="L176" s="6"/>
    </row>
    <row r="177" spans="1:12" s="62" customFormat="1" hidden="1" x14ac:dyDescent="0.25">
      <c r="A177" s="5"/>
      <c r="B177" s="41" t="s">
        <v>153</v>
      </c>
      <c r="C177" s="5"/>
      <c r="D177" s="44"/>
      <c r="E177" s="44"/>
      <c r="F177" s="44">
        <f>'Rates and GI'!D46*0</f>
        <v>0</v>
      </c>
      <c r="G177" s="38"/>
      <c r="H177" s="38"/>
      <c r="J177" s="6"/>
      <c r="K177" s="6"/>
      <c r="L177" s="6"/>
    </row>
    <row r="178" spans="1:12" s="62" customFormat="1" hidden="1" x14ac:dyDescent="0.25">
      <c r="A178" s="5"/>
      <c r="B178" s="41" t="s">
        <v>159</v>
      </c>
      <c r="C178" s="5"/>
      <c r="D178" s="44"/>
      <c r="E178" s="44"/>
      <c r="F178" s="65">
        <f>'Rates and GI'!$D$47</f>
        <v>0.05</v>
      </c>
      <c r="G178" s="65">
        <f>'Rates and GI'!$D$47</f>
        <v>0.05</v>
      </c>
      <c r="H178" s="65">
        <f>'Rates and GI'!$D$47</f>
        <v>0.05</v>
      </c>
      <c r="J178" s="6"/>
      <c r="K178" s="6"/>
      <c r="L178" s="6"/>
    </row>
    <row r="179" spans="1:12" s="62" customFormat="1" hidden="1" x14ac:dyDescent="0.25">
      <c r="A179" s="5"/>
      <c r="B179" s="41" t="s">
        <v>160</v>
      </c>
      <c r="C179" s="5"/>
      <c r="D179" s="44"/>
      <c r="E179" s="44"/>
      <c r="F179" s="44">
        <v>0</v>
      </c>
      <c r="G179" s="38">
        <v>0</v>
      </c>
      <c r="H179" s="38"/>
      <c r="J179" s="6"/>
      <c r="K179" s="6"/>
      <c r="L179" s="6"/>
    </row>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row r="183" spans="1:12" ht="27" hidden="1" x14ac:dyDescent="0.25">
      <c r="A183" s="50"/>
      <c r="B183" s="132" t="s">
        <v>252</v>
      </c>
      <c r="C183" s="133"/>
      <c r="D183" s="51"/>
      <c r="E183" s="51"/>
      <c r="F183" s="51"/>
      <c r="G183" s="51"/>
      <c r="H183" s="51"/>
    </row>
    <row r="184" spans="1:12" hidden="1" x14ac:dyDescent="0.25">
      <c r="A184" s="10"/>
      <c r="B184" s="39" t="s">
        <v>253</v>
      </c>
      <c r="C184" s="134">
        <v>1</v>
      </c>
      <c r="D184" s="33"/>
      <c r="E184" s="44">
        <v>0</v>
      </c>
      <c r="F184" s="44">
        <v>0</v>
      </c>
      <c r="G184" s="44">
        <v>0</v>
      </c>
      <c r="H184" s="44">
        <v>0</v>
      </c>
    </row>
    <row r="185" spans="1:12" hidden="1" x14ac:dyDescent="0.25">
      <c r="B185" s="39" t="s">
        <v>254</v>
      </c>
      <c r="C185" s="33">
        <v>0</v>
      </c>
      <c r="D185" s="33"/>
      <c r="G185" s="44"/>
      <c r="H185" s="44"/>
    </row>
    <row r="186" spans="1:12" hidden="1" x14ac:dyDescent="0.25">
      <c r="B186" s="39" t="s">
        <v>255</v>
      </c>
      <c r="C186" s="73"/>
      <c r="D186" s="33"/>
      <c r="E186" s="44">
        <f>$C$185/$C$184*E184</f>
        <v>0</v>
      </c>
      <c r="F186" s="44">
        <f t="shared" ref="F186:H186" si="47">$C$185/$C$184*F184</f>
        <v>0</v>
      </c>
      <c r="G186" s="44">
        <f t="shared" si="47"/>
        <v>0</v>
      </c>
      <c r="H186" s="44">
        <f t="shared" si="47"/>
        <v>0</v>
      </c>
    </row>
    <row r="187" spans="1:12" hidden="1" x14ac:dyDescent="0.25"/>
  </sheetData>
  <pageMargins left="0.7" right="0.7" top="0.75" bottom="0.75" header="0.3" footer="0.3"/>
  <pageSetup paperSize="9" scale="56" fitToHeight="0"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0"/>
  <sheetViews>
    <sheetView topLeftCell="A204" workbookViewId="0">
      <selection activeCell="B224" sqref="B224"/>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1.5703125" style="44" bestFit="1" customWidth="1"/>
    <col min="6" max="6" width="11.28515625" style="44" bestFit="1" customWidth="1"/>
    <col min="7" max="8" width="11.5703125" style="38" bestFit="1" customWidth="1"/>
    <col min="9" max="9" width="9.140625" style="62"/>
    <col min="10" max="16384" width="9.140625" style="6"/>
  </cols>
  <sheetData>
    <row r="1" spans="1:12" s="86" customFormat="1" ht="17.25" x14ac:dyDescent="0.3">
      <c r="A1" s="123">
        <v>33</v>
      </c>
      <c r="B1" s="126" t="s">
        <v>398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371.17500000000001</v>
      </c>
      <c r="E5" s="44">
        <f>E71</f>
        <v>371.17500000000001</v>
      </c>
      <c r="F5" s="44">
        <f t="shared" ref="F5:H5" si="1">F71</f>
        <v>0</v>
      </c>
      <c r="G5" s="44">
        <f t="shared" si="1"/>
        <v>0</v>
      </c>
      <c r="H5" s="44">
        <f t="shared" si="1"/>
        <v>0</v>
      </c>
    </row>
    <row r="6" spans="1:12" x14ac:dyDescent="0.25">
      <c r="B6" s="16" t="s">
        <v>168</v>
      </c>
      <c r="D6" s="44">
        <f t="shared" si="0"/>
        <v>0</v>
      </c>
      <c r="E6" s="44">
        <f>E75</f>
        <v>0</v>
      </c>
      <c r="F6" s="44">
        <f t="shared" ref="F6:H6" si="2">F75</f>
        <v>0</v>
      </c>
      <c r="G6" s="44">
        <f t="shared" si="2"/>
        <v>0</v>
      </c>
      <c r="H6" s="44">
        <f t="shared" si="2"/>
        <v>0</v>
      </c>
    </row>
    <row r="7" spans="1:12" ht="14.25" thickBot="1" x14ac:dyDescent="0.3">
      <c r="A7" s="13"/>
      <c r="B7" s="13" t="s">
        <v>5</v>
      </c>
      <c r="C7" s="13"/>
      <c r="D7" s="47">
        <f>SUBTOTAL(9,D5:D6)</f>
        <v>371.17500000000001</v>
      </c>
      <c r="E7" s="47">
        <f>SUBTOTAL(9,E5:E6)</f>
        <v>371.17500000000001</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156</v>
      </c>
      <c r="E10" s="44">
        <f>E95</f>
        <v>156</v>
      </c>
      <c r="F10" s="44">
        <f t="shared" ref="F10:H10" si="4">F95</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156</v>
      </c>
      <c r="E12" s="47">
        <f t="shared" ref="E12:H12" si="5">SUBTOTAL(9,E10:E11)</f>
        <v>156</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E103</f>
        <v>0</v>
      </c>
      <c r="F15" s="44">
        <f t="shared" ref="F15:H15" si="7">F103</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E107</f>
        <v>0</v>
      </c>
      <c r="F20" s="44">
        <f t="shared" ref="F20:H20" si="10">F107</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E115</f>
        <v>0</v>
      </c>
      <c r="F25" s="44">
        <f t="shared" ref="F25:H25" si="13">F115</f>
        <v>0</v>
      </c>
      <c r="G25" s="44">
        <f t="shared" si="13"/>
        <v>0</v>
      </c>
      <c r="H25" s="44">
        <f t="shared" si="13"/>
        <v>0</v>
      </c>
    </row>
    <row r="26" spans="1:12" x14ac:dyDescent="0.25">
      <c r="B26" s="16" t="s">
        <v>25</v>
      </c>
      <c r="D26" s="44">
        <f t="shared" ref="D26" si="14">SUM(E26:H26)</f>
        <v>0</v>
      </c>
      <c r="E26" s="44">
        <f>E140</f>
        <v>0</v>
      </c>
      <c r="F26" s="44">
        <f t="shared" ref="F26:H26" si="15">F140</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354</v>
      </c>
      <c r="D31" s="44">
        <f t="shared" ref="D31:D34" si="17">SUM(E31:H31)</f>
        <v>0</v>
      </c>
      <c r="E31" s="44">
        <f>E120</f>
        <v>0</v>
      </c>
      <c r="F31" s="44">
        <f t="shared" ref="F31:H31" si="18">F120</f>
        <v>0</v>
      </c>
      <c r="G31" s="44">
        <f t="shared" si="18"/>
        <v>0</v>
      </c>
      <c r="H31" s="44">
        <f t="shared" si="18"/>
        <v>0</v>
      </c>
    </row>
    <row r="32" spans="1:12" x14ac:dyDescent="0.25">
      <c r="B32" s="16" t="s">
        <v>26</v>
      </c>
      <c r="D32" s="44">
        <f t="shared" si="17"/>
        <v>0</v>
      </c>
      <c r="E32" s="44">
        <f>E129</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SUBTOTAL(9,E31:E34)</f>
        <v>0</v>
      </c>
      <c r="F35" s="47">
        <f t="shared" ref="F35:H35" si="19">SUBTOTAL(9,F31:F34)</f>
        <v>0</v>
      </c>
      <c r="G35" s="47">
        <f>SUBTOTAL(9,G31:G34)</f>
        <v>0</v>
      </c>
      <c r="H35" s="47">
        <f t="shared" si="19"/>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E185</f>
        <v>0</v>
      </c>
      <c r="F40" s="44">
        <f t="shared" ref="F40:H40" si="21">F185</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419</v>
      </c>
      <c r="C45" s="135"/>
      <c r="D45" s="53"/>
      <c r="E45" s="53"/>
      <c r="F45" s="53"/>
      <c r="G45" s="54"/>
      <c r="H45" s="54"/>
      <c r="I45" s="12"/>
      <c r="J45" s="12"/>
      <c r="K45" s="12"/>
      <c r="L45" s="12"/>
    </row>
    <row r="46" spans="1:12" x14ac:dyDescent="0.25">
      <c r="A46" s="2"/>
      <c r="B46" s="2" t="s">
        <v>420</v>
      </c>
      <c r="C46" s="1"/>
      <c r="D46" s="44">
        <f t="shared" ref="D46" si="23">SUM(E46:H46)</f>
        <v>27102.294999989655</v>
      </c>
      <c r="E46" s="44">
        <f>E194</f>
        <v>16495.044250000003</v>
      </c>
      <c r="F46" s="44">
        <f t="shared" ref="F46:H46" si="24">F194</f>
        <v>3257.7843980000002</v>
      </c>
      <c r="G46" s="44">
        <f t="shared" si="24"/>
        <v>3531.8223723639999</v>
      </c>
      <c r="H46" s="44">
        <f t="shared" si="24"/>
        <v>3817.6439796256514</v>
      </c>
      <c r="I46" s="6"/>
    </row>
    <row r="47" spans="1:12" ht="14.25" thickBot="1" x14ac:dyDescent="0.3">
      <c r="A47" s="13"/>
      <c r="B47" s="13" t="s">
        <v>421</v>
      </c>
      <c r="C47" s="136"/>
      <c r="D47" s="47">
        <f>SUBTOTAL(9,D46)</f>
        <v>27102.294999989655</v>
      </c>
      <c r="E47" s="47">
        <f t="shared" ref="E47:H47" si="25">SUBTOTAL(9,E46)</f>
        <v>16495.044250000003</v>
      </c>
      <c r="F47" s="47">
        <f t="shared" si="25"/>
        <v>3257.7843980000002</v>
      </c>
      <c r="G47" s="47">
        <f t="shared" si="25"/>
        <v>3531.8223723639999</v>
      </c>
      <c r="H47" s="47">
        <f t="shared" si="25"/>
        <v>3817.6439796256514</v>
      </c>
      <c r="I47" s="6"/>
    </row>
    <row r="48" spans="1:12" ht="5.25" customHeight="1" x14ac:dyDescent="0.25">
      <c r="A48" s="167"/>
      <c r="B48" s="167"/>
      <c r="C48" s="168"/>
      <c r="D48" s="151"/>
      <c r="E48" s="151"/>
      <c r="F48" s="151"/>
      <c r="G48" s="151"/>
      <c r="H48" s="151"/>
      <c r="I48" s="6"/>
    </row>
    <row r="49" spans="1:12" x14ac:dyDescent="0.25">
      <c r="A49" s="15"/>
      <c r="B49" s="15" t="s">
        <v>252</v>
      </c>
      <c r="C49" s="135"/>
      <c r="D49" s="53"/>
      <c r="E49" s="53"/>
      <c r="F49" s="53"/>
      <c r="G49" s="54"/>
      <c r="H49" s="54"/>
      <c r="I49" s="12"/>
      <c r="J49" s="12"/>
      <c r="K49" s="12"/>
      <c r="L49" s="12"/>
    </row>
    <row r="50" spans="1:12" x14ac:dyDescent="0.25">
      <c r="A50" s="2"/>
      <c r="B50" s="2" t="s">
        <v>252</v>
      </c>
      <c r="C50" s="1"/>
      <c r="D50" s="44">
        <f t="shared" ref="D50" si="26">SUM(E50:H50)</f>
        <v>0</v>
      </c>
      <c r="E50" s="44">
        <f>E190</f>
        <v>0</v>
      </c>
      <c r="F50" s="44">
        <f t="shared" ref="F50:H50" si="27">F190</f>
        <v>0</v>
      </c>
      <c r="G50" s="44">
        <f t="shared" si="27"/>
        <v>0</v>
      </c>
      <c r="H50" s="44">
        <f t="shared" si="27"/>
        <v>0</v>
      </c>
      <c r="I50" s="6"/>
    </row>
    <row r="51" spans="1:12" ht="14.25" thickBot="1" x14ac:dyDescent="0.3">
      <c r="A51" s="13"/>
      <c r="B51" s="13" t="s">
        <v>256</v>
      </c>
      <c r="C51" s="136"/>
      <c r="D51" s="47">
        <f>SUBTOTAL(9,D50)</f>
        <v>0</v>
      </c>
      <c r="E51" s="47">
        <f t="shared" ref="E51:H51" si="28">SUBTOTAL(9,E50)</f>
        <v>0</v>
      </c>
      <c r="F51" s="47">
        <f t="shared" si="28"/>
        <v>0</v>
      </c>
      <c r="G51" s="47">
        <f t="shared" si="28"/>
        <v>0</v>
      </c>
      <c r="H51" s="47">
        <f t="shared" si="28"/>
        <v>0</v>
      </c>
      <c r="I51" s="6"/>
    </row>
    <row r="52" spans="1:12" ht="5.25" customHeight="1" x14ac:dyDescent="0.25">
      <c r="A52" s="3"/>
      <c r="B52" s="6"/>
      <c r="C52" s="3"/>
    </row>
    <row r="53" spans="1:12" x14ac:dyDescent="0.25">
      <c r="A53" s="15"/>
      <c r="B53" s="15" t="s">
        <v>20</v>
      </c>
      <c r="C53" s="15"/>
      <c r="D53" s="53"/>
      <c r="E53" s="53"/>
      <c r="F53" s="53"/>
      <c r="G53" s="54"/>
      <c r="H53" s="54"/>
      <c r="I53" s="61"/>
      <c r="J53" s="12"/>
      <c r="K53" s="12"/>
      <c r="L53" s="12"/>
    </row>
    <row r="54" spans="1:12" x14ac:dyDescent="0.25">
      <c r="A54" s="3"/>
      <c r="B54" s="3" t="s">
        <v>194</v>
      </c>
      <c r="C54" s="3"/>
      <c r="D54" s="44">
        <f t="shared" ref="D54:D55" si="29">SUM(E54:H54)</f>
        <v>0</v>
      </c>
      <c r="E54" s="44">
        <f>E159</f>
        <v>0</v>
      </c>
      <c r="F54" s="44">
        <f t="shared" ref="F54:H54" si="30">F159</f>
        <v>0</v>
      </c>
      <c r="G54" s="44">
        <f t="shared" si="30"/>
        <v>0</v>
      </c>
      <c r="H54" s="44">
        <f t="shared" si="30"/>
        <v>0</v>
      </c>
    </row>
    <row r="55" spans="1:12" x14ac:dyDescent="0.25">
      <c r="A55" s="3"/>
      <c r="B55" s="3" t="s">
        <v>21</v>
      </c>
      <c r="C55" s="3"/>
      <c r="D55" s="44">
        <f t="shared" si="29"/>
        <v>0</v>
      </c>
      <c r="E55" s="44">
        <f>E149</f>
        <v>0</v>
      </c>
      <c r="F55" s="44">
        <f t="shared" ref="F55:H55" si="31">F149</f>
        <v>0</v>
      </c>
      <c r="G55" s="44">
        <f t="shared" si="31"/>
        <v>0</v>
      </c>
      <c r="H55" s="44">
        <f t="shared" si="31"/>
        <v>0</v>
      </c>
    </row>
    <row r="56" spans="1:12" ht="14.25" thickBot="1" x14ac:dyDescent="0.3">
      <c r="A56" s="13"/>
      <c r="B56" s="13" t="s">
        <v>69</v>
      </c>
      <c r="C56" s="13"/>
      <c r="D56" s="47">
        <f>SUBTOTAL(9,D54:D55)</f>
        <v>0</v>
      </c>
      <c r="E56" s="47">
        <f>SUBTOTAL(9,E54:E55)</f>
        <v>0</v>
      </c>
      <c r="F56" s="47">
        <f>SUBTOTAL(9,F54:F55)</f>
        <v>0</v>
      </c>
      <c r="G56" s="47">
        <f>SUBTOTAL(9,G54:G55)</f>
        <v>0</v>
      </c>
      <c r="H56" s="47">
        <f>SUBTOTAL(9,H54:H55)</f>
        <v>0</v>
      </c>
    </row>
    <row r="57" spans="1:12" ht="5.25" customHeight="1" x14ac:dyDescent="0.25">
      <c r="A57" s="1"/>
      <c r="B57" s="1"/>
      <c r="C57" s="1"/>
    </row>
    <row r="58" spans="1:12" ht="14.25" thickBot="1" x14ac:dyDescent="0.3">
      <c r="A58" s="48"/>
      <c r="B58" s="48" t="s">
        <v>142</v>
      </c>
      <c r="C58" s="48"/>
      <c r="D58" s="49">
        <f>SUBTOTAL(9,D5:D56)</f>
        <v>27629.469999989655</v>
      </c>
      <c r="E58" s="49">
        <f>SUBTOTAL(9,E5:E56)</f>
        <v>17022.219250000002</v>
      </c>
      <c r="F58" s="49">
        <f>SUBTOTAL(9,F5:F56)</f>
        <v>3257.7843980000002</v>
      </c>
      <c r="G58" s="49">
        <f>SUBTOTAL(9,G5:G56)</f>
        <v>3531.8223723639999</v>
      </c>
      <c r="H58" s="49">
        <f>SUBTOTAL(9,H5:H56)</f>
        <v>3817.6439796256514</v>
      </c>
    </row>
    <row r="59" spans="1:12" ht="14.25" thickBot="1" x14ac:dyDescent="0.3">
      <c r="A59" s="1"/>
      <c r="B59" s="1"/>
      <c r="C59" s="1"/>
      <c r="D59" s="33"/>
      <c r="E59" s="33"/>
      <c r="F59" s="33"/>
      <c r="G59" s="28"/>
      <c r="H59" s="28"/>
      <c r="I59" s="6"/>
    </row>
    <row r="60" spans="1:12" ht="18" thickTop="1" x14ac:dyDescent="0.3">
      <c r="A60" s="120"/>
      <c r="B60" s="121" t="s">
        <v>27</v>
      </c>
      <c r="C60" s="121"/>
      <c r="D60" s="122"/>
      <c r="E60" s="122"/>
      <c r="F60" s="122"/>
      <c r="G60" s="122"/>
      <c r="H60" s="122"/>
      <c r="I60" s="6"/>
    </row>
    <row r="61" spans="1:12" ht="6.75" customHeight="1" x14ac:dyDescent="0.25">
      <c r="A61" s="1"/>
      <c r="B61" s="1"/>
      <c r="C61" s="1"/>
      <c r="D61" s="33"/>
      <c r="E61" s="33"/>
      <c r="F61" s="33"/>
      <c r="G61" s="28"/>
      <c r="H61" s="28"/>
      <c r="I61" s="6"/>
    </row>
    <row r="62" spans="1:12" s="14" customFormat="1" x14ac:dyDescent="0.25">
      <c r="A62" s="81"/>
      <c r="B62" s="81" t="s">
        <v>65</v>
      </c>
      <c r="C62" s="81" t="s">
        <v>64</v>
      </c>
      <c r="D62" s="82"/>
      <c r="E62" s="83">
        <f>start</f>
        <v>43831</v>
      </c>
      <c r="F62" s="83">
        <f>EOMONTH(E62,11)+1</f>
        <v>44197</v>
      </c>
      <c r="G62" s="83">
        <f>EOMONTH(F62,11)+1</f>
        <v>44562</v>
      </c>
      <c r="H62" s="83">
        <f>EOMONTH(G62,11)+1</f>
        <v>44927</v>
      </c>
    </row>
    <row r="63" spans="1:12" ht="6.75" customHeight="1" x14ac:dyDescent="0.25">
      <c r="D63" s="33"/>
      <c r="E63" s="33"/>
      <c r="F63" s="33"/>
      <c r="G63" s="28"/>
      <c r="H63" s="28"/>
      <c r="I63" s="6"/>
    </row>
    <row r="64" spans="1:12" x14ac:dyDescent="0.25">
      <c r="A64" s="50"/>
      <c r="B64" s="50" t="s">
        <v>0</v>
      </c>
      <c r="C64" s="50"/>
      <c r="D64" s="52"/>
      <c r="E64" s="52"/>
      <c r="F64" s="52"/>
      <c r="G64" s="52"/>
      <c r="H64" s="52"/>
    </row>
    <row r="65" spans="1:12" hidden="1" x14ac:dyDescent="0.25">
      <c r="B65" s="5" t="s">
        <v>2</v>
      </c>
      <c r="E65" s="44">
        <f>E66*E67*E68*E69</f>
        <v>0</v>
      </c>
      <c r="F65" s="45"/>
      <c r="G65" s="37"/>
      <c r="H65" s="37"/>
    </row>
    <row r="66" spans="1:12" hidden="1" x14ac:dyDescent="0.25">
      <c r="A66" s="9"/>
      <c r="B66" s="9" t="s">
        <v>36</v>
      </c>
      <c r="C66" s="9"/>
      <c r="E66" s="44">
        <v>0</v>
      </c>
    </row>
    <row r="67" spans="1:12" hidden="1" x14ac:dyDescent="0.25">
      <c r="A67" s="9"/>
      <c r="B67" s="9" t="s">
        <v>37</v>
      </c>
      <c r="C67" s="9"/>
      <c r="D67" s="45"/>
      <c r="E67" s="45">
        <v>0</v>
      </c>
    </row>
    <row r="68" spans="1:12" hidden="1" x14ac:dyDescent="0.25">
      <c r="A68" s="9"/>
      <c r="B68" s="9" t="s">
        <v>38</v>
      </c>
      <c r="C68" s="9"/>
      <c r="E68" s="44">
        <v>0</v>
      </c>
    </row>
    <row r="69" spans="1:12" hidden="1" x14ac:dyDescent="0.25">
      <c r="A69" s="9"/>
      <c r="B69" s="9" t="s">
        <v>39</v>
      </c>
      <c r="C69" s="9"/>
      <c r="E69" s="46">
        <v>0</v>
      </c>
    </row>
    <row r="70" spans="1:12" x14ac:dyDescent="0.25">
      <c r="A70" s="9"/>
      <c r="B70" s="9"/>
      <c r="C70" s="9"/>
    </row>
    <row r="71" spans="1:12" x14ac:dyDescent="0.25">
      <c r="B71" s="5" t="s">
        <v>23</v>
      </c>
      <c r="E71" s="44">
        <f>E72*E73</f>
        <v>371.17500000000001</v>
      </c>
      <c r="F71" s="44">
        <f t="shared" ref="F71:H71" si="32">F72*F73</f>
        <v>0</v>
      </c>
      <c r="G71" s="44">
        <f t="shared" si="32"/>
        <v>0</v>
      </c>
      <c r="H71" s="44">
        <f t="shared" si="32"/>
        <v>0</v>
      </c>
    </row>
    <row r="72" spans="1:12" x14ac:dyDescent="0.25">
      <c r="A72" s="9"/>
      <c r="B72" s="9" t="s">
        <v>114</v>
      </c>
      <c r="C72" s="9" t="s">
        <v>113</v>
      </c>
      <c r="E72" s="44">
        <v>21</v>
      </c>
      <c r="F72" s="44">
        <v>0</v>
      </c>
      <c r="G72" s="44">
        <v>0</v>
      </c>
      <c r="H72" s="44">
        <v>0</v>
      </c>
    </row>
    <row r="73" spans="1:12" x14ac:dyDescent="0.25">
      <c r="A73" s="9"/>
      <c r="B73" s="9" t="s">
        <v>40</v>
      </c>
      <c r="C73" s="9"/>
      <c r="E73" s="44">
        <f>'Rates and GI'!D12</f>
        <v>17.675000000000001</v>
      </c>
      <c r="F73" s="44">
        <f>E73*(1+index)</f>
        <v>18.435025</v>
      </c>
      <c r="G73" s="44">
        <f>F73*(1+index)</f>
        <v>19.227731074999998</v>
      </c>
      <c r="H73" s="44">
        <f>G73*(1+index)</f>
        <v>20.054523511224996</v>
      </c>
    </row>
    <row r="74" spans="1:12" hidden="1" x14ac:dyDescent="0.25"/>
    <row r="75" spans="1:12" s="7" customFormat="1" hidden="1" x14ac:dyDescent="0.25">
      <c r="A75" s="5"/>
      <c r="B75" s="5" t="s">
        <v>168</v>
      </c>
      <c r="C75" s="5"/>
      <c r="D75" s="44"/>
      <c r="E75" s="44">
        <f>E76*E77</f>
        <v>0</v>
      </c>
      <c r="F75" s="44">
        <f t="shared" ref="F75:H75" si="33">F76*F77</f>
        <v>0</v>
      </c>
      <c r="G75" s="44">
        <f t="shared" si="33"/>
        <v>0</v>
      </c>
      <c r="H75" s="44">
        <f t="shared" si="33"/>
        <v>0</v>
      </c>
      <c r="I75" s="62"/>
      <c r="J75" s="6"/>
      <c r="K75" s="6"/>
      <c r="L75" s="6"/>
    </row>
    <row r="76" spans="1:12" s="7" customFormat="1" hidden="1" x14ac:dyDescent="0.25">
      <c r="A76" s="9"/>
      <c r="B76" s="9" t="s">
        <v>170</v>
      </c>
      <c r="C76" s="9" t="s">
        <v>113</v>
      </c>
      <c r="D76" s="44"/>
      <c r="E76" s="44">
        <v>0</v>
      </c>
      <c r="F76" s="44">
        <v>0</v>
      </c>
      <c r="G76" s="44">
        <v>0</v>
      </c>
      <c r="H76" s="44">
        <v>0</v>
      </c>
      <c r="I76" s="62"/>
      <c r="J76" s="6"/>
      <c r="K76" s="6"/>
      <c r="L76" s="6"/>
    </row>
    <row r="77" spans="1:12" s="7" customFormat="1" hidden="1" x14ac:dyDescent="0.25">
      <c r="A77" s="9"/>
      <c r="B77" s="9" t="s">
        <v>40</v>
      </c>
      <c r="C77" s="9"/>
      <c r="D77" s="44"/>
      <c r="E77" s="44">
        <f>'Rates and GI'!D13</f>
        <v>162.21599999999998</v>
      </c>
      <c r="F77" s="44">
        <f>E77*(1+index)</f>
        <v>169.19128799999996</v>
      </c>
      <c r="G77" s="44">
        <f>F77*(1+index)</f>
        <v>176.46651338399994</v>
      </c>
      <c r="H77" s="44">
        <f>G77*(1+index)</f>
        <v>184.05457345951191</v>
      </c>
      <c r="I77" s="62"/>
      <c r="J77" s="6"/>
      <c r="K77" s="6"/>
      <c r="L77" s="6"/>
    </row>
    <row r="78" spans="1:12" hidden="1" x14ac:dyDescent="0.25"/>
    <row r="79" spans="1:12" s="7" customFormat="1" hidden="1" x14ac:dyDescent="0.25">
      <c r="A79" s="5"/>
      <c r="B79" s="5" t="s">
        <v>1</v>
      </c>
      <c r="C79" s="5"/>
      <c r="D79" s="44"/>
      <c r="E79" s="44"/>
      <c r="F79" s="44"/>
      <c r="G79" s="38"/>
      <c r="H79" s="38"/>
      <c r="I79" s="62"/>
      <c r="J79" s="6"/>
      <c r="K79" s="6"/>
      <c r="L79" s="6"/>
    </row>
    <row r="80" spans="1:12" s="7" customFormat="1" hidden="1" x14ac:dyDescent="0.25">
      <c r="A80" s="9"/>
      <c r="B80" s="9" t="s">
        <v>41</v>
      </c>
      <c r="C80" s="9"/>
      <c r="D80" s="44"/>
      <c r="E80" s="44">
        <v>0</v>
      </c>
      <c r="F80" s="44"/>
      <c r="G80" s="38"/>
      <c r="H80" s="38"/>
      <c r="I80" s="62"/>
      <c r="J80" s="6"/>
      <c r="K80" s="6"/>
      <c r="L80" s="6"/>
    </row>
    <row r="81" spans="1:12" s="7" customFormat="1" hidden="1" x14ac:dyDescent="0.25">
      <c r="A81" s="9"/>
      <c r="B81" s="9" t="s">
        <v>42</v>
      </c>
      <c r="C81" s="9"/>
      <c r="D81" s="44"/>
      <c r="E81" s="44">
        <v>0</v>
      </c>
      <c r="F81" s="44"/>
      <c r="G81" s="38"/>
      <c r="H81" s="38"/>
      <c r="I81" s="62"/>
      <c r="J81" s="6"/>
      <c r="K81" s="6"/>
      <c r="L81" s="6"/>
    </row>
    <row r="82" spans="1:12" s="7" customFormat="1" hidden="1" x14ac:dyDescent="0.25">
      <c r="A82" s="9"/>
      <c r="B82" s="9" t="s">
        <v>43</v>
      </c>
      <c r="C82" s="9"/>
      <c r="D82" s="44"/>
      <c r="E82" s="44">
        <v>0</v>
      </c>
      <c r="F82" s="44"/>
      <c r="G82" s="38"/>
      <c r="H82" s="38"/>
      <c r="I82" s="62"/>
      <c r="J82" s="6"/>
      <c r="K82" s="6"/>
      <c r="L82" s="6"/>
    </row>
    <row r="83" spans="1:12" s="7" customFormat="1" hidden="1" x14ac:dyDescent="0.25">
      <c r="A83" s="9"/>
      <c r="B83" s="9" t="s">
        <v>44</v>
      </c>
      <c r="C83" s="9"/>
      <c r="D83" s="44"/>
      <c r="E83" s="44">
        <v>0</v>
      </c>
      <c r="F83" s="44"/>
      <c r="G83" s="38"/>
      <c r="H83" s="38"/>
      <c r="I83" s="62"/>
      <c r="J83" s="6"/>
      <c r="K83" s="6"/>
      <c r="L83" s="6"/>
    </row>
    <row r="84" spans="1:12" hidden="1" x14ac:dyDescent="0.25"/>
    <row r="85" spans="1:12" s="7" customFormat="1" hidden="1" x14ac:dyDescent="0.25">
      <c r="A85" s="5"/>
      <c r="B85" s="5" t="s">
        <v>3</v>
      </c>
      <c r="C85" s="5"/>
      <c r="D85" s="44"/>
      <c r="E85" s="44"/>
      <c r="F85" s="44"/>
      <c r="G85" s="38"/>
      <c r="H85" s="38"/>
      <c r="I85" s="62"/>
      <c r="J85" s="6"/>
      <c r="K85" s="6"/>
      <c r="L85" s="6"/>
    </row>
    <row r="86" spans="1:12" s="7" customFormat="1" hidden="1" x14ac:dyDescent="0.25">
      <c r="A86" s="9"/>
      <c r="B86" s="9" t="s">
        <v>45</v>
      </c>
      <c r="C86" s="9"/>
      <c r="D86" s="44"/>
      <c r="E86" s="44">
        <v>0</v>
      </c>
      <c r="F86" s="44"/>
      <c r="G86" s="38"/>
      <c r="H86" s="38"/>
      <c r="I86" s="62"/>
      <c r="J86" s="6"/>
      <c r="K86" s="6"/>
      <c r="L86" s="6"/>
    </row>
    <row r="87" spans="1:12" s="7" customFormat="1" hidden="1" x14ac:dyDescent="0.25">
      <c r="A87" s="9"/>
      <c r="B87" s="9" t="s">
        <v>46</v>
      </c>
      <c r="C87" s="9"/>
      <c r="D87" s="44"/>
      <c r="E87" s="44">
        <v>0</v>
      </c>
      <c r="F87" s="44"/>
      <c r="G87" s="38"/>
      <c r="H87" s="38"/>
      <c r="I87" s="62"/>
      <c r="J87" s="6"/>
      <c r="K87" s="6"/>
      <c r="L87" s="6"/>
    </row>
    <row r="88" spans="1:12" hidden="1" x14ac:dyDescent="0.25"/>
    <row r="89" spans="1:12" s="7" customFormat="1" hidden="1" x14ac:dyDescent="0.25">
      <c r="A89" s="5"/>
      <c r="B89" s="5" t="s">
        <v>4</v>
      </c>
      <c r="C89" s="5"/>
      <c r="D89" s="44"/>
      <c r="E89" s="44"/>
      <c r="F89" s="44"/>
      <c r="G89" s="38"/>
      <c r="H89" s="38"/>
      <c r="I89" s="62"/>
      <c r="J89" s="6"/>
      <c r="K89" s="6"/>
      <c r="L89" s="6"/>
    </row>
    <row r="90" spans="1:12" s="7" customFormat="1" hidden="1" x14ac:dyDescent="0.25">
      <c r="A90" s="9"/>
      <c r="B90" s="9" t="s">
        <v>47</v>
      </c>
      <c r="C90" s="9"/>
      <c r="D90" s="44"/>
      <c r="E90" s="44">
        <v>0</v>
      </c>
      <c r="F90" s="44"/>
      <c r="G90" s="38"/>
      <c r="H90" s="38"/>
      <c r="I90" s="62"/>
      <c r="J90" s="6"/>
      <c r="K90" s="6"/>
      <c r="L90" s="6"/>
    </row>
    <row r="91" spans="1:12" s="7" customFormat="1" hidden="1" x14ac:dyDescent="0.25">
      <c r="A91" s="9"/>
      <c r="B91" s="9" t="s">
        <v>48</v>
      </c>
      <c r="C91" s="9"/>
      <c r="D91" s="44"/>
      <c r="E91" s="44">
        <v>0</v>
      </c>
      <c r="F91" s="44"/>
      <c r="G91" s="38"/>
      <c r="H91" s="38"/>
      <c r="I91" s="62"/>
      <c r="J91" s="6"/>
      <c r="K91" s="6"/>
      <c r="L91" s="6"/>
    </row>
    <row r="92" spans="1:12" hidden="1" x14ac:dyDescent="0.25"/>
    <row r="93" spans="1:12" s="7" customFormat="1" hidden="1" x14ac:dyDescent="0.25">
      <c r="A93" s="9"/>
      <c r="B93" s="9" t="s">
        <v>39</v>
      </c>
      <c r="C93" s="9"/>
      <c r="D93" s="44"/>
      <c r="E93" s="46"/>
      <c r="F93" s="44"/>
      <c r="G93" s="38"/>
      <c r="H93" s="38"/>
      <c r="I93" s="62"/>
      <c r="J93" s="6"/>
      <c r="K93" s="6"/>
      <c r="L93" s="6"/>
    </row>
    <row r="95" spans="1:12" x14ac:dyDescent="0.25">
      <c r="A95" s="50"/>
      <c r="B95" s="50" t="s">
        <v>10</v>
      </c>
      <c r="C95" s="50"/>
      <c r="D95" s="52"/>
      <c r="E95" s="52">
        <f>E96*E97+E99*E100</f>
        <v>156</v>
      </c>
      <c r="F95" s="52">
        <f t="shared" ref="F95:H95" si="34">F96*F97+F99*F100</f>
        <v>0</v>
      </c>
      <c r="G95" s="52">
        <f t="shared" si="34"/>
        <v>0</v>
      </c>
      <c r="H95" s="52">
        <f t="shared" si="34"/>
        <v>0</v>
      </c>
    </row>
    <row r="96" spans="1:12" s="7" customFormat="1" hidden="1" x14ac:dyDescent="0.25">
      <c r="A96" s="5"/>
      <c r="B96" s="9" t="s">
        <v>49</v>
      </c>
      <c r="C96" s="5"/>
      <c r="D96" s="44"/>
      <c r="E96" s="44">
        <v>0</v>
      </c>
      <c r="F96" s="44">
        <v>0</v>
      </c>
      <c r="G96" s="44">
        <v>0</v>
      </c>
      <c r="H96" s="44">
        <v>0</v>
      </c>
      <c r="I96" s="62"/>
      <c r="J96" s="6"/>
      <c r="K96" s="6"/>
      <c r="L96" s="6"/>
    </row>
    <row r="97" spans="1:12" s="7" customFormat="1" hidden="1" x14ac:dyDescent="0.25">
      <c r="A97" s="5"/>
      <c r="B97" s="9" t="s">
        <v>50</v>
      </c>
      <c r="C97" s="5"/>
      <c r="D97" s="44"/>
      <c r="E97" s="44">
        <f>Trips!$B$10</f>
        <v>908.23176058823537</v>
      </c>
      <c r="F97" s="44">
        <f>Trips!$B$10</f>
        <v>908.23176058823537</v>
      </c>
      <c r="G97" s="44">
        <f>Trips!$B$10</f>
        <v>908.23176058823537</v>
      </c>
      <c r="H97" s="44">
        <f>Trips!$B$10</f>
        <v>908.23176058823537</v>
      </c>
      <c r="I97" s="62"/>
      <c r="J97" s="6"/>
      <c r="K97" s="6"/>
      <c r="L97" s="6"/>
    </row>
    <row r="99" spans="1:12" s="7" customFormat="1" x14ac:dyDescent="0.25">
      <c r="A99" s="5"/>
      <c r="B99" s="9" t="s">
        <v>51</v>
      </c>
      <c r="C99" s="5"/>
      <c r="D99" s="44"/>
      <c r="E99" s="44">
        <v>3</v>
      </c>
      <c r="F99" s="44">
        <v>0</v>
      </c>
      <c r="G99" s="44">
        <v>0</v>
      </c>
      <c r="H99" s="44">
        <v>0</v>
      </c>
      <c r="I99" s="62"/>
      <c r="J99" s="6"/>
      <c r="K99" s="6"/>
      <c r="L99" s="6"/>
    </row>
    <row r="100" spans="1:12" s="7" customFormat="1" x14ac:dyDescent="0.25">
      <c r="A100" s="5"/>
      <c r="B100" s="9" t="s">
        <v>52</v>
      </c>
      <c r="C100" s="5"/>
      <c r="D100" s="44"/>
      <c r="E100" s="44">
        <f>Trips!$B$5</f>
        <v>52</v>
      </c>
      <c r="F100" s="44">
        <f>Trips!$B$5</f>
        <v>52</v>
      </c>
      <c r="G100" s="44">
        <f>Trips!$B$5</f>
        <v>52</v>
      </c>
      <c r="H100" s="44">
        <f>Trips!$B$5</f>
        <v>52</v>
      </c>
      <c r="I100" s="62"/>
      <c r="J100" s="6"/>
      <c r="K100" s="6"/>
      <c r="L100" s="6"/>
    </row>
    <row r="101" spans="1:12" hidden="1" x14ac:dyDescent="0.25"/>
    <row r="103" spans="1:12" hidden="1" x14ac:dyDescent="0.25">
      <c r="A103" s="50"/>
      <c r="B103" s="50" t="s">
        <v>171</v>
      </c>
      <c r="C103" s="50"/>
      <c r="D103" s="52"/>
      <c r="E103" s="52">
        <f>E104*E105</f>
        <v>0</v>
      </c>
      <c r="F103" s="52">
        <f t="shared" ref="F103:H103" si="35">F104*F105</f>
        <v>0</v>
      </c>
      <c r="G103" s="52">
        <f t="shared" si="35"/>
        <v>0</v>
      </c>
      <c r="H103" s="52">
        <f t="shared" si="35"/>
        <v>0</v>
      </c>
    </row>
    <row r="104" spans="1:12" s="7" customFormat="1" hidden="1" x14ac:dyDescent="0.25">
      <c r="A104" s="10"/>
      <c r="B104" s="39" t="s">
        <v>144</v>
      </c>
      <c r="C104" s="10" t="s">
        <v>145</v>
      </c>
      <c r="D104" s="44"/>
      <c r="E104" s="44">
        <v>0</v>
      </c>
      <c r="F104" s="44">
        <v>0</v>
      </c>
      <c r="G104" s="44">
        <v>0</v>
      </c>
      <c r="H104" s="44">
        <v>0</v>
      </c>
      <c r="I104" s="62"/>
      <c r="J104" s="6"/>
      <c r="K104" s="6"/>
      <c r="L104" s="6"/>
    </row>
    <row r="105" spans="1:12" s="7" customFormat="1" hidden="1" x14ac:dyDescent="0.25">
      <c r="A105" s="5"/>
      <c r="B105" s="39" t="s">
        <v>141</v>
      </c>
      <c r="C105" s="5"/>
      <c r="D105" s="44"/>
      <c r="E105" s="44">
        <f>Trips!B41</f>
        <v>631.70365882352939</v>
      </c>
      <c r="F105" s="44">
        <f>E105*(1+index)</f>
        <v>658.86691615294114</v>
      </c>
      <c r="G105" s="44">
        <f>F105*(1+index)</f>
        <v>687.19819354751758</v>
      </c>
      <c r="H105" s="44">
        <f>G105*(1+index)</f>
        <v>716.7477158700608</v>
      </c>
      <c r="I105" s="62"/>
      <c r="J105" s="6"/>
      <c r="K105" s="6"/>
      <c r="L105" s="6"/>
    </row>
    <row r="106" spans="1:12" hidden="1" x14ac:dyDescent="0.25"/>
    <row r="107" spans="1:12" hidden="1" x14ac:dyDescent="0.25">
      <c r="A107" s="50"/>
      <c r="B107" s="50" t="s">
        <v>130</v>
      </c>
      <c r="C107" s="50"/>
      <c r="D107" s="52"/>
      <c r="E107" s="52">
        <f>E108*E109+E110*E111+E112*E113</f>
        <v>0</v>
      </c>
      <c r="F107" s="52">
        <f t="shared" ref="F107:H107" si="36">F108*F109+F110*F111+F112*F113</f>
        <v>0</v>
      </c>
      <c r="G107" s="52">
        <f t="shared" si="36"/>
        <v>0</v>
      </c>
      <c r="H107" s="52">
        <f t="shared" si="36"/>
        <v>0</v>
      </c>
    </row>
    <row r="108" spans="1:12" hidden="1" x14ac:dyDescent="0.25">
      <c r="B108" s="39" t="s">
        <v>131</v>
      </c>
      <c r="C108" s="5" t="s">
        <v>132</v>
      </c>
      <c r="E108" s="44">
        <f>Training!$C$33</f>
        <v>81.10799999999999</v>
      </c>
      <c r="F108" s="44">
        <f>E108*(1+index)</f>
        <v>84.595643999999979</v>
      </c>
      <c r="G108" s="44">
        <f>F108*(1+index)</f>
        <v>88.233256691999969</v>
      </c>
      <c r="H108" s="44">
        <f>G108*(1+index)</f>
        <v>92.027286729755957</v>
      </c>
    </row>
    <row r="109" spans="1:12" hidden="1" x14ac:dyDescent="0.25">
      <c r="B109" s="39" t="s">
        <v>133</v>
      </c>
      <c r="F109" s="44">
        <f>F96</f>
        <v>0</v>
      </c>
      <c r="G109" s="44">
        <f t="shared" ref="G109:H109" si="37">G96</f>
        <v>0</v>
      </c>
      <c r="H109" s="44">
        <f t="shared" si="37"/>
        <v>0</v>
      </c>
    </row>
    <row r="110" spans="1:12" hidden="1" x14ac:dyDescent="0.25">
      <c r="B110" s="39" t="s">
        <v>134</v>
      </c>
      <c r="E110" s="44">
        <f>Training!C23</f>
        <v>709.375</v>
      </c>
      <c r="F110" s="44">
        <f>E110*(1+index)</f>
        <v>739.87812499999995</v>
      </c>
      <c r="G110" s="44">
        <f>F110*(1+index)</f>
        <v>771.69288437499995</v>
      </c>
      <c r="H110" s="44">
        <f>G110*(1+index)</f>
        <v>804.87567840312488</v>
      </c>
    </row>
    <row r="111" spans="1:12" hidden="1" x14ac:dyDescent="0.25">
      <c r="B111" s="39" t="s">
        <v>135</v>
      </c>
      <c r="E111" s="44">
        <v>0</v>
      </c>
      <c r="F111" s="44">
        <f>E111</f>
        <v>0</v>
      </c>
      <c r="G111" s="44">
        <f t="shared" ref="G111:H111" si="38">F111</f>
        <v>0</v>
      </c>
      <c r="H111" s="44">
        <f t="shared" si="38"/>
        <v>0</v>
      </c>
    </row>
    <row r="112" spans="1:12" hidden="1" x14ac:dyDescent="0.25">
      <c r="B112" s="39" t="s">
        <v>203</v>
      </c>
      <c r="C112" s="5" t="s">
        <v>137</v>
      </c>
      <c r="G112" s="44"/>
      <c r="H112" s="44"/>
    </row>
    <row r="113" spans="1:12" hidden="1" x14ac:dyDescent="0.25">
      <c r="B113" s="39" t="s">
        <v>133</v>
      </c>
      <c r="E113" s="44">
        <v>0</v>
      </c>
      <c r="F113" s="44">
        <v>0</v>
      </c>
      <c r="G113" s="44">
        <v>0</v>
      </c>
      <c r="H113" s="44">
        <v>0</v>
      </c>
    </row>
    <row r="114" spans="1:12" hidden="1" x14ac:dyDescent="0.25">
      <c r="B114" s="39"/>
    </row>
    <row r="115" spans="1:12" hidden="1" x14ac:dyDescent="0.25">
      <c r="A115" s="50"/>
      <c r="B115" s="50" t="s">
        <v>24</v>
      </c>
      <c r="C115" s="50"/>
      <c r="D115" s="52"/>
      <c r="E115" s="52">
        <f t="shared" ref="E115:H115" si="39">E116*E117</f>
        <v>0</v>
      </c>
      <c r="F115" s="52">
        <f t="shared" si="39"/>
        <v>0</v>
      </c>
      <c r="G115" s="52">
        <f t="shared" si="39"/>
        <v>0</v>
      </c>
      <c r="H115" s="52">
        <f t="shared" si="39"/>
        <v>0</v>
      </c>
    </row>
    <row r="116" spans="1:12" s="7" customFormat="1" hidden="1" x14ac:dyDescent="0.25">
      <c r="A116" s="5"/>
      <c r="B116" s="39" t="s">
        <v>53</v>
      </c>
      <c r="C116" s="5"/>
      <c r="D116" s="44"/>
      <c r="E116" s="44">
        <v>0</v>
      </c>
      <c r="F116" s="44">
        <v>0</v>
      </c>
      <c r="G116" s="44"/>
      <c r="H116" s="44"/>
      <c r="I116" s="62"/>
      <c r="J116" s="6"/>
      <c r="K116" s="6"/>
      <c r="L116" s="6"/>
    </row>
    <row r="117" spans="1:12" s="7" customFormat="1" hidden="1" x14ac:dyDescent="0.25">
      <c r="A117" s="5"/>
      <c r="B117" s="39" t="s">
        <v>54</v>
      </c>
      <c r="C117" s="5"/>
      <c r="D117" s="44"/>
      <c r="E117" s="44">
        <f>'Rates and GI'!D25</f>
        <v>6</v>
      </c>
      <c r="F117" s="44">
        <f>E117*(1+index)</f>
        <v>6.2579999999999991</v>
      </c>
      <c r="G117" s="44">
        <f>F117*(1+index)</f>
        <v>6.5270939999999991</v>
      </c>
      <c r="H117" s="44">
        <f>G117*(1+index)</f>
        <v>6.8077590419999989</v>
      </c>
      <c r="I117" s="62"/>
      <c r="J117" s="6"/>
      <c r="K117" s="6"/>
      <c r="L117" s="6"/>
    </row>
    <row r="118" spans="1:12" hidden="1" x14ac:dyDescent="0.25"/>
    <row r="119" spans="1:12" hidden="1" x14ac:dyDescent="0.25">
      <c r="A119" s="50"/>
      <c r="B119" s="50" t="s">
        <v>7</v>
      </c>
      <c r="C119" s="50"/>
      <c r="D119" s="52"/>
      <c r="E119" s="52"/>
      <c r="F119" s="52"/>
      <c r="G119" s="52"/>
      <c r="H119" s="52"/>
    </row>
    <row r="120" spans="1:12" hidden="1" x14ac:dyDescent="0.25">
      <c r="B120" s="66"/>
      <c r="C120" s="77"/>
      <c r="E120" s="152">
        <f>E122+E123</f>
        <v>0</v>
      </c>
      <c r="G120" s="44"/>
      <c r="H120" s="44"/>
    </row>
    <row r="121" spans="1:12" hidden="1" x14ac:dyDescent="0.25">
      <c r="B121" s="66"/>
      <c r="G121" s="44"/>
      <c r="H121" s="44"/>
    </row>
    <row r="122" spans="1:12" hidden="1" x14ac:dyDescent="0.25">
      <c r="B122" s="66" t="s">
        <v>337</v>
      </c>
      <c r="G122" s="44"/>
      <c r="H122" s="44"/>
    </row>
    <row r="123" spans="1:12" hidden="1" x14ac:dyDescent="0.25">
      <c r="B123" s="5" t="s">
        <v>336</v>
      </c>
      <c r="G123" s="44"/>
      <c r="H123" s="44"/>
    </row>
    <row r="124" spans="1:12" s="7" customFormat="1" hidden="1" x14ac:dyDescent="0.25">
      <c r="A124" s="5"/>
      <c r="B124" s="4" t="s">
        <v>57</v>
      </c>
      <c r="C124" s="5"/>
      <c r="D124" s="44"/>
      <c r="E124" s="46"/>
      <c r="F124" s="46"/>
      <c r="G124" s="105"/>
      <c r="H124" s="105"/>
      <c r="I124" s="61"/>
      <c r="J124" s="6"/>
      <c r="K124" s="6"/>
      <c r="L124" s="6"/>
    </row>
    <row r="125" spans="1:12" s="43" customFormat="1" hidden="1" x14ac:dyDescent="0.25">
      <c r="A125" s="40"/>
      <c r="B125" s="41" t="s">
        <v>58</v>
      </c>
      <c r="C125" s="40" t="s">
        <v>55</v>
      </c>
      <c r="D125" s="71"/>
      <c r="E125" s="71"/>
      <c r="F125" s="71"/>
      <c r="G125" s="72"/>
      <c r="H125" s="72"/>
      <c r="I125" s="75"/>
      <c r="J125" s="42"/>
      <c r="K125" s="42"/>
      <c r="L125" s="42"/>
    </row>
    <row r="126" spans="1:12" s="40" customFormat="1" hidden="1" x14ac:dyDescent="0.25">
      <c r="B126" s="41" t="s">
        <v>56</v>
      </c>
      <c r="D126" s="71"/>
      <c r="E126" s="71"/>
      <c r="F126" s="71"/>
      <c r="G126" s="72"/>
      <c r="H126" s="72"/>
      <c r="I126" s="75"/>
      <c r="J126" s="42"/>
      <c r="K126" s="42"/>
      <c r="L126" s="42"/>
    </row>
    <row r="127" spans="1:12" s="40" customFormat="1" hidden="1" x14ac:dyDescent="0.25">
      <c r="B127" s="41" t="s">
        <v>59</v>
      </c>
      <c r="D127" s="71"/>
      <c r="E127" s="71"/>
      <c r="F127" s="71"/>
      <c r="G127" s="72"/>
      <c r="H127" s="72"/>
      <c r="I127" s="75"/>
      <c r="J127" s="42"/>
      <c r="K127" s="42"/>
      <c r="L127" s="42"/>
    </row>
    <row r="128" spans="1:12" hidden="1" x14ac:dyDescent="0.25"/>
    <row r="129" spans="1:12" hidden="1" x14ac:dyDescent="0.25">
      <c r="A129" s="50"/>
      <c r="B129" s="50" t="s">
        <v>26</v>
      </c>
      <c r="C129" s="50"/>
      <c r="D129" s="52"/>
      <c r="E129" s="52">
        <f>E134*E135</f>
        <v>0</v>
      </c>
      <c r="F129" s="52">
        <f>F134*F135</f>
        <v>0</v>
      </c>
      <c r="G129" s="52"/>
      <c r="H129" s="52"/>
    </row>
    <row r="130" spans="1:12" s="5" customFormat="1" hidden="1" x14ac:dyDescent="0.25">
      <c r="B130" s="55" t="s">
        <v>60</v>
      </c>
      <c r="D130" s="44"/>
      <c r="E130" s="44"/>
      <c r="F130" s="44"/>
      <c r="G130" s="38"/>
      <c r="H130" s="38"/>
      <c r="I130" s="62"/>
      <c r="J130" s="6"/>
      <c r="K130" s="6"/>
      <c r="L130" s="6"/>
    </row>
    <row r="131" spans="1:12" s="5" customFormat="1" hidden="1" x14ac:dyDescent="0.25">
      <c r="B131" s="41" t="s">
        <v>147</v>
      </c>
      <c r="D131" s="44"/>
      <c r="E131" s="44"/>
      <c r="F131" s="44"/>
      <c r="G131" s="38"/>
      <c r="H131" s="38"/>
      <c r="I131" s="62"/>
      <c r="J131" s="6"/>
      <c r="K131" s="6"/>
      <c r="L131" s="6"/>
    </row>
    <row r="132" spans="1:12" s="5" customFormat="1" hidden="1" x14ac:dyDescent="0.25">
      <c r="B132" s="41" t="s">
        <v>146</v>
      </c>
      <c r="D132" s="44"/>
      <c r="E132" s="44"/>
      <c r="F132" s="44"/>
      <c r="G132" s="38"/>
      <c r="H132" s="38"/>
      <c r="I132" s="62"/>
      <c r="J132" s="6"/>
      <c r="K132" s="6"/>
      <c r="L132" s="6"/>
    </row>
    <row r="133" spans="1:12" s="5" customFormat="1" hidden="1" x14ac:dyDescent="0.25">
      <c r="B133" s="55" t="s">
        <v>123</v>
      </c>
      <c r="D133" s="44"/>
      <c r="E133" s="44"/>
      <c r="F133" s="44"/>
      <c r="G133" s="38"/>
      <c r="H133" s="38"/>
      <c r="I133" s="62"/>
      <c r="J133" s="6"/>
      <c r="K133" s="6"/>
      <c r="L133" s="6"/>
    </row>
    <row r="134" spans="1:12" s="5" customFormat="1" hidden="1" x14ac:dyDescent="0.25">
      <c r="B134" s="41" t="s">
        <v>147</v>
      </c>
      <c r="D134" s="44"/>
      <c r="E134" s="44">
        <f>'Rates and GI'!$D$31</f>
        <v>350</v>
      </c>
      <c r="F134" s="44">
        <f>'Rates and GI'!$D$31</f>
        <v>350</v>
      </c>
      <c r="G134" s="44">
        <f>'Rates and GI'!$D$31</f>
        <v>350</v>
      </c>
      <c r="H134" s="44">
        <f>'Rates and GI'!$D$31</f>
        <v>350</v>
      </c>
      <c r="I134" s="62"/>
      <c r="J134" s="6"/>
      <c r="K134" s="6"/>
      <c r="L134" s="6"/>
    </row>
    <row r="135" spans="1:12" s="5" customFormat="1" hidden="1" x14ac:dyDescent="0.25">
      <c r="B135" s="41" t="s">
        <v>146</v>
      </c>
      <c r="D135" s="44"/>
      <c r="E135" s="44">
        <v>0</v>
      </c>
      <c r="F135" s="44">
        <v>0</v>
      </c>
      <c r="G135" s="38"/>
      <c r="H135" s="38"/>
      <c r="I135" s="62"/>
      <c r="J135" s="6"/>
      <c r="K135" s="6"/>
      <c r="L135" s="6"/>
    </row>
    <row r="136" spans="1:12" s="5" customFormat="1" hidden="1" x14ac:dyDescent="0.25">
      <c r="B136" s="55" t="s">
        <v>8</v>
      </c>
      <c r="D136" s="44"/>
      <c r="E136" s="44"/>
      <c r="F136" s="44"/>
      <c r="G136" s="38"/>
      <c r="H136" s="38"/>
      <c r="I136" s="62"/>
      <c r="J136" s="6"/>
      <c r="K136" s="6"/>
      <c r="L136" s="6"/>
    </row>
    <row r="137" spans="1:12" s="5" customFormat="1" hidden="1" x14ac:dyDescent="0.25">
      <c r="B137" s="41" t="s">
        <v>147</v>
      </c>
      <c r="D137" s="44"/>
      <c r="E137" s="44"/>
      <c r="F137" s="44"/>
      <c r="G137" s="38"/>
      <c r="H137" s="38"/>
      <c r="I137" s="62"/>
      <c r="J137" s="6"/>
      <c r="K137" s="6"/>
      <c r="L137" s="6"/>
    </row>
    <row r="138" spans="1:12" s="5" customFormat="1" hidden="1" x14ac:dyDescent="0.25">
      <c r="B138" s="41" t="s">
        <v>146</v>
      </c>
      <c r="D138" s="44"/>
      <c r="E138" s="44"/>
      <c r="F138" s="44"/>
      <c r="G138" s="38"/>
      <c r="H138" s="38"/>
      <c r="I138" s="62"/>
      <c r="J138" s="6"/>
      <c r="K138" s="6"/>
      <c r="L138" s="6"/>
    </row>
    <row r="139" spans="1:12" hidden="1" x14ac:dyDescent="0.25"/>
    <row r="140" spans="1:12" hidden="1" x14ac:dyDescent="0.25">
      <c r="A140" s="50"/>
      <c r="B140" s="50" t="s">
        <v>25</v>
      </c>
      <c r="C140" s="50"/>
      <c r="D140" s="52"/>
      <c r="E140" s="52">
        <f>E141+E144</f>
        <v>0</v>
      </c>
      <c r="F140" s="52">
        <f t="shared" ref="F140:H140" si="40">F141+F144</f>
        <v>0</v>
      </c>
      <c r="G140" s="52">
        <f t="shared" si="40"/>
        <v>0</v>
      </c>
      <c r="H140" s="52">
        <f t="shared" si="40"/>
        <v>0</v>
      </c>
    </row>
    <row r="141" spans="1:12" s="5" customFormat="1" hidden="1" x14ac:dyDescent="0.25">
      <c r="B141" s="5" t="s">
        <v>205</v>
      </c>
      <c r="D141" s="44"/>
      <c r="E141" s="44"/>
      <c r="F141" s="44">
        <v>0</v>
      </c>
      <c r="G141" s="38"/>
      <c r="H141" s="38"/>
      <c r="I141" s="62"/>
      <c r="J141" s="6"/>
      <c r="K141" s="6"/>
      <c r="L141" s="6"/>
    </row>
    <row r="142" spans="1:12" s="5" customFormat="1" hidden="1" x14ac:dyDescent="0.25">
      <c r="B142" s="41"/>
      <c r="D142" s="44"/>
      <c r="E142" s="44"/>
      <c r="F142" s="44"/>
      <c r="G142" s="38"/>
      <c r="H142" s="38"/>
      <c r="I142" s="62"/>
      <c r="J142" s="6"/>
      <c r="K142" s="6"/>
      <c r="L142" s="6"/>
    </row>
    <row r="143" spans="1:12" s="5" customFormat="1" hidden="1" x14ac:dyDescent="0.25">
      <c r="B143" s="41"/>
      <c r="D143" s="44"/>
      <c r="E143" s="44"/>
      <c r="F143" s="44"/>
      <c r="G143" s="38"/>
      <c r="H143" s="38"/>
      <c r="I143" s="62"/>
      <c r="J143" s="6"/>
      <c r="K143" s="6"/>
      <c r="L143" s="6"/>
    </row>
    <row r="144" spans="1:12" s="5" customFormat="1" hidden="1" x14ac:dyDescent="0.25">
      <c r="B144" s="5" t="s">
        <v>154</v>
      </c>
      <c r="D144" s="44"/>
      <c r="E144" s="44">
        <f>E145+E146*E147</f>
        <v>0</v>
      </c>
      <c r="F144" s="44">
        <f>F145+F146*F147</f>
        <v>0</v>
      </c>
      <c r="G144" s="44">
        <f t="shared" ref="G144:H144" si="41">G145+G146*G147</f>
        <v>0</v>
      </c>
      <c r="H144" s="44">
        <f t="shared" si="41"/>
        <v>0</v>
      </c>
      <c r="I144" s="73"/>
    </row>
    <row r="145" spans="1:12" hidden="1" x14ac:dyDescent="0.25">
      <c r="B145" s="41" t="s">
        <v>153</v>
      </c>
      <c r="F145" s="44">
        <f>'Rates and GI'!D46*0</f>
        <v>0</v>
      </c>
    </row>
    <row r="146" spans="1:12" hidden="1" x14ac:dyDescent="0.25">
      <c r="B146" s="41" t="s">
        <v>159</v>
      </c>
      <c r="E146" s="60">
        <f>'Rates and GI'!$D$48</f>
        <v>0.02</v>
      </c>
      <c r="F146" s="60">
        <f>'Rates and GI'!$D$48</f>
        <v>0.02</v>
      </c>
      <c r="G146" s="60">
        <f>'Rates and GI'!$D$48</f>
        <v>0.02</v>
      </c>
      <c r="H146" s="60">
        <f>'Rates and GI'!$D$48</f>
        <v>0.02</v>
      </c>
    </row>
    <row r="147" spans="1:12" hidden="1" x14ac:dyDescent="0.25">
      <c r="B147" s="41" t="s">
        <v>160</v>
      </c>
      <c r="E147" s="44">
        <v>0</v>
      </c>
      <c r="F147" s="44">
        <v>0</v>
      </c>
      <c r="G147" s="44">
        <v>0</v>
      </c>
      <c r="H147" s="44">
        <v>0</v>
      </c>
    </row>
    <row r="148" spans="1:12" s="5" customFormat="1" hidden="1" x14ac:dyDescent="0.25">
      <c r="B148" s="41"/>
      <c r="D148" s="44"/>
      <c r="E148" s="44"/>
      <c r="F148" s="44"/>
      <c r="G148" s="38"/>
      <c r="H148" s="38"/>
      <c r="I148" s="62"/>
      <c r="J148" s="6"/>
      <c r="K148" s="6"/>
      <c r="L148" s="6"/>
    </row>
    <row r="149" spans="1:12" hidden="1" x14ac:dyDescent="0.25">
      <c r="A149" s="50"/>
      <c r="B149" s="50" t="s">
        <v>21</v>
      </c>
      <c r="C149" s="50"/>
      <c r="D149" s="52"/>
      <c r="E149" s="52">
        <f>E150*E151+E152*E153++E154*E155+E156*E157</f>
        <v>0</v>
      </c>
      <c r="F149" s="52">
        <f t="shared" ref="F149:H149" si="42">F150*F151+F152*F153++F154*F155+F156*F157</f>
        <v>0</v>
      </c>
      <c r="G149" s="52">
        <f t="shared" si="42"/>
        <v>0</v>
      </c>
      <c r="H149" s="52">
        <f t="shared" si="42"/>
        <v>0</v>
      </c>
    </row>
    <row r="150" spans="1:12" hidden="1" x14ac:dyDescent="0.25">
      <c r="B150" s="41" t="s">
        <v>150</v>
      </c>
      <c r="G150" s="44">
        <v>0</v>
      </c>
      <c r="H150" s="44"/>
    </row>
    <row r="151" spans="1:12" hidden="1" x14ac:dyDescent="0.25">
      <c r="B151" s="41" t="s">
        <v>151</v>
      </c>
      <c r="E151" s="44">
        <f>'Rates and GI'!$D$58</f>
        <v>5000</v>
      </c>
      <c r="F151" s="44">
        <f>'Rates and GI'!$D$58</f>
        <v>5000</v>
      </c>
      <c r="G151" s="44">
        <f>'Rates and GI'!$D$58</f>
        <v>5000</v>
      </c>
      <c r="H151" s="44">
        <f>'Rates and GI'!$D$58</f>
        <v>5000</v>
      </c>
    </row>
    <row r="152" spans="1:12" hidden="1" x14ac:dyDescent="0.25">
      <c r="B152" s="41" t="s">
        <v>148</v>
      </c>
      <c r="E152" s="44">
        <v>0</v>
      </c>
      <c r="F152" s="44">
        <v>0</v>
      </c>
      <c r="G152" s="44">
        <v>0</v>
      </c>
      <c r="H152" s="44">
        <v>0</v>
      </c>
    </row>
    <row r="153" spans="1:12" hidden="1" x14ac:dyDescent="0.25">
      <c r="B153" s="41" t="s">
        <v>149</v>
      </c>
      <c r="E153" s="44">
        <f>'Rates and GI'!$D$59</f>
        <v>1500</v>
      </c>
      <c r="F153" s="44">
        <f>'Rates and GI'!$D$59</f>
        <v>1500</v>
      </c>
      <c r="G153" s="44">
        <f>'Rates and GI'!$D$59</f>
        <v>1500</v>
      </c>
      <c r="H153" s="44">
        <f>'Rates and GI'!$D$59</f>
        <v>1500</v>
      </c>
    </row>
    <row r="154" spans="1:12" ht="27" hidden="1" x14ac:dyDescent="0.25">
      <c r="B154" s="63" t="s">
        <v>162</v>
      </c>
      <c r="E154" s="44">
        <v>0</v>
      </c>
      <c r="F154" s="44">
        <v>0</v>
      </c>
      <c r="G154" s="44">
        <v>0</v>
      </c>
      <c r="H154" s="44">
        <v>0</v>
      </c>
    </row>
    <row r="155" spans="1:12" ht="27" hidden="1" x14ac:dyDescent="0.25">
      <c r="B155" s="63" t="s">
        <v>161</v>
      </c>
      <c r="E155" s="44">
        <f>'Rates and GI'!$D$60</f>
        <v>200</v>
      </c>
      <c r="F155" s="44">
        <f>'Rates and GI'!$D$60</f>
        <v>200</v>
      </c>
      <c r="G155" s="44">
        <f>'Rates and GI'!$D$60</f>
        <v>200</v>
      </c>
      <c r="H155" s="44">
        <f>'Rates and GI'!$D$60</f>
        <v>200</v>
      </c>
    </row>
    <row r="156" spans="1:12" s="5" customFormat="1" hidden="1" x14ac:dyDescent="0.25">
      <c r="B156" s="41" t="s">
        <v>217</v>
      </c>
      <c r="D156" s="44"/>
      <c r="E156" s="44">
        <v>0</v>
      </c>
      <c r="F156" s="44">
        <v>0</v>
      </c>
      <c r="G156" s="44">
        <v>0</v>
      </c>
      <c r="H156" s="44">
        <v>0</v>
      </c>
      <c r="I156" s="62"/>
      <c r="J156" s="6"/>
      <c r="K156" s="6"/>
      <c r="L156" s="6"/>
    </row>
    <row r="157" spans="1:12" s="5" customFormat="1" hidden="1" x14ac:dyDescent="0.25">
      <c r="B157" s="41" t="s">
        <v>214</v>
      </c>
      <c r="D157" s="44"/>
      <c r="E157" s="44">
        <f>'Rates and GI'!$D$61</f>
        <v>50</v>
      </c>
      <c r="F157" s="44">
        <f>'Rates and GI'!$D$61</f>
        <v>50</v>
      </c>
      <c r="G157" s="38">
        <f>'Rates and GI'!$D$61</f>
        <v>50</v>
      </c>
      <c r="H157" s="38">
        <f>'Rates and GI'!$D$61</f>
        <v>50</v>
      </c>
      <c r="I157" s="62"/>
      <c r="J157" s="6"/>
      <c r="K157" s="6"/>
      <c r="L157" s="6"/>
    </row>
    <row r="158" spans="1:12" hidden="1" x14ac:dyDescent="0.25">
      <c r="A158" s="50"/>
      <c r="B158" s="50"/>
      <c r="C158" s="50"/>
      <c r="D158" s="52"/>
      <c r="E158" s="52"/>
      <c r="F158" s="52"/>
      <c r="G158" s="52"/>
      <c r="H158" s="52"/>
    </row>
    <row r="159" spans="1:12" hidden="1" x14ac:dyDescent="0.25">
      <c r="A159" s="50"/>
      <c r="B159" s="50" t="s">
        <v>194</v>
      </c>
      <c r="C159" s="50"/>
      <c r="D159" s="52"/>
      <c r="E159" s="52">
        <f>E160+E163+E166+E175+E180</f>
        <v>0</v>
      </c>
      <c r="F159" s="52">
        <f t="shared" ref="F159:H159" si="43">F160+F163+F166+F175+F180</f>
        <v>0</v>
      </c>
      <c r="G159" s="52">
        <f t="shared" si="43"/>
        <v>0</v>
      </c>
      <c r="H159" s="52">
        <f t="shared" si="43"/>
        <v>0</v>
      </c>
    </row>
    <row r="160" spans="1:12" s="5" customFormat="1" hidden="1" x14ac:dyDescent="0.25">
      <c r="B160" s="5" t="s">
        <v>173</v>
      </c>
      <c r="D160" s="44"/>
      <c r="E160" s="44">
        <f>E161+E164*E165</f>
        <v>0</v>
      </c>
      <c r="F160" s="44">
        <f>F161+F164*F165</f>
        <v>0</v>
      </c>
      <c r="G160" s="44">
        <f>G161+G164*G165</f>
        <v>0</v>
      </c>
      <c r="H160" s="44">
        <f t="shared" ref="H160" si="44">H161+H164*H165</f>
        <v>0</v>
      </c>
      <c r="I160" s="73"/>
    </row>
    <row r="161" spans="1:12" hidden="1" x14ac:dyDescent="0.25">
      <c r="B161" s="41" t="s">
        <v>184</v>
      </c>
      <c r="F161" s="44">
        <f>('Rates and GI'!$D$45+'Rates and GI'!$D$49)*0</f>
        <v>0</v>
      </c>
      <c r="G161" s="44">
        <f>('Rates and GI'!$D$45+'Rates and GI'!$D$49)*0</f>
        <v>0</v>
      </c>
      <c r="H161" s="44"/>
    </row>
    <row r="162" spans="1:12" hidden="1" x14ac:dyDescent="0.25">
      <c r="B162" s="41" t="s">
        <v>187</v>
      </c>
      <c r="F162" s="44">
        <f>'Rates and GI'!$D$51*0</f>
        <v>0</v>
      </c>
      <c r="G162" s="44">
        <f>'Rates and GI'!$D$51*0</f>
        <v>0</v>
      </c>
      <c r="H162" s="44"/>
    </row>
    <row r="163" spans="1:12" hidden="1" x14ac:dyDescent="0.25">
      <c r="B163" s="5" t="s">
        <v>174</v>
      </c>
      <c r="E163" s="44">
        <f>E164*E165</f>
        <v>0</v>
      </c>
      <c r="F163" s="44">
        <f t="shared" ref="F163:H163" si="45">F164*F165</f>
        <v>0</v>
      </c>
      <c r="G163" s="44">
        <f t="shared" si="45"/>
        <v>0</v>
      </c>
      <c r="H163" s="44">
        <f t="shared" si="45"/>
        <v>0</v>
      </c>
    </row>
    <row r="164" spans="1:12" hidden="1" x14ac:dyDescent="0.25">
      <c r="B164" s="41" t="s">
        <v>164</v>
      </c>
      <c r="F164" s="44">
        <f>'Rates and GI'!$D$54</f>
        <v>24.066499999999998</v>
      </c>
      <c r="G164" s="44">
        <f>'Rates and GI'!$D$54</f>
        <v>24.066499999999998</v>
      </c>
      <c r="H164" s="44">
        <f>'Rates and GI'!$D$54</f>
        <v>24.066499999999998</v>
      </c>
    </row>
    <row r="165" spans="1:12" hidden="1" x14ac:dyDescent="0.25">
      <c r="B165" s="41" t="s">
        <v>163</v>
      </c>
      <c r="F165" s="44">
        <v>0</v>
      </c>
      <c r="G165" s="38">
        <v>0</v>
      </c>
      <c r="H165" s="38">
        <v>0</v>
      </c>
    </row>
    <row r="166" spans="1:12" hidden="1" x14ac:dyDescent="0.25">
      <c r="B166" s="5" t="s">
        <v>175</v>
      </c>
      <c r="E166" s="44">
        <f>E167+E171</f>
        <v>0</v>
      </c>
      <c r="F166" s="44">
        <f t="shared" ref="F166:H166" si="46">F167+F171</f>
        <v>0</v>
      </c>
      <c r="G166" s="44">
        <f t="shared" si="46"/>
        <v>0</v>
      </c>
      <c r="H166" s="44">
        <f t="shared" si="46"/>
        <v>0</v>
      </c>
    </row>
    <row r="167" spans="1:12" hidden="1" x14ac:dyDescent="0.25">
      <c r="B167" s="41" t="s">
        <v>189</v>
      </c>
      <c r="E167" s="44">
        <f>E168*E169</f>
        <v>0</v>
      </c>
      <c r="F167" s="44">
        <f t="shared" ref="F167:H167" si="47">F168*F169</f>
        <v>0</v>
      </c>
      <c r="G167" s="44">
        <f t="shared" si="47"/>
        <v>0</v>
      </c>
      <c r="H167" s="44">
        <f t="shared" si="47"/>
        <v>0</v>
      </c>
    </row>
    <row r="168" spans="1:12" hidden="1" x14ac:dyDescent="0.25">
      <c r="B168" s="41" t="s">
        <v>176</v>
      </c>
      <c r="C168" s="5" t="s">
        <v>177</v>
      </c>
      <c r="E168" s="44">
        <v>0</v>
      </c>
      <c r="F168" s="44">
        <v>0</v>
      </c>
      <c r="G168" s="38">
        <v>0</v>
      </c>
      <c r="H168" s="38">
        <v>0</v>
      </c>
    </row>
    <row r="169" spans="1:12" hidden="1" x14ac:dyDescent="0.25">
      <c r="B169" s="41" t="s">
        <v>178</v>
      </c>
      <c r="E169" s="44">
        <f>'Rates and GI'!$D$52</f>
        <v>150</v>
      </c>
      <c r="F169" s="44">
        <f>'Rates and GI'!$D$52</f>
        <v>150</v>
      </c>
      <c r="G169" s="44">
        <f>'Rates and GI'!$D$52</f>
        <v>150</v>
      </c>
      <c r="H169" s="44">
        <f>'Rates and GI'!$D$52</f>
        <v>150</v>
      </c>
    </row>
    <row r="170" spans="1:12" hidden="1" x14ac:dyDescent="0.25">
      <c r="B170" s="6"/>
    </row>
    <row r="171" spans="1:12" hidden="1" x14ac:dyDescent="0.25">
      <c r="B171" s="41" t="s">
        <v>190</v>
      </c>
      <c r="E171" s="44">
        <f>E172*E173</f>
        <v>0</v>
      </c>
      <c r="F171" s="44">
        <f t="shared" ref="F171:H171" si="48">F172*F173</f>
        <v>0</v>
      </c>
      <c r="G171" s="44">
        <f t="shared" si="48"/>
        <v>0</v>
      </c>
      <c r="H171" s="44">
        <f t="shared" si="48"/>
        <v>0</v>
      </c>
    </row>
    <row r="172" spans="1:12" hidden="1" x14ac:dyDescent="0.25">
      <c r="B172" s="41" t="s">
        <v>176</v>
      </c>
      <c r="C172" s="5" t="s">
        <v>177</v>
      </c>
      <c r="E172" s="44">
        <v>0</v>
      </c>
      <c r="F172" s="44">
        <v>0</v>
      </c>
      <c r="G172" s="38">
        <v>0</v>
      </c>
      <c r="H172" s="38">
        <v>0</v>
      </c>
    </row>
    <row r="173" spans="1:12" s="62" customFormat="1" hidden="1" x14ac:dyDescent="0.25">
      <c r="A173" s="5"/>
      <c r="B173" s="41" t="s">
        <v>178</v>
      </c>
      <c r="C173" s="5"/>
      <c r="D173" s="44"/>
      <c r="E173" s="44">
        <f>'Rates and GI'!$D$53</f>
        <v>20</v>
      </c>
      <c r="F173" s="44">
        <f>'Rates and GI'!$D$53</f>
        <v>20</v>
      </c>
      <c r="G173" s="44">
        <f>'Rates and GI'!$D$53</f>
        <v>20</v>
      </c>
      <c r="H173" s="44">
        <f>'Rates and GI'!$D$53</f>
        <v>20</v>
      </c>
      <c r="J173" s="6"/>
      <c r="K173" s="6"/>
      <c r="L173" s="6"/>
    </row>
    <row r="174" spans="1:12" s="62" customFormat="1" hidden="1" x14ac:dyDescent="0.25">
      <c r="A174" s="5"/>
      <c r="B174" s="6"/>
      <c r="C174" s="5"/>
      <c r="D174" s="44"/>
      <c r="E174" s="44"/>
      <c r="F174" s="44"/>
      <c r="G174" s="38"/>
      <c r="H174" s="38"/>
      <c r="J174" s="6"/>
      <c r="K174" s="6"/>
      <c r="L174" s="6"/>
    </row>
    <row r="175" spans="1:12" s="62" customFormat="1" hidden="1" x14ac:dyDescent="0.25">
      <c r="A175" s="5"/>
      <c r="B175" s="5" t="s">
        <v>179</v>
      </c>
      <c r="C175" s="5"/>
      <c r="D175" s="44"/>
      <c r="E175" s="44">
        <f>E176*E177*E178</f>
        <v>0</v>
      </c>
      <c r="F175" s="44">
        <f t="shared" ref="F175:H175" si="49">F176*F177*F178</f>
        <v>0</v>
      </c>
      <c r="G175" s="44">
        <f t="shared" si="49"/>
        <v>0</v>
      </c>
      <c r="H175" s="44">
        <f t="shared" si="49"/>
        <v>0</v>
      </c>
      <c r="J175" s="6"/>
      <c r="K175" s="6"/>
      <c r="L175" s="6"/>
    </row>
    <row r="176" spans="1:12" s="62" customFormat="1" hidden="1" x14ac:dyDescent="0.25">
      <c r="A176" s="5"/>
      <c r="B176" s="41" t="s">
        <v>191</v>
      </c>
      <c r="C176" s="5"/>
      <c r="D176" s="44"/>
      <c r="E176" s="44"/>
      <c r="F176" s="44">
        <f>'Rates and GI'!$D$55</f>
        <v>300</v>
      </c>
      <c r="G176" s="44">
        <f>'Rates and GI'!$D$55</f>
        <v>300</v>
      </c>
      <c r="H176" s="44">
        <f>'Rates and GI'!$D$55</f>
        <v>300</v>
      </c>
      <c r="J176" s="6"/>
      <c r="K176" s="6"/>
      <c r="L176" s="6"/>
    </row>
    <row r="177" spans="1:12" s="62" customFormat="1" hidden="1" x14ac:dyDescent="0.25">
      <c r="A177" s="5"/>
      <c r="B177" s="41" t="s">
        <v>192</v>
      </c>
      <c r="C177" s="5"/>
      <c r="D177" s="44"/>
      <c r="E177" s="44"/>
      <c r="F177" s="44">
        <v>3</v>
      </c>
      <c r="G177" s="44">
        <v>3</v>
      </c>
      <c r="H177" s="44">
        <v>3</v>
      </c>
      <c r="J177" s="6"/>
      <c r="K177" s="6"/>
      <c r="L177" s="6"/>
    </row>
    <row r="178" spans="1:12" s="62" customFormat="1" hidden="1" x14ac:dyDescent="0.25">
      <c r="A178" s="5"/>
      <c r="B178" s="41" t="s">
        <v>193</v>
      </c>
      <c r="C178" s="5"/>
      <c r="D178" s="44"/>
      <c r="E178" s="44"/>
      <c r="F178" s="44">
        <v>0</v>
      </c>
      <c r="G178" s="44">
        <v>0</v>
      </c>
      <c r="H178" s="44">
        <v>0</v>
      </c>
      <c r="J178" s="6"/>
      <c r="K178" s="6"/>
      <c r="L178" s="6"/>
    </row>
    <row r="179" spans="1:12" hidden="1" x14ac:dyDescent="0.25"/>
    <row r="180" spans="1:12" s="62" customFormat="1" hidden="1" x14ac:dyDescent="0.25">
      <c r="A180" s="5"/>
      <c r="B180" s="5" t="s">
        <v>172</v>
      </c>
      <c r="C180" s="5"/>
      <c r="D180" s="44"/>
      <c r="E180" s="44">
        <f>E181+E182*E183</f>
        <v>0</v>
      </c>
      <c r="F180" s="44">
        <f>F181+F182*F183</f>
        <v>0</v>
      </c>
      <c r="G180" s="44">
        <f>G181+G182*G183</f>
        <v>0</v>
      </c>
      <c r="H180" s="44">
        <f>H181+H182*H183</f>
        <v>0</v>
      </c>
      <c r="J180" s="6"/>
      <c r="K180" s="6"/>
      <c r="L180" s="6"/>
    </row>
    <row r="181" spans="1:12" s="62" customFormat="1" hidden="1" x14ac:dyDescent="0.25">
      <c r="A181" s="5"/>
      <c r="B181" s="41" t="s">
        <v>153</v>
      </c>
      <c r="C181" s="5"/>
      <c r="D181" s="44"/>
      <c r="E181" s="44"/>
      <c r="F181" s="44">
        <f>'Rates and GI'!D46*0</f>
        <v>0</v>
      </c>
      <c r="G181" s="38"/>
      <c r="H181" s="38"/>
      <c r="J181" s="6"/>
      <c r="K181" s="6"/>
      <c r="L181" s="6"/>
    </row>
    <row r="182" spans="1:12" s="62" customFormat="1" hidden="1" x14ac:dyDescent="0.25">
      <c r="A182" s="5"/>
      <c r="B182" s="41" t="s">
        <v>159</v>
      </c>
      <c r="C182" s="5"/>
      <c r="D182" s="44"/>
      <c r="E182" s="44"/>
      <c r="F182" s="65">
        <f>'Rates and GI'!$D$47</f>
        <v>0.05</v>
      </c>
      <c r="G182" s="65">
        <f>'Rates and GI'!$D$47</f>
        <v>0.05</v>
      </c>
      <c r="H182" s="65">
        <f>'Rates and GI'!$D$47</f>
        <v>0.05</v>
      </c>
      <c r="J182" s="6"/>
      <c r="K182" s="6"/>
      <c r="L182" s="6"/>
    </row>
    <row r="183" spans="1:12" s="62" customFormat="1" hidden="1" x14ac:dyDescent="0.25">
      <c r="A183" s="5"/>
      <c r="B183" s="41" t="s">
        <v>160</v>
      </c>
      <c r="C183" s="5"/>
      <c r="D183" s="44"/>
      <c r="E183" s="44"/>
      <c r="F183" s="44">
        <v>0</v>
      </c>
      <c r="G183" s="38">
        <v>0</v>
      </c>
      <c r="H183" s="38"/>
      <c r="J183" s="6"/>
      <c r="K183" s="6"/>
      <c r="L183" s="6"/>
    </row>
    <row r="184" spans="1:12" hidden="1" x14ac:dyDescent="0.25"/>
    <row r="185" spans="1:12" s="62" customFormat="1" hidden="1" x14ac:dyDescent="0.25">
      <c r="A185" s="50"/>
      <c r="B185" s="50" t="s">
        <v>19</v>
      </c>
      <c r="C185" s="50"/>
      <c r="D185" s="52"/>
      <c r="E185" s="52">
        <v>0</v>
      </c>
      <c r="F185" s="52">
        <v>0</v>
      </c>
      <c r="G185" s="52">
        <v>0</v>
      </c>
      <c r="H185" s="52">
        <v>0</v>
      </c>
      <c r="J185" s="6"/>
      <c r="K185" s="6"/>
      <c r="L185" s="6"/>
    </row>
    <row r="186" spans="1:12" hidden="1" x14ac:dyDescent="0.25"/>
    <row r="187" spans="1:12" ht="27" hidden="1" x14ac:dyDescent="0.25">
      <c r="A187" s="50"/>
      <c r="B187" s="132" t="s">
        <v>252</v>
      </c>
      <c r="C187" s="133"/>
      <c r="D187" s="51"/>
      <c r="E187" s="51"/>
      <c r="F187" s="51"/>
      <c r="G187" s="51"/>
      <c r="H187" s="51"/>
    </row>
    <row r="188" spans="1:12" hidden="1" x14ac:dyDescent="0.25">
      <c r="A188" s="10"/>
      <c r="B188" s="39" t="s">
        <v>253</v>
      </c>
      <c r="C188" s="134">
        <v>1</v>
      </c>
      <c r="D188" s="33"/>
      <c r="E188" s="44">
        <v>0</v>
      </c>
      <c r="F188" s="44">
        <v>0</v>
      </c>
      <c r="G188" s="44">
        <v>0</v>
      </c>
      <c r="H188" s="44">
        <v>0</v>
      </c>
    </row>
    <row r="189" spans="1:12" hidden="1" x14ac:dyDescent="0.25">
      <c r="B189" s="39" t="s">
        <v>254</v>
      </c>
      <c r="C189" s="33">
        <v>0</v>
      </c>
      <c r="D189" s="33"/>
      <c r="G189" s="44"/>
      <c r="H189" s="44"/>
    </row>
    <row r="190" spans="1:12" hidden="1" x14ac:dyDescent="0.25">
      <c r="B190" s="39" t="s">
        <v>255</v>
      </c>
      <c r="C190" s="73"/>
      <c r="D190" s="33"/>
      <c r="E190" s="44">
        <f>$C$189/$C$188*E188</f>
        <v>0</v>
      </c>
      <c r="F190" s="44">
        <f t="shared" ref="F190:H190" si="50">$C$189/$C$188*F188</f>
        <v>0</v>
      </c>
      <c r="G190" s="44">
        <f t="shared" si="50"/>
        <v>0</v>
      </c>
      <c r="H190" s="44">
        <f t="shared" si="50"/>
        <v>0</v>
      </c>
    </row>
    <row r="191" spans="1:12" hidden="1" x14ac:dyDescent="0.25"/>
    <row r="194" spans="1:12" x14ac:dyDescent="0.25">
      <c r="A194" s="50"/>
      <c r="B194" s="50" t="s">
        <v>418</v>
      </c>
      <c r="C194" s="50"/>
      <c r="D194" s="52"/>
      <c r="E194" s="52">
        <f>E195+E198+E202+E216+E217-E211</f>
        <v>16495.044250000003</v>
      </c>
      <c r="F194" s="52">
        <f t="shared" ref="F194:H194" si="51">F195+F198+F202+F216+F217-F211</f>
        <v>3257.7843980000002</v>
      </c>
      <c r="G194" s="52">
        <f t="shared" si="51"/>
        <v>3531.8223723639999</v>
      </c>
      <c r="H194" s="52">
        <f t="shared" si="51"/>
        <v>3817.6439796256514</v>
      </c>
    </row>
    <row r="195" spans="1:12" s="62" customFormat="1" x14ac:dyDescent="0.25">
      <c r="A195" s="5"/>
      <c r="B195" s="5" t="s">
        <v>399</v>
      </c>
      <c r="C195" s="5"/>
      <c r="D195" s="44"/>
      <c r="E195" s="44">
        <f>E196*E197</f>
        <v>13500</v>
      </c>
      <c r="F195" s="44">
        <f t="shared" ref="F195:H195" si="52">F196*F197</f>
        <v>0</v>
      </c>
      <c r="G195" s="44">
        <f t="shared" si="52"/>
        <v>0</v>
      </c>
      <c r="H195" s="44">
        <f t="shared" si="52"/>
        <v>0</v>
      </c>
      <c r="J195" s="6"/>
      <c r="K195" s="6"/>
      <c r="L195" s="6"/>
    </row>
    <row r="196" spans="1:12" x14ac:dyDescent="0.25">
      <c r="B196" s="41" t="s">
        <v>400</v>
      </c>
      <c r="D196" s="33"/>
      <c r="E196" s="44">
        <f>'Rates and GI'!D36</f>
        <v>13500</v>
      </c>
      <c r="G196" s="44"/>
      <c r="H196" s="44"/>
    </row>
    <row r="197" spans="1:12" x14ac:dyDescent="0.25">
      <c r="B197" s="41" t="s">
        <v>274</v>
      </c>
      <c r="D197" s="33"/>
      <c r="E197" s="44">
        <v>1</v>
      </c>
      <c r="F197" s="44">
        <v>0</v>
      </c>
      <c r="G197" s="44">
        <v>0</v>
      </c>
      <c r="H197" s="44"/>
    </row>
    <row r="198" spans="1:12" x14ac:dyDescent="0.25">
      <c r="B198" s="5" t="s">
        <v>401</v>
      </c>
      <c r="D198" s="33"/>
      <c r="E198" s="44">
        <f>E199*E200</f>
        <v>1800</v>
      </c>
      <c r="F198" s="44">
        <f t="shared" ref="F198:H198" si="53">F199*F200</f>
        <v>1877.3999999999999</v>
      </c>
      <c r="G198" s="44">
        <f t="shared" si="53"/>
        <v>1958.1281999999999</v>
      </c>
      <c r="H198" s="44">
        <f t="shared" si="53"/>
        <v>2042.3277125999998</v>
      </c>
    </row>
    <row r="199" spans="1:12" x14ac:dyDescent="0.25">
      <c r="B199" s="41" t="s">
        <v>402</v>
      </c>
      <c r="D199" s="33"/>
      <c r="E199" s="44">
        <v>150</v>
      </c>
      <c r="F199" s="44">
        <f>E199*(index+1)</f>
        <v>156.44999999999999</v>
      </c>
      <c r="G199" s="44">
        <f>F199*(index+1)</f>
        <v>163.17734999999999</v>
      </c>
      <c r="H199" s="44">
        <f>G199*(index+1)</f>
        <v>170.19397604999997</v>
      </c>
    </row>
    <row r="200" spans="1:12" x14ac:dyDescent="0.25">
      <c r="B200" s="41" t="s">
        <v>39</v>
      </c>
      <c r="D200" s="33"/>
      <c r="E200" s="44">
        <v>12</v>
      </c>
      <c r="F200" s="44">
        <v>12</v>
      </c>
      <c r="G200" s="44">
        <v>12</v>
      </c>
      <c r="H200" s="44">
        <v>12</v>
      </c>
    </row>
    <row r="201" spans="1:12" x14ac:dyDescent="0.25">
      <c r="B201" s="41"/>
      <c r="D201" s="33"/>
      <c r="G201" s="44"/>
      <c r="H201" s="44"/>
    </row>
    <row r="202" spans="1:12" x14ac:dyDescent="0.25">
      <c r="B202" s="5" t="s">
        <v>403</v>
      </c>
      <c r="D202" s="33"/>
      <c r="E202" s="44">
        <f>E203+E204</f>
        <v>3754.76</v>
      </c>
      <c r="F202" s="44">
        <f t="shared" ref="F202:H202" si="54">F203+F204</f>
        <v>3916.2146799999996</v>
      </c>
      <c r="G202" s="44">
        <f t="shared" si="54"/>
        <v>4084.6119112399992</v>
      </c>
      <c r="H202" s="44">
        <f t="shared" si="54"/>
        <v>4260.2502234233189</v>
      </c>
    </row>
    <row r="203" spans="1:12" x14ac:dyDescent="0.25">
      <c r="B203" s="41" t="s">
        <v>404</v>
      </c>
      <c r="D203" s="33"/>
      <c r="E203" s="44">
        <f>40*12+200</f>
        <v>680</v>
      </c>
      <c r="F203" s="44">
        <f>E203*(index+1)</f>
        <v>709.2399999999999</v>
      </c>
      <c r="G203" s="44">
        <f>F203*(index+1)</f>
        <v>739.73731999999984</v>
      </c>
      <c r="H203" s="44">
        <f>G203*(index+1)</f>
        <v>771.5460247599998</v>
      </c>
    </row>
    <row r="204" spans="1:12" x14ac:dyDescent="0.25">
      <c r="B204" s="5" t="s">
        <v>415</v>
      </c>
      <c r="D204" s="33"/>
      <c r="E204" s="44">
        <f>E208*E209/100*E205*E206</f>
        <v>3074.76</v>
      </c>
      <c r="F204" s="44">
        <f t="shared" ref="F204:H204" si="55">F208*F209/100*F205*F206</f>
        <v>3206.9746799999998</v>
      </c>
      <c r="G204" s="44">
        <f t="shared" si="55"/>
        <v>3344.8745912399995</v>
      </c>
      <c r="H204" s="44">
        <f t="shared" si="55"/>
        <v>3488.7041986633194</v>
      </c>
    </row>
    <row r="205" spans="1:12" x14ac:dyDescent="0.25">
      <c r="B205" s="41" t="s">
        <v>408</v>
      </c>
      <c r="C205" s="5" t="s">
        <v>414</v>
      </c>
      <c r="D205" s="33"/>
      <c r="E205" s="44">
        <v>12</v>
      </c>
      <c r="F205" s="44">
        <v>12</v>
      </c>
      <c r="G205" s="44">
        <v>12</v>
      </c>
      <c r="H205" s="44">
        <v>12</v>
      </c>
    </row>
    <row r="206" spans="1:12" x14ac:dyDescent="0.25">
      <c r="B206" s="41" t="s">
        <v>409</v>
      </c>
      <c r="D206" s="33"/>
      <c r="E206" s="60">
        <v>0.39</v>
      </c>
      <c r="F206" s="60">
        <f>E206*(index+1)</f>
        <v>0.40676999999999996</v>
      </c>
      <c r="G206" s="60">
        <f>F206*(index+1)</f>
        <v>0.42426110999999994</v>
      </c>
      <c r="H206" s="60">
        <f>G206*(index+1)</f>
        <v>0.44250433772999992</v>
      </c>
    </row>
    <row r="207" spans="1:12" x14ac:dyDescent="0.25">
      <c r="B207" s="41" t="s">
        <v>410</v>
      </c>
      <c r="D207" s="33"/>
      <c r="E207" s="44">
        <v>3</v>
      </c>
      <c r="F207" s="44">
        <v>3</v>
      </c>
      <c r="G207" s="44">
        <v>3</v>
      </c>
      <c r="H207" s="44">
        <v>3</v>
      </c>
    </row>
    <row r="208" spans="1:12" x14ac:dyDescent="0.25">
      <c r="B208" s="41" t="s">
        <v>411</v>
      </c>
      <c r="D208" s="33"/>
      <c r="E208" s="44">
        <f>E207*365</f>
        <v>1095</v>
      </c>
      <c r="F208" s="44">
        <f t="shared" ref="F208:H208" si="56">F207*365</f>
        <v>1095</v>
      </c>
      <c r="G208" s="44">
        <f t="shared" si="56"/>
        <v>1095</v>
      </c>
      <c r="H208" s="44">
        <f t="shared" si="56"/>
        <v>1095</v>
      </c>
    </row>
    <row r="209" spans="1:8" x14ac:dyDescent="0.25">
      <c r="B209" s="41" t="s">
        <v>412</v>
      </c>
      <c r="C209" s="5" t="s">
        <v>413</v>
      </c>
      <c r="D209" s="33"/>
      <c r="E209" s="44">
        <f>(12+18)*2</f>
        <v>60</v>
      </c>
      <c r="F209" s="44">
        <f t="shared" ref="F209:H209" si="57">(12+18)*2</f>
        <v>60</v>
      </c>
      <c r="G209" s="44">
        <f t="shared" si="57"/>
        <v>60</v>
      </c>
      <c r="H209" s="44">
        <f t="shared" si="57"/>
        <v>60</v>
      </c>
    </row>
    <row r="210" spans="1:8" x14ac:dyDescent="0.25">
      <c r="B210" s="41"/>
      <c r="D210" s="33"/>
      <c r="E210" s="60"/>
      <c r="F210" s="60"/>
      <c r="G210" s="60"/>
      <c r="H210" s="60"/>
    </row>
    <row r="211" spans="1:8" x14ac:dyDescent="0.25">
      <c r="B211" s="5" t="s">
        <v>416</v>
      </c>
      <c r="E211" s="44">
        <f>E213*E214</f>
        <v>3177.3250000000003</v>
      </c>
      <c r="F211" s="44">
        <f>F213*F214</f>
        <v>3177.3250000000003</v>
      </c>
      <c r="G211" s="44">
        <f>G213*G214</f>
        <v>3177.3250000000003</v>
      </c>
      <c r="H211" s="44">
        <f>H213*H214</f>
        <v>3177.3250000000003</v>
      </c>
    </row>
    <row r="212" spans="1:8" x14ac:dyDescent="0.25">
      <c r="B212" s="41" t="s">
        <v>449</v>
      </c>
      <c r="E212" s="44">
        <f>1741/40</f>
        <v>43.524999999999999</v>
      </c>
      <c r="F212" s="44">
        <f>E212</f>
        <v>43.524999999999999</v>
      </c>
      <c r="G212" s="44">
        <f t="shared" ref="G212:H212" si="58">F212</f>
        <v>43.524999999999999</v>
      </c>
      <c r="H212" s="44">
        <f t="shared" si="58"/>
        <v>43.524999999999999</v>
      </c>
    </row>
    <row r="213" spans="1:8" x14ac:dyDescent="0.25">
      <c r="B213" s="41" t="s">
        <v>405</v>
      </c>
      <c r="E213" s="44">
        <f>E212*365</f>
        <v>15886.625</v>
      </c>
      <c r="F213" s="44">
        <f t="shared" ref="F213:H213" si="59">F212*365</f>
        <v>15886.625</v>
      </c>
      <c r="G213" s="44">
        <f t="shared" si="59"/>
        <v>15886.625</v>
      </c>
      <c r="H213" s="44">
        <f t="shared" si="59"/>
        <v>15886.625</v>
      </c>
    </row>
    <row r="214" spans="1:8" x14ac:dyDescent="0.25">
      <c r="B214" s="41" t="s">
        <v>406</v>
      </c>
      <c r="E214" s="44">
        <v>0.2</v>
      </c>
      <c r="F214" s="44">
        <v>0.2</v>
      </c>
      <c r="G214" s="44">
        <v>0.2</v>
      </c>
      <c r="H214" s="44">
        <v>0.2</v>
      </c>
    </row>
    <row r="215" spans="1:8" x14ac:dyDescent="0.25">
      <c r="B215" s="41"/>
      <c r="E215" s="6"/>
      <c r="F215" s="6"/>
      <c r="G215" s="6"/>
      <c r="H215" s="6"/>
    </row>
    <row r="216" spans="1:8" x14ac:dyDescent="0.25">
      <c r="B216" s="5" t="s">
        <v>407</v>
      </c>
      <c r="E216" s="44">
        <f>E211*10%+2.3*12</f>
        <v>345.3325000000001</v>
      </c>
      <c r="F216" s="44">
        <f t="shared" ref="F216:H216" si="60">F211*10%+2.3*12</f>
        <v>345.3325000000001</v>
      </c>
      <c r="G216" s="44">
        <f t="shared" si="60"/>
        <v>345.3325000000001</v>
      </c>
      <c r="H216" s="44">
        <f t="shared" si="60"/>
        <v>345.3325000000001</v>
      </c>
    </row>
    <row r="217" spans="1:8" x14ac:dyDescent="0.25">
      <c r="B217" s="5" t="s">
        <v>417</v>
      </c>
      <c r="E217" s="44">
        <f>(E198+E202+E216-E211)*10%</f>
        <v>272.27675000000005</v>
      </c>
      <c r="F217" s="44">
        <f t="shared" ref="F217:H217" si="61">(F198+F202+F216-F211)*10%</f>
        <v>296.162218</v>
      </c>
      <c r="G217" s="44">
        <f t="shared" si="61"/>
        <v>321.07476112399996</v>
      </c>
      <c r="H217" s="44">
        <f t="shared" si="61"/>
        <v>347.05854360233195</v>
      </c>
    </row>
    <row r="218" spans="1:8" x14ac:dyDescent="0.25">
      <c r="B218" s="41"/>
    </row>
    <row r="219" spans="1:8" x14ac:dyDescent="0.25">
      <c r="A219" s="228"/>
      <c r="B219" s="228"/>
      <c r="C219" s="228"/>
      <c r="D219" s="230"/>
      <c r="E219" s="230"/>
      <c r="F219" s="230"/>
      <c r="G219" s="230"/>
      <c r="H219" s="230"/>
    </row>
    <row r="220" spans="1:8" x14ac:dyDescent="0.25">
      <c r="B220" s="6"/>
    </row>
  </sheetData>
  <pageMargins left="0.7" right="0.7" top="0.75" bottom="0.75" header="0.3" footer="0.3"/>
  <pageSetup paperSize="9" scale="55" fitToHeight="0"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12"/>
  <sheetViews>
    <sheetView topLeftCell="A145" zoomScaleNormal="100" workbookViewId="0">
      <selection activeCell="B218" sqref="B21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34</v>
      </c>
      <c r="B1" s="126" t="s">
        <v>422</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E68</f>
        <v>2227.0500000000002</v>
      </c>
      <c r="F5" s="44">
        <f t="shared" ref="F5:H5" si="1">F68</f>
        <v>0</v>
      </c>
      <c r="G5" s="44">
        <f t="shared" si="1"/>
        <v>0</v>
      </c>
      <c r="H5" s="44">
        <f t="shared" si="1"/>
        <v>0</v>
      </c>
    </row>
    <row r="6" spans="1:12" x14ac:dyDescent="0.25">
      <c r="B6" s="16" t="s">
        <v>168</v>
      </c>
      <c r="D6" s="44">
        <f t="shared" si="0"/>
        <v>0</v>
      </c>
      <c r="E6" s="44">
        <f>E72</f>
        <v>0</v>
      </c>
      <c r="F6" s="44">
        <f t="shared" ref="F6:H6" si="2">F72</f>
        <v>0</v>
      </c>
      <c r="G6" s="44">
        <f t="shared" si="2"/>
        <v>0</v>
      </c>
      <c r="H6" s="44">
        <f t="shared" si="2"/>
        <v>0</v>
      </c>
    </row>
    <row r="7" spans="1:12" ht="14.25" thickBot="1" x14ac:dyDescent="0.3">
      <c r="A7" s="13"/>
      <c r="B7" s="13" t="s">
        <v>5</v>
      </c>
      <c r="C7" s="13"/>
      <c r="D7" s="47">
        <f>SUBTOTAL(9,D5:D6)</f>
        <v>2227.0500000000002</v>
      </c>
      <c r="E7" s="47">
        <f>SUBTOTAL(9,E5:E6)</f>
        <v>2227.0500000000002</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E92</f>
        <v>0</v>
      </c>
      <c r="F10" s="44">
        <f t="shared" ref="F10:H10" si="4">F92</f>
        <v>0</v>
      </c>
      <c r="G10" s="44">
        <f t="shared" si="4"/>
        <v>0</v>
      </c>
      <c r="H10" s="44">
        <f t="shared" si="4"/>
        <v>0</v>
      </c>
    </row>
    <row r="11" spans="1:12" x14ac:dyDescent="0.25">
      <c r="B11" s="16" t="s">
        <v>115</v>
      </c>
      <c r="D11" s="44">
        <f t="shared" si="3"/>
        <v>26162.302319999999</v>
      </c>
      <c r="E11" s="44">
        <f>E99</f>
        <v>6554.0059199999996</v>
      </c>
      <c r="F11" s="44">
        <f t="shared" ref="F11:H11" si="5">F99</f>
        <v>6536.0987999999998</v>
      </c>
      <c r="G11" s="44">
        <f t="shared" si="5"/>
        <v>6536.0987999999998</v>
      </c>
      <c r="H11" s="44">
        <f t="shared" si="5"/>
        <v>6536.0987999999998</v>
      </c>
    </row>
    <row r="12" spans="1:12" ht="14.25" thickBot="1" x14ac:dyDescent="0.3">
      <c r="A12" s="13"/>
      <c r="B12" s="13" t="s">
        <v>66</v>
      </c>
      <c r="C12" s="13"/>
      <c r="D12" s="47">
        <f>SUBTOTAL(9,D10:D11)</f>
        <v>26162.302319999999</v>
      </c>
      <c r="E12" s="47">
        <f t="shared" ref="E12:H12" si="6">SUBTOTAL(9,E10:E11)</f>
        <v>6554.0059199999996</v>
      </c>
      <c r="F12" s="47">
        <f t="shared" si="6"/>
        <v>6536.0987999999998</v>
      </c>
      <c r="G12" s="47">
        <f t="shared" si="6"/>
        <v>6536.0987999999998</v>
      </c>
      <c r="H12" s="47">
        <f t="shared" si="6"/>
        <v>6536.0987999999998</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7">SUM(E15:H15)</f>
        <v>0</v>
      </c>
      <c r="E15" s="44">
        <f>E105</f>
        <v>0</v>
      </c>
      <c r="F15" s="44">
        <f t="shared" ref="F15:H15" si="8">F105</f>
        <v>0</v>
      </c>
      <c r="G15" s="44">
        <f t="shared" si="8"/>
        <v>0</v>
      </c>
      <c r="H15" s="44">
        <f t="shared" si="8"/>
        <v>0</v>
      </c>
    </row>
    <row r="16" spans="1:12" x14ac:dyDescent="0.25">
      <c r="B16" s="16" t="s">
        <v>71</v>
      </c>
    </row>
    <row r="17" spans="1:12" ht="14.25" thickBot="1" x14ac:dyDescent="0.3">
      <c r="A17" s="13"/>
      <c r="B17" s="13" t="s">
        <v>74</v>
      </c>
      <c r="C17" s="13"/>
      <c r="D17" s="47">
        <f>SUBTOTAL(9,D15:D16)</f>
        <v>0</v>
      </c>
      <c r="E17" s="47">
        <f t="shared" ref="E17:H17" si="9">SUBTOTAL(9,E15:E16)</f>
        <v>0</v>
      </c>
      <c r="F17" s="47">
        <f t="shared" si="9"/>
        <v>0</v>
      </c>
      <c r="G17" s="47">
        <f t="shared" si="9"/>
        <v>0</v>
      </c>
      <c r="H17" s="47">
        <f t="shared" si="9"/>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10">SUM(E20:H20)</f>
        <v>13277.919440722324</v>
      </c>
      <c r="E20" s="44">
        <f>E109</f>
        <v>2632.9564315384614</v>
      </c>
      <c r="F20" s="44">
        <f t="shared" ref="F20:H20" si="11">F109</f>
        <v>3400.0244052599996</v>
      </c>
      <c r="G20" s="44">
        <f t="shared" si="11"/>
        <v>3546.2254546861795</v>
      </c>
      <c r="H20" s="44">
        <f t="shared" si="11"/>
        <v>3698.7131492376848</v>
      </c>
    </row>
    <row r="21" spans="1:12" x14ac:dyDescent="0.25">
      <c r="B21" s="16" t="s">
        <v>139</v>
      </c>
      <c r="D21" s="44">
        <f t="shared" ref="D21" si="12">SUM(E21:H21)</f>
        <v>0</v>
      </c>
    </row>
    <row r="22" spans="1:12" ht="14.25" thickBot="1" x14ac:dyDescent="0.3">
      <c r="A22" s="13"/>
      <c r="B22" s="13" t="s">
        <v>140</v>
      </c>
      <c r="C22" s="13"/>
      <c r="D22" s="47">
        <f>SUBTOTAL(9,D20:D21)</f>
        <v>13277.919440722324</v>
      </c>
      <c r="E22" s="47">
        <f t="shared" ref="E22:H22" si="13">SUBTOTAL(9,E20:E21)</f>
        <v>2632.9564315384614</v>
      </c>
      <c r="F22" s="47">
        <f t="shared" si="13"/>
        <v>3400.0244052599996</v>
      </c>
      <c r="G22" s="47">
        <f t="shared" si="13"/>
        <v>3546.2254546861795</v>
      </c>
      <c r="H22" s="47">
        <f t="shared" si="13"/>
        <v>3698.7131492376848</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433</v>
      </c>
      <c r="D25" s="44">
        <f>SUM(E25:H25)</f>
        <v>0</v>
      </c>
      <c r="E25" s="44">
        <f>E117</f>
        <v>0</v>
      </c>
      <c r="F25" s="44">
        <f t="shared" ref="F25:H25" si="14">F117</f>
        <v>0</v>
      </c>
      <c r="G25" s="44">
        <f t="shared" si="14"/>
        <v>0</v>
      </c>
      <c r="H25" s="44">
        <f t="shared" si="14"/>
        <v>0</v>
      </c>
    </row>
    <row r="26" spans="1:12" x14ac:dyDescent="0.25">
      <c r="B26" s="16" t="s">
        <v>25</v>
      </c>
      <c r="D26" s="44">
        <f t="shared" ref="D26:D28" si="15">SUM(E26:H26)</f>
        <v>0</v>
      </c>
      <c r="E26" s="44">
        <f>E154</f>
        <v>0</v>
      </c>
      <c r="F26" s="44">
        <f t="shared" ref="F26:H26" si="16">F154</f>
        <v>0</v>
      </c>
      <c r="G26" s="44">
        <f t="shared" si="16"/>
        <v>0</v>
      </c>
      <c r="H26" s="44">
        <f t="shared" si="16"/>
        <v>0</v>
      </c>
    </row>
    <row r="27" spans="1:12" x14ac:dyDescent="0.25">
      <c r="B27" s="16" t="s">
        <v>432</v>
      </c>
      <c r="D27" s="44">
        <f t="shared" si="15"/>
        <v>600000</v>
      </c>
      <c r="E27" s="44">
        <f>E163</f>
        <v>150000</v>
      </c>
      <c r="F27" s="44">
        <f t="shared" ref="F27:H27" si="17">F163</f>
        <v>150000</v>
      </c>
      <c r="G27" s="44">
        <f t="shared" si="17"/>
        <v>150000</v>
      </c>
      <c r="H27" s="44">
        <f t="shared" si="17"/>
        <v>150000</v>
      </c>
    </row>
    <row r="28" spans="1:12" x14ac:dyDescent="0.25">
      <c r="B28" s="16" t="s">
        <v>233</v>
      </c>
      <c r="D28" s="44">
        <f t="shared" si="15"/>
        <v>0</v>
      </c>
    </row>
    <row r="29" spans="1:12" ht="14.25" thickBot="1" x14ac:dyDescent="0.3">
      <c r="A29" s="13"/>
      <c r="B29" s="13" t="s">
        <v>73</v>
      </c>
      <c r="C29" s="13"/>
      <c r="D29" s="47">
        <f>SUBTOTAL(9,D25:D28)</f>
        <v>600000</v>
      </c>
      <c r="E29" s="47">
        <f t="shared" ref="E29:H29" si="18">SUBTOTAL(9,E25:E28)</f>
        <v>150000</v>
      </c>
      <c r="F29" s="47">
        <f>SUBTOTAL(9,F25:F28)</f>
        <v>150000</v>
      </c>
      <c r="G29" s="47">
        <f t="shared" si="18"/>
        <v>150000</v>
      </c>
      <c r="H29" s="47">
        <f t="shared" si="18"/>
        <v>150000</v>
      </c>
    </row>
    <row r="30" spans="1:12" ht="6" customHeight="1" x14ac:dyDescent="0.25"/>
    <row r="31" spans="1:12" x14ac:dyDescent="0.25">
      <c r="A31" s="15"/>
      <c r="B31" s="15" t="s">
        <v>7</v>
      </c>
      <c r="C31" s="15"/>
      <c r="D31" s="53"/>
      <c r="E31" s="53"/>
      <c r="F31" s="53"/>
      <c r="G31" s="54"/>
      <c r="H31" s="54"/>
      <c r="I31" s="61"/>
      <c r="J31" s="12"/>
      <c r="K31" s="12"/>
      <c r="L31" s="12"/>
    </row>
    <row r="32" spans="1:12" x14ac:dyDescent="0.25">
      <c r="B32" s="16" t="s">
        <v>57</v>
      </c>
      <c r="D32" s="44">
        <f t="shared" ref="D32:D35" si="19">SUM(E32:H32)</f>
        <v>0</v>
      </c>
    </row>
    <row r="33" spans="1:12" x14ac:dyDescent="0.25">
      <c r="B33" s="16" t="s">
        <v>26</v>
      </c>
      <c r="D33" s="44">
        <f t="shared" si="19"/>
        <v>94560</v>
      </c>
      <c r="E33" s="44">
        <f>E127</f>
        <v>94560</v>
      </c>
    </row>
    <row r="34" spans="1:12" x14ac:dyDescent="0.25">
      <c r="B34" s="16" t="s">
        <v>8</v>
      </c>
      <c r="D34" s="44">
        <f t="shared" si="19"/>
        <v>0</v>
      </c>
    </row>
    <row r="35" spans="1:12" x14ac:dyDescent="0.25">
      <c r="B35" s="16" t="s">
        <v>9</v>
      </c>
      <c r="D35" s="44">
        <f t="shared" si="19"/>
        <v>0</v>
      </c>
    </row>
    <row r="36" spans="1:12" ht="14.25" thickBot="1" x14ac:dyDescent="0.3">
      <c r="A36" s="13"/>
      <c r="B36" s="13" t="s">
        <v>67</v>
      </c>
      <c r="C36" s="13"/>
      <c r="D36" s="47">
        <f>SUBTOTAL(9,D32:D35)</f>
        <v>94560</v>
      </c>
      <c r="E36" s="47">
        <f t="shared" ref="E36:H36" si="20">SUBTOTAL(9,E32:E35)</f>
        <v>94560</v>
      </c>
      <c r="F36" s="47">
        <f t="shared" si="20"/>
        <v>0</v>
      </c>
      <c r="G36" s="47">
        <f t="shared" si="20"/>
        <v>0</v>
      </c>
      <c r="H36" s="47">
        <f t="shared" si="20"/>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21">SUM(E39:H39)</f>
        <v>0</v>
      </c>
    </row>
    <row r="40" spans="1:12" x14ac:dyDescent="0.25">
      <c r="A40" s="2"/>
      <c r="B40" s="2" t="s">
        <v>18</v>
      </c>
      <c r="C40" s="2"/>
      <c r="D40" s="44">
        <f t="shared" si="21"/>
        <v>0</v>
      </c>
    </row>
    <row r="41" spans="1:12" x14ac:dyDescent="0.25">
      <c r="A41" s="2"/>
      <c r="B41" s="2" t="s">
        <v>19</v>
      </c>
      <c r="C41" s="2"/>
      <c r="D41" s="44">
        <f t="shared" si="21"/>
        <v>0</v>
      </c>
      <c r="E41" s="44">
        <f>E205</f>
        <v>0</v>
      </c>
      <c r="F41" s="44">
        <f t="shared" ref="F41:H41" si="22">F205</f>
        <v>0</v>
      </c>
      <c r="G41" s="44">
        <f t="shared" si="22"/>
        <v>0</v>
      </c>
      <c r="H41" s="44">
        <f t="shared" si="22"/>
        <v>0</v>
      </c>
    </row>
    <row r="42" spans="1:12" x14ac:dyDescent="0.25">
      <c r="A42" s="3"/>
      <c r="B42" s="3" t="s">
        <v>13</v>
      </c>
      <c r="C42" s="3"/>
      <c r="D42" s="44">
        <f t="shared" si="21"/>
        <v>0</v>
      </c>
    </row>
    <row r="43" spans="1:12" x14ac:dyDescent="0.25">
      <c r="A43" s="3"/>
      <c r="B43" s="3" t="s">
        <v>22</v>
      </c>
      <c r="C43" s="3"/>
      <c r="D43" s="44">
        <f t="shared" si="21"/>
        <v>0</v>
      </c>
    </row>
    <row r="44" spans="1:12" ht="14.25" thickBot="1" x14ac:dyDescent="0.3">
      <c r="A44" s="13"/>
      <c r="B44" s="13" t="s">
        <v>68</v>
      </c>
      <c r="C44" s="13"/>
      <c r="D44" s="47">
        <f>SUBTOTAL(9,D39:D43)</f>
        <v>0</v>
      </c>
      <c r="E44" s="47">
        <f t="shared" ref="E44:H44" si="23">SUBTOTAL(9,E39:E43)</f>
        <v>0</v>
      </c>
      <c r="F44" s="47">
        <f t="shared" si="23"/>
        <v>0</v>
      </c>
      <c r="G44" s="47">
        <f t="shared" si="23"/>
        <v>0</v>
      </c>
      <c r="H44" s="47">
        <f t="shared" si="23"/>
        <v>0</v>
      </c>
    </row>
    <row r="45" spans="1:12" ht="5.25" customHeight="1" x14ac:dyDescent="0.25">
      <c r="A45" s="3"/>
      <c r="B45" s="6"/>
      <c r="C45" s="3"/>
    </row>
    <row r="46" spans="1:12" x14ac:dyDescent="0.25">
      <c r="A46" s="15"/>
      <c r="B46" s="15" t="s">
        <v>252</v>
      </c>
      <c r="C46" s="135"/>
      <c r="D46" s="53"/>
      <c r="E46" s="53"/>
      <c r="F46" s="53"/>
      <c r="G46" s="54"/>
      <c r="H46" s="54"/>
      <c r="I46" s="12"/>
      <c r="J46" s="12"/>
      <c r="K46" s="12"/>
      <c r="L46" s="12"/>
    </row>
    <row r="47" spans="1:12" x14ac:dyDescent="0.25">
      <c r="A47" s="2"/>
      <c r="B47" s="2" t="s">
        <v>252</v>
      </c>
      <c r="C47" s="1"/>
      <c r="D47" s="44">
        <f t="shared" ref="D47" si="24">SUM(E47:H47)</f>
        <v>0</v>
      </c>
      <c r="E47" s="44">
        <f>E210</f>
        <v>0</v>
      </c>
      <c r="F47" s="44">
        <f t="shared" ref="F47:H47" si="25">F210</f>
        <v>0</v>
      </c>
      <c r="G47" s="44">
        <f t="shared" si="25"/>
        <v>0</v>
      </c>
      <c r="H47" s="44">
        <f t="shared" si="25"/>
        <v>0</v>
      </c>
      <c r="I47" s="6"/>
    </row>
    <row r="48" spans="1:12" ht="14.25" thickBot="1" x14ac:dyDescent="0.3">
      <c r="A48" s="13"/>
      <c r="B48" s="13" t="s">
        <v>256</v>
      </c>
      <c r="C48" s="136"/>
      <c r="D48" s="47">
        <f>SUBTOTAL(9,D47)</f>
        <v>0</v>
      </c>
      <c r="E48" s="47">
        <f t="shared" ref="E48:H48" si="26">SUBTOTAL(9,E47)</f>
        <v>0</v>
      </c>
      <c r="F48" s="47">
        <f t="shared" si="26"/>
        <v>0</v>
      </c>
      <c r="G48" s="47">
        <f t="shared" si="26"/>
        <v>0</v>
      </c>
      <c r="H48" s="47">
        <f t="shared" si="26"/>
        <v>0</v>
      </c>
      <c r="I48" s="6"/>
    </row>
    <row r="49" spans="1:12" ht="5.25" customHeight="1" x14ac:dyDescent="0.25">
      <c r="A49" s="3"/>
      <c r="B49" s="6"/>
      <c r="C49" s="3"/>
    </row>
    <row r="50" spans="1:12" x14ac:dyDescent="0.25">
      <c r="A50" s="15"/>
      <c r="B50" s="15" t="s">
        <v>20</v>
      </c>
      <c r="C50" s="15"/>
      <c r="D50" s="53"/>
      <c r="E50" s="53"/>
      <c r="F50" s="53"/>
      <c r="G50" s="54"/>
      <c r="H50" s="54"/>
      <c r="I50" s="61"/>
      <c r="J50" s="12"/>
      <c r="K50" s="12"/>
      <c r="L50" s="12"/>
    </row>
    <row r="51" spans="1:12" x14ac:dyDescent="0.25">
      <c r="A51" s="3"/>
      <c r="B51" s="3" t="s">
        <v>194</v>
      </c>
      <c r="C51" s="3"/>
      <c r="D51" s="44">
        <f t="shared" ref="D51:D52" si="27">SUM(E51:H51)</f>
        <v>0</v>
      </c>
      <c r="E51" s="44">
        <f>E179</f>
        <v>0</v>
      </c>
      <c r="F51" s="44">
        <f t="shared" ref="F51:H51" si="28">F179</f>
        <v>0</v>
      </c>
      <c r="G51" s="44">
        <f t="shared" si="28"/>
        <v>0</v>
      </c>
      <c r="H51" s="44">
        <f t="shared" si="28"/>
        <v>0</v>
      </c>
    </row>
    <row r="52" spans="1:12" x14ac:dyDescent="0.25">
      <c r="A52" s="3"/>
      <c r="B52" s="3" t="s">
        <v>21</v>
      </c>
      <c r="C52" s="3"/>
      <c r="D52" s="44">
        <f t="shared" si="27"/>
        <v>200</v>
      </c>
      <c r="E52" s="44">
        <f>E169</f>
        <v>200</v>
      </c>
      <c r="F52" s="44">
        <f t="shared" ref="F52:H52" si="29">F169</f>
        <v>0</v>
      </c>
      <c r="G52" s="44">
        <f t="shared" si="29"/>
        <v>0</v>
      </c>
      <c r="H52" s="44">
        <f t="shared" si="29"/>
        <v>0</v>
      </c>
    </row>
    <row r="53" spans="1:12" ht="14.25" thickBot="1" x14ac:dyDescent="0.3">
      <c r="A53" s="13"/>
      <c r="B53" s="13" t="s">
        <v>69</v>
      </c>
      <c r="C53" s="13"/>
      <c r="D53" s="47">
        <f>SUBTOTAL(9,D51:D52)</f>
        <v>200</v>
      </c>
      <c r="E53" s="47">
        <f>SUBTOTAL(9,E51:E52)</f>
        <v>200</v>
      </c>
      <c r="F53" s="47">
        <f>SUBTOTAL(9,F51:F52)</f>
        <v>0</v>
      </c>
      <c r="G53" s="47">
        <f>SUBTOTAL(9,G51:G52)</f>
        <v>0</v>
      </c>
      <c r="H53" s="47">
        <f>SUBTOTAL(9,H51:H52)</f>
        <v>0</v>
      </c>
    </row>
    <row r="54" spans="1:12" ht="5.25" customHeight="1" x14ac:dyDescent="0.25">
      <c r="A54" s="1"/>
      <c r="B54" s="1"/>
      <c r="C54" s="1"/>
    </row>
    <row r="55" spans="1:12" ht="14.25" thickBot="1" x14ac:dyDescent="0.3">
      <c r="A55" s="48"/>
      <c r="B55" s="48" t="s">
        <v>142</v>
      </c>
      <c r="C55" s="48"/>
      <c r="D55" s="49">
        <f>SUBTOTAL(9,D5:D53)</f>
        <v>736427.27176072227</v>
      </c>
      <c r="E55" s="49">
        <f>SUBTOTAL(9,E5:E53)</f>
        <v>256174.01235153846</v>
      </c>
      <c r="F55" s="49">
        <f>SUBTOTAL(9,F5:F53)</f>
        <v>159936.12320526</v>
      </c>
      <c r="G55" s="49">
        <f>SUBTOTAL(9,G5:G53)</f>
        <v>160082.32425468619</v>
      </c>
      <c r="H55" s="49">
        <f>SUBTOTAL(9,H5:H53)</f>
        <v>160234.81194923769</v>
      </c>
    </row>
    <row r="56" spans="1:12" ht="14.25" thickBot="1" x14ac:dyDescent="0.3">
      <c r="A56" s="1"/>
      <c r="B56" s="1"/>
      <c r="C56" s="1"/>
      <c r="D56" s="33"/>
      <c r="E56" s="33"/>
      <c r="F56" s="33"/>
      <c r="G56" s="28"/>
      <c r="H56" s="28"/>
      <c r="I56" s="6"/>
    </row>
    <row r="57" spans="1:12" ht="18" thickTop="1" x14ac:dyDescent="0.3">
      <c r="A57" s="120"/>
      <c r="B57" s="121" t="s">
        <v>27</v>
      </c>
      <c r="C57" s="121"/>
      <c r="D57" s="122"/>
      <c r="E57" s="122"/>
      <c r="F57" s="122"/>
      <c r="G57" s="122"/>
      <c r="H57" s="122"/>
      <c r="I57" s="6"/>
    </row>
    <row r="58" spans="1:12" ht="6.75" customHeight="1" x14ac:dyDescent="0.25">
      <c r="A58" s="1"/>
      <c r="B58" s="1"/>
      <c r="C58" s="1"/>
      <c r="D58" s="33"/>
      <c r="E58" s="33"/>
      <c r="F58" s="33"/>
      <c r="G58" s="28"/>
      <c r="H58" s="28"/>
      <c r="I58" s="6"/>
    </row>
    <row r="59" spans="1:12" s="14" customFormat="1" x14ac:dyDescent="0.25">
      <c r="A59" s="81"/>
      <c r="B59" s="81" t="s">
        <v>65</v>
      </c>
      <c r="C59" s="81" t="s">
        <v>64</v>
      </c>
      <c r="D59" s="82"/>
      <c r="E59" s="83">
        <f>start</f>
        <v>43831</v>
      </c>
      <c r="F59" s="83">
        <f>EOMONTH(E59,11)+1</f>
        <v>44197</v>
      </c>
      <c r="G59" s="83">
        <f>EOMONTH(F59,11)+1</f>
        <v>44562</v>
      </c>
      <c r="H59" s="83">
        <f>EOMONTH(G59,11)+1</f>
        <v>44927</v>
      </c>
    </row>
    <row r="60" spans="1:12" ht="6.75" customHeight="1" x14ac:dyDescent="0.25">
      <c r="D60" s="33"/>
      <c r="E60" s="33"/>
      <c r="F60" s="33"/>
      <c r="G60" s="28"/>
      <c r="H60" s="28"/>
      <c r="I60" s="6"/>
    </row>
    <row r="61" spans="1:12" x14ac:dyDescent="0.25">
      <c r="A61" s="50"/>
      <c r="B61" s="50" t="s">
        <v>0</v>
      </c>
      <c r="C61" s="50"/>
      <c r="D61" s="52"/>
      <c r="E61" s="52"/>
      <c r="F61" s="52"/>
      <c r="G61" s="52"/>
      <c r="H61" s="52"/>
    </row>
    <row r="62" spans="1:12" hidden="1" x14ac:dyDescent="0.25">
      <c r="B62" s="5" t="s">
        <v>2</v>
      </c>
      <c r="E62" s="44">
        <f>E63*E64*E65*E66</f>
        <v>0</v>
      </c>
      <c r="F62" s="45"/>
      <c r="G62" s="37"/>
      <c r="H62" s="37"/>
    </row>
    <row r="63" spans="1:12" hidden="1" x14ac:dyDescent="0.25">
      <c r="A63" s="9"/>
      <c r="B63" s="9" t="s">
        <v>36</v>
      </c>
      <c r="C63" s="9"/>
      <c r="E63" s="44">
        <v>0</v>
      </c>
    </row>
    <row r="64" spans="1:12" hidden="1" x14ac:dyDescent="0.25">
      <c r="A64" s="9"/>
      <c r="B64" s="9" t="s">
        <v>37</v>
      </c>
      <c r="C64" s="9"/>
      <c r="D64" s="45"/>
      <c r="E64" s="45">
        <v>0</v>
      </c>
    </row>
    <row r="65" spans="1:12" hidden="1" x14ac:dyDescent="0.25">
      <c r="A65" s="9"/>
      <c r="B65" s="9" t="s">
        <v>38</v>
      </c>
      <c r="C65" s="9"/>
      <c r="E65" s="44">
        <v>0</v>
      </c>
    </row>
    <row r="66" spans="1:12" hidden="1" x14ac:dyDescent="0.25">
      <c r="A66" s="9"/>
      <c r="B66" s="9" t="s">
        <v>39</v>
      </c>
      <c r="C66" s="9"/>
      <c r="E66" s="46">
        <v>0</v>
      </c>
    </row>
    <row r="67" spans="1:12" x14ac:dyDescent="0.25">
      <c r="A67" s="9"/>
      <c r="B67" s="9"/>
      <c r="C67" s="9"/>
    </row>
    <row r="68" spans="1:12" x14ac:dyDescent="0.25">
      <c r="B68" s="5" t="s">
        <v>23</v>
      </c>
      <c r="E68" s="44">
        <f>E69*E70</f>
        <v>2227.0500000000002</v>
      </c>
      <c r="F68" s="44">
        <f t="shared" ref="F68:H68" si="30">F69*F70</f>
        <v>0</v>
      </c>
      <c r="G68" s="44">
        <f t="shared" si="30"/>
        <v>0</v>
      </c>
      <c r="H68" s="44">
        <f t="shared" si="30"/>
        <v>0</v>
      </c>
    </row>
    <row r="69" spans="1:12" x14ac:dyDescent="0.25">
      <c r="A69" s="9"/>
      <c r="B69" s="9" t="s">
        <v>114</v>
      </c>
      <c r="C69" s="9" t="s">
        <v>113</v>
      </c>
      <c r="E69" s="44">
        <f>6*21</f>
        <v>126</v>
      </c>
      <c r="F69" s="44">
        <v>0</v>
      </c>
      <c r="G69" s="44">
        <v>0</v>
      </c>
      <c r="H69" s="44">
        <v>0</v>
      </c>
    </row>
    <row r="70" spans="1:12" x14ac:dyDescent="0.25">
      <c r="A70" s="9"/>
      <c r="B70" s="9" t="s">
        <v>40</v>
      </c>
      <c r="C70" s="9"/>
      <c r="E70" s="44">
        <f>'Rates and GI'!D12</f>
        <v>17.675000000000001</v>
      </c>
      <c r="F70" s="44">
        <f>E70*(1+index)</f>
        <v>18.435025</v>
      </c>
      <c r="G70" s="44">
        <f>F70*(1+index)</f>
        <v>19.227731074999998</v>
      </c>
      <c r="H70" s="44">
        <f>G70*(1+index)</f>
        <v>20.054523511224996</v>
      </c>
    </row>
    <row r="72" spans="1:12" s="7" customFormat="1" hidden="1" x14ac:dyDescent="0.25">
      <c r="A72" s="5"/>
      <c r="B72" s="5" t="s">
        <v>168</v>
      </c>
      <c r="C72" s="5"/>
      <c r="D72" s="44"/>
      <c r="E72" s="44">
        <f>E73*E74</f>
        <v>0</v>
      </c>
      <c r="F72" s="44">
        <f t="shared" ref="F72:H72" si="31">F73*F74</f>
        <v>0</v>
      </c>
      <c r="G72" s="44">
        <f t="shared" si="31"/>
        <v>0</v>
      </c>
      <c r="H72" s="44">
        <f t="shared" si="31"/>
        <v>0</v>
      </c>
      <c r="I72" s="62"/>
      <c r="J72" s="6"/>
      <c r="K72" s="6"/>
      <c r="L72" s="6"/>
    </row>
    <row r="73" spans="1:12" s="7" customFormat="1" hidden="1" x14ac:dyDescent="0.25">
      <c r="A73" s="9"/>
      <c r="B73" s="9" t="s">
        <v>170</v>
      </c>
      <c r="C73" s="9" t="s">
        <v>113</v>
      </c>
      <c r="D73" s="44"/>
      <c r="E73" s="44">
        <v>0</v>
      </c>
      <c r="F73" s="44">
        <v>0</v>
      </c>
      <c r="G73" s="44">
        <v>0</v>
      </c>
      <c r="H73" s="44">
        <v>0</v>
      </c>
      <c r="I73" s="62"/>
      <c r="J73" s="6"/>
      <c r="K73" s="6"/>
      <c r="L73" s="6"/>
    </row>
    <row r="74" spans="1:12" s="7" customFormat="1" hidden="1" x14ac:dyDescent="0.25">
      <c r="A74" s="9"/>
      <c r="B74" s="9" t="s">
        <v>40</v>
      </c>
      <c r="C74" s="9"/>
      <c r="D74" s="44"/>
      <c r="E74" s="44">
        <f>'Rates and GI'!D13</f>
        <v>162.21599999999998</v>
      </c>
      <c r="F74" s="44">
        <f>E74*(1+index)</f>
        <v>169.19128799999996</v>
      </c>
      <c r="G74" s="44">
        <f>F74*(1+index)</f>
        <v>176.46651338399994</v>
      </c>
      <c r="H74" s="44">
        <f>G74*(1+index)</f>
        <v>184.05457345951191</v>
      </c>
      <c r="I74" s="62"/>
      <c r="J74" s="6"/>
      <c r="K74" s="6"/>
      <c r="L74" s="6"/>
    </row>
    <row r="75" spans="1:12" hidden="1" x14ac:dyDescent="0.25"/>
    <row r="76" spans="1:12" s="7" customFormat="1" hidden="1" x14ac:dyDescent="0.25">
      <c r="A76" s="5"/>
      <c r="B76" s="5" t="s">
        <v>1</v>
      </c>
      <c r="C76" s="5"/>
      <c r="D76" s="44"/>
      <c r="E76" s="44"/>
      <c r="F76" s="44"/>
      <c r="G76" s="38"/>
      <c r="H76" s="38"/>
      <c r="I76" s="62"/>
      <c r="J76" s="6"/>
      <c r="K76" s="6"/>
      <c r="L76" s="6"/>
    </row>
    <row r="77" spans="1:12" s="7" customFormat="1" hidden="1" x14ac:dyDescent="0.25">
      <c r="A77" s="9"/>
      <c r="B77" s="9" t="s">
        <v>41</v>
      </c>
      <c r="C77" s="9"/>
      <c r="D77" s="44"/>
      <c r="E77" s="44">
        <v>0</v>
      </c>
      <c r="F77" s="44"/>
      <c r="G77" s="38"/>
      <c r="H77" s="38"/>
      <c r="I77" s="62"/>
      <c r="J77" s="6"/>
      <c r="K77" s="6"/>
      <c r="L77" s="6"/>
    </row>
    <row r="78" spans="1:12" s="7" customFormat="1" hidden="1" x14ac:dyDescent="0.25">
      <c r="A78" s="9"/>
      <c r="B78" s="9" t="s">
        <v>42</v>
      </c>
      <c r="C78" s="9"/>
      <c r="D78" s="44"/>
      <c r="E78" s="44">
        <v>0</v>
      </c>
      <c r="F78" s="44"/>
      <c r="G78" s="38"/>
      <c r="H78" s="38"/>
      <c r="I78" s="62"/>
      <c r="J78" s="6"/>
      <c r="K78" s="6"/>
      <c r="L78" s="6"/>
    </row>
    <row r="79" spans="1:12" s="7" customFormat="1" hidden="1" x14ac:dyDescent="0.25">
      <c r="A79" s="9"/>
      <c r="B79" s="9" t="s">
        <v>43</v>
      </c>
      <c r="C79" s="9"/>
      <c r="D79" s="44"/>
      <c r="E79" s="44">
        <v>0</v>
      </c>
      <c r="F79" s="44"/>
      <c r="G79" s="38"/>
      <c r="H79" s="38"/>
      <c r="I79" s="62"/>
      <c r="J79" s="6"/>
      <c r="K79" s="6"/>
      <c r="L79" s="6"/>
    </row>
    <row r="80" spans="1:12" s="7" customFormat="1" hidden="1" x14ac:dyDescent="0.25">
      <c r="A80" s="9"/>
      <c r="B80" s="9" t="s">
        <v>44</v>
      </c>
      <c r="C80" s="9"/>
      <c r="D80" s="44"/>
      <c r="E80" s="44">
        <v>0</v>
      </c>
      <c r="F80" s="44"/>
      <c r="G80" s="38"/>
      <c r="H80" s="38"/>
      <c r="I80" s="62"/>
      <c r="J80" s="6"/>
      <c r="K80" s="6"/>
      <c r="L80" s="6"/>
    </row>
    <row r="81" spans="1:12" hidden="1" x14ac:dyDescent="0.25"/>
    <row r="82" spans="1:12" s="7" customFormat="1" hidden="1" x14ac:dyDescent="0.25">
      <c r="A82" s="5"/>
      <c r="B82" s="5" t="s">
        <v>3</v>
      </c>
      <c r="C82" s="5"/>
      <c r="D82" s="44"/>
      <c r="E82" s="44"/>
      <c r="F82" s="44"/>
      <c r="G82" s="38"/>
      <c r="H82" s="38"/>
      <c r="I82" s="62"/>
      <c r="J82" s="6"/>
      <c r="K82" s="6"/>
      <c r="L82" s="6"/>
    </row>
    <row r="83" spans="1:12" s="7" customFormat="1" hidden="1" x14ac:dyDescent="0.25">
      <c r="A83" s="9"/>
      <c r="B83" s="9" t="s">
        <v>45</v>
      </c>
      <c r="C83" s="9"/>
      <c r="D83" s="44"/>
      <c r="E83" s="44">
        <v>0</v>
      </c>
      <c r="F83" s="44"/>
      <c r="G83" s="38"/>
      <c r="H83" s="38"/>
      <c r="I83" s="62"/>
      <c r="J83" s="6"/>
      <c r="K83" s="6"/>
      <c r="L83" s="6"/>
    </row>
    <row r="84" spans="1:12" s="7" customFormat="1" hidden="1" x14ac:dyDescent="0.25">
      <c r="A84" s="9"/>
      <c r="B84" s="9" t="s">
        <v>46</v>
      </c>
      <c r="C84" s="9"/>
      <c r="D84" s="44"/>
      <c r="E84" s="44">
        <v>0</v>
      </c>
      <c r="F84" s="44"/>
      <c r="G84" s="38"/>
      <c r="H84" s="38"/>
      <c r="I84" s="62"/>
      <c r="J84" s="6"/>
      <c r="K84" s="6"/>
      <c r="L84" s="6"/>
    </row>
    <row r="85" spans="1:12" hidden="1" x14ac:dyDescent="0.25"/>
    <row r="86" spans="1:12" s="7" customFormat="1" hidden="1" x14ac:dyDescent="0.25">
      <c r="A86" s="5"/>
      <c r="B86" s="5" t="s">
        <v>4</v>
      </c>
      <c r="C86" s="5"/>
      <c r="D86" s="44"/>
      <c r="E86" s="44"/>
      <c r="F86" s="44"/>
      <c r="G86" s="38"/>
      <c r="H86" s="38"/>
      <c r="I86" s="62"/>
      <c r="J86" s="6"/>
      <c r="K86" s="6"/>
      <c r="L86" s="6"/>
    </row>
    <row r="87" spans="1:12" s="7" customFormat="1" hidden="1" x14ac:dyDescent="0.25">
      <c r="A87" s="9"/>
      <c r="B87" s="9" t="s">
        <v>47</v>
      </c>
      <c r="C87" s="9"/>
      <c r="D87" s="44"/>
      <c r="E87" s="44">
        <v>0</v>
      </c>
      <c r="F87" s="44"/>
      <c r="G87" s="38"/>
      <c r="H87" s="38"/>
      <c r="I87" s="62"/>
      <c r="J87" s="6"/>
      <c r="K87" s="6"/>
      <c r="L87" s="6"/>
    </row>
    <row r="88" spans="1:12" s="7" customFormat="1" hidden="1" x14ac:dyDescent="0.25">
      <c r="A88" s="9"/>
      <c r="B88" s="9" t="s">
        <v>48</v>
      </c>
      <c r="C88" s="9"/>
      <c r="D88" s="44"/>
      <c r="E88" s="44">
        <v>0</v>
      </c>
      <c r="F88" s="44"/>
      <c r="G88" s="38"/>
      <c r="H88" s="38"/>
      <c r="I88" s="62"/>
      <c r="J88" s="6"/>
      <c r="K88" s="6"/>
      <c r="L88" s="6"/>
    </row>
    <row r="89" spans="1:12" hidden="1" x14ac:dyDescent="0.25"/>
    <row r="90" spans="1:12" s="7" customFormat="1" hidden="1" x14ac:dyDescent="0.25">
      <c r="A90" s="9"/>
      <c r="B90" s="9" t="s">
        <v>39</v>
      </c>
      <c r="C90" s="9"/>
      <c r="D90" s="44"/>
      <c r="E90" s="46"/>
      <c r="F90" s="44"/>
      <c r="G90" s="38"/>
      <c r="H90" s="38"/>
      <c r="I90" s="62"/>
      <c r="J90" s="6"/>
      <c r="K90" s="6"/>
      <c r="L90" s="6"/>
    </row>
    <row r="91" spans="1:12" hidden="1" x14ac:dyDescent="0.25"/>
    <row r="92" spans="1:12" hidden="1" x14ac:dyDescent="0.25">
      <c r="A92" s="50"/>
      <c r="B92" s="50" t="s">
        <v>10</v>
      </c>
      <c r="C92" s="50"/>
      <c r="D92" s="52"/>
      <c r="E92" s="52">
        <f>E93*E94+E96*E97</f>
        <v>0</v>
      </c>
      <c r="F92" s="52">
        <f t="shared" ref="F92:H92" si="32">F93*F94+F96*F97</f>
        <v>0</v>
      </c>
      <c r="G92" s="52">
        <f t="shared" si="32"/>
        <v>0</v>
      </c>
      <c r="H92" s="52">
        <f t="shared" si="32"/>
        <v>0</v>
      </c>
    </row>
    <row r="93" spans="1:12" s="7" customFormat="1" hidden="1" x14ac:dyDescent="0.25">
      <c r="A93" s="5"/>
      <c r="B93" s="9" t="s">
        <v>49</v>
      </c>
      <c r="C93" s="5"/>
      <c r="D93" s="44"/>
      <c r="E93" s="44">
        <v>0</v>
      </c>
      <c r="F93" s="44">
        <v>0</v>
      </c>
      <c r="G93" s="44">
        <v>0</v>
      </c>
      <c r="H93" s="44">
        <v>0</v>
      </c>
      <c r="I93" s="62"/>
      <c r="J93" s="6"/>
      <c r="K93" s="6"/>
      <c r="L93" s="6"/>
    </row>
    <row r="94" spans="1:12" s="7" customFormat="1" hidden="1" x14ac:dyDescent="0.25">
      <c r="A94" s="5"/>
      <c r="B94" s="9" t="s">
        <v>50</v>
      </c>
      <c r="C94" s="5"/>
      <c r="D94" s="44"/>
      <c r="E94" s="44">
        <f>Trips!$B$10</f>
        <v>908.23176058823537</v>
      </c>
      <c r="F94" s="44">
        <f>Trips!$B$10</f>
        <v>908.23176058823537</v>
      </c>
      <c r="G94" s="44">
        <f>Trips!$B$10</f>
        <v>908.23176058823537</v>
      </c>
      <c r="H94" s="44">
        <f>Trips!$B$10</f>
        <v>908.23176058823537</v>
      </c>
      <c r="I94" s="62"/>
      <c r="J94" s="6"/>
      <c r="K94" s="6"/>
      <c r="L94" s="6"/>
    </row>
    <row r="95" spans="1:12" hidden="1" x14ac:dyDescent="0.25"/>
    <row r="96" spans="1:12" s="7" customFormat="1" hidden="1" x14ac:dyDescent="0.25">
      <c r="A96" s="5"/>
      <c r="B96" s="9" t="s">
        <v>51</v>
      </c>
      <c r="C96" s="5"/>
      <c r="D96" s="44"/>
      <c r="E96" s="44">
        <v>0</v>
      </c>
      <c r="F96" s="44">
        <v>0</v>
      </c>
      <c r="G96" s="44">
        <v>0</v>
      </c>
      <c r="H96" s="44">
        <v>0</v>
      </c>
      <c r="I96" s="62"/>
      <c r="J96" s="6"/>
      <c r="K96" s="6"/>
      <c r="L96" s="6"/>
    </row>
    <row r="97" spans="1:12" s="7" customFormat="1" hidden="1" x14ac:dyDescent="0.25">
      <c r="A97" s="5"/>
      <c r="B97" s="9" t="s">
        <v>52</v>
      </c>
      <c r="C97" s="5"/>
      <c r="D97" s="44"/>
      <c r="E97" s="44">
        <f>Trips!$B$5</f>
        <v>52</v>
      </c>
      <c r="F97" s="44">
        <f>Trips!$B$5</f>
        <v>52</v>
      </c>
      <c r="G97" s="44">
        <f>Trips!$B$5</f>
        <v>52</v>
      </c>
      <c r="H97" s="44">
        <f>Trips!$B$5</f>
        <v>52</v>
      </c>
      <c r="I97" s="62"/>
      <c r="J97" s="6"/>
      <c r="K97" s="6"/>
      <c r="L97" s="6"/>
    </row>
    <row r="98" spans="1:12" hidden="1" x14ac:dyDescent="0.25"/>
    <row r="99" spans="1:12" x14ac:dyDescent="0.25">
      <c r="A99" s="50"/>
      <c r="B99" s="50" t="s">
        <v>488</v>
      </c>
      <c r="C99" s="50"/>
      <c r="D99" s="52"/>
      <c r="E99" s="52">
        <f>E100*E101*E102</f>
        <v>6554.0059199999996</v>
      </c>
      <c r="F99" s="52">
        <f t="shared" ref="F99:H99" si="33">F100*F101*F102</f>
        <v>6536.0987999999998</v>
      </c>
      <c r="G99" s="52">
        <f t="shared" si="33"/>
        <v>6536.0987999999998</v>
      </c>
      <c r="H99" s="52">
        <f t="shared" si="33"/>
        <v>6536.0987999999998</v>
      </c>
    </row>
    <row r="100" spans="1:12" s="7" customFormat="1" x14ac:dyDescent="0.25">
      <c r="A100" s="10"/>
      <c r="B100" s="39" t="s">
        <v>489</v>
      </c>
      <c r="C100" s="10"/>
      <c r="D100" s="44"/>
      <c r="E100" s="173">
        <f>104.72/1000</f>
        <v>0.10471999999999999</v>
      </c>
      <c r="F100" s="173">
        <f t="shared" ref="F100:H100" si="34">104.72/1000</f>
        <v>0.10471999999999999</v>
      </c>
      <c r="G100" s="173">
        <f t="shared" si="34"/>
        <v>0.10471999999999999</v>
      </c>
      <c r="H100" s="173">
        <f t="shared" si="34"/>
        <v>0.10471999999999999</v>
      </c>
      <c r="I100" s="62"/>
      <c r="J100" s="6"/>
      <c r="K100" s="6"/>
      <c r="L100" s="6"/>
    </row>
    <row r="101" spans="1:12" s="7" customFormat="1" x14ac:dyDescent="0.25">
      <c r="A101" s="10"/>
      <c r="B101" s="39" t="s">
        <v>491</v>
      </c>
      <c r="C101" s="10"/>
      <c r="D101" s="44"/>
      <c r="E101" s="44">
        <v>366</v>
      </c>
      <c r="F101" s="44">
        <v>365</v>
      </c>
      <c r="G101" s="44">
        <v>365</v>
      </c>
      <c r="H101" s="44">
        <v>365</v>
      </c>
      <c r="I101" s="62"/>
      <c r="J101" s="6"/>
      <c r="K101" s="6"/>
      <c r="L101" s="6"/>
    </row>
    <row r="102" spans="1:12" s="7" customFormat="1" x14ac:dyDescent="0.25">
      <c r="A102" s="5"/>
      <c r="B102" s="39" t="s">
        <v>490</v>
      </c>
      <c r="C102" s="5"/>
      <c r="D102" s="44"/>
      <c r="E102" s="44">
        <f>63+88+20</f>
        <v>171</v>
      </c>
      <c r="F102" s="44">
        <f t="shared" ref="F102:H102" si="35">63+88+20</f>
        <v>171</v>
      </c>
      <c r="G102" s="44">
        <f t="shared" si="35"/>
        <v>171</v>
      </c>
      <c r="H102" s="44">
        <f t="shared" si="35"/>
        <v>171</v>
      </c>
      <c r="I102" s="62"/>
      <c r="J102" s="6"/>
      <c r="K102" s="6"/>
      <c r="L102" s="6"/>
    </row>
    <row r="105" spans="1:12" hidden="1" x14ac:dyDescent="0.25">
      <c r="A105" s="50"/>
      <c r="B105" s="50" t="s">
        <v>171</v>
      </c>
      <c r="C105" s="50"/>
      <c r="D105" s="52"/>
      <c r="E105" s="52">
        <f>E106*E107</f>
        <v>0</v>
      </c>
      <c r="F105" s="52">
        <f t="shared" ref="F105:H105" si="36">F106*F107</f>
        <v>0</v>
      </c>
      <c r="G105" s="52">
        <f t="shared" si="36"/>
        <v>0</v>
      </c>
      <c r="H105" s="52">
        <f t="shared" si="36"/>
        <v>0</v>
      </c>
    </row>
    <row r="106" spans="1:12" s="7" customFormat="1" hidden="1" x14ac:dyDescent="0.25">
      <c r="A106" s="10"/>
      <c r="B106" s="39" t="s">
        <v>144</v>
      </c>
      <c r="C106" s="10" t="s">
        <v>145</v>
      </c>
      <c r="D106" s="44"/>
      <c r="E106" s="44">
        <v>0</v>
      </c>
      <c r="F106" s="44">
        <v>0</v>
      </c>
      <c r="G106" s="44">
        <v>0</v>
      </c>
      <c r="H106" s="44">
        <v>0</v>
      </c>
      <c r="I106" s="62"/>
      <c r="J106" s="6"/>
      <c r="K106" s="6"/>
      <c r="L106" s="6"/>
    </row>
    <row r="107" spans="1:12" s="7" customFormat="1" hidden="1" x14ac:dyDescent="0.25">
      <c r="A107" s="5"/>
      <c r="B107" s="39" t="s">
        <v>141</v>
      </c>
      <c r="C107" s="5"/>
      <c r="D107" s="44"/>
      <c r="E107" s="44">
        <f>Trips!B41</f>
        <v>631.70365882352939</v>
      </c>
      <c r="F107" s="44">
        <f>E107*(1+index)</f>
        <v>658.86691615294114</v>
      </c>
      <c r="G107" s="44">
        <f>F107*(1+index)</f>
        <v>687.19819354751758</v>
      </c>
      <c r="H107" s="44">
        <f>G107*(1+index)</f>
        <v>716.7477158700608</v>
      </c>
      <c r="I107" s="62"/>
      <c r="J107" s="6"/>
      <c r="K107" s="6"/>
      <c r="L107" s="6"/>
    </row>
    <row r="108" spans="1:12" hidden="1" x14ac:dyDescent="0.25"/>
    <row r="109" spans="1:12" x14ac:dyDescent="0.25">
      <c r="A109" s="50"/>
      <c r="B109" s="50" t="s">
        <v>130</v>
      </c>
      <c r="C109" s="50"/>
      <c r="D109" s="52"/>
      <c r="E109" s="52">
        <f>E110*E111+E112*E113+E114*E115</f>
        <v>2632.9564315384614</v>
      </c>
      <c r="F109" s="52">
        <f t="shared" ref="F109:H109" si="37">F110*F111+F112*F113+F114*F115</f>
        <v>3400.0244052599996</v>
      </c>
      <c r="G109" s="52">
        <f t="shared" si="37"/>
        <v>3546.2254546861795</v>
      </c>
      <c r="H109" s="52">
        <f t="shared" si="37"/>
        <v>3698.7131492376848</v>
      </c>
    </row>
    <row r="110" spans="1:12" hidden="1" x14ac:dyDescent="0.25">
      <c r="B110" s="39" t="s">
        <v>131</v>
      </c>
      <c r="C110" s="5" t="s">
        <v>132</v>
      </c>
      <c r="E110" s="44">
        <f>Training!$C$33</f>
        <v>81.10799999999999</v>
      </c>
      <c r="F110" s="44">
        <f>E110*(1+index)</f>
        <v>84.595643999999979</v>
      </c>
      <c r="G110" s="44">
        <f>F110*(1+index)</f>
        <v>88.233256691999969</v>
      </c>
      <c r="H110" s="44">
        <f>G110*(1+index)</f>
        <v>92.027286729755957</v>
      </c>
    </row>
    <row r="111" spans="1:12" hidden="1" x14ac:dyDescent="0.25">
      <c r="B111" s="39" t="s">
        <v>133</v>
      </c>
      <c r="F111" s="44">
        <f>F93</f>
        <v>0</v>
      </c>
      <c r="G111" s="44">
        <f t="shared" ref="G111:H111" si="38">G93</f>
        <v>0</v>
      </c>
      <c r="H111" s="44">
        <f t="shared" si="38"/>
        <v>0</v>
      </c>
    </row>
    <row r="112" spans="1:12" hidden="1" x14ac:dyDescent="0.25">
      <c r="B112" s="39" t="s">
        <v>134</v>
      </c>
      <c r="E112" s="44">
        <f>Training!C23</f>
        <v>709.375</v>
      </c>
      <c r="F112" s="44">
        <f>E112*(1+index)</f>
        <v>739.87812499999995</v>
      </c>
      <c r="G112" s="44">
        <f>F112*(1+index)</f>
        <v>771.69288437499995</v>
      </c>
      <c r="H112" s="44">
        <f>G112*(1+index)</f>
        <v>804.87567840312488</v>
      </c>
    </row>
    <row r="113" spans="1:12" hidden="1" x14ac:dyDescent="0.25">
      <c r="B113" s="39" t="s">
        <v>135</v>
      </c>
      <c r="E113" s="33">
        <v>0</v>
      </c>
      <c r="F113" s="44">
        <v>0</v>
      </c>
      <c r="G113" s="44">
        <v>0</v>
      </c>
      <c r="H113" s="44">
        <v>0</v>
      </c>
    </row>
    <row r="114" spans="1:12" x14ac:dyDescent="0.25">
      <c r="B114" s="39" t="s">
        <v>203</v>
      </c>
      <c r="C114" s="5" t="s">
        <v>137</v>
      </c>
      <c r="E114" s="44">
        <f>Training!C42</f>
        <v>62.689438846153848</v>
      </c>
      <c r="F114" s="44">
        <f>E114*(1+index)</f>
        <v>65.385084716538458</v>
      </c>
      <c r="G114" s="44">
        <f>F114*(1+index)</f>
        <v>68.196643359349608</v>
      </c>
      <c r="H114" s="44">
        <f>G114*(1+index)</f>
        <v>71.129099023801629</v>
      </c>
    </row>
    <row r="115" spans="1:12" x14ac:dyDescent="0.25">
      <c r="B115" s="39" t="s">
        <v>133</v>
      </c>
      <c r="E115" s="44">
        <f>(171-5)*25%+0.5</f>
        <v>42</v>
      </c>
      <c r="F115" s="44">
        <f>E115+10</f>
        <v>52</v>
      </c>
      <c r="G115" s="44">
        <f t="shared" ref="G115:H115" si="39">F115</f>
        <v>52</v>
      </c>
      <c r="H115" s="44">
        <f t="shared" si="39"/>
        <v>52</v>
      </c>
    </row>
    <row r="116" spans="1:12" x14ac:dyDescent="0.25">
      <c r="B116" s="39"/>
    </row>
    <row r="117" spans="1:12" hidden="1" x14ac:dyDescent="0.25">
      <c r="A117" s="50"/>
      <c r="B117" s="50" t="s">
        <v>24</v>
      </c>
      <c r="C117" s="50"/>
      <c r="D117" s="52"/>
      <c r="E117" s="52">
        <f t="shared" ref="E117:H117" si="40">E118*E119</f>
        <v>0</v>
      </c>
      <c r="F117" s="52">
        <f t="shared" si="40"/>
        <v>0</v>
      </c>
      <c r="G117" s="52">
        <f t="shared" si="40"/>
        <v>0</v>
      </c>
      <c r="H117" s="52">
        <f t="shared" si="40"/>
        <v>0</v>
      </c>
    </row>
    <row r="118" spans="1:12" s="7" customFormat="1" hidden="1" x14ac:dyDescent="0.25">
      <c r="A118" s="5"/>
      <c r="B118" s="39" t="s">
        <v>53</v>
      </c>
      <c r="C118" s="5"/>
      <c r="D118" s="44"/>
      <c r="E118" s="44">
        <v>0</v>
      </c>
      <c r="F118" s="44">
        <v>0</v>
      </c>
      <c r="G118" s="44"/>
      <c r="H118" s="44"/>
      <c r="I118" s="62"/>
      <c r="J118" s="6"/>
      <c r="K118" s="6"/>
      <c r="L118" s="6"/>
    </row>
    <row r="119" spans="1:12" s="7" customFormat="1" hidden="1" x14ac:dyDescent="0.25">
      <c r="A119" s="5"/>
      <c r="B119" s="39" t="s">
        <v>54</v>
      </c>
      <c r="C119" s="5"/>
      <c r="D119" s="44"/>
      <c r="E119" s="44">
        <f>'Rates and GI'!D25</f>
        <v>6</v>
      </c>
      <c r="F119" s="44">
        <f>E119*(1+index)</f>
        <v>6.2579999999999991</v>
      </c>
      <c r="G119" s="44">
        <f>F119*(1+index)</f>
        <v>6.5270939999999991</v>
      </c>
      <c r="H119" s="44">
        <f>G119*(1+index)</f>
        <v>6.8077590419999989</v>
      </c>
      <c r="I119" s="62"/>
      <c r="J119" s="6"/>
      <c r="K119" s="6"/>
      <c r="L119" s="6"/>
    </row>
    <row r="120" spans="1:12" hidden="1" x14ac:dyDescent="0.25"/>
    <row r="121" spans="1:12" hidden="1" x14ac:dyDescent="0.25">
      <c r="A121" s="50"/>
      <c r="B121" s="50" t="s">
        <v>7</v>
      </c>
      <c r="C121" s="50"/>
      <c r="D121" s="52"/>
      <c r="E121" s="52"/>
      <c r="F121" s="52"/>
      <c r="G121" s="52"/>
      <c r="H121" s="52"/>
    </row>
    <row r="122" spans="1:12" s="7" customFormat="1" hidden="1" x14ac:dyDescent="0.25">
      <c r="A122" s="5"/>
      <c r="B122" s="4" t="s">
        <v>57</v>
      </c>
      <c r="C122" s="5"/>
      <c r="D122" s="44"/>
      <c r="E122" s="46"/>
      <c r="F122" s="46"/>
      <c r="G122" s="105"/>
      <c r="H122" s="105"/>
      <c r="I122" s="62"/>
      <c r="J122" s="6"/>
      <c r="K122" s="6"/>
      <c r="L122" s="6"/>
    </row>
    <row r="123" spans="1:12" s="43" customFormat="1" hidden="1" x14ac:dyDescent="0.25">
      <c r="A123" s="40"/>
      <c r="B123" s="41" t="s">
        <v>58</v>
      </c>
      <c r="C123" s="40" t="s">
        <v>55</v>
      </c>
      <c r="D123" s="71"/>
      <c r="E123" s="71"/>
      <c r="F123" s="71"/>
      <c r="G123" s="72"/>
      <c r="H123" s="72"/>
      <c r="I123" s="75"/>
      <c r="J123" s="42"/>
      <c r="K123" s="42"/>
      <c r="L123" s="42"/>
    </row>
    <row r="124" spans="1:12" s="40" customFormat="1" hidden="1" x14ac:dyDescent="0.25">
      <c r="B124" s="41" t="s">
        <v>56</v>
      </c>
      <c r="D124" s="71"/>
      <c r="E124" s="71"/>
      <c r="F124" s="71"/>
      <c r="G124" s="72"/>
      <c r="H124" s="72"/>
      <c r="I124" s="75"/>
      <c r="J124" s="42"/>
      <c r="K124" s="42"/>
      <c r="L124" s="42"/>
    </row>
    <row r="125" spans="1:12" s="40" customFormat="1" hidden="1" x14ac:dyDescent="0.25">
      <c r="B125" s="41" t="s">
        <v>59</v>
      </c>
      <c r="D125" s="71"/>
      <c r="E125" s="71"/>
      <c r="F125" s="71"/>
      <c r="G125" s="72"/>
      <c r="H125" s="72"/>
      <c r="I125" s="75"/>
      <c r="J125" s="42"/>
      <c r="K125" s="42"/>
      <c r="L125" s="42"/>
    </row>
    <row r="126" spans="1:12" hidden="1" x14ac:dyDescent="0.25"/>
    <row r="127" spans="1:12" x14ac:dyDescent="0.25">
      <c r="A127" s="50"/>
      <c r="B127" s="50" t="s">
        <v>26</v>
      </c>
      <c r="C127" s="50"/>
      <c r="D127" s="52"/>
      <c r="E127" s="52">
        <f>E128+E131</f>
        <v>94560</v>
      </c>
      <c r="F127" s="52">
        <f t="shared" ref="F127:H127" si="41">F128+F131</f>
        <v>0</v>
      </c>
      <c r="G127" s="52">
        <f t="shared" si="41"/>
        <v>0</v>
      </c>
      <c r="H127" s="52">
        <f t="shared" si="41"/>
        <v>0</v>
      </c>
    </row>
    <row r="128" spans="1:12" s="5" customFormat="1" hidden="1" x14ac:dyDescent="0.25">
      <c r="B128" s="55" t="s">
        <v>60</v>
      </c>
      <c r="D128" s="44"/>
      <c r="E128" s="44"/>
      <c r="F128" s="44"/>
      <c r="G128" s="38"/>
      <c r="H128" s="38"/>
      <c r="I128" s="62"/>
      <c r="J128" s="6"/>
      <c r="K128" s="6"/>
      <c r="L128" s="6"/>
    </row>
    <row r="129" spans="2:12" s="5" customFormat="1" hidden="1" x14ac:dyDescent="0.25">
      <c r="B129" s="41" t="s">
        <v>147</v>
      </c>
      <c r="D129" s="44"/>
      <c r="E129" s="44"/>
      <c r="F129" s="44"/>
      <c r="G129" s="38"/>
      <c r="H129" s="38"/>
      <c r="I129" s="62"/>
      <c r="J129" s="6"/>
      <c r="K129" s="6"/>
      <c r="L129" s="6"/>
    </row>
    <row r="130" spans="2:12" s="5" customFormat="1" hidden="1" x14ac:dyDescent="0.25">
      <c r="B130" s="41" t="s">
        <v>146</v>
      </c>
      <c r="D130" s="44"/>
      <c r="E130" s="44"/>
      <c r="F130" s="44"/>
      <c r="G130" s="38"/>
      <c r="H130" s="38"/>
      <c r="I130" s="62"/>
      <c r="J130" s="6"/>
      <c r="K130" s="6"/>
      <c r="L130" s="6"/>
    </row>
    <row r="131" spans="2:12" s="5" customFormat="1" x14ac:dyDescent="0.25">
      <c r="B131" s="55" t="s">
        <v>123</v>
      </c>
      <c r="D131" s="44"/>
      <c r="E131" s="44">
        <f>E132+E135+E138+E141+E144+E147</f>
        <v>94560</v>
      </c>
      <c r="F131" s="44">
        <f t="shared" ref="F131:H131" si="42">F132+F135+F138+F141+F144+F147</f>
        <v>0</v>
      </c>
      <c r="G131" s="44">
        <f t="shared" si="42"/>
        <v>0</v>
      </c>
      <c r="H131" s="44">
        <f t="shared" si="42"/>
        <v>0</v>
      </c>
      <c r="I131" s="62"/>
      <c r="J131" s="6"/>
      <c r="K131" s="6"/>
      <c r="L131" s="6"/>
    </row>
    <row r="132" spans="2:12" s="5" customFormat="1" x14ac:dyDescent="0.25">
      <c r="B132" s="55" t="s">
        <v>435</v>
      </c>
      <c r="D132" s="44"/>
      <c r="E132" s="44">
        <f>E133*E134</f>
        <v>11200</v>
      </c>
      <c r="F132" s="44">
        <f t="shared" ref="F132:H132" si="43">F133*F134</f>
        <v>0</v>
      </c>
      <c r="G132" s="44">
        <f t="shared" si="43"/>
        <v>0</v>
      </c>
      <c r="H132" s="44">
        <f t="shared" si="43"/>
        <v>0</v>
      </c>
      <c r="I132" s="62"/>
      <c r="J132" s="6"/>
      <c r="K132" s="6"/>
      <c r="L132" s="6"/>
    </row>
    <row r="133" spans="2:12" s="5" customFormat="1" x14ac:dyDescent="0.25">
      <c r="B133" s="41" t="s">
        <v>277</v>
      </c>
      <c r="D133" s="44"/>
      <c r="E133" s="44">
        <v>5600</v>
      </c>
      <c r="F133" s="44"/>
      <c r="G133" s="44"/>
      <c r="H133" s="44"/>
      <c r="I133" s="62"/>
      <c r="J133" s="6"/>
      <c r="K133" s="6"/>
      <c r="L133" s="6"/>
    </row>
    <row r="134" spans="2:12" s="5" customFormat="1" x14ac:dyDescent="0.25">
      <c r="B134" s="41" t="s">
        <v>434</v>
      </c>
      <c r="D134" s="44"/>
      <c r="E134" s="44">
        <v>2</v>
      </c>
      <c r="F134" s="44">
        <v>0</v>
      </c>
      <c r="G134" s="38"/>
      <c r="H134" s="38"/>
      <c r="I134" s="62"/>
      <c r="J134" s="6"/>
      <c r="K134" s="6"/>
      <c r="L134" s="6"/>
    </row>
    <row r="135" spans="2:12" s="5" customFormat="1" x14ac:dyDescent="0.25">
      <c r="B135" s="55" t="s">
        <v>436</v>
      </c>
      <c r="D135" s="44"/>
      <c r="E135" s="44">
        <f>E136*E137</f>
        <v>24500</v>
      </c>
      <c r="F135" s="44">
        <f t="shared" ref="F135" si="44">F136*F137</f>
        <v>0</v>
      </c>
      <c r="G135" s="44">
        <f t="shared" ref="G135" si="45">G136*G137</f>
        <v>0</v>
      </c>
      <c r="H135" s="44">
        <f t="shared" ref="H135" si="46">H136*H137</f>
        <v>0</v>
      </c>
      <c r="I135" s="62"/>
      <c r="J135" s="6"/>
      <c r="K135" s="6"/>
      <c r="L135" s="6"/>
    </row>
    <row r="136" spans="2:12" s="5" customFormat="1" x14ac:dyDescent="0.25">
      <c r="B136" s="41" t="s">
        <v>277</v>
      </c>
      <c r="D136" s="44"/>
      <c r="E136" s="44">
        <v>3500</v>
      </c>
      <c r="F136" s="44"/>
      <c r="G136" s="44"/>
      <c r="H136" s="44"/>
      <c r="I136" s="62"/>
      <c r="J136" s="6"/>
      <c r="K136" s="6"/>
      <c r="L136" s="6"/>
    </row>
    <row r="137" spans="2:12" s="5" customFormat="1" x14ac:dyDescent="0.25">
      <c r="B137" s="41" t="s">
        <v>434</v>
      </c>
      <c r="D137" s="44"/>
      <c r="E137" s="44">
        <v>7</v>
      </c>
      <c r="F137" s="44">
        <v>0</v>
      </c>
      <c r="G137" s="38"/>
      <c r="H137" s="38"/>
      <c r="I137" s="62"/>
      <c r="J137" s="6"/>
      <c r="K137" s="6"/>
      <c r="L137" s="6"/>
    </row>
    <row r="138" spans="2:12" s="5" customFormat="1" x14ac:dyDescent="0.25">
      <c r="B138" s="55" t="s">
        <v>437</v>
      </c>
      <c r="D138" s="44"/>
      <c r="E138" s="44">
        <f>E139*E140</f>
        <v>32300</v>
      </c>
      <c r="F138" s="44">
        <f t="shared" ref="F138" si="47">F139*F140</f>
        <v>0</v>
      </c>
      <c r="G138" s="44">
        <f t="shared" ref="G138" si="48">G139*G140</f>
        <v>0</v>
      </c>
      <c r="H138" s="44">
        <f t="shared" ref="H138" si="49">H139*H140</f>
        <v>0</v>
      </c>
      <c r="I138" s="62"/>
      <c r="J138" s="6"/>
      <c r="K138" s="6"/>
      <c r="L138" s="6"/>
    </row>
    <row r="139" spans="2:12" s="5" customFormat="1" x14ac:dyDescent="0.25">
      <c r="B139" s="41" t="s">
        <v>277</v>
      </c>
      <c r="D139" s="44"/>
      <c r="E139" s="44">
        <v>32300</v>
      </c>
      <c r="F139" s="44"/>
      <c r="G139" s="44"/>
      <c r="H139" s="44"/>
      <c r="I139" s="62"/>
      <c r="J139" s="6"/>
      <c r="K139" s="6"/>
      <c r="L139" s="6"/>
    </row>
    <row r="140" spans="2:12" s="5" customFormat="1" x14ac:dyDescent="0.25">
      <c r="B140" s="41" t="s">
        <v>434</v>
      </c>
      <c r="D140" s="44"/>
      <c r="E140" s="44">
        <v>1</v>
      </c>
      <c r="F140" s="44">
        <v>0</v>
      </c>
      <c r="G140" s="38"/>
      <c r="H140" s="38"/>
      <c r="I140" s="62"/>
      <c r="J140" s="6"/>
      <c r="K140" s="6"/>
      <c r="L140" s="6"/>
    </row>
    <row r="141" spans="2:12" s="5" customFormat="1" x14ac:dyDescent="0.25">
      <c r="B141" s="55" t="s">
        <v>438</v>
      </c>
      <c r="D141" s="44"/>
      <c r="E141" s="44">
        <f>E142*E143</f>
        <v>8600</v>
      </c>
      <c r="F141" s="44">
        <f t="shared" ref="F141" si="50">F142*F143</f>
        <v>0</v>
      </c>
      <c r="G141" s="44">
        <f t="shared" ref="G141" si="51">G142*G143</f>
        <v>0</v>
      </c>
      <c r="H141" s="44">
        <f t="shared" ref="H141" si="52">H142*H143</f>
        <v>0</v>
      </c>
      <c r="I141" s="62"/>
      <c r="J141" s="6"/>
      <c r="K141" s="6"/>
      <c r="L141" s="6"/>
    </row>
    <row r="142" spans="2:12" s="5" customFormat="1" x14ac:dyDescent="0.25">
      <c r="B142" s="41" t="s">
        <v>277</v>
      </c>
      <c r="D142" s="44"/>
      <c r="E142" s="44">
        <v>8600</v>
      </c>
      <c r="F142" s="44"/>
      <c r="G142" s="44"/>
      <c r="H142" s="44"/>
      <c r="I142" s="62"/>
      <c r="J142" s="6"/>
      <c r="K142" s="6"/>
      <c r="L142" s="6"/>
    </row>
    <row r="143" spans="2:12" s="5" customFormat="1" x14ac:dyDescent="0.25">
      <c r="B143" s="41" t="s">
        <v>434</v>
      </c>
      <c r="D143" s="44"/>
      <c r="E143" s="44">
        <v>1</v>
      </c>
      <c r="F143" s="44">
        <v>0</v>
      </c>
      <c r="G143" s="38"/>
      <c r="H143" s="38"/>
      <c r="I143" s="62"/>
      <c r="J143" s="6"/>
      <c r="K143" s="6"/>
      <c r="L143" s="6"/>
    </row>
    <row r="144" spans="2:12" s="5" customFormat="1" x14ac:dyDescent="0.25">
      <c r="B144" s="55" t="s">
        <v>439</v>
      </c>
      <c r="D144" s="44"/>
      <c r="E144" s="44">
        <f>E145*E146</f>
        <v>7400</v>
      </c>
      <c r="F144" s="44">
        <f t="shared" ref="F144" si="53">F145*F146</f>
        <v>0</v>
      </c>
      <c r="G144" s="44">
        <f t="shared" ref="G144" si="54">G145*G146</f>
        <v>0</v>
      </c>
      <c r="H144" s="44">
        <f t="shared" ref="H144" si="55">H145*H146</f>
        <v>0</v>
      </c>
      <c r="I144" s="62"/>
      <c r="J144" s="6"/>
      <c r="K144" s="6"/>
      <c r="L144" s="6"/>
    </row>
    <row r="145" spans="1:12" s="5" customFormat="1" x14ac:dyDescent="0.25">
      <c r="B145" s="41" t="s">
        <v>277</v>
      </c>
      <c r="D145" s="44"/>
      <c r="E145" s="44">
        <v>7400</v>
      </c>
      <c r="F145" s="44"/>
      <c r="G145" s="44"/>
      <c r="H145" s="44"/>
      <c r="I145" s="62"/>
      <c r="J145" s="6"/>
      <c r="K145" s="6"/>
      <c r="L145" s="6"/>
    </row>
    <row r="146" spans="1:12" s="5" customFormat="1" x14ac:dyDescent="0.25">
      <c r="B146" s="41" t="s">
        <v>434</v>
      </c>
      <c r="D146" s="44"/>
      <c r="E146" s="44">
        <v>1</v>
      </c>
      <c r="F146" s="44">
        <v>0</v>
      </c>
      <c r="G146" s="38"/>
      <c r="H146" s="38"/>
      <c r="I146" s="62"/>
      <c r="J146" s="6"/>
      <c r="K146" s="6"/>
      <c r="L146" s="6"/>
    </row>
    <row r="147" spans="1:12" s="5" customFormat="1" x14ac:dyDescent="0.25">
      <c r="B147" s="55" t="s">
        <v>440</v>
      </c>
      <c r="D147" s="44"/>
      <c r="E147" s="44">
        <f>E148*E149</f>
        <v>10560</v>
      </c>
      <c r="F147" s="44">
        <f t="shared" ref="F147" si="56">F148*F149</f>
        <v>0</v>
      </c>
      <c r="G147" s="44">
        <f t="shared" ref="G147" si="57">G148*G149</f>
        <v>0</v>
      </c>
      <c r="H147" s="44">
        <f t="shared" ref="H147" si="58">H148*H149</f>
        <v>0</v>
      </c>
      <c r="I147" s="62"/>
      <c r="J147" s="6"/>
      <c r="K147" s="6"/>
      <c r="L147" s="6"/>
    </row>
    <row r="148" spans="1:12" s="5" customFormat="1" x14ac:dyDescent="0.25">
      <c r="B148" s="41" t="s">
        <v>277</v>
      </c>
      <c r="D148" s="44"/>
      <c r="E148" s="44">
        <v>880</v>
      </c>
      <c r="F148" s="44"/>
      <c r="G148" s="44"/>
      <c r="H148" s="44"/>
      <c r="I148" s="62"/>
      <c r="J148" s="6"/>
      <c r="K148" s="6"/>
      <c r="L148" s="6"/>
    </row>
    <row r="149" spans="1:12" s="5" customFormat="1" x14ac:dyDescent="0.25">
      <c r="B149" s="41" t="s">
        <v>434</v>
      </c>
      <c r="D149" s="44"/>
      <c r="E149" s="44">
        <v>12</v>
      </c>
      <c r="F149" s="44">
        <v>0</v>
      </c>
      <c r="G149" s="38"/>
      <c r="H149" s="38"/>
      <c r="I149" s="62"/>
      <c r="J149" s="6"/>
      <c r="K149" s="6"/>
      <c r="L149" s="6"/>
    </row>
    <row r="150" spans="1:12" hidden="1" x14ac:dyDescent="0.25">
      <c r="A150" s="50"/>
      <c r="B150" s="50" t="s">
        <v>8</v>
      </c>
      <c r="C150" s="50"/>
      <c r="D150" s="52"/>
      <c r="E150" s="52"/>
      <c r="F150" s="52"/>
      <c r="G150" s="52"/>
      <c r="H150" s="52"/>
    </row>
    <row r="151" spans="1:12" s="5" customFormat="1" hidden="1" x14ac:dyDescent="0.25">
      <c r="B151" s="41" t="s">
        <v>147</v>
      </c>
      <c r="D151" s="44"/>
      <c r="E151" s="44"/>
      <c r="F151" s="44"/>
      <c r="G151" s="38"/>
      <c r="H151" s="38"/>
      <c r="I151" s="62"/>
      <c r="J151" s="6"/>
      <c r="K151" s="6"/>
      <c r="L151" s="6"/>
    </row>
    <row r="152" spans="1:12" s="5" customFormat="1" hidden="1" x14ac:dyDescent="0.25">
      <c r="B152" s="41" t="s">
        <v>146</v>
      </c>
      <c r="D152" s="44"/>
      <c r="E152" s="44"/>
      <c r="F152" s="44"/>
      <c r="G152" s="38"/>
      <c r="H152" s="38"/>
      <c r="I152" s="62"/>
      <c r="J152" s="6"/>
      <c r="K152" s="6"/>
      <c r="L152" s="6"/>
    </row>
    <row r="153" spans="1:12" hidden="1" x14ac:dyDescent="0.25"/>
    <row r="154" spans="1:12" hidden="1" x14ac:dyDescent="0.25">
      <c r="A154" s="50"/>
      <c r="B154" s="50" t="s">
        <v>25</v>
      </c>
      <c r="C154" s="50"/>
      <c r="D154" s="52"/>
      <c r="E154" s="52">
        <f>E155+E158</f>
        <v>0</v>
      </c>
      <c r="F154" s="52">
        <f t="shared" ref="F154:H154" si="59">F155+F158</f>
        <v>0</v>
      </c>
      <c r="G154" s="52">
        <f t="shared" si="59"/>
        <v>0</v>
      </c>
      <c r="H154" s="52">
        <f t="shared" si="59"/>
        <v>0</v>
      </c>
    </row>
    <row r="155" spans="1:12" s="5" customFormat="1" hidden="1" x14ac:dyDescent="0.25">
      <c r="B155" s="5" t="s">
        <v>205</v>
      </c>
      <c r="D155" s="44"/>
      <c r="E155" s="44"/>
      <c r="F155" s="44">
        <v>0</v>
      </c>
      <c r="G155" s="38"/>
      <c r="H155" s="38"/>
      <c r="I155" s="62"/>
      <c r="J155" s="6"/>
      <c r="K155" s="6"/>
      <c r="L155" s="6"/>
    </row>
    <row r="156" spans="1:12" s="5" customFormat="1" hidden="1" x14ac:dyDescent="0.25">
      <c r="B156" s="41"/>
      <c r="D156" s="44"/>
      <c r="E156" s="44"/>
      <c r="F156" s="44"/>
      <c r="G156" s="38"/>
      <c r="H156" s="38"/>
      <c r="I156" s="62"/>
      <c r="J156" s="6"/>
      <c r="K156" s="6"/>
      <c r="L156" s="6"/>
    </row>
    <row r="157" spans="1:12" s="5" customFormat="1" hidden="1" x14ac:dyDescent="0.25">
      <c r="B157" s="41"/>
      <c r="D157" s="44"/>
      <c r="E157" s="44"/>
      <c r="F157" s="44"/>
      <c r="G157" s="38"/>
      <c r="H157" s="38"/>
      <c r="I157" s="62"/>
      <c r="J157" s="6"/>
      <c r="K157" s="6"/>
      <c r="L157" s="6"/>
    </row>
    <row r="158" spans="1:12" s="5" customFormat="1" hidden="1" x14ac:dyDescent="0.25">
      <c r="B158" s="5" t="s">
        <v>154</v>
      </c>
      <c r="D158" s="44"/>
      <c r="E158" s="44">
        <f>E159+E160*E161</f>
        <v>0</v>
      </c>
      <c r="F158" s="44">
        <f>F159+F160*F161</f>
        <v>0</v>
      </c>
      <c r="G158" s="44">
        <f t="shared" ref="G158:H158" si="60">G159+G160*G161</f>
        <v>0</v>
      </c>
      <c r="H158" s="44">
        <f t="shared" si="60"/>
        <v>0</v>
      </c>
      <c r="I158" s="73"/>
    </row>
    <row r="159" spans="1:12" hidden="1" x14ac:dyDescent="0.25">
      <c r="B159" s="41" t="s">
        <v>153</v>
      </c>
      <c r="F159" s="44">
        <f>'Rates and GI'!D46*0</f>
        <v>0</v>
      </c>
    </row>
    <row r="160" spans="1:12" hidden="1" x14ac:dyDescent="0.25">
      <c r="B160" s="41" t="s">
        <v>159</v>
      </c>
      <c r="E160" s="60">
        <f>'Rates and GI'!$D$48</f>
        <v>0.02</v>
      </c>
      <c r="F160" s="60">
        <f>'Rates and GI'!$D$48</f>
        <v>0.02</v>
      </c>
      <c r="G160" s="60">
        <f>'Rates and GI'!$D$48</f>
        <v>0.02</v>
      </c>
      <c r="H160" s="60">
        <f>'Rates and GI'!$D$48</f>
        <v>0.02</v>
      </c>
    </row>
    <row r="161" spans="1:12" hidden="1" x14ac:dyDescent="0.25">
      <c r="B161" s="41" t="s">
        <v>160</v>
      </c>
      <c r="E161" s="44">
        <v>0</v>
      </c>
      <c r="F161" s="44">
        <v>0</v>
      </c>
      <c r="G161" s="44">
        <v>0</v>
      </c>
      <c r="H161" s="44">
        <v>0</v>
      </c>
    </row>
    <row r="162" spans="1:12" s="5" customFormat="1" hidden="1" x14ac:dyDescent="0.25">
      <c r="B162" s="41"/>
      <c r="D162" s="44"/>
      <c r="E162" s="44"/>
      <c r="F162" s="44"/>
      <c r="G162" s="38"/>
      <c r="H162" s="38"/>
      <c r="I162" s="62"/>
      <c r="J162" s="6"/>
      <c r="K162" s="6"/>
      <c r="L162" s="6"/>
    </row>
    <row r="163" spans="1:12" x14ac:dyDescent="0.25">
      <c r="A163" s="50"/>
      <c r="B163" s="50" t="s">
        <v>432</v>
      </c>
      <c r="C163" s="50"/>
      <c r="D163" s="52"/>
      <c r="E163" s="52">
        <f>E164+E167</f>
        <v>150000</v>
      </c>
      <c r="F163" s="52">
        <f t="shared" ref="F163:H163" si="61">F164+F167</f>
        <v>150000</v>
      </c>
      <c r="G163" s="52">
        <f t="shared" si="61"/>
        <v>150000</v>
      </c>
      <c r="H163" s="52">
        <f t="shared" si="61"/>
        <v>150000</v>
      </c>
    </row>
    <row r="164" spans="1:12" s="5" customFormat="1" x14ac:dyDescent="0.25">
      <c r="B164" s="41" t="s">
        <v>432</v>
      </c>
      <c r="D164" s="44"/>
      <c r="E164" s="44">
        <v>150000</v>
      </c>
      <c r="F164" s="44">
        <v>150000</v>
      </c>
      <c r="G164" s="44">
        <v>150000</v>
      </c>
      <c r="H164" s="44">
        <v>150000</v>
      </c>
      <c r="I164" s="62"/>
      <c r="J164" s="6"/>
      <c r="K164" s="6"/>
      <c r="L164" s="6"/>
    </row>
    <row r="165" spans="1:12" s="5" customFormat="1" x14ac:dyDescent="0.25">
      <c r="B165" s="41"/>
      <c r="D165" s="44"/>
      <c r="E165" s="44"/>
      <c r="F165" s="44"/>
      <c r="G165" s="38"/>
      <c r="H165" s="38"/>
      <c r="I165" s="62"/>
      <c r="J165" s="6"/>
      <c r="K165" s="6"/>
      <c r="L165" s="6"/>
    </row>
    <row r="166" spans="1:12" s="5" customFormat="1" hidden="1" x14ac:dyDescent="0.25">
      <c r="B166" s="41"/>
      <c r="D166" s="44"/>
      <c r="E166" s="44"/>
      <c r="F166" s="44"/>
      <c r="G166" s="38"/>
      <c r="H166" s="38"/>
      <c r="I166" s="62"/>
      <c r="J166" s="6"/>
      <c r="K166" s="6"/>
      <c r="L166" s="6"/>
    </row>
    <row r="167" spans="1:12" s="5" customFormat="1" hidden="1" x14ac:dyDescent="0.25">
      <c r="B167" s="41"/>
      <c r="D167" s="44"/>
      <c r="E167" s="44"/>
      <c r="F167" s="44"/>
      <c r="G167" s="38"/>
      <c r="H167" s="38"/>
      <c r="I167" s="62"/>
      <c r="J167" s="6"/>
      <c r="K167" s="6"/>
      <c r="L167" s="6"/>
    </row>
    <row r="168" spans="1:12" s="5" customFormat="1" hidden="1" x14ac:dyDescent="0.25">
      <c r="B168" s="41"/>
      <c r="D168" s="44"/>
      <c r="E168" s="44"/>
      <c r="F168" s="44"/>
      <c r="G168" s="38"/>
      <c r="H168" s="38"/>
      <c r="I168" s="62"/>
      <c r="J168" s="6"/>
      <c r="K168" s="6"/>
      <c r="L168" s="6"/>
    </row>
    <row r="169" spans="1:12" x14ac:dyDescent="0.25">
      <c r="A169" s="50"/>
      <c r="B169" s="50" t="s">
        <v>21</v>
      </c>
      <c r="C169" s="50"/>
      <c r="D169" s="52"/>
      <c r="E169" s="52">
        <f>E170*E171+E172*E173++E174*E175+E176*E177</f>
        <v>200</v>
      </c>
      <c r="F169" s="52">
        <f t="shared" ref="F169:H169" si="62">F170*F171+F172*F173++F174*F175+F176*F177</f>
        <v>0</v>
      </c>
      <c r="G169" s="52">
        <f t="shared" si="62"/>
        <v>0</v>
      </c>
      <c r="H169" s="52">
        <f t="shared" si="62"/>
        <v>0</v>
      </c>
    </row>
    <row r="170" spans="1:12" hidden="1" x14ac:dyDescent="0.25">
      <c r="B170" s="41" t="s">
        <v>150</v>
      </c>
      <c r="G170" s="44">
        <v>0</v>
      </c>
      <c r="H170" s="44"/>
    </row>
    <row r="171" spans="1:12" hidden="1" x14ac:dyDescent="0.25">
      <c r="B171" s="41" t="s">
        <v>151</v>
      </c>
      <c r="E171" s="44">
        <f>'Rates and GI'!$D$58</f>
        <v>5000</v>
      </c>
      <c r="F171" s="44">
        <f>'Rates and GI'!$D$58</f>
        <v>5000</v>
      </c>
      <c r="G171" s="44">
        <f>'Rates and GI'!$D$58</f>
        <v>5000</v>
      </c>
      <c r="H171" s="44">
        <f>'Rates and GI'!$D$58</f>
        <v>5000</v>
      </c>
    </row>
    <row r="172" spans="1:12" hidden="1" x14ac:dyDescent="0.25">
      <c r="B172" s="41" t="s">
        <v>148</v>
      </c>
      <c r="E172" s="44">
        <v>0</v>
      </c>
      <c r="F172" s="44">
        <v>0</v>
      </c>
      <c r="G172" s="44">
        <v>0</v>
      </c>
      <c r="H172" s="44">
        <v>0</v>
      </c>
    </row>
    <row r="173" spans="1:12" hidden="1" x14ac:dyDescent="0.25">
      <c r="B173" s="41" t="s">
        <v>149</v>
      </c>
      <c r="E173" s="44">
        <f>'Rates and GI'!$D$59</f>
        <v>1500</v>
      </c>
      <c r="F173" s="44">
        <f>'Rates and GI'!$D$59</f>
        <v>1500</v>
      </c>
      <c r="G173" s="44">
        <f>'Rates and GI'!$D$59</f>
        <v>1500</v>
      </c>
      <c r="H173" s="44">
        <f>'Rates and GI'!$D$59</f>
        <v>1500</v>
      </c>
    </row>
    <row r="174" spans="1:12" ht="27" x14ac:dyDescent="0.25">
      <c r="B174" s="63" t="s">
        <v>162</v>
      </c>
      <c r="E174" s="44">
        <v>1</v>
      </c>
      <c r="F174" s="44">
        <v>0</v>
      </c>
      <c r="G174" s="44">
        <v>0</v>
      </c>
      <c r="H174" s="44">
        <v>0</v>
      </c>
    </row>
    <row r="175" spans="1:12" ht="27" x14ac:dyDescent="0.25">
      <c r="B175" s="63" t="s">
        <v>161</v>
      </c>
      <c r="E175" s="44">
        <f>'Rates and GI'!$D$60</f>
        <v>200</v>
      </c>
      <c r="F175" s="44">
        <f>'Rates and GI'!$D$60</f>
        <v>200</v>
      </c>
      <c r="G175" s="44">
        <f>'Rates and GI'!$D$60</f>
        <v>200</v>
      </c>
      <c r="H175" s="44">
        <f>'Rates and GI'!$D$60</f>
        <v>200</v>
      </c>
    </row>
    <row r="176" spans="1:12" s="5" customFormat="1" hidden="1" x14ac:dyDescent="0.25">
      <c r="B176" s="41" t="s">
        <v>217</v>
      </c>
      <c r="D176" s="44"/>
      <c r="E176" s="44">
        <v>0</v>
      </c>
      <c r="F176" s="44">
        <v>0</v>
      </c>
      <c r="G176" s="44">
        <v>0</v>
      </c>
      <c r="H176" s="44">
        <v>0</v>
      </c>
      <c r="I176" s="62"/>
      <c r="J176" s="6"/>
      <c r="K176" s="6"/>
      <c r="L176" s="6"/>
    </row>
    <row r="177" spans="1:12" s="5" customFormat="1" hidden="1" x14ac:dyDescent="0.25">
      <c r="B177" s="41" t="s">
        <v>214</v>
      </c>
      <c r="D177" s="44"/>
      <c r="E177" s="44">
        <f>'Rates and GI'!$D$61</f>
        <v>50</v>
      </c>
      <c r="F177" s="44">
        <f>'Rates and GI'!$D$61</f>
        <v>50</v>
      </c>
      <c r="G177" s="38">
        <f>'Rates and GI'!$D$61</f>
        <v>50</v>
      </c>
      <c r="H177" s="38">
        <f>'Rates and GI'!$D$61</f>
        <v>50</v>
      </c>
      <c r="I177" s="62"/>
      <c r="J177" s="6"/>
      <c r="K177" s="6"/>
      <c r="L177" s="6"/>
    </row>
    <row r="178" spans="1:12" hidden="1" x14ac:dyDescent="0.25">
      <c r="A178" s="50"/>
      <c r="B178" s="50"/>
      <c r="C178" s="50"/>
      <c r="D178" s="52"/>
      <c r="E178" s="52"/>
      <c r="F178" s="52"/>
      <c r="G178" s="52"/>
      <c r="H178" s="52"/>
    </row>
    <row r="179" spans="1:12" hidden="1" x14ac:dyDescent="0.25">
      <c r="A179" s="50"/>
      <c r="B179" s="50" t="s">
        <v>194</v>
      </c>
      <c r="C179" s="50"/>
      <c r="D179" s="52"/>
      <c r="E179" s="52">
        <f>E180+E183+E186+E195+E200</f>
        <v>0</v>
      </c>
      <c r="F179" s="52">
        <f t="shared" ref="F179:H179" si="63">F180+F183+F186+F195+F200</f>
        <v>0</v>
      </c>
      <c r="G179" s="52">
        <f t="shared" si="63"/>
        <v>0</v>
      </c>
      <c r="H179" s="52">
        <f t="shared" si="63"/>
        <v>0</v>
      </c>
    </row>
    <row r="180" spans="1:12" s="5" customFormat="1" hidden="1" x14ac:dyDescent="0.25">
      <c r="B180" s="5" t="s">
        <v>173</v>
      </c>
      <c r="D180" s="44"/>
      <c r="E180" s="44">
        <f>E181+E184*E185</f>
        <v>0</v>
      </c>
      <c r="F180" s="44">
        <f>F181+F184*F185</f>
        <v>0</v>
      </c>
      <c r="G180" s="44">
        <f>G181+G184*G185</f>
        <v>0</v>
      </c>
      <c r="H180" s="44">
        <f t="shared" ref="H180" si="64">H181+H184*H185</f>
        <v>0</v>
      </c>
      <c r="I180" s="73"/>
    </row>
    <row r="181" spans="1:12" hidden="1" x14ac:dyDescent="0.25">
      <c r="B181" s="41" t="s">
        <v>184</v>
      </c>
      <c r="F181" s="44">
        <f>('Rates and GI'!$D$45+'Rates and GI'!$D$49)*0</f>
        <v>0</v>
      </c>
      <c r="G181" s="44">
        <f>('Rates and GI'!$D$45+'Rates and GI'!$D$49)*0</f>
        <v>0</v>
      </c>
      <c r="H181" s="44"/>
    </row>
    <row r="182" spans="1:12" hidden="1" x14ac:dyDescent="0.25">
      <c r="B182" s="41" t="s">
        <v>187</v>
      </c>
      <c r="F182" s="44">
        <f>'Rates and GI'!$D$51*0</f>
        <v>0</v>
      </c>
      <c r="G182" s="44">
        <f>'Rates and GI'!$D$51*0</f>
        <v>0</v>
      </c>
      <c r="H182" s="44"/>
    </row>
    <row r="183" spans="1:12" hidden="1" x14ac:dyDescent="0.25">
      <c r="B183" s="5" t="s">
        <v>174</v>
      </c>
      <c r="E183" s="44">
        <f>E184*E185</f>
        <v>0</v>
      </c>
      <c r="F183" s="44">
        <f t="shared" ref="F183:H183" si="65">F184*F185</f>
        <v>0</v>
      </c>
      <c r="G183" s="44">
        <f t="shared" si="65"/>
        <v>0</v>
      </c>
      <c r="H183" s="44">
        <f t="shared" si="65"/>
        <v>0</v>
      </c>
    </row>
    <row r="184" spans="1:12" hidden="1" x14ac:dyDescent="0.25">
      <c r="B184" s="41" t="s">
        <v>164</v>
      </c>
      <c r="F184" s="44">
        <f>'Rates and GI'!$D$54</f>
        <v>24.066499999999998</v>
      </c>
      <c r="G184" s="44">
        <f>'Rates and GI'!$D$54</f>
        <v>24.066499999999998</v>
      </c>
      <c r="H184" s="44">
        <f>'Rates and GI'!$D$54</f>
        <v>24.066499999999998</v>
      </c>
    </row>
    <row r="185" spans="1:12" hidden="1" x14ac:dyDescent="0.25">
      <c r="B185" s="41" t="s">
        <v>163</v>
      </c>
      <c r="F185" s="44">
        <v>0</v>
      </c>
      <c r="G185" s="38">
        <v>0</v>
      </c>
      <c r="H185" s="38">
        <v>0</v>
      </c>
    </row>
    <row r="186" spans="1:12" hidden="1" x14ac:dyDescent="0.25">
      <c r="B186" s="5" t="s">
        <v>175</v>
      </c>
      <c r="E186" s="44">
        <f>E187+E191</f>
        <v>0</v>
      </c>
      <c r="F186" s="44">
        <f t="shared" ref="F186:H186" si="66">F187+F191</f>
        <v>0</v>
      </c>
      <c r="G186" s="44">
        <f t="shared" si="66"/>
        <v>0</v>
      </c>
      <c r="H186" s="44">
        <f t="shared" si="66"/>
        <v>0</v>
      </c>
    </row>
    <row r="187" spans="1:12" hidden="1" x14ac:dyDescent="0.25">
      <c r="B187" s="41" t="s">
        <v>189</v>
      </c>
      <c r="E187" s="44">
        <f>E188*E189</f>
        <v>0</v>
      </c>
      <c r="F187" s="44">
        <f t="shared" ref="F187:H187" si="67">F188*F189</f>
        <v>0</v>
      </c>
      <c r="G187" s="44">
        <f t="shared" si="67"/>
        <v>0</v>
      </c>
      <c r="H187" s="44">
        <f t="shared" si="67"/>
        <v>0</v>
      </c>
    </row>
    <row r="188" spans="1:12" hidden="1" x14ac:dyDescent="0.25">
      <c r="B188" s="41" t="s">
        <v>176</v>
      </c>
      <c r="C188" s="5" t="s">
        <v>177</v>
      </c>
      <c r="E188" s="44">
        <v>0</v>
      </c>
      <c r="F188" s="44">
        <v>0</v>
      </c>
      <c r="G188" s="38">
        <v>0</v>
      </c>
      <c r="H188" s="38">
        <v>0</v>
      </c>
    </row>
    <row r="189" spans="1:12" hidden="1" x14ac:dyDescent="0.25">
      <c r="B189" s="41" t="s">
        <v>178</v>
      </c>
      <c r="E189" s="44">
        <f>'Rates and GI'!$D$52</f>
        <v>150</v>
      </c>
      <c r="F189" s="44">
        <f>'Rates and GI'!$D$52</f>
        <v>150</v>
      </c>
      <c r="G189" s="44">
        <f>'Rates and GI'!$D$52</f>
        <v>150</v>
      </c>
      <c r="H189" s="44">
        <f>'Rates and GI'!$D$52</f>
        <v>150</v>
      </c>
    </row>
    <row r="190" spans="1:12" hidden="1" x14ac:dyDescent="0.25">
      <c r="B190" s="6"/>
    </row>
    <row r="191" spans="1:12" hidden="1" x14ac:dyDescent="0.25">
      <c r="B191" s="41" t="s">
        <v>190</v>
      </c>
      <c r="E191" s="44">
        <f>E192*E193</f>
        <v>0</v>
      </c>
      <c r="F191" s="44">
        <f t="shared" ref="F191:H191" si="68">F192*F193</f>
        <v>0</v>
      </c>
      <c r="G191" s="44">
        <f t="shared" si="68"/>
        <v>0</v>
      </c>
      <c r="H191" s="44">
        <f t="shared" si="68"/>
        <v>0</v>
      </c>
    </row>
    <row r="192" spans="1:12" hidden="1" x14ac:dyDescent="0.25">
      <c r="B192" s="41" t="s">
        <v>176</v>
      </c>
      <c r="C192" s="5" t="s">
        <v>177</v>
      </c>
      <c r="E192" s="44">
        <v>0</v>
      </c>
      <c r="F192" s="44">
        <v>0</v>
      </c>
      <c r="G192" s="38">
        <v>0</v>
      </c>
      <c r="H192" s="38">
        <v>0</v>
      </c>
    </row>
    <row r="193" spans="1:12" s="62" customFormat="1" hidden="1" x14ac:dyDescent="0.25">
      <c r="A193" s="5"/>
      <c r="B193" s="41" t="s">
        <v>178</v>
      </c>
      <c r="C193" s="5"/>
      <c r="D193" s="44"/>
      <c r="E193" s="44">
        <f>'Rates and GI'!$D$53</f>
        <v>20</v>
      </c>
      <c r="F193" s="44">
        <f>'Rates and GI'!$D$53</f>
        <v>20</v>
      </c>
      <c r="G193" s="44">
        <f>'Rates and GI'!$D$53</f>
        <v>20</v>
      </c>
      <c r="H193" s="44">
        <f>'Rates and GI'!$D$53</f>
        <v>20</v>
      </c>
      <c r="J193" s="6"/>
      <c r="K193" s="6"/>
      <c r="L193" s="6"/>
    </row>
    <row r="194" spans="1:12" s="62" customFormat="1" hidden="1" x14ac:dyDescent="0.25">
      <c r="A194" s="5"/>
      <c r="B194" s="6"/>
      <c r="C194" s="5"/>
      <c r="D194" s="44"/>
      <c r="E194" s="44"/>
      <c r="F194" s="44"/>
      <c r="G194" s="38"/>
      <c r="H194" s="38"/>
      <c r="J194" s="6"/>
      <c r="K194" s="6"/>
      <c r="L194" s="6"/>
    </row>
    <row r="195" spans="1:12" s="62" customFormat="1" hidden="1" x14ac:dyDescent="0.25">
      <c r="A195" s="5"/>
      <c r="B195" s="5" t="s">
        <v>179</v>
      </c>
      <c r="C195" s="5"/>
      <c r="D195" s="44"/>
      <c r="E195" s="44">
        <f>E196*E197*E198</f>
        <v>0</v>
      </c>
      <c r="F195" s="44">
        <f t="shared" ref="F195:H195" si="69">F196*F197*F198</f>
        <v>0</v>
      </c>
      <c r="G195" s="44">
        <f t="shared" si="69"/>
        <v>0</v>
      </c>
      <c r="H195" s="44">
        <f t="shared" si="69"/>
        <v>0</v>
      </c>
      <c r="J195" s="6"/>
      <c r="K195" s="6"/>
      <c r="L195" s="6"/>
    </row>
    <row r="196" spans="1:12" s="62" customFormat="1" hidden="1" x14ac:dyDescent="0.25">
      <c r="A196" s="5"/>
      <c r="B196" s="41" t="s">
        <v>191</v>
      </c>
      <c r="C196" s="5"/>
      <c r="D196" s="44"/>
      <c r="E196" s="44"/>
      <c r="F196" s="44">
        <f>'Rates and GI'!$D$55</f>
        <v>300</v>
      </c>
      <c r="G196" s="44">
        <f>'Rates and GI'!$D$55</f>
        <v>300</v>
      </c>
      <c r="H196" s="44">
        <f>'Rates and GI'!$D$55</f>
        <v>300</v>
      </c>
      <c r="J196" s="6"/>
      <c r="K196" s="6"/>
      <c r="L196" s="6"/>
    </row>
    <row r="197" spans="1:12" s="62" customFormat="1" hidden="1" x14ac:dyDescent="0.25">
      <c r="A197" s="5"/>
      <c r="B197" s="41" t="s">
        <v>192</v>
      </c>
      <c r="C197" s="5"/>
      <c r="D197" s="44"/>
      <c r="E197" s="44"/>
      <c r="F197" s="44">
        <v>3</v>
      </c>
      <c r="G197" s="44">
        <v>3</v>
      </c>
      <c r="H197" s="44">
        <v>3</v>
      </c>
      <c r="J197" s="6"/>
      <c r="K197" s="6"/>
      <c r="L197" s="6"/>
    </row>
    <row r="198" spans="1:12" s="62" customFormat="1" hidden="1" x14ac:dyDescent="0.25">
      <c r="A198" s="5"/>
      <c r="B198" s="41" t="s">
        <v>193</v>
      </c>
      <c r="C198" s="5"/>
      <c r="D198" s="44"/>
      <c r="E198" s="44"/>
      <c r="F198" s="44">
        <v>0</v>
      </c>
      <c r="G198" s="44">
        <v>0</v>
      </c>
      <c r="H198" s="44">
        <v>0</v>
      </c>
      <c r="J198" s="6"/>
      <c r="K198" s="6"/>
      <c r="L198" s="6"/>
    </row>
    <row r="199" spans="1:12" hidden="1" x14ac:dyDescent="0.25"/>
    <row r="200" spans="1:12" s="62" customFormat="1" hidden="1" x14ac:dyDescent="0.25">
      <c r="A200" s="5"/>
      <c r="B200" s="5" t="s">
        <v>172</v>
      </c>
      <c r="C200" s="5"/>
      <c r="D200" s="44"/>
      <c r="E200" s="44">
        <f>E201+E202*E203</f>
        <v>0</v>
      </c>
      <c r="F200" s="44">
        <f>F201+F202*F203</f>
        <v>0</v>
      </c>
      <c r="G200" s="44">
        <f>G201+G202*G203</f>
        <v>0</v>
      </c>
      <c r="H200" s="44">
        <f>H201+H202*H203</f>
        <v>0</v>
      </c>
      <c r="J200" s="6"/>
      <c r="K200" s="6"/>
      <c r="L200" s="6"/>
    </row>
    <row r="201" spans="1:12" s="62" customFormat="1" hidden="1" x14ac:dyDescent="0.25">
      <c r="A201" s="5"/>
      <c r="B201" s="41" t="s">
        <v>153</v>
      </c>
      <c r="C201" s="5"/>
      <c r="D201" s="44"/>
      <c r="E201" s="44"/>
      <c r="F201" s="44">
        <f>'Rates and GI'!D46*0</f>
        <v>0</v>
      </c>
      <c r="G201" s="38"/>
      <c r="H201" s="38"/>
      <c r="J201" s="6"/>
      <c r="K201" s="6"/>
      <c r="L201" s="6"/>
    </row>
    <row r="202" spans="1:12" s="62" customFormat="1" hidden="1" x14ac:dyDescent="0.25">
      <c r="A202" s="5"/>
      <c r="B202" s="41" t="s">
        <v>159</v>
      </c>
      <c r="C202" s="5"/>
      <c r="D202" s="44"/>
      <c r="E202" s="44"/>
      <c r="F202" s="65">
        <f>'Rates and GI'!$D$47</f>
        <v>0.05</v>
      </c>
      <c r="G202" s="65">
        <f>'Rates and GI'!$D$47</f>
        <v>0.05</v>
      </c>
      <c r="H202" s="65">
        <f>'Rates and GI'!$D$47</f>
        <v>0.05</v>
      </c>
      <c r="J202" s="6"/>
      <c r="K202" s="6"/>
      <c r="L202" s="6"/>
    </row>
    <row r="203" spans="1:12" s="62" customFormat="1" hidden="1" x14ac:dyDescent="0.25">
      <c r="A203" s="5"/>
      <c r="B203" s="41" t="s">
        <v>160</v>
      </c>
      <c r="C203" s="5"/>
      <c r="D203" s="44"/>
      <c r="E203" s="44"/>
      <c r="F203" s="44">
        <v>0</v>
      </c>
      <c r="G203" s="38">
        <v>0</v>
      </c>
      <c r="H203" s="38"/>
      <c r="J203" s="6"/>
      <c r="K203" s="6"/>
      <c r="L203" s="6"/>
    </row>
    <row r="204" spans="1:12" hidden="1" x14ac:dyDescent="0.25"/>
    <row r="205" spans="1:12" s="62" customFormat="1" hidden="1" x14ac:dyDescent="0.25">
      <c r="A205" s="50"/>
      <c r="B205" s="50" t="s">
        <v>19</v>
      </c>
      <c r="C205" s="50"/>
      <c r="D205" s="52"/>
      <c r="E205" s="52">
        <v>0</v>
      </c>
      <c r="F205" s="52">
        <v>0</v>
      </c>
      <c r="G205" s="52">
        <v>0</v>
      </c>
      <c r="H205" s="52">
        <v>0</v>
      </c>
      <c r="J205" s="6"/>
      <c r="K205" s="6"/>
      <c r="L205" s="6"/>
    </row>
    <row r="206" spans="1:12" hidden="1" x14ac:dyDescent="0.25"/>
    <row r="207" spans="1:12" ht="27" hidden="1" x14ac:dyDescent="0.25">
      <c r="A207" s="50"/>
      <c r="B207" s="132" t="s">
        <v>252</v>
      </c>
      <c r="C207" s="133"/>
      <c r="D207" s="51"/>
      <c r="E207" s="51"/>
      <c r="F207" s="51"/>
      <c r="G207" s="51"/>
      <c r="H207" s="51"/>
    </row>
    <row r="208" spans="1:12" hidden="1" x14ac:dyDescent="0.25">
      <c r="A208" s="10"/>
      <c r="B208" s="39" t="s">
        <v>253</v>
      </c>
      <c r="C208" s="134">
        <v>1</v>
      </c>
      <c r="D208" s="33"/>
      <c r="E208" s="44">
        <v>0</v>
      </c>
      <c r="F208" s="44">
        <v>0</v>
      </c>
      <c r="G208" s="44">
        <v>0</v>
      </c>
      <c r="H208" s="44">
        <v>0</v>
      </c>
    </row>
    <row r="209" spans="1:8" hidden="1" x14ac:dyDescent="0.25">
      <c r="B209" s="39" t="s">
        <v>254</v>
      </c>
      <c r="C209" s="33">
        <v>0</v>
      </c>
      <c r="D209" s="33"/>
      <c r="G209" s="44"/>
      <c r="H209" s="44"/>
    </row>
    <row r="210" spans="1:8" hidden="1" x14ac:dyDescent="0.25">
      <c r="B210" s="39" t="s">
        <v>255</v>
      </c>
      <c r="C210" s="73"/>
      <c r="D210" s="33"/>
      <c r="E210" s="44">
        <f>$C$209/$C$208*E208</f>
        <v>0</v>
      </c>
      <c r="F210" s="44">
        <f t="shared" ref="F210:H210" si="70">$C$209/$C$208*F208</f>
        <v>0</v>
      </c>
      <c r="G210" s="44">
        <f t="shared" si="70"/>
        <v>0</v>
      </c>
      <c r="H210" s="44">
        <f t="shared" si="70"/>
        <v>0</v>
      </c>
    </row>
    <row r="211" spans="1:8" hidden="1" x14ac:dyDescent="0.25"/>
    <row r="212" spans="1:8" x14ac:dyDescent="0.25">
      <c r="A212" s="228"/>
      <c r="B212" s="228"/>
      <c r="C212" s="228"/>
      <c r="D212" s="230"/>
      <c r="E212" s="230"/>
      <c r="F212" s="230"/>
      <c r="G212" s="230"/>
      <c r="H212" s="230"/>
    </row>
  </sheetData>
  <pageMargins left="0.7" right="0.7" top="0.75" bottom="0.75" header="0.3" footer="0.3"/>
  <pageSetup paperSize="9" scale="56" fitToHeight="0"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60" workbookViewId="0">
      <selection activeCell="B188" sqref="B18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38</v>
      </c>
      <c r="B1" s="126" t="s">
        <v>258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1484.7</v>
      </c>
      <c r="E5" s="44">
        <f>E67</f>
        <v>1484.7</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1484.7</v>
      </c>
      <c r="E7" s="47">
        <f>SUBTOTAL(9,E5:E6)</f>
        <v>1484.7</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1872</v>
      </c>
      <c r="E10" s="44">
        <f>E91</f>
        <v>1872</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1872</v>
      </c>
      <c r="E12" s="47">
        <f t="shared" ref="E12:H12" si="5">SUBTOTAL(9,E10:E11)</f>
        <v>1872</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150</v>
      </c>
      <c r="E51" s="44">
        <f>E141</f>
        <v>150</v>
      </c>
      <c r="F51" s="44">
        <f t="shared" ref="F51:H51" si="27">F141</f>
        <v>0</v>
      </c>
      <c r="G51" s="44">
        <f t="shared" si="27"/>
        <v>0</v>
      </c>
      <c r="H51" s="44">
        <f t="shared" si="27"/>
        <v>0</v>
      </c>
    </row>
    <row r="52" spans="1:12" ht="14.25" thickBot="1" x14ac:dyDescent="0.3">
      <c r="A52" s="13"/>
      <c r="B52" s="13" t="s">
        <v>69</v>
      </c>
      <c r="C52" s="13"/>
      <c r="D52" s="47">
        <f>SUBTOTAL(9,D50:D51)</f>
        <v>150</v>
      </c>
      <c r="E52" s="47">
        <f>SUBTOTAL(9,E50:E51)</f>
        <v>150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3506.7</v>
      </c>
      <c r="E54" s="49">
        <f>SUBTOTAL(9,E5:E52)</f>
        <v>3506.7</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1484.7</v>
      </c>
      <c r="F67" s="44">
        <f t="shared" ref="F67:H67" si="28">F68*F69</f>
        <v>0</v>
      </c>
      <c r="G67" s="44">
        <f t="shared" si="28"/>
        <v>0</v>
      </c>
      <c r="H67" s="44">
        <f t="shared" si="28"/>
        <v>0</v>
      </c>
    </row>
    <row r="68" spans="1:12" x14ac:dyDescent="0.25">
      <c r="A68" s="9"/>
      <c r="B68" s="9" t="s">
        <v>114</v>
      </c>
      <c r="C68" s="9" t="s">
        <v>113</v>
      </c>
      <c r="E68" s="44">
        <f>21*4</f>
        <v>84</v>
      </c>
      <c r="F68" s="44">
        <v>0</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1872</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x14ac:dyDescent="0.25">
      <c r="A95" s="5"/>
      <c r="B95" s="9" t="s">
        <v>51</v>
      </c>
      <c r="C95" s="5"/>
      <c r="D95" s="44"/>
      <c r="E95" s="44">
        <f>3*12</f>
        <v>36</v>
      </c>
      <c r="F95" s="44">
        <v>0</v>
      </c>
      <c r="G95" s="44">
        <v>0</v>
      </c>
      <c r="H95" s="44">
        <v>0</v>
      </c>
      <c r="I95" s="62"/>
      <c r="J95" s="6"/>
      <c r="K95" s="6"/>
      <c r="L95" s="6"/>
    </row>
    <row r="96" spans="1:12" s="7" customFormat="1" x14ac:dyDescent="0.25">
      <c r="A96" s="5"/>
      <c r="B96" s="9" t="s">
        <v>52</v>
      </c>
      <c r="C96" s="5"/>
      <c r="D96" s="44"/>
      <c r="E96" s="44">
        <f>Trips!$B$5</f>
        <v>52</v>
      </c>
      <c r="F96" s="44">
        <f>Trips!$B$5</f>
        <v>52</v>
      </c>
      <c r="G96" s="44">
        <f>Trips!$B$5</f>
        <v>52</v>
      </c>
      <c r="H96" s="44">
        <f>Trips!$B$5</f>
        <v>52</v>
      </c>
      <c r="I96" s="62"/>
      <c r="J96" s="6"/>
      <c r="K96" s="6"/>
      <c r="L96" s="6"/>
    </row>
    <row r="97"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44">
        <v>0</v>
      </c>
      <c r="H107" s="44">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34">E112*E113</f>
        <v>0</v>
      </c>
      <c r="F111" s="52">
        <f t="shared" si="34"/>
        <v>0</v>
      </c>
      <c r="G111" s="52">
        <f t="shared" si="34"/>
        <v>0</v>
      </c>
      <c r="H111" s="52">
        <f t="shared" si="34"/>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170"/>
      <c r="F117" s="170"/>
      <c r="G117" s="106"/>
      <c r="H117" s="106"/>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150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x14ac:dyDescent="0.25">
      <c r="B148" s="41" t="s">
        <v>217</v>
      </c>
      <c r="D148" s="44"/>
      <c r="E148" s="44">
        <v>3</v>
      </c>
      <c r="F148" s="44">
        <v>0</v>
      </c>
      <c r="G148" s="44">
        <v>0</v>
      </c>
      <c r="H148" s="44">
        <v>0</v>
      </c>
      <c r="I148" s="62"/>
      <c r="J148" s="6"/>
      <c r="K148" s="6"/>
      <c r="L148" s="6"/>
    </row>
    <row r="149" spans="1:12" s="5" customFormat="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hidden="1" x14ac:dyDescent="0.25"/>
  </sheetData>
  <pageMargins left="0.7" right="0.7" top="0.75" bottom="0.75" header="0.3" footer="0.3"/>
  <pageSetup paperSize="9" scale="56" fitToHeight="0"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45" workbookViewId="0">
      <selection activeCell="B187" sqref="B187"/>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39</v>
      </c>
      <c r="B1" s="126" t="s">
        <v>259</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23548.7176057287</v>
      </c>
      <c r="E5" s="44">
        <f>E67</f>
        <v>6681.1500000000005</v>
      </c>
      <c r="F5" s="44">
        <f t="shared" ref="F5:H5" si="1">F67</f>
        <v>6968.4394499999999</v>
      </c>
      <c r="G5" s="44">
        <f t="shared" si="1"/>
        <v>4845.3882308999991</v>
      </c>
      <c r="H5" s="44">
        <f t="shared" si="1"/>
        <v>5053.7399248286993</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23548.7176057287</v>
      </c>
      <c r="E7" s="47">
        <f>SUBTOTAL(9,E5:E6)</f>
        <v>6681.1500000000005</v>
      </c>
      <c r="F7" s="47">
        <f>SUBTOTAL(9,F5:F6)</f>
        <v>6968.4394499999999</v>
      </c>
      <c r="G7" s="47">
        <f>SUBTOTAL(9,G5:G6)</f>
        <v>4845.3882308999991</v>
      </c>
      <c r="H7" s="47">
        <f>SUBTOTAL(9,H5:H6)</f>
        <v>5053.7399248286993</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9984</v>
      </c>
      <c r="E10" s="44">
        <f>E91</f>
        <v>3744</v>
      </c>
      <c r="F10" s="44">
        <f t="shared" ref="F10:H10" si="4">F91</f>
        <v>3744</v>
      </c>
      <c r="G10" s="44">
        <f t="shared" si="4"/>
        <v>1248</v>
      </c>
      <c r="H10" s="44">
        <f t="shared" si="4"/>
        <v>1248</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9984</v>
      </c>
      <c r="E12" s="47">
        <f t="shared" ref="E12:H12" si="5">SUBTOTAL(9,E10:E11)</f>
        <v>3744</v>
      </c>
      <c r="F12" s="47">
        <f t="shared" si="5"/>
        <v>3744</v>
      </c>
      <c r="G12" s="47">
        <f t="shared" si="5"/>
        <v>1248</v>
      </c>
      <c r="H12" s="47">
        <f t="shared" si="5"/>
        <v>1248</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1449.253125</v>
      </c>
      <c r="E20" s="44">
        <f>E103</f>
        <v>709.375</v>
      </c>
      <c r="F20" s="44">
        <f t="shared" ref="F20:H20" si="10">F103</f>
        <v>739.87812499999995</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1449.253125</v>
      </c>
      <c r="E22" s="47">
        <f t="shared" ref="E22:H22" si="12">SUBTOTAL(9,E20:E21)</f>
        <v>709.375</v>
      </c>
      <c r="F22" s="47">
        <f t="shared" si="12"/>
        <v>739.87812499999995</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150</v>
      </c>
      <c r="E51" s="44">
        <f>E141</f>
        <v>150</v>
      </c>
      <c r="F51" s="44">
        <f t="shared" ref="F51:H51" si="27">F141</f>
        <v>0</v>
      </c>
      <c r="G51" s="44">
        <f t="shared" si="27"/>
        <v>0</v>
      </c>
      <c r="H51" s="44">
        <f t="shared" si="27"/>
        <v>0</v>
      </c>
    </row>
    <row r="52" spans="1:12" ht="14.25" thickBot="1" x14ac:dyDescent="0.3">
      <c r="A52" s="13"/>
      <c r="B52" s="13" t="s">
        <v>69</v>
      </c>
      <c r="C52" s="13"/>
      <c r="D52" s="47">
        <f>SUBTOTAL(9,D50:D51)</f>
        <v>150</v>
      </c>
      <c r="E52" s="47">
        <f>SUBTOTAL(9,E50:E51)</f>
        <v>150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35131.970730728703</v>
      </c>
      <c r="E54" s="49">
        <f>SUBTOTAL(9,E5:E52)</f>
        <v>11284.525000000001</v>
      </c>
      <c r="F54" s="49">
        <f>SUBTOTAL(9,F5:F52)</f>
        <v>11452.317574999999</v>
      </c>
      <c r="G54" s="49">
        <f>SUBTOTAL(9,G5:G52)</f>
        <v>6093.3882308999991</v>
      </c>
      <c r="H54" s="49">
        <f>SUBTOTAL(9,H5:H52)</f>
        <v>6301.7399248286993</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6681.1500000000005</v>
      </c>
      <c r="F67" s="44">
        <f t="shared" ref="F67:H67" si="28">F68*F69</f>
        <v>6968.4394499999999</v>
      </c>
      <c r="G67" s="44">
        <f t="shared" si="28"/>
        <v>4845.3882308999991</v>
      </c>
      <c r="H67" s="44">
        <f t="shared" si="28"/>
        <v>5053.7399248286993</v>
      </c>
    </row>
    <row r="68" spans="1:12" x14ac:dyDescent="0.25">
      <c r="A68" s="9"/>
      <c r="B68" s="9" t="s">
        <v>114</v>
      </c>
      <c r="C68" s="9" t="s">
        <v>113</v>
      </c>
      <c r="E68" s="44">
        <f>21*9*2</f>
        <v>378</v>
      </c>
      <c r="F68" s="44">
        <f>21*6+21*12</f>
        <v>378</v>
      </c>
      <c r="G68" s="44">
        <f>21*12</f>
        <v>252</v>
      </c>
      <c r="H68" s="44">
        <f>G68</f>
        <v>252</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3744</v>
      </c>
      <c r="F91" s="52">
        <f t="shared" ref="F91:H91" si="30">F92*F93+F95*F96</f>
        <v>3744</v>
      </c>
      <c r="G91" s="52">
        <f t="shared" si="30"/>
        <v>1248</v>
      </c>
      <c r="H91" s="52">
        <f t="shared" si="30"/>
        <v>1248</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x14ac:dyDescent="0.25">
      <c r="A95" s="5"/>
      <c r="B95" s="9" t="s">
        <v>51</v>
      </c>
      <c r="C95" s="5"/>
      <c r="D95" s="44"/>
      <c r="E95" s="44">
        <f>2*3*12</f>
        <v>72</v>
      </c>
      <c r="F95" s="44">
        <f>E95</f>
        <v>72</v>
      </c>
      <c r="G95" s="44">
        <f>2*12</f>
        <v>24</v>
      </c>
      <c r="H95" s="44">
        <f>G95</f>
        <v>24</v>
      </c>
      <c r="I95" s="62"/>
      <c r="J95" s="6"/>
      <c r="K95" s="6"/>
      <c r="L95" s="6"/>
    </row>
    <row r="96" spans="1:12" s="7" customFormat="1" x14ac:dyDescent="0.25">
      <c r="A96" s="5"/>
      <c r="B96" s="9" t="s">
        <v>52</v>
      </c>
      <c r="C96" s="5"/>
      <c r="D96" s="44"/>
      <c r="E96" s="44">
        <f>Trips!$B$5</f>
        <v>52</v>
      </c>
      <c r="F96" s="44">
        <f>Trips!$B$5</f>
        <v>52</v>
      </c>
      <c r="G96" s="44">
        <f>Trips!$B$5</f>
        <v>52</v>
      </c>
      <c r="H96" s="44">
        <f>Trips!$B$5</f>
        <v>52</v>
      </c>
      <c r="I96" s="62"/>
      <c r="J96" s="6"/>
      <c r="K96" s="6"/>
      <c r="L96" s="6"/>
    </row>
    <row r="97"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f>
        <v>709.375</v>
      </c>
      <c r="F103" s="52">
        <f t="shared" ref="F103:H103" si="32">F104*F105+F106*F107+F108*F109</f>
        <v>739.87812499999995</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x14ac:dyDescent="0.25">
      <c r="B106" s="39" t="s">
        <v>134</v>
      </c>
      <c r="C106" s="5" t="s">
        <v>471</v>
      </c>
      <c r="E106" s="44">
        <f>Training!C23</f>
        <v>709.375</v>
      </c>
      <c r="F106" s="44">
        <f>E106*(1+index)</f>
        <v>739.87812499999995</v>
      </c>
      <c r="G106" s="44">
        <f>F106*(1+index)</f>
        <v>771.69288437499995</v>
      </c>
      <c r="H106" s="44">
        <f>G106*(1+index)</f>
        <v>804.87567840312488</v>
      </c>
    </row>
    <row r="107" spans="1:12" x14ac:dyDescent="0.25">
      <c r="B107" s="39" t="s">
        <v>135</v>
      </c>
      <c r="E107" s="44">
        <v>1</v>
      </c>
      <c r="F107" s="44">
        <v>1</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B110" s="39"/>
    </row>
    <row r="111" spans="1:12" hidden="1" x14ac:dyDescent="0.25">
      <c r="A111" s="50"/>
      <c r="B111" s="50" t="s">
        <v>24</v>
      </c>
      <c r="C111" s="50"/>
      <c r="D111" s="52"/>
      <c r="E111" s="52">
        <f t="shared" ref="E111:H111" si="34">E112*E113</f>
        <v>0</v>
      </c>
      <c r="F111" s="52">
        <f t="shared" si="34"/>
        <v>0</v>
      </c>
      <c r="G111" s="52">
        <f t="shared" si="34"/>
        <v>0</v>
      </c>
      <c r="H111" s="52">
        <f t="shared" si="34"/>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150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x14ac:dyDescent="0.25">
      <c r="B148" s="41" t="s">
        <v>217</v>
      </c>
      <c r="D148" s="44"/>
      <c r="E148" s="44">
        <v>3</v>
      </c>
      <c r="F148" s="44">
        <v>0</v>
      </c>
      <c r="G148" s="44">
        <v>0</v>
      </c>
      <c r="H148" s="44">
        <v>0</v>
      </c>
      <c r="I148" s="62"/>
      <c r="J148" s="6"/>
      <c r="K148" s="6"/>
      <c r="L148" s="6"/>
    </row>
    <row r="149" spans="1:12" s="5" customFormat="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x14ac:dyDescent="0.25">
      <c r="A183" s="228"/>
      <c r="B183" s="228"/>
      <c r="C183" s="228"/>
      <c r="D183" s="230"/>
      <c r="E183" s="230"/>
      <c r="F183" s="230"/>
      <c r="G183" s="230"/>
      <c r="H183" s="230"/>
    </row>
  </sheetData>
  <pageMargins left="0.7" right="0.7" top="0.75" bottom="0.75" header="0.3" footer="0.3"/>
  <pageSetup paperSize="9" scale="56" fitToHeight="0"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7"/>
  <sheetViews>
    <sheetView topLeftCell="A103" workbookViewId="0">
      <selection activeCell="B193" sqref="B19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40</v>
      </c>
      <c r="B1" s="126" t="s">
        <v>356</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E67</f>
        <v>2227.0500000000002</v>
      </c>
      <c r="F5" s="44">
        <f t="shared" ref="F5:H5" si="1">F67</f>
        <v>0</v>
      </c>
      <c r="G5" s="44">
        <f t="shared" si="1"/>
        <v>0</v>
      </c>
      <c r="H5" s="44">
        <f t="shared" si="1"/>
        <v>0</v>
      </c>
    </row>
    <row r="6" spans="1:12" x14ac:dyDescent="0.25">
      <c r="B6" s="16" t="s">
        <v>168</v>
      </c>
      <c r="D6" s="44">
        <f t="shared" si="0"/>
        <v>3406.5359999999996</v>
      </c>
      <c r="E6" s="44">
        <f>E71</f>
        <v>3406.5359999999996</v>
      </c>
      <c r="F6" s="44">
        <f t="shared" ref="F6:H6" si="2">F71</f>
        <v>0</v>
      </c>
      <c r="G6" s="44">
        <f t="shared" si="2"/>
        <v>0</v>
      </c>
      <c r="H6" s="44">
        <f t="shared" si="2"/>
        <v>0</v>
      </c>
    </row>
    <row r="7" spans="1:12" ht="14.25" thickBot="1" x14ac:dyDescent="0.3">
      <c r="A7" s="13"/>
      <c r="B7" s="13" t="s">
        <v>5</v>
      </c>
      <c r="C7" s="13"/>
      <c r="D7" s="47">
        <f>SUBTOTAL(9,D5:D6)</f>
        <v>5633.5859999999993</v>
      </c>
      <c r="E7" s="47">
        <f>SUBTOTAL(9,E5:E6)</f>
        <v>5633.5859999999993</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631.70365882352939</v>
      </c>
      <c r="E15" s="44">
        <f>E99</f>
        <v>631.70365882352939</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631.70365882352939</v>
      </c>
      <c r="E17" s="47">
        <f t="shared" ref="E17:H17" si="8">SUBTOTAL(9,E15:E16)</f>
        <v>631.70365882352939</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46988.345361074433</v>
      </c>
      <c r="E20" s="44">
        <f>E103</f>
        <v>9929.8312499999993</v>
      </c>
      <c r="F20" s="44">
        <f t="shared" ref="F20:H20" si="10">F103</f>
        <v>11836.570243749999</v>
      </c>
      <c r="G20" s="44">
        <f t="shared" si="10"/>
        <v>12345.542764231248</v>
      </c>
      <c r="H20" s="44">
        <f t="shared" si="10"/>
        <v>12876.401103093191</v>
      </c>
    </row>
    <row r="21" spans="1:12" x14ac:dyDescent="0.25">
      <c r="B21" s="16" t="s">
        <v>139</v>
      </c>
      <c r="D21" s="44">
        <f t="shared" ref="D21" si="11">SUM(E21:H21)</f>
        <v>0</v>
      </c>
    </row>
    <row r="22" spans="1:12" ht="14.25" thickBot="1" x14ac:dyDescent="0.3">
      <c r="A22" s="13"/>
      <c r="B22" s="13" t="s">
        <v>140</v>
      </c>
      <c r="C22" s="13"/>
      <c r="D22" s="47">
        <f>SUBTOTAL(9,D20:D21)</f>
        <v>46988.345361074433</v>
      </c>
      <c r="E22" s="47">
        <f t="shared" ref="E22:H22" si="12">SUBTOTAL(9,E20:E21)</f>
        <v>9929.8312499999993</v>
      </c>
      <c r="F22" s="47">
        <f t="shared" si="12"/>
        <v>11836.570243749999</v>
      </c>
      <c r="G22" s="47">
        <f t="shared" si="12"/>
        <v>12345.542764231248</v>
      </c>
      <c r="H22" s="47">
        <f t="shared" si="12"/>
        <v>12876.401103093191</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300</v>
      </c>
      <c r="E25" s="44">
        <f>E111</f>
        <v>300</v>
      </c>
      <c r="F25" s="44">
        <f t="shared" ref="F25:H25" si="13">F111</f>
        <v>0</v>
      </c>
      <c r="G25" s="44">
        <f t="shared" si="13"/>
        <v>0</v>
      </c>
      <c r="H25" s="44">
        <f t="shared" si="13"/>
        <v>0</v>
      </c>
    </row>
    <row r="26" spans="1:12" x14ac:dyDescent="0.25">
      <c r="B26" s="16" t="s">
        <v>25</v>
      </c>
      <c r="D26" s="44">
        <f t="shared" ref="D26" si="14">SUM(E26:H26)</f>
        <v>1885.7759999999998</v>
      </c>
      <c r="E26" s="44">
        <f>E136</f>
        <v>541.94399999999996</v>
      </c>
      <c r="F26" s="44">
        <f t="shared" ref="F26:H26" si="15">F136</f>
        <v>447.94399999999996</v>
      </c>
      <c r="G26" s="44">
        <f t="shared" si="15"/>
        <v>447.94399999999996</v>
      </c>
      <c r="H26" s="44">
        <f t="shared" si="15"/>
        <v>447.94399999999996</v>
      </c>
    </row>
    <row r="27" spans="1:12" x14ac:dyDescent="0.25">
      <c r="B27" s="16" t="s">
        <v>233</v>
      </c>
    </row>
    <row r="28" spans="1:12" ht="14.25" thickBot="1" x14ac:dyDescent="0.3">
      <c r="A28" s="13"/>
      <c r="B28" s="13" t="s">
        <v>73</v>
      </c>
      <c r="C28" s="13"/>
      <c r="D28" s="47">
        <f>SUBTOTAL(9,D25:D27)</f>
        <v>2185.7759999999998</v>
      </c>
      <c r="E28" s="47">
        <f t="shared" ref="E28:H28" si="16">SUBTOTAL(9,E25:E27)</f>
        <v>841.94399999999996</v>
      </c>
      <c r="F28" s="47">
        <f t="shared" si="16"/>
        <v>447.94399999999996</v>
      </c>
      <c r="G28" s="47">
        <f t="shared" si="16"/>
        <v>447.94399999999996</v>
      </c>
      <c r="H28" s="47">
        <f t="shared" si="16"/>
        <v>447.94399999999996</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354</v>
      </c>
      <c r="D31" s="44">
        <f t="shared" ref="D31:D34" si="17">SUM(E31:H31)</f>
        <v>0</v>
      </c>
      <c r="E31" s="44">
        <f>E116</f>
        <v>0</v>
      </c>
      <c r="F31" s="44">
        <f t="shared" ref="F31:H31" si="18">F116</f>
        <v>0</v>
      </c>
      <c r="G31" s="44">
        <f t="shared" si="18"/>
        <v>0</v>
      </c>
      <c r="H31" s="44">
        <f t="shared" si="18"/>
        <v>0</v>
      </c>
    </row>
    <row r="32" spans="1:12" x14ac:dyDescent="0.25">
      <c r="B32" s="16" t="s">
        <v>26</v>
      </c>
      <c r="D32" s="44">
        <f t="shared" si="17"/>
        <v>0</v>
      </c>
      <c r="E32" s="44">
        <f>E125</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SUBTOTAL(9,E31:E34)</f>
        <v>0</v>
      </c>
      <c r="F35" s="47">
        <f t="shared" ref="F35:H35" si="19">SUBTOTAL(9,F31:F34)</f>
        <v>0</v>
      </c>
      <c r="G35" s="47">
        <f>SUBTOTAL(9,G31:G34)</f>
        <v>0</v>
      </c>
      <c r="H35" s="47">
        <f t="shared" si="19"/>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E181</f>
        <v>0</v>
      </c>
      <c r="F40" s="44">
        <f t="shared" ref="F40:H40" si="21">F181</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E186</f>
        <v>0</v>
      </c>
      <c r="F46" s="44">
        <f t="shared" ref="F46:H46" si="24">F186</f>
        <v>0</v>
      </c>
      <c r="G46" s="44">
        <f t="shared" si="24"/>
        <v>0</v>
      </c>
      <c r="H46" s="44">
        <f t="shared" si="24"/>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E155</f>
        <v>0</v>
      </c>
      <c r="F50" s="44">
        <f t="shared" ref="F50:H50" si="27">F155</f>
        <v>0</v>
      </c>
      <c r="G50" s="44">
        <f t="shared" si="27"/>
        <v>0</v>
      </c>
      <c r="H50" s="44">
        <f t="shared" si="27"/>
        <v>0</v>
      </c>
    </row>
    <row r="51" spans="1:12" x14ac:dyDescent="0.25">
      <c r="A51" s="3"/>
      <c r="B51" s="3" t="s">
        <v>21</v>
      </c>
      <c r="C51" s="3"/>
      <c r="D51" s="44">
        <f t="shared" si="26"/>
        <v>0</v>
      </c>
      <c r="E51" s="44">
        <f>E145</f>
        <v>0</v>
      </c>
      <c r="F51" s="44">
        <f t="shared" ref="F51:H51" si="28">F145</f>
        <v>0</v>
      </c>
      <c r="G51" s="44">
        <f t="shared" si="28"/>
        <v>0</v>
      </c>
      <c r="H51" s="44">
        <f t="shared" si="28"/>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55439.411019897962</v>
      </c>
      <c r="E54" s="49">
        <f>SUBTOTAL(9,E5:E52)</f>
        <v>17037.064908823526</v>
      </c>
      <c r="F54" s="49">
        <f>SUBTOTAL(9,F5:F52)</f>
        <v>12284.514243749998</v>
      </c>
      <c r="G54" s="49">
        <f>SUBTOTAL(9,G5:G52)</f>
        <v>12793.486764231247</v>
      </c>
      <c r="H54" s="49">
        <f>SUBTOTAL(9,H5:H52)</f>
        <v>13324.34510309319</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2227.0500000000002</v>
      </c>
      <c r="F67" s="44">
        <f t="shared" ref="F67:H67" si="29">F68*F69</f>
        <v>0</v>
      </c>
      <c r="G67" s="44">
        <f t="shared" si="29"/>
        <v>0</v>
      </c>
      <c r="H67" s="44">
        <f t="shared" si="29"/>
        <v>0</v>
      </c>
    </row>
    <row r="68" spans="1:12" x14ac:dyDescent="0.25">
      <c r="A68" s="9"/>
      <c r="B68" s="9" t="s">
        <v>114</v>
      </c>
      <c r="C68" s="9" t="s">
        <v>113</v>
      </c>
      <c r="E68" s="44">
        <f>6*21</f>
        <v>126</v>
      </c>
      <c r="F68" s="44">
        <v>0</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3406.5359999999996</v>
      </c>
      <c r="F71" s="44">
        <f t="shared" ref="F71:H71" si="30">F72*F73</f>
        <v>0</v>
      </c>
      <c r="G71" s="44">
        <f t="shared" si="30"/>
        <v>0</v>
      </c>
      <c r="H71" s="44">
        <f t="shared" si="30"/>
        <v>0</v>
      </c>
      <c r="I71" s="62"/>
      <c r="J71" s="6"/>
      <c r="K71" s="6"/>
      <c r="L71" s="6"/>
    </row>
    <row r="72" spans="1:12" s="7" customFormat="1" x14ac:dyDescent="0.25">
      <c r="A72" s="9"/>
      <c r="B72" s="9" t="s">
        <v>170</v>
      </c>
      <c r="C72" s="9" t="s">
        <v>113</v>
      </c>
      <c r="D72" s="44"/>
      <c r="E72" s="44">
        <f>21</f>
        <v>21</v>
      </c>
      <c r="F72" s="44">
        <v>0</v>
      </c>
      <c r="G72" s="44">
        <v>0</v>
      </c>
      <c r="H72" s="44">
        <v>0</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hidden="1" x14ac:dyDescent="0.25">
      <c r="A91" s="50"/>
      <c r="B91" s="50" t="s">
        <v>10</v>
      </c>
      <c r="C91" s="50"/>
      <c r="D91" s="52"/>
      <c r="E91" s="52">
        <f>E92*E93+E95*E96</f>
        <v>0</v>
      </c>
      <c r="F91" s="52">
        <f t="shared" ref="F91:H91" si="31">F92*F93+F95*F96</f>
        <v>0</v>
      </c>
      <c r="G91" s="52">
        <f t="shared" si="31"/>
        <v>0</v>
      </c>
      <c r="H91" s="52">
        <f t="shared" si="31"/>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x14ac:dyDescent="0.25">
      <c r="A99" s="50"/>
      <c r="B99" s="50" t="s">
        <v>171</v>
      </c>
      <c r="C99" s="50"/>
      <c r="D99" s="52"/>
      <c r="E99" s="52">
        <f>E100*E101</f>
        <v>631.70365882352939</v>
      </c>
      <c r="F99" s="52">
        <f t="shared" ref="F99:H99" si="32">F100*F101</f>
        <v>0</v>
      </c>
      <c r="G99" s="52">
        <f t="shared" si="32"/>
        <v>0</v>
      </c>
      <c r="H99" s="52">
        <f t="shared" si="32"/>
        <v>0</v>
      </c>
    </row>
    <row r="100" spans="1:12" s="7" customFormat="1" x14ac:dyDescent="0.25">
      <c r="A100" s="10"/>
      <c r="B100" s="39" t="s">
        <v>144</v>
      </c>
      <c r="C100" s="10" t="s">
        <v>145</v>
      </c>
      <c r="D100" s="44"/>
      <c r="E100" s="44">
        <v>1</v>
      </c>
      <c r="F100" s="44">
        <v>0</v>
      </c>
      <c r="G100" s="44">
        <v>0</v>
      </c>
      <c r="H100" s="44">
        <v>0</v>
      </c>
      <c r="I100" s="62"/>
      <c r="J100" s="6"/>
      <c r="K100" s="6"/>
      <c r="L100" s="6"/>
    </row>
    <row r="101" spans="1:12" s="7" customFormat="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3" spans="1:12" x14ac:dyDescent="0.25">
      <c r="A103" s="50"/>
      <c r="B103" s="50" t="s">
        <v>130</v>
      </c>
      <c r="C103" s="50"/>
      <c r="D103" s="52"/>
      <c r="E103" s="52">
        <f>E104*E105+E106*E107+E108*E109</f>
        <v>9929.8312499999993</v>
      </c>
      <c r="F103" s="52">
        <f t="shared" ref="F103:H103" si="33">F104*F105+F106*F107+F108*F109</f>
        <v>11836.570243749999</v>
      </c>
      <c r="G103" s="52">
        <f t="shared" si="33"/>
        <v>12345.542764231248</v>
      </c>
      <c r="H103" s="52">
        <f t="shared" si="33"/>
        <v>12876.401103093191</v>
      </c>
    </row>
    <row r="104" spans="1:12" x14ac:dyDescent="0.25">
      <c r="B104" s="39" t="s">
        <v>131</v>
      </c>
      <c r="C104" s="5" t="s">
        <v>132</v>
      </c>
      <c r="E104" s="44">
        <f>Training!$C$33</f>
        <v>81.10799999999999</v>
      </c>
      <c r="F104" s="44">
        <f>E104*(1+index)</f>
        <v>84.595643999999979</v>
      </c>
      <c r="G104" s="44">
        <f>F104*(1+index)</f>
        <v>88.233256691999969</v>
      </c>
      <c r="H104" s="44">
        <f>G104*(1+index)</f>
        <v>92.027286729755957</v>
      </c>
    </row>
    <row r="105" spans="1:12" x14ac:dyDescent="0.25">
      <c r="B105" s="39" t="s">
        <v>133</v>
      </c>
      <c r="F105" s="44">
        <f>F92</f>
        <v>0</v>
      </c>
      <c r="G105" s="44">
        <f t="shared" ref="G105:H105" si="34">G92</f>
        <v>0</v>
      </c>
      <c r="H105" s="44">
        <f t="shared" si="34"/>
        <v>0</v>
      </c>
    </row>
    <row r="106" spans="1:12" x14ac:dyDescent="0.25">
      <c r="B106" s="39" t="s">
        <v>134</v>
      </c>
      <c r="E106" s="44">
        <f>Training!C23</f>
        <v>709.375</v>
      </c>
      <c r="F106" s="44">
        <f>E106*(1+index)</f>
        <v>739.87812499999995</v>
      </c>
      <c r="G106" s="44">
        <f>F106*(1+index)</f>
        <v>771.69288437499995</v>
      </c>
      <c r="H106" s="44">
        <f>G106*(1+index)</f>
        <v>804.87567840312488</v>
      </c>
    </row>
    <row r="107" spans="1:12" x14ac:dyDescent="0.25">
      <c r="B107" s="39" t="s">
        <v>135</v>
      </c>
      <c r="C107" s="5" t="s">
        <v>471</v>
      </c>
      <c r="E107" s="44">
        <f>(Emp!$B$16*30%/4*2)/25+0.9</f>
        <v>13.997999999999999</v>
      </c>
      <c r="F107" s="44">
        <f>E107+2</f>
        <v>15.997999999999999</v>
      </c>
      <c r="G107" s="44">
        <f t="shared" ref="G107:H107" si="35">F107</f>
        <v>15.997999999999999</v>
      </c>
      <c r="H107" s="44">
        <f t="shared" si="35"/>
        <v>15.997999999999999</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B110" s="39"/>
    </row>
    <row r="111" spans="1:12" x14ac:dyDescent="0.25">
      <c r="A111" s="50"/>
      <c r="B111" s="50" t="s">
        <v>24</v>
      </c>
      <c r="C111" s="50"/>
      <c r="D111" s="52"/>
      <c r="E111" s="52">
        <f t="shared" ref="E111:H111" si="36">E112*E113</f>
        <v>300</v>
      </c>
      <c r="F111" s="52">
        <f t="shared" si="36"/>
        <v>0</v>
      </c>
      <c r="G111" s="52">
        <f t="shared" si="36"/>
        <v>0</v>
      </c>
      <c r="H111" s="52">
        <f t="shared" si="36"/>
        <v>0</v>
      </c>
    </row>
    <row r="112" spans="1:12" s="7" customFormat="1" x14ac:dyDescent="0.25">
      <c r="A112" s="5"/>
      <c r="B112" s="39" t="s">
        <v>53</v>
      </c>
      <c r="C112" s="5"/>
      <c r="D112" s="44"/>
      <c r="E112" s="44">
        <v>50</v>
      </c>
      <c r="F112" s="44">
        <v>0</v>
      </c>
      <c r="G112" s="44"/>
      <c r="H112" s="44"/>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5" spans="1:12" hidden="1" x14ac:dyDescent="0.25">
      <c r="A115" s="50"/>
      <c r="B115" s="50" t="s">
        <v>7</v>
      </c>
      <c r="C115" s="50"/>
      <c r="D115" s="52"/>
      <c r="E115" s="52"/>
      <c r="F115" s="52"/>
      <c r="G115" s="52"/>
      <c r="H115" s="52"/>
    </row>
    <row r="116" spans="1:12" hidden="1" x14ac:dyDescent="0.25">
      <c r="B116" s="66"/>
      <c r="C116" s="77"/>
      <c r="E116" s="152"/>
      <c r="G116" s="44"/>
      <c r="H116" s="44"/>
    </row>
    <row r="117" spans="1:12" hidden="1" x14ac:dyDescent="0.25">
      <c r="B117" s="66"/>
      <c r="G117" s="44"/>
      <c r="H117" s="44"/>
    </row>
    <row r="118" spans="1:12" hidden="1" x14ac:dyDescent="0.25">
      <c r="B118" s="66" t="s">
        <v>337</v>
      </c>
      <c r="G118" s="44"/>
      <c r="H118" s="44"/>
    </row>
    <row r="119" spans="1:12" hidden="1" x14ac:dyDescent="0.25">
      <c r="B119" s="5" t="s">
        <v>336</v>
      </c>
      <c r="G119" s="44"/>
      <c r="H119" s="44"/>
    </row>
    <row r="120" spans="1:12" s="7" customFormat="1" hidden="1" x14ac:dyDescent="0.25">
      <c r="A120" s="5"/>
      <c r="B120" s="4" t="s">
        <v>57</v>
      </c>
      <c r="C120" s="5"/>
      <c r="D120" s="44"/>
      <c r="E120" s="46"/>
      <c r="F120" s="46"/>
      <c r="G120" s="105"/>
      <c r="H120" s="105"/>
      <c r="I120" s="61"/>
      <c r="J120" s="6"/>
      <c r="K120" s="6"/>
      <c r="L120" s="6"/>
    </row>
    <row r="121" spans="1:12" s="43" customFormat="1" hidden="1" x14ac:dyDescent="0.25">
      <c r="A121" s="40"/>
      <c r="B121" s="41" t="s">
        <v>58</v>
      </c>
      <c r="C121" s="40" t="s">
        <v>55</v>
      </c>
      <c r="D121" s="71"/>
      <c r="E121" s="71"/>
      <c r="F121" s="71"/>
      <c r="G121" s="72"/>
      <c r="H121" s="72"/>
      <c r="I121" s="75"/>
      <c r="J121" s="42"/>
      <c r="K121" s="42"/>
      <c r="L121" s="42"/>
    </row>
    <row r="122" spans="1:12" s="40" customFormat="1" hidden="1" x14ac:dyDescent="0.25">
      <c r="B122" s="41" t="s">
        <v>56</v>
      </c>
      <c r="D122" s="71"/>
      <c r="E122" s="71"/>
      <c r="F122" s="71"/>
      <c r="G122" s="72"/>
      <c r="H122" s="72"/>
      <c r="I122" s="75"/>
      <c r="J122" s="42"/>
      <c r="K122" s="42"/>
      <c r="L122" s="42"/>
    </row>
    <row r="123" spans="1:12" s="40" customFormat="1" hidden="1" x14ac:dyDescent="0.25">
      <c r="B123" s="41" t="s">
        <v>59</v>
      </c>
      <c r="D123" s="71"/>
      <c r="E123" s="71"/>
      <c r="F123" s="71"/>
      <c r="G123" s="72"/>
      <c r="H123" s="72"/>
      <c r="I123" s="75"/>
      <c r="J123" s="42"/>
      <c r="K123" s="42"/>
      <c r="L123" s="42"/>
    </row>
    <row r="124" spans="1:12" hidden="1" x14ac:dyDescent="0.25"/>
    <row r="125" spans="1:12" hidden="1" x14ac:dyDescent="0.25">
      <c r="A125" s="50"/>
      <c r="B125" s="50" t="s">
        <v>26</v>
      </c>
      <c r="C125" s="50"/>
      <c r="D125" s="52"/>
      <c r="E125" s="52">
        <f>E130*E131</f>
        <v>0</v>
      </c>
      <c r="F125" s="52">
        <f>F130*F131</f>
        <v>0</v>
      </c>
      <c r="G125" s="52"/>
      <c r="H125" s="52"/>
    </row>
    <row r="126" spans="1:12" s="5" customFormat="1" hidden="1" x14ac:dyDescent="0.25">
      <c r="B126" s="55" t="s">
        <v>60</v>
      </c>
      <c r="D126" s="44"/>
      <c r="E126" s="44"/>
      <c r="F126" s="44"/>
      <c r="G126" s="38"/>
      <c r="H126" s="38"/>
      <c r="I126" s="62"/>
      <c r="J126" s="6"/>
      <c r="K126" s="6"/>
      <c r="L126" s="6"/>
    </row>
    <row r="127" spans="1:12" s="5" customFormat="1" hidden="1" x14ac:dyDescent="0.25">
      <c r="B127" s="41" t="s">
        <v>147</v>
      </c>
      <c r="D127" s="44"/>
      <c r="E127" s="44"/>
      <c r="F127" s="44"/>
      <c r="G127" s="38"/>
      <c r="H127" s="38"/>
      <c r="I127" s="62"/>
      <c r="J127" s="6"/>
      <c r="K127" s="6"/>
      <c r="L127" s="6"/>
    </row>
    <row r="128" spans="1:12" s="5" customFormat="1" hidden="1" x14ac:dyDescent="0.25">
      <c r="B128" s="41" t="s">
        <v>146</v>
      </c>
      <c r="D128" s="44"/>
      <c r="E128" s="44"/>
      <c r="F128" s="44"/>
      <c r="G128" s="38"/>
      <c r="H128" s="38"/>
      <c r="I128" s="62"/>
      <c r="J128" s="6"/>
      <c r="K128" s="6"/>
      <c r="L128" s="6"/>
    </row>
    <row r="129" spans="1:12" s="5" customFormat="1" hidden="1" x14ac:dyDescent="0.25">
      <c r="B129" s="55" t="s">
        <v>123</v>
      </c>
      <c r="D129" s="44"/>
      <c r="E129" s="44"/>
      <c r="F129" s="44"/>
      <c r="G129" s="38"/>
      <c r="H129" s="38"/>
      <c r="I129" s="62"/>
      <c r="J129" s="6"/>
      <c r="K129" s="6"/>
      <c r="L129" s="6"/>
    </row>
    <row r="130" spans="1:12" s="5" customFormat="1" hidden="1" x14ac:dyDescent="0.25">
      <c r="B130" s="41" t="s">
        <v>147</v>
      </c>
      <c r="D130" s="44"/>
      <c r="E130" s="44">
        <f>'Rates and GI'!$D$31</f>
        <v>350</v>
      </c>
      <c r="F130" s="44">
        <f>'Rates and GI'!$D$31</f>
        <v>350</v>
      </c>
      <c r="G130" s="44">
        <f>'Rates and GI'!$D$31</f>
        <v>350</v>
      </c>
      <c r="H130" s="44">
        <f>'Rates and GI'!$D$31</f>
        <v>350</v>
      </c>
      <c r="I130" s="62"/>
      <c r="J130" s="6"/>
      <c r="K130" s="6"/>
      <c r="L130" s="6"/>
    </row>
    <row r="131" spans="1:12" s="5" customFormat="1" hidden="1" x14ac:dyDescent="0.25">
      <c r="B131" s="41" t="s">
        <v>146</v>
      </c>
      <c r="D131" s="44"/>
      <c r="E131" s="44">
        <v>0</v>
      </c>
      <c r="F131" s="44">
        <v>0</v>
      </c>
      <c r="G131" s="38"/>
      <c r="H131" s="38"/>
      <c r="I131" s="62"/>
      <c r="J131" s="6"/>
      <c r="K131" s="6"/>
      <c r="L131" s="6"/>
    </row>
    <row r="132" spans="1:12" s="5" customFormat="1" hidden="1" x14ac:dyDescent="0.25">
      <c r="B132" s="55" t="s">
        <v>8</v>
      </c>
      <c r="D132" s="44"/>
      <c r="E132" s="44"/>
      <c r="F132" s="44"/>
      <c r="G132" s="38"/>
      <c r="H132" s="38"/>
      <c r="I132" s="62"/>
      <c r="J132" s="6"/>
      <c r="K132" s="6"/>
      <c r="L132" s="6"/>
    </row>
    <row r="133" spans="1:12" s="5" customFormat="1" hidden="1" x14ac:dyDescent="0.25">
      <c r="B133" s="41" t="s">
        <v>147</v>
      </c>
      <c r="D133" s="44"/>
      <c r="E133" s="44"/>
      <c r="F133" s="44"/>
      <c r="G133" s="38"/>
      <c r="H133" s="38"/>
      <c r="I133" s="62"/>
      <c r="J133" s="6"/>
      <c r="K133" s="6"/>
      <c r="L133" s="6"/>
    </row>
    <row r="134" spans="1:12" s="5" customFormat="1" hidden="1" x14ac:dyDescent="0.25">
      <c r="B134" s="41" t="s">
        <v>146</v>
      </c>
      <c r="D134" s="44"/>
      <c r="E134" s="44"/>
      <c r="F134" s="44"/>
      <c r="G134" s="38"/>
      <c r="H134" s="38"/>
      <c r="I134" s="62"/>
      <c r="J134" s="6"/>
      <c r="K134" s="6"/>
      <c r="L134" s="6"/>
    </row>
    <row r="135" spans="1:12" hidden="1" x14ac:dyDescent="0.25"/>
    <row r="136" spans="1:12" x14ac:dyDescent="0.25">
      <c r="A136" s="50"/>
      <c r="B136" s="50" t="s">
        <v>25</v>
      </c>
      <c r="C136" s="50"/>
      <c r="D136" s="52"/>
      <c r="E136" s="52">
        <f>E137+E140</f>
        <v>541.94399999999996</v>
      </c>
      <c r="F136" s="52">
        <f t="shared" ref="F136:H136" si="37">F137+F140</f>
        <v>447.94399999999996</v>
      </c>
      <c r="G136" s="52">
        <f t="shared" si="37"/>
        <v>447.94399999999996</v>
      </c>
      <c r="H136" s="52">
        <f t="shared" si="37"/>
        <v>447.94399999999996</v>
      </c>
    </row>
    <row r="137" spans="1:12" s="5" customFormat="1" hidden="1" x14ac:dyDescent="0.25">
      <c r="B137" s="5" t="s">
        <v>205</v>
      </c>
      <c r="D137" s="44"/>
      <c r="E137" s="44"/>
      <c r="F137" s="44">
        <v>0</v>
      </c>
      <c r="G137" s="38"/>
      <c r="H137" s="38"/>
      <c r="I137" s="62"/>
      <c r="J137" s="6"/>
      <c r="K137" s="6"/>
      <c r="L137" s="6"/>
    </row>
    <row r="138" spans="1:12" s="5" customFormat="1" hidden="1" x14ac:dyDescent="0.25">
      <c r="B138" s="41"/>
      <c r="D138" s="44"/>
      <c r="E138" s="44"/>
      <c r="F138" s="44"/>
      <c r="G138" s="38"/>
      <c r="H138" s="38"/>
      <c r="I138" s="62"/>
      <c r="J138" s="6"/>
      <c r="K138" s="6"/>
      <c r="L138" s="6"/>
    </row>
    <row r="139" spans="1:12" s="5" customFormat="1" hidden="1" x14ac:dyDescent="0.25">
      <c r="B139" s="41"/>
      <c r="D139" s="44"/>
      <c r="E139" s="44"/>
      <c r="F139" s="44"/>
      <c r="G139" s="38"/>
      <c r="H139" s="38"/>
      <c r="I139" s="62"/>
      <c r="J139" s="6"/>
      <c r="K139" s="6"/>
      <c r="L139" s="6"/>
    </row>
    <row r="140" spans="1:12" s="5" customFormat="1" x14ac:dyDescent="0.25">
      <c r="B140" s="5" t="s">
        <v>154</v>
      </c>
      <c r="D140" s="44"/>
      <c r="E140" s="44">
        <f>E141+E142*E143</f>
        <v>541.94399999999996</v>
      </c>
      <c r="F140" s="44">
        <f>F141+F142*F143</f>
        <v>447.94399999999996</v>
      </c>
      <c r="G140" s="44">
        <f t="shared" ref="G140:H140" si="38">G141+G142*G143</f>
        <v>447.94399999999996</v>
      </c>
      <c r="H140" s="44">
        <f t="shared" si="38"/>
        <v>447.94399999999996</v>
      </c>
      <c r="I140" s="73"/>
    </row>
    <row r="141" spans="1:12" x14ac:dyDescent="0.25">
      <c r="B141" s="41" t="s">
        <v>153</v>
      </c>
      <c r="E141" s="44">
        <f>'Rates and GI'!D46</f>
        <v>150</v>
      </c>
      <c r="F141" s="44">
        <f>'Rates and GI'!D46*0</f>
        <v>0</v>
      </c>
    </row>
    <row r="142" spans="1:12" x14ac:dyDescent="0.25">
      <c r="B142" s="41" t="s">
        <v>159</v>
      </c>
      <c r="E142" s="60">
        <f>'Rates and GI'!$D$48</f>
        <v>0.02</v>
      </c>
      <c r="F142" s="60">
        <f>'Rates and GI'!$D$48</f>
        <v>0.02</v>
      </c>
      <c r="G142" s="60">
        <f>'Rates and GI'!$D$48</f>
        <v>0.02</v>
      </c>
      <c r="H142" s="60">
        <f>'Rates and GI'!$D$48</f>
        <v>0.02</v>
      </c>
    </row>
    <row r="143" spans="1:12" x14ac:dyDescent="0.25">
      <c r="B143" s="41" t="s">
        <v>160</v>
      </c>
      <c r="E143" s="44">
        <f>E107*(25+3)*50</f>
        <v>19597.199999999997</v>
      </c>
      <c r="F143" s="44">
        <f t="shared" ref="F143:H143" si="39">F107*(25+3)*50</f>
        <v>22397.199999999997</v>
      </c>
      <c r="G143" s="44">
        <f t="shared" si="39"/>
        <v>22397.199999999997</v>
      </c>
      <c r="H143" s="44">
        <f t="shared" si="39"/>
        <v>22397.199999999997</v>
      </c>
    </row>
    <row r="144" spans="1:12" s="5" customFormat="1" x14ac:dyDescent="0.25">
      <c r="A144" s="228"/>
      <c r="B144" s="231"/>
      <c r="C144" s="228"/>
      <c r="D144" s="230"/>
      <c r="E144" s="230"/>
      <c r="F144" s="230"/>
      <c r="G144" s="230"/>
      <c r="H144" s="230"/>
      <c r="I144" s="62"/>
      <c r="J144" s="6"/>
      <c r="K144" s="6"/>
      <c r="L144" s="6"/>
    </row>
    <row r="145" spans="1:12" hidden="1" x14ac:dyDescent="0.25">
      <c r="A145" s="50"/>
      <c r="B145" s="50" t="s">
        <v>21</v>
      </c>
      <c r="C145" s="50"/>
      <c r="D145" s="52"/>
      <c r="E145" s="52">
        <f>E146*E147+E148*E149++E150*E151+E152*E153</f>
        <v>0</v>
      </c>
      <c r="F145" s="52">
        <f t="shared" ref="F145:H145" si="40">F146*F147+F148*F149++F150*F151+F152*F153</f>
        <v>0</v>
      </c>
      <c r="G145" s="52">
        <f t="shared" si="40"/>
        <v>0</v>
      </c>
      <c r="H145" s="52">
        <f t="shared" si="40"/>
        <v>0</v>
      </c>
    </row>
    <row r="146" spans="1:12" hidden="1" x14ac:dyDescent="0.25">
      <c r="B146" s="41" t="s">
        <v>150</v>
      </c>
      <c r="G146" s="44">
        <v>0</v>
      </c>
      <c r="H146" s="44"/>
    </row>
    <row r="147" spans="1:12" hidden="1" x14ac:dyDescent="0.25">
      <c r="B147" s="41" t="s">
        <v>151</v>
      </c>
      <c r="E147" s="44">
        <f>'Rates and GI'!$D$58</f>
        <v>5000</v>
      </c>
      <c r="F147" s="44">
        <f>'Rates and GI'!$D$58</f>
        <v>5000</v>
      </c>
      <c r="G147" s="44">
        <f>'Rates and GI'!$D$58</f>
        <v>5000</v>
      </c>
      <c r="H147" s="44">
        <f>'Rates and GI'!$D$58</f>
        <v>5000</v>
      </c>
    </row>
    <row r="148" spans="1:12" hidden="1" x14ac:dyDescent="0.25">
      <c r="B148" s="41" t="s">
        <v>148</v>
      </c>
      <c r="E148" s="44">
        <v>0</v>
      </c>
      <c r="F148" s="44">
        <v>0</v>
      </c>
      <c r="G148" s="44">
        <v>0</v>
      </c>
      <c r="H148" s="44">
        <v>0</v>
      </c>
    </row>
    <row r="149" spans="1:12" hidden="1" x14ac:dyDescent="0.25">
      <c r="B149" s="41" t="s">
        <v>149</v>
      </c>
      <c r="E149" s="44">
        <f>'Rates and GI'!$D$59</f>
        <v>1500</v>
      </c>
      <c r="F149" s="44">
        <f>'Rates and GI'!$D$59</f>
        <v>1500</v>
      </c>
      <c r="G149" s="44">
        <f>'Rates and GI'!$D$59</f>
        <v>1500</v>
      </c>
      <c r="H149" s="44">
        <f>'Rates and GI'!$D$59</f>
        <v>1500</v>
      </c>
    </row>
    <row r="150" spans="1:12" ht="27" hidden="1" x14ac:dyDescent="0.25">
      <c r="B150" s="63" t="s">
        <v>162</v>
      </c>
      <c r="E150" s="44">
        <v>0</v>
      </c>
      <c r="F150" s="44">
        <v>0</v>
      </c>
      <c r="G150" s="44">
        <v>0</v>
      </c>
      <c r="H150" s="44">
        <v>0</v>
      </c>
    </row>
    <row r="151" spans="1:12" ht="27" hidden="1" x14ac:dyDescent="0.25">
      <c r="B151" s="63" t="s">
        <v>161</v>
      </c>
      <c r="E151" s="44">
        <f>'Rates and GI'!$D$60</f>
        <v>200</v>
      </c>
      <c r="F151" s="44">
        <f>'Rates and GI'!$D$60</f>
        <v>200</v>
      </c>
      <c r="G151" s="44">
        <f>'Rates and GI'!$D$60</f>
        <v>200</v>
      </c>
      <c r="H151" s="44">
        <f>'Rates and GI'!$D$60</f>
        <v>200</v>
      </c>
    </row>
    <row r="152" spans="1:12" s="5" customFormat="1" hidden="1" x14ac:dyDescent="0.25">
      <c r="B152" s="41" t="s">
        <v>217</v>
      </c>
      <c r="D152" s="44"/>
      <c r="E152" s="44">
        <v>0</v>
      </c>
      <c r="F152" s="44">
        <v>0</v>
      </c>
      <c r="G152" s="44">
        <v>0</v>
      </c>
      <c r="H152" s="44">
        <v>0</v>
      </c>
      <c r="I152" s="62"/>
      <c r="J152" s="6"/>
      <c r="K152" s="6"/>
      <c r="L152" s="6"/>
    </row>
    <row r="153" spans="1:12" s="5" customFormat="1" hidden="1" x14ac:dyDescent="0.25">
      <c r="B153" s="41" t="s">
        <v>214</v>
      </c>
      <c r="D153" s="44"/>
      <c r="E153" s="44">
        <f>'Rates and GI'!$D$61</f>
        <v>50</v>
      </c>
      <c r="F153" s="44">
        <f>'Rates and GI'!$D$61</f>
        <v>50</v>
      </c>
      <c r="G153" s="38">
        <f>'Rates and GI'!$D$61</f>
        <v>50</v>
      </c>
      <c r="H153" s="38">
        <f>'Rates and GI'!$D$61</f>
        <v>50</v>
      </c>
      <c r="I153" s="62"/>
      <c r="J153" s="6"/>
      <c r="K153" s="6"/>
      <c r="L153" s="6"/>
    </row>
    <row r="154" spans="1:12" hidden="1" x14ac:dyDescent="0.25">
      <c r="A154" s="50"/>
      <c r="B154" s="50"/>
      <c r="C154" s="50"/>
      <c r="D154" s="52"/>
      <c r="E154" s="52"/>
      <c r="F154" s="52"/>
      <c r="G154" s="52"/>
      <c r="H154" s="52"/>
    </row>
    <row r="155" spans="1:12" hidden="1" x14ac:dyDescent="0.25">
      <c r="A155" s="50"/>
      <c r="B155" s="50" t="s">
        <v>194</v>
      </c>
      <c r="C155" s="50"/>
      <c r="D155" s="52"/>
      <c r="E155" s="52">
        <f>E156+E159+E162+E171+E176</f>
        <v>0</v>
      </c>
      <c r="F155" s="52">
        <f t="shared" ref="F155:H155" si="41">F156+F159+F162+F171+F176</f>
        <v>0</v>
      </c>
      <c r="G155" s="52">
        <f t="shared" si="41"/>
        <v>0</v>
      </c>
      <c r="H155" s="52">
        <f t="shared" si="41"/>
        <v>0</v>
      </c>
    </row>
    <row r="156" spans="1:12" s="5" customFormat="1" hidden="1" x14ac:dyDescent="0.25">
      <c r="B156" s="5" t="s">
        <v>173</v>
      </c>
      <c r="D156" s="44"/>
      <c r="E156" s="44">
        <f>E157+E160*E161</f>
        <v>0</v>
      </c>
      <c r="F156" s="44">
        <f>F157+F160*F161</f>
        <v>0</v>
      </c>
      <c r="G156" s="44">
        <f>G157+G160*G161</f>
        <v>0</v>
      </c>
      <c r="H156" s="44">
        <f t="shared" ref="H156" si="42">H157+H160*H161</f>
        <v>0</v>
      </c>
      <c r="I156" s="73"/>
    </row>
    <row r="157" spans="1:12" hidden="1" x14ac:dyDescent="0.25">
      <c r="B157" s="41" t="s">
        <v>184</v>
      </c>
      <c r="F157" s="44">
        <f>('Rates and GI'!$D$45+'Rates and GI'!$D$49)*0</f>
        <v>0</v>
      </c>
      <c r="G157" s="44">
        <f>('Rates and GI'!$D$45+'Rates and GI'!$D$49)*0</f>
        <v>0</v>
      </c>
      <c r="H157" s="44"/>
    </row>
    <row r="158" spans="1:12" hidden="1" x14ac:dyDescent="0.25">
      <c r="B158" s="41" t="s">
        <v>187</v>
      </c>
      <c r="F158" s="44">
        <f>'Rates and GI'!$D$51*0</f>
        <v>0</v>
      </c>
      <c r="G158" s="44">
        <f>'Rates and GI'!$D$51*0</f>
        <v>0</v>
      </c>
      <c r="H158" s="44"/>
    </row>
    <row r="159" spans="1:12" hidden="1" x14ac:dyDescent="0.25">
      <c r="B159" s="5" t="s">
        <v>174</v>
      </c>
      <c r="E159" s="44">
        <f>E160*E161</f>
        <v>0</v>
      </c>
      <c r="F159" s="44">
        <f t="shared" ref="F159:H159" si="43">F160*F161</f>
        <v>0</v>
      </c>
      <c r="G159" s="44">
        <f t="shared" si="43"/>
        <v>0</v>
      </c>
      <c r="H159" s="44">
        <f t="shared" si="43"/>
        <v>0</v>
      </c>
    </row>
    <row r="160" spans="1:12" hidden="1" x14ac:dyDescent="0.25">
      <c r="B160" s="41" t="s">
        <v>164</v>
      </c>
      <c r="F160" s="44">
        <f>'Rates and GI'!$D$54</f>
        <v>24.066499999999998</v>
      </c>
      <c r="G160" s="44">
        <f>'Rates and GI'!$D$54</f>
        <v>24.066499999999998</v>
      </c>
      <c r="H160" s="44">
        <f>'Rates and GI'!$D$54</f>
        <v>24.066499999999998</v>
      </c>
    </row>
    <row r="161" spans="1:12" hidden="1" x14ac:dyDescent="0.25">
      <c r="B161" s="41" t="s">
        <v>163</v>
      </c>
      <c r="F161" s="44">
        <v>0</v>
      </c>
      <c r="G161" s="38">
        <v>0</v>
      </c>
      <c r="H161" s="38">
        <v>0</v>
      </c>
    </row>
    <row r="162" spans="1:12" hidden="1" x14ac:dyDescent="0.25">
      <c r="B162" s="5" t="s">
        <v>175</v>
      </c>
      <c r="E162" s="44">
        <f>E163+E167</f>
        <v>0</v>
      </c>
      <c r="F162" s="44">
        <f t="shared" ref="F162:H162" si="44">F163+F167</f>
        <v>0</v>
      </c>
      <c r="G162" s="44">
        <f t="shared" si="44"/>
        <v>0</v>
      </c>
      <c r="H162" s="44">
        <f t="shared" si="44"/>
        <v>0</v>
      </c>
    </row>
    <row r="163" spans="1:12" hidden="1" x14ac:dyDescent="0.25">
      <c r="B163" s="41" t="s">
        <v>189</v>
      </c>
      <c r="E163" s="44">
        <f>E164*E165</f>
        <v>0</v>
      </c>
      <c r="F163" s="44">
        <f t="shared" ref="F163:H163" si="45">F164*F165</f>
        <v>0</v>
      </c>
      <c r="G163" s="44">
        <f t="shared" si="45"/>
        <v>0</v>
      </c>
      <c r="H163" s="44">
        <f t="shared" si="45"/>
        <v>0</v>
      </c>
    </row>
    <row r="164" spans="1:12" hidden="1" x14ac:dyDescent="0.25">
      <c r="B164" s="41" t="s">
        <v>176</v>
      </c>
      <c r="C164" s="5" t="s">
        <v>177</v>
      </c>
      <c r="E164" s="44">
        <v>0</v>
      </c>
      <c r="F164" s="44">
        <v>0</v>
      </c>
      <c r="G164" s="38">
        <v>0</v>
      </c>
      <c r="H164" s="38">
        <v>0</v>
      </c>
    </row>
    <row r="165" spans="1:12" hidden="1" x14ac:dyDescent="0.25">
      <c r="B165" s="41" t="s">
        <v>178</v>
      </c>
      <c r="E165" s="44">
        <f>'Rates and GI'!$D$52</f>
        <v>150</v>
      </c>
      <c r="F165" s="44">
        <f>'Rates and GI'!$D$52</f>
        <v>150</v>
      </c>
      <c r="G165" s="44">
        <f>'Rates and GI'!$D$52</f>
        <v>150</v>
      </c>
      <c r="H165" s="44">
        <f>'Rates and GI'!$D$52</f>
        <v>150</v>
      </c>
    </row>
    <row r="166" spans="1:12" hidden="1" x14ac:dyDescent="0.25">
      <c r="B166" s="6"/>
    </row>
    <row r="167" spans="1:12" hidden="1" x14ac:dyDescent="0.25">
      <c r="B167" s="41" t="s">
        <v>190</v>
      </c>
      <c r="E167" s="44">
        <f>E168*E169</f>
        <v>0</v>
      </c>
      <c r="F167" s="44">
        <f t="shared" ref="F167:H167" si="46">F168*F169</f>
        <v>0</v>
      </c>
      <c r="G167" s="44">
        <f t="shared" si="46"/>
        <v>0</v>
      </c>
      <c r="H167" s="44">
        <f t="shared" si="46"/>
        <v>0</v>
      </c>
    </row>
    <row r="168" spans="1:12" hidden="1" x14ac:dyDescent="0.25">
      <c r="B168" s="41" t="s">
        <v>176</v>
      </c>
      <c r="C168" s="5" t="s">
        <v>177</v>
      </c>
      <c r="E168" s="44">
        <v>0</v>
      </c>
      <c r="F168" s="44">
        <v>0</v>
      </c>
      <c r="G168" s="38">
        <v>0</v>
      </c>
      <c r="H168" s="38">
        <v>0</v>
      </c>
    </row>
    <row r="169" spans="1:12" s="62" customFormat="1" hidden="1" x14ac:dyDescent="0.25">
      <c r="A169" s="5"/>
      <c r="B169" s="41" t="s">
        <v>178</v>
      </c>
      <c r="C169" s="5"/>
      <c r="D169" s="44"/>
      <c r="E169" s="44">
        <f>'Rates and GI'!$D$53</f>
        <v>20</v>
      </c>
      <c r="F169" s="44">
        <f>'Rates and GI'!$D$53</f>
        <v>20</v>
      </c>
      <c r="G169" s="44">
        <f>'Rates and GI'!$D$53</f>
        <v>20</v>
      </c>
      <c r="H169" s="44">
        <f>'Rates and GI'!$D$53</f>
        <v>20</v>
      </c>
      <c r="J169" s="6"/>
      <c r="K169" s="6"/>
      <c r="L169" s="6"/>
    </row>
    <row r="170" spans="1:12" s="62" customFormat="1" hidden="1" x14ac:dyDescent="0.25">
      <c r="A170" s="5"/>
      <c r="B170" s="6"/>
      <c r="C170" s="5"/>
      <c r="D170" s="44"/>
      <c r="E170" s="44"/>
      <c r="F170" s="44"/>
      <c r="G170" s="38"/>
      <c r="H170" s="38"/>
      <c r="J170" s="6"/>
      <c r="K170" s="6"/>
      <c r="L170" s="6"/>
    </row>
    <row r="171" spans="1:12" s="62" customFormat="1" hidden="1" x14ac:dyDescent="0.25">
      <c r="A171" s="5"/>
      <c r="B171" s="5" t="s">
        <v>179</v>
      </c>
      <c r="C171" s="5"/>
      <c r="D171" s="44"/>
      <c r="E171" s="44">
        <f>E172*E173*E174</f>
        <v>0</v>
      </c>
      <c r="F171" s="44">
        <f t="shared" ref="F171:H171" si="47">F172*F173*F174</f>
        <v>0</v>
      </c>
      <c r="G171" s="44">
        <f t="shared" si="47"/>
        <v>0</v>
      </c>
      <c r="H171" s="44">
        <f t="shared" si="47"/>
        <v>0</v>
      </c>
      <c r="J171" s="6"/>
      <c r="K171" s="6"/>
      <c r="L171" s="6"/>
    </row>
    <row r="172" spans="1:12" s="62" customFormat="1" hidden="1" x14ac:dyDescent="0.25">
      <c r="A172" s="5"/>
      <c r="B172" s="41" t="s">
        <v>191</v>
      </c>
      <c r="C172" s="5"/>
      <c r="D172" s="44"/>
      <c r="E172" s="44"/>
      <c r="F172" s="44">
        <f>'Rates and GI'!$D$55</f>
        <v>300</v>
      </c>
      <c r="G172" s="44">
        <f>'Rates and GI'!$D$55</f>
        <v>300</v>
      </c>
      <c r="H172" s="44">
        <f>'Rates and GI'!$D$55</f>
        <v>300</v>
      </c>
      <c r="J172" s="6"/>
      <c r="K172" s="6"/>
      <c r="L172" s="6"/>
    </row>
    <row r="173" spans="1:12" s="62" customFormat="1" hidden="1" x14ac:dyDescent="0.25">
      <c r="A173" s="5"/>
      <c r="B173" s="41" t="s">
        <v>192</v>
      </c>
      <c r="C173" s="5"/>
      <c r="D173" s="44"/>
      <c r="E173" s="44"/>
      <c r="F173" s="44">
        <v>3</v>
      </c>
      <c r="G173" s="44">
        <v>3</v>
      </c>
      <c r="H173" s="44">
        <v>3</v>
      </c>
      <c r="J173" s="6"/>
      <c r="K173" s="6"/>
      <c r="L173" s="6"/>
    </row>
    <row r="174" spans="1:12" s="62" customFormat="1" hidden="1" x14ac:dyDescent="0.25">
      <c r="A174" s="5"/>
      <c r="B174" s="41" t="s">
        <v>193</v>
      </c>
      <c r="C174" s="5"/>
      <c r="D174" s="44"/>
      <c r="E174" s="44"/>
      <c r="F174" s="44">
        <v>0</v>
      </c>
      <c r="G174" s="44">
        <v>0</v>
      </c>
      <c r="H174" s="44">
        <v>0</v>
      </c>
      <c r="J174" s="6"/>
      <c r="K174" s="6"/>
      <c r="L174" s="6"/>
    </row>
    <row r="175" spans="1:12" hidden="1" x14ac:dyDescent="0.25"/>
    <row r="176" spans="1:12" s="62" customFormat="1" hidden="1" x14ac:dyDescent="0.25">
      <c r="A176" s="5"/>
      <c r="B176" s="5" t="s">
        <v>172</v>
      </c>
      <c r="C176" s="5"/>
      <c r="D176" s="44"/>
      <c r="E176" s="44">
        <f>E177+E178*E179</f>
        <v>0</v>
      </c>
      <c r="F176" s="44">
        <f>F177+F178*F179</f>
        <v>0</v>
      </c>
      <c r="G176" s="44">
        <f>G177+G178*G179</f>
        <v>0</v>
      </c>
      <c r="H176" s="44">
        <f>H177+H178*H179</f>
        <v>0</v>
      </c>
      <c r="J176" s="6"/>
      <c r="K176" s="6"/>
      <c r="L176" s="6"/>
    </row>
    <row r="177" spans="1:12" s="62" customFormat="1" hidden="1" x14ac:dyDescent="0.25">
      <c r="A177" s="5"/>
      <c r="B177" s="41" t="s">
        <v>153</v>
      </c>
      <c r="C177" s="5"/>
      <c r="D177" s="44"/>
      <c r="E177" s="44"/>
      <c r="F177" s="44">
        <f>'Rates and GI'!D46*0</f>
        <v>0</v>
      </c>
      <c r="G177" s="38"/>
      <c r="H177" s="38"/>
      <c r="J177" s="6"/>
      <c r="K177" s="6"/>
      <c r="L177" s="6"/>
    </row>
    <row r="178" spans="1:12" s="62" customFormat="1" hidden="1" x14ac:dyDescent="0.25">
      <c r="A178" s="5"/>
      <c r="B178" s="41" t="s">
        <v>159</v>
      </c>
      <c r="C178" s="5"/>
      <c r="D178" s="44"/>
      <c r="E178" s="44"/>
      <c r="F178" s="65">
        <f>'Rates and GI'!$D$47</f>
        <v>0.05</v>
      </c>
      <c r="G178" s="65">
        <f>'Rates and GI'!$D$47</f>
        <v>0.05</v>
      </c>
      <c r="H178" s="65">
        <f>'Rates and GI'!$D$47</f>
        <v>0.05</v>
      </c>
      <c r="J178" s="6"/>
      <c r="K178" s="6"/>
      <c r="L178" s="6"/>
    </row>
    <row r="179" spans="1:12" s="62" customFormat="1" hidden="1" x14ac:dyDescent="0.25">
      <c r="A179" s="5"/>
      <c r="B179" s="41" t="s">
        <v>160</v>
      </c>
      <c r="C179" s="5"/>
      <c r="D179" s="44"/>
      <c r="E179" s="44"/>
      <c r="F179" s="44">
        <v>0</v>
      </c>
      <c r="G179" s="38">
        <v>0</v>
      </c>
      <c r="H179" s="38"/>
      <c r="J179" s="6"/>
      <c r="K179" s="6"/>
      <c r="L179" s="6"/>
    </row>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row r="183" spans="1:12" ht="27" hidden="1" x14ac:dyDescent="0.25">
      <c r="A183" s="50"/>
      <c r="B183" s="132" t="s">
        <v>252</v>
      </c>
      <c r="C183" s="133"/>
      <c r="D183" s="51"/>
      <c r="E183" s="51"/>
      <c r="F183" s="51"/>
      <c r="G183" s="51"/>
      <c r="H183" s="51"/>
    </row>
    <row r="184" spans="1:12" hidden="1" x14ac:dyDescent="0.25">
      <c r="A184" s="10"/>
      <c r="B184" s="39" t="s">
        <v>253</v>
      </c>
      <c r="C184" s="134">
        <v>1</v>
      </c>
      <c r="D184" s="33"/>
      <c r="E184" s="44">
        <v>0</v>
      </c>
      <c r="F184" s="44">
        <v>0</v>
      </c>
      <c r="G184" s="44">
        <v>0</v>
      </c>
      <c r="H184" s="44">
        <v>0</v>
      </c>
    </row>
    <row r="185" spans="1:12" hidden="1" x14ac:dyDescent="0.25">
      <c r="B185" s="39" t="s">
        <v>254</v>
      </c>
      <c r="C185" s="44">
        <v>0</v>
      </c>
      <c r="D185" s="33"/>
      <c r="G185" s="44"/>
      <c r="H185" s="44"/>
    </row>
    <row r="186" spans="1:12" hidden="1" x14ac:dyDescent="0.25">
      <c r="B186" s="39" t="s">
        <v>255</v>
      </c>
      <c r="C186" s="73"/>
      <c r="D186" s="33"/>
      <c r="E186" s="44">
        <f>$C$185/$C$184*E184</f>
        <v>0</v>
      </c>
      <c r="F186" s="44">
        <f t="shared" ref="F186:H186" si="48">$C$185/$C$184*F184</f>
        <v>0</v>
      </c>
      <c r="G186" s="44">
        <f t="shared" si="48"/>
        <v>0</v>
      </c>
      <c r="H186" s="44">
        <f t="shared" si="48"/>
        <v>0</v>
      </c>
    </row>
    <row r="187" spans="1:12" hidden="1" x14ac:dyDescent="0.25"/>
  </sheetData>
  <pageMargins left="0.7" right="0.7" top="0.75" bottom="0.75" header="0.3" footer="0.3"/>
  <pageSetup paperSize="9" scale="56" fitToHeight="0"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7"/>
  <sheetViews>
    <sheetView topLeftCell="A69" workbookViewId="0">
      <selection activeCell="C194" sqref="C193:C194"/>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41</v>
      </c>
      <c r="B1" s="126" t="s">
        <v>356</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7423.5</v>
      </c>
      <c r="E5" s="44">
        <f>E67</f>
        <v>7423.5</v>
      </c>
      <c r="F5" s="44">
        <f t="shared" ref="F5:H5" si="1">F67</f>
        <v>0</v>
      </c>
      <c r="G5" s="44">
        <f t="shared" si="1"/>
        <v>0</v>
      </c>
      <c r="H5" s="44">
        <f t="shared" si="1"/>
        <v>0</v>
      </c>
    </row>
    <row r="6" spans="1:12" x14ac:dyDescent="0.25">
      <c r="B6" s="16" t="s">
        <v>168</v>
      </c>
      <c r="D6" s="44">
        <f t="shared" si="0"/>
        <v>811.07999999999993</v>
      </c>
      <c r="E6" s="44">
        <f>E71</f>
        <v>811.07999999999993</v>
      </c>
      <c r="F6" s="44">
        <f t="shared" ref="F6:H6" si="2">F71</f>
        <v>0</v>
      </c>
      <c r="G6" s="44">
        <f t="shared" si="2"/>
        <v>0</v>
      </c>
      <c r="H6" s="44">
        <f t="shared" si="2"/>
        <v>0</v>
      </c>
    </row>
    <row r="7" spans="1:12" ht="14.25" thickBot="1" x14ac:dyDescent="0.3">
      <c r="A7" s="13"/>
      <c r="B7" s="13" t="s">
        <v>5</v>
      </c>
      <c r="C7" s="13"/>
      <c r="D7" s="47">
        <f>SUBTOTAL(9,D5:D6)</f>
        <v>8234.58</v>
      </c>
      <c r="E7" s="47">
        <f>SUBTOTAL(9,E5:E6)</f>
        <v>8234.58</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1816.4635211764707</v>
      </c>
      <c r="E10" s="44">
        <f>E91</f>
        <v>1816.4635211764707</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1816.4635211764707</v>
      </c>
      <c r="E12" s="47">
        <f t="shared" ref="E12:H12" si="5">SUBTOTAL(9,E10:E11)</f>
        <v>1816.4635211764707</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210</v>
      </c>
      <c r="E25" s="44">
        <f>E111</f>
        <v>210</v>
      </c>
      <c r="F25" s="44">
        <f t="shared" ref="F25:H25" si="13">F111</f>
        <v>0</v>
      </c>
      <c r="G25" s="44">
        <f t="shared" si="13"/>
        <v>0</v>
      </c>
      <c r="H25" s="44">
        <f t="shared" si="13"/>
        <v>0</v>
      </c>
    </row>
    <row r="26" spans="1:12" x14ac:dyDescent="0.25">
      <c r="B26" s="16" t="s">
        <v>25</v>
      </c>
      <c r="D26" s="44">
        <f t="shared" ref="D26" si="14">SUM(E26:H26)</f>
        <v>0</v>
      </c>
      <c r="E26" s="44">
        <f>E136</f>
        <v>0</v>
      </c>
      <c r="F26" s="44">
        <f t="shared" ref="F26:H26" si="15">F136</f>
        <v>0</v>
      </c>
      <c r="G26" s="44">
        <f t="shared" si="15"/>
        <v>0</v>
      </c>
      <c r="H26" s="44">
        <f t="shared" si="15"/>
        <v>0</v>
      </c>
    </row>
    <row r="27" spans="1:12" x14ac:dyDescent="0.25">
      <c r="B27" s="16" t="s">
        <v>233</v>
      </c>
    </row>
    <row r="28" spans="1:12" ht="14.25" thickBot="1" x14ac:dyDescent="0.3">
      <c r="A28" s="13"/>
      <c r="B28" s="13" t="s">
        <v>73</v>
      </c>
      <c r="C28" s="13"/>
      <c r="D28" s="47">
        <f>SUBTOTAL(9,D25:D27)</f>
        <v>210</v>
      </c>
      <c r="E28" s="47">
        <f t="shared" ref="E28:H28" si="16">SUBTOTAL(9,E25:E27)</f>
        <v>210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354</v>
      </c>
      <c r="D31" s="44">
        <f t="shared" ref="D31:D34" si="17">SUM(E31:H31)</f>
        <v>0</v>
      </c>
      <c r="E31" s="44">
        <f>E116</f>
        <v>0</v>
      </c>
      <c r="F31" s="44">
        <f t="shared" ref="F31:H31" si="18">F116</f>
        <v>0</v>
      </c>
      <c r="G31" s="44">
        <f t="shared" si="18"/>
        <v>0</v>
      </c>
      <c r="H31" s="44">
        <f t="shared" si="18"/>
        <v>0</v>
      </c>
    </row>
    <row r="32" spans="1:12" x14ac:dyDescent="0.25">
      <c r="B32" s="16" t="s">
        <v>26</v>
      </c>
      <c r="D32" s="44">
        <f t="shared" si="17"/>
        <v>0</v>
      </c>
      <c r="E32" s="44">
        <f>E125</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SUBTOTAL(9,E31:E34)</f>
        <v>0</v>
      </c>
      <c r="F35" s="47">
        <f t="shared" ref="F35:H35" si="19">SUBTOTAL(9,F31:F34)</f>
        <v>0</v>
      </c>
      <c r="G35" s="47">
        <f>SUBTOTAL(9,G31:G34)</f>
        <v>0</v>
      </c>
      <c r="H35" s="47">
        <f t="shared" si="19"/>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E181</f>
        <v>0</v>
      </c>
      <c r="F40" s="44">
        <f t="shared" ref="F40:H40" si="21">F181</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E186</f>
        <v>0</v>
      </c>
      <c r="F46" s="44">
        <f t="shared" ref="F46:H46" si="24">F186</f>
        <v>0</v>
      </c>
      <c r="G46" s="44">
        <f t="shared" si="24"/>
        <v>0</v>
      </c>
      <c r="H46" s="44">
        <f t="shared" si="24"/>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E155</f>
        <v>0</v>
      </c>
      <c r="F50" s="44">
        <f t="shared" ref="F50:H50" si="27">F155</f>
        <v>0</v>
      </c>
      <c r="G50" s="44">
        <f t="shared" si="27"/>
        <v>0</v>
      </c>
      <c r="H50" s="44">
        <f t="shared" si="27"/>
        <v>0</v>
      </c>
    </row>
    <row r="51" spans="1:12" x14ac:dyDescent="0.25">
      <c r="A51" s="3"/>
      <c r="B51" s="3" t="s">
        <v>21</v>
      </c>
      <c r="C51" s="3"/>
      <c r="D51" s="44">
        <f t="shared" si="26"/>
        <v>0</v>
      </c>
      <c r="E51" s="44">
        <f>E145</f>
        <v>0</v>
      </c>
      <c r="F51" s="44">
        <f t="shared" ref="F51:H51" si="28">F145</f>
        <v>0</v>
      </c>
      <c r="G51" s="44">
        <f t="shared" si="28"/>
        <v>0</v>
      </c>
      <c r="H51" s="44">
        <f t="shared" si="28"/>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10261.043521176471</v>
      </c>
      <c r="E54" s="49">
        <f>SUBTOTAL(9,E5:E52)</f>
        <v>10261.043521176471</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7423.5</v>
      </c>
      <c r="F67" s="44">
        <f t="shared" ref="F67:H67" si="29">F68*F69</f>
        <v>0</v>
      </c>
      <c r="G67" s="44">
        <f t="shared" si="29"/>
        <v>0</v>
      </c>
      <c r="H67" s="44">
        <f t="shared" si="29"/>
        <v>0</v>
      </c>
    </row>
    <row r="68" spans="1:12" x14ac:dyDescent="0.25">
      <c r="A68" s="9"/>
      <c r="B68" s="9" t="s">
        <v>114</v>
      </c>
      <c r="C68" s="9" t="s">
        <v>113</v>
      </c>
      <c r="E68" s="44">
        <f>2*10*21</f>
        <v>420</v>
      </c>
      <c r="F68" s="44">
        <v>0</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811.07999999999993</v>
      </c>
      <c r="F71" s="44">
        <f t="shared" ref="F71:H71" si="30">F72*F73</f>
        <v>0</v>
      </c>
      <c r="G71" s="44">
        <f t="shared" si="30"/>
        <v>0</v>
      </c>
      <c r="H71" s="44">
        <f t="shared" si="30"/>
        <v>0</v>
      </c>
      <c r="I71" s="62"/>
      <c r="J71" s="6"/>
      <c r="K71" s="6"/>
      <c r="L71" s="6"/>
    </row>
    <row r="72" spans="1:12" s="7" customFormat="1" x14ac:dyDescent="0.25">
      <c r="A72" s="9"/>
      <c r="B72" s="9" t="s">
        <v>170</v>
      </c>
      <c r="C72" s="9" t="s">
        <v>113</v>
      </c>
      <c r="D72" s="44"/>
      <c r="E72" s="44">
        <v>5</v>
      </c>
      <c r="F72" s="44">
        <v>0</v>
      </c>
      <c r="G72" s="44">
        <v>0</v>
      </c>
      <c r="H72" s="44">
        <v>0</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1816.4635211764707</v>
      </c>
      <c r="F91" s="52">
        <f t="shared" ref="F91:H91" si="31">F92*F93+F95*F96</f>
        <v>0</v>
      </c>
      <c r="G91" s="52">
        <f t="shared" si="31"/>
        <v>0</v>
      </c>
      <c r="H91" s="52">
        <f t="shared" si="31"/>
        <v>0</v>
      </c>
    </row>
    <row r="92" spans="1:12" s="7" customFormat="1" x14ac:dyDescent="0.25">
      <c r="A92" s="5"/>
      <c r="B92" s="9" t="s">
        <v>49</v>
      </c>
      <c r="C92" s="5"/>
      <c r="D92" s="44"/>
      <c r="E92" s="44">
        <v>2</v>
      </c>
      <c r="F92" s="44">
        <v>0</v>
      </c>
      <c r="G92" s="44">
        <v>0</v>
      </c>
      <c r="H92" s="44">
        <v>0</v>
      </c>
      <c r="I92" s="62"/>
      <c r="J92" s="6"/>
      <c r="K92" s="6"/>
      <c r="L92" s="6"/>
    </row>
    <row r="93" spans="1:12" s="7" customFormat="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2">F100*F101</f>
        <v>0</v>
      </c>
      <c r="G99" s="52">
        <f t="shared" si="32"/>
        <v>0</v>
      </c>
      <c r="H99" s="52">
        <f t="shared" si="32"/>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3">F104*F105+F106*F107+F108*F109</f>
        <v>0</v>
      </c>
      <c r="G103" s="52">
        <f t="shared" si="33"/>
        <v>0</v>
      </c>
      <c r="H103" s="52">
        <f t="shared" si="33"/>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4">G92</f>
        <v>0</v>
      </c>
      <c r="H105" s="44">
        <f t="shared" si="34"/>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f>E107</f>
        <v>0</v>
      </c>
      <c r="G107" s="44">
        <f t="shared" ref="G107:H107" si="35">F107</f>
        <v>0</v>
      </c>
      <c r="H107" s="44">
        <f t="shared" si="35"/>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x14ac:dyDescent="0.25">
      <c r="A111" s="50"/>
      <c r="B111" s="50" t="s">
        <v>24</v>
      </c>
      <c r="C111" s="50"/>
      <c r="D111" s="52"/>
      <c r="E111" s="52">
        <f t="shared" ref="E111:H111" si="36">E112*E113</f>
        <v>210</v>
      </c>
      <c r="F111" s="52">
        <f t="shared" si="36"/>
        <v>0</v>
      </c>
      <c r="G111" s="52">
        <f t="shared" si="36"/>
        <v>0</v>
      </c>
      <c r="H111" s="52">
        <f t="shared" si="36"/>
        <v>0</v>
      </c>
    </row>
    <row r="112" spans="1:12" s="7" customFormat="1" x14ac:dyDescent="0.25">
      <c r="A112" s="5"/>
      <c r="B112" s="39" t="s">
        <v>53</v>
      </c>
      <c r="C112" s="5"/>
      <c r="D112" s="44"/>
      <c r="E112" s="44">
        <v>35</v>
      </c>
      <c r="F112" s="44">
        <v>0</v>
      </c>
      <c r="G112" s="44"/>
      <c r="H112" s="44"/>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x14ac:dyDescent="0.25">
      <c r="A114" s="228"/>
      <c r="B114" s="228"/>
      <c r="C114" s="228"/>
      <c r="D114" s="230"/>
      <c r="E114" s="230"/>
      <c r="F114" s="230"/>
      <c r="G114" s="230"/>
      <c r="H114" s="230"/>
    </row>
    <row r="115" spans="1:12" hidden="1" x14ac:dyDescent="0.25">
      <c r="A115" s="50"/>
      <c r="B115" s="50" t="s">
        <v>7</v>
      </c>
      <c r="C115" s="50"/>
      <c r="D115" s="52"/>
      <c r="E115" s="52"/>
      <c r="F115" s="52"/>
      <c r="G115" s="52"/>
      <c r="H115" s="52"/>
    </row>
    <row r="116" spans="1:12" ht="27" hidden="1" x14ac:dyDescent="0.25">
      <c r="B116" s="66" t="s">
        <v>320</v>
      </c>
      <c r="C116" s="77"/>
      <c r="E116" s="152">
        <f>E118+E119</f>
        <v>0</v>
      </c>
      <c r="G116" s="44"/>
      <c r="H116" s="44"/>
    </row>
    <row r="117" spans="1:12" hidden="1" x14ac:dyDescent="0.25">
      <c r="B117" s="66"/>
      <c r="G117" s="44"/>
      <c r="H117" s="44"/>
    </row>
    <row r="118" spans="1:12" hidden="1" x14ac:dyDescent="0.25">
      <c r="B118" s="66" t="s">
        <v>337</v>
      </c>
      <c r="G118" s="44"/>
      <c r="H118" s="44"/>
    </row>
    <row r="119" spans="1:12" hidden="1" x14ac:dyDescent="0.25">
      <c r="B119" s="5" t="s">
        <v>336</v>
      </c>
      <c r="G119" s="44"/>
      <c r="H119" s="44"/>
    </row>
    <row r="120" spans="1:12" s="7" customFormat="1" hidden="1" x14ac:dyDescent="0.25">
      <c r="A120" s="5"/>
      <c r="B120" s="4" t="s">
        <v>57</v>
      </c>
      <c r="C120" s="5"/>
      <c r="D120" s="44"/>
      <c r="E120" s="46"/>
      <c r="F120" s="46"/>
      <c r="G120" s="105"/>
      <c r="H120" s="105"/>
      <c r="I120" s="61"/>
      <c r="J120" s="6"/>
      <c r="K120" s="6"/>
      <c r="L120" s="6"/>
    </row>
    <row r="121" spans="1:12" s="43" customFormat="1" hidden="1" x14ac:dyDescent="0.25">
      <c r="A121" s="40"/>
      <c r="B121" s="41" t="s">
        <v>58</v>
      </c>
      <c r="C121" s="40" t="s">
        <v>55</v>
      </c>
      <c r="D121" s="71"/>
      <c r="E121" s="71"/>
      <c r="F121" s="71"/>
      <c r="G121" s="72"/>
      <c r="H121" s="72"/>
      <c r="I121" s="75"/>
      <c r="J121" s="42"/>
      <c r="K121" s="42"/>
      <c r="L121" s="42"/>
    </row>
    <row r="122" spans="1:12" s="40" customFormat="1" hidden="1" x14ac:dyDescent="0.25">
      <c r="B122" s="41" t="s">
        <v>56</v>
      </c>
      <c r="D122" s="71"/>
      <c r="E122" s="71"/>
      <c r="F122" s="71"/>
      <c r="G122" s="72"/>
      <c r="H122" s="72"/>
      <c r="I122" s="75"/>
      <c r="J122" s="42"/>
      <c r="K122" s="42"/>
      <c r="L122" s="42"/>
    </row>
    <row r="123" spans="1:12" s="40" customFormat="1" hidden="1" x14ac:dyDescent="0.25">
      <c r="B123" s="41" t="s">
        <v>59</v>
      </c>
      <c r="D123" s="71"/>
      <c r="E123" s="71"/>
      <c r="F123" s="71"/>
      <c r="G123" s="72"/>
      <c r="H123" s="72"/>
      <c r="I123" s="75"/>
      <c r="J123" s="42"/>
      <c r="K123" s="42"/>
      <c r="L123" s="42"/>
    </row>
    <row r="124" spans="1:12" hidden="1" x14ac:dyDescent="0.25"/>
    <row r="125" spans="1:12" hidden="1" x14ac:dyDescent="0.25">
      <c r="A125" s="50"/>
      <c r="B125" s="50" t="s">
        <v>26</v>
      </c>
      <c r="C125" s="50"/>
      <c r="D125" s="52"/>
      <c r="E125" s="52">
        <f>E130*E131</f>
        <v>0</v>
      </c>
      <c r="F125" s="52">
        <f>F130*F131</f>
        <v>0</v>
      </c>
      <c r="G125" s="52"/>
      <c r="H125" s="52"/>
    </row>
    <row r="126" spans="1:12" s="5" customFormat="1" hidden="1" x14ac:dyDescent="0.25">
      <c r="B126" s="55" t="s">
        <v>60</v>
      </c>
      <c r="D126" s="44"/>
      <c r="E126" s="44"/>
      <c r="F126" s="44"/>
      <c r="G126" s="38"/>
      <c r="H126" s="38"/>
      <c r="I126" s="62"/>
      <c r="J126" s="6"/>
      <c r="K126" s="6"/>
      <c r="L126" s="6"/>
    </row>
    <row r="127" spans="1:12" s="5" customFormat="1" hidden="1" x14ac:dyDescent="0.25">
      <c r="B127" s="41" t="s">
        <v>147</v>
      </c>
      <c r="D127" s="44"/>
      <c r="E127" s="44"/>
      <c r="F127" s="44"/>
      <c r="G127" s="38"/>
      <c r="H127" s="38"/>
      <c r="I127" s="62"/>
      <c r="J127" s="6"/>
      <c r="K127" s="6"/>
      <c r="L127" s="6"/>
    </row>
    <row r="128" spans="1:12" s="5" customFormat="1" hidden="1" x14ac:dyDescent="0.25">
      <c r="B128" s="41" t="s">
        <v>146</v>
      </c>
      <c r="D128" s="44"/>
      <c r="E128" s="44"/>
      <c r="F128" s="44"/>
      <c r="G128" s="38"/>
      <c r="H128" s="38"/>
      <c r="I128" s="62"/>
      <c r="J128" s="6"/>
      <c r="K128" s="6"/>
      <c r="L128" s="6"/>
    </row>
    <row r="129" spans="1:12" s="5" customFormat="1" hidden="1" x14ac:dyDescent="0.25">
      <c r="B129" s="55" t="s">
        <v>123</v>
      </c>
      <c r="D129" s="44"/>
      <c r="E129" s="44"/>
      <c r="F129" s="44"/>
      <c r="G129" s="38"/>
      <c r="H129" s="38"/>
      <c r="I129" s="62"/>
      <c r="J129" s="6"/>
      <c r="K129" s="6"/>
      <c r="L129" s="6"/>
    </row>
    <row r="130" spans="1:12" s="5" customFormat="1" hidden="1" x14ac:dyDescent="0.25">
      <c r="B130" s="41" t="s">
        <v>147</v>
      </c>
      <c r="D130" s="44"/>
      <c r="E130" s="44">
        <f>'Rates and GI'!$D$31</f>
        <v>350</v>
      </c>
      <c r="F130" s="44">
        <f>'Rates and GI'!$D$31</f>
        <v>350</v>
      </c>
      <c r="G130" s="44">
        <f>'Rates and GI'!$D$31</f>
        <v>350</v>
      </c>
      <c r="H130" s="44">
        <f>'Rates and GI'!$D$31</f>
        <v>350</v>
      </c>
      <c r="I130" s="62"/>
      <c r="J130" s="6"/>
      <c r="K130" s="6"/>
      <c r="L130" s="6"/>
    </row>
    <row r="131" spans="1:12" s="5" customFormat="1" hidden="1" x14ac:dyDescent="0.25">
      <c r="B131" s="41" t="s">
        <v>146</v>
      </c>
      <c r="D131" s="44"/>
      <c r="E131" s="44">
        <v>0</v>
      </c>
      <c r="F131" s="44">
        <v>0</v>
      </c>
      <c r="G131" s="38"/>
      <c r="H131" s="38"/>
      <c r="I131" s="62"/>
      <c r="J131" s="6"/>
      <c r="K131" s="6"/>
      <c r="L131" s="6"/>
    </row>
    <row r="132" spans="1:12" s="5" customFormat="1" hidden="1" x14ac:dyDescent="0.25">
      <c r="B132" s="55" t="s">
        <v>8</v>
      </c>
      <c r="D132" s="44"/>
      <c r="E132" s="44"/>
      <c r="F132" s="44"/>
      <c r="G132" s="38"/>
      <c r="H132" s="38"/>
      <c r="I132" s="62"/>
      <c r="J132" s="6"/>
      <c r="K132" s="6"/>
      <c r="L132" s="6"/>
    </row>
    <row r="133" spans="1:12" s="5" customFormat="1" hidden="1" x14ac:dyDescent="0.25">
      <c r="B133" s="41" t="s">
        <v>147</v>
      </c>
      <c r="D133" s="44"/>
      <c r="E133" s="44"/>
      <c r="F133" s="44"/>
      <c r="G133" s="38"/>
      <c r="H133" s="38"/>
      <c r="I133" s="62"/>
      <c r="J133" s="6"/>
      <c r="K133" s="6"/>
      <c r="L133" s="6"/>
    </row>
    <row r="134" spans="1:12" s="5" customFormat="1" hidden="1" x14ac:dyDescent="0.25">
      <c r="B134" s="41" t="s">
        <v>146</v>
      </c>
      <c r="D134" s="44"/>
      <c r="E134" s="44"/>
      <c r="F134" s="44"/>
      <c r="G134" s="38"/>
      <c r="H134" s="38"/>
      <c r="I134" s="62"/>
      <c r="J134" s="6"/>
      <c r="K134" s="6"/>
      <c r="L134" s="6"/>
    </row>
    <row r="135" spans="1:12" hidden="1" x14ac:dyDescent="0.25"/>
    <row r="136" spans="1:12" hidden="1" x14ac:dyDescent="0.25">
      <c r="A136" s="50"/>
      <c r="B136" s="50" t="s">
        <v>25</v>
      </c>
      <c r="C136" s="50"/>
      <c r="D136" s="52"/>
      <c r="E136" s="52">
        <f>E137+E140</f>
        <v>0</v>
      </c>
      <c r="F136" s="52">
        <f t="shared" ref="F136:H136" si="37">F137+F140</f>
        <v>0</v>
      </c>
      <c r="G136" s="52">
        <f t="shared" si="37"/>
        <v>0</v>
      </c>
      <c r="H136" s="52">
        <f t="shared" si="37"/>
        <v>0</v>
      </c>
    </row>
    <row r="137" spans="1:12" s="5" customFormat="1" hidden="1" x14ac:dyDescent="0.25">
      <c r="B137" s="5" t="s">
        <v>205</v>
      </c>
      <c r="D137" s="44"/>
      <c r="E137" s="44"/>
      <c r="F137" s="44">
        <v>0</v>
      </c>
      <c r="G137" s="38"/>
      <c r="H137" s="38"/>
      <c r="I137" s="62"/>
      <c r="J137" s="6"/>
      <c r="K137" s="6"/>
      <c r="L137" s="6"/>
    </row>
    <row r="138" spans="1:12" s="5" customFormat="1" hidden="1" x14ac:dyDescent="0.25">
      <c r="B138" s="41"/>
      <c r="D138" s="44"/>
      <c r="E138" s="44"/>
      <c r="F138" s="44"/>
      <c r="G138" s="38"/>
      <c r="H138" s="38"/>
      <c r="I138" s="62"/>
      <c r="J138" s="6"/>
      <c r="K138" s="6"/>
      <c r="L138" s="6"/>
    </row>
    <row r="139" spans="1:12" s="5" customFormat="1" hidden="1" x14ac:dyDescent="0.25">
      <c r="B139" s="41"/>
      <c r="D139" s="44"/>
      <c r="E139" s="44"/>
      <c r="F139" s="44"/>
      <c r="G139" s="38"/>
      <c r="H139" s="38"/>
      <c r="I139" s="62"/>
      <c r="J139" s="6"/>
      <c r="K139" s="6"/>
      <c r="L139" s="6"/>
    </row>
    <row r="140" spans="1:12" s="5" customFormat="1" hidden="1" x14ac:dyDescent="0.25">
      <c r="B140" s="5" t="s">
        <v>154</v>
      </c>
      <c r="D140" s="44"/>
      <c r="E140" s="44">
        <f>E141+E142*E143</f>
        <v>0</v>
      </c>
      <c r="F140" s="44">
        <f>F141+F142*F143</f>
        <v>0</v>
      </c>
      <c r="G140" s="44">
        <f t="shared" ref="G140:H140" si="38">G141+G142*G143</f>
        <v>0</v>
      </c>
      <c r="H140" s="44">
        <f t="shared" si="38"/>
        <v>0</v>
      </c>
      <c r="I140" s="73"/>
    </row>
    <row r="141" spans="1:12" hidden="1" x14ac:dyDescent="0.25">
      <c r="B141" s="41" t="s">
        <v>153</v>
      </c>
      <c r="E141" s="44">
        <f>'Rates and GI'!D46*0</f>
        <v>0</v>
      </c>
      <c r="F141" s="44">
        <f>'Rates and GI'!D46*0</f>
        <v>0</v>
      </c>
    </row>
    <row r="142" spans="1:12" hidden="1" x14ac:dyDescent="0.25">
      <c r="B142" s="41" t="s">
        <v>159</v>
      </c>
      <c r="E142" s="60">
        <f>'Rates and GI'!$D$48</f>
        <v>0.02</v>
      </c>
      <c r="F142" s="60">
        <f>'Rates and GI'!$D$48</f>
        <v>0.02</v>
      </c>
      <c r="G142" s="60">
        <f>'Rates and GI'!$D$48</f>
        <v>0.02</v>
      </c>
      <c r="H142" s="60">
        <f>'Rates and GI'!$D$48</f>
        <v>0.02</v>
      </c>
    </row>
    <row r="143" spans="1:12" hidden="1" x14ac:dyDescent="0.25">
      <c r="B143" s="41" t="s">
        <v>160</v>
      </c>
      <c r="E143" s="44">
        <f>E107*(25+3)*50</f>
        <v>0</v>
      </c>
      <c r="F143" s="44">
        <f t="shared" ref="F143:H143" si="39">F107*(25+3)*50</f>
        <v>0</v>
      </c>
      <c r="G143" s="44">
        <f t="shared" si="39"/>
        <v>0</v>
      </c>
      <c r="H143" s="44">
        <f t="shared" si="39"/>
        <v>0</v>
      </c>
    </row>
    <row r="144" spans="1:12" s="5" customFormat="1" hidden="1" x14ac:dyDescent="0.25">
      <c r="B144" s="41"/>
      <c r="D144" s="44"/>
      <c r="E144" s="44"/>
      <c r="F144" s="44"/>
      <c r="G144" s="38"/>
      <c r="H144" s="38"/>
      <c r="I144" s="62"/>
      <c r="J144" s="6"/>
      <c r="K144" s="6"/>
      <c r="L144" s="6"/>
    </row>
    <row r="145" spans="1:12" hidden="1" x14ac:dyDescent="0.25">
      <c r="A145" s="50"/>
      <c r="B145" s="50" t="s">
        <v>21</v>
      </c>
      <c r="C145" s="50"/>
      <c r="D145" s="52"/>
      <c r="E145" s="52">
        <f>E146*E147+E148*E149++E150*E151+E152*E153</f>
        <v>0</v>
      </c>
      <c r="F145" s="52">
        <f t="shared" ref="F145:H145" si="40">F146*F147+F148*F149++F150*F151+F152*F153</f>
        <v>0</v>
      </c>
      <c r="G145" s="52">
        <f t="shared" si="40"/>
        <v>0</v>
      </c>
      <c r="H145" s="52">
        <f t="shared" si="40"/>
        <v>0</v>
      </c>
    </row>
    <row r="146" spans="1:12" hidden="1" x14ac:dyDescent="0.25">
      <c r="B146" s="41" t="s">
        <v>150</v>
      </c>
      <c r="G146" s="44">
        <v>0</v>
      </c>
      <c r="H146" s="44"/>
    </row>
    <row r="147" spans="1:12" hidden="1" x14ac:dyDescent="0.25">
      <c r="B147" s="41" t="s">
        <v>151</v>
      </c>
      <c r="E147" s="44">
        <f>'Rates and GI'!$D$58</f>
        <v>5000</v>
      </c>
      <c r="F147" s="44">
        <f>'Rates and GI'!$D$58</f>
        <v>5000</v>
      </c>
      <c r="G147" s="44">
        <f>'Rates and GI'!$D$58</f>
        <v>5000</v>
      </c>
      <c r="H147" s="44">
        <f>'Rates and GI'!$D$58</f>
        <v>5000</v>
      </c>
    </row>
    <row r="148" spans="1:12" hidden="1" x14ac:dyDescent="0.25">
      <c r="B148" s="41" t="s">
        <v>148</v>
      </c>
      <c r="E148" s="44">
        <v>0</v>
      </c>
      <c r="F148" s="44">
        <v>0</v>
      </c>
      <c r="G148" s="44">
        <v>0</v>
      </c>
      <c r="H148" s="44">
        <v>0</v>
      </c>
    </row>
    <row r="149" spans="1:12" hidden="1" x14ac:dyDescent="0.25">
      <c r="B149" s="41" t="s">
        <v>149</v>
      </c>
      <c r="E149" s="44">
        <f>'Rates and GI'!$D$59</f>
        <v>1500</v>
      </c>
      <c r="F149" s="44">
        <f>'Rates and GI'!$D$59</f>
        <v>1500</v>
      </c>
      <c r="G149" s="44">
        <f>'Rates and GI'!$D$59</f>
        <v>1500</v>
      </c>
      <c r="H149" s="44">
        <f>'Rates and GI'!$D$59</f>
        <v>1500</v>
      </c>
    </row>
    <row r="150" spans="1:12" ht="27" hidden="1" x14ac:dyDescent="0.25">
      <c r="B150" s="63" t="s">
        <v>162</v>
      </c>
      <c r="E150" s="44">
        <v>0</v>
      </c>
      <c r="F150" s="44">
        <v>0</v>
      </c>
      <c r="G150" s="44">
        <v>0</v>
      </c>
      <c r="H150" s="44">
        <v>0</v>
      </c>
    </row>
    <row r="151" spans="1:12" ht="27" hidden="1" x14ac:dyDescent="0.25">
      <c r="B151" s="63" t="s">
        <v>161</v>
      </c>
      <c r="E151" s="44">
        <f>'Rates and GI'!$D$60</f>
        <v>200</v>
      </c>
      <c r="F151" s="44">
        <f>'Rates and GI'!$D$60</f>
        <v>200</v>
      </c>
      <c r="G151" s="44">
        <f>'Rates and GI'!$D$60</f>
        <v>200</v>
      </c>
      <c r="H151" s="44">
        <f>'Rates and GI'!$D$60</f>
        <v>200</v>
      </c>
    </row>
    <row r="152" spans="1:12" s="5" customFormat="1" hidden="1" x14ac:dyDescent="0.25">
      <c r="B152" s="41" t="s">
        <v>217</v>
      </c>
      <c r="D152" s="44"/>
      <c r="E152" s="44">
        <v>0</v>
      </c>
      <c r="F152" s="44">
        <v>0</v>
      </c>
      <c r="G152" s="44">
        <v>0</v>
      </c>
      <c r="H152" s="44">
        <v>0</v>
      </c>
      <c r="I152" s="62"/>
      <c r="J152" s="6"/>
      <c r="K152" s="6"/>
      <c r="L152" s="6"/>
    </row>
    <row r="153" spans="1:12" s="5" customFormat="1" hidden="1" x14ac:dyDescent="0.25">
      <c r="B153" s="41" t="s">
        <v>214</v>
      </c>
      <c r="D153" s="44"/>
      <c r="E153" s="44">
        <f>'Rates and GI'!$D$61</f>
        <v>50</v>
      </c>
      <c r="F153" s="44">
        <f>'Rates and GI'!$D$61</f>
        <v>50</v>
      </c>
      <c r="G153" s="38">
        <f>'Rates and GI'!$D$61</f>
        <v>50</v>
      </c>
      <c r="H153" s="38">
        <f>'Rates and GI'!$D$61</f>
        <v>50</v>
      </c>
      <c r="I153" s="62"/>
      <c r="J153" s="6"/>
      <c r="K153" s="6"/>
      <c r="L153" s="6"/>
    </row>
    <row r="154" spans="1:12" hidden="1" x14ac:dyDescent="0.25">
      <c r="A154" s="50"/>
      <c r="B154" s="50"/>
      <c r="C154" s="50"/>
      <c r="D154" s="52"/>
      <c r="E154" s="52"/>
      <c r="F154" s="52"/>
      <c r="G154" s="52"/>
      <c r="H154" s="52"/>
    </row>
    <row r="155" spans="1:12" hidden="1" x14ac:dyDescent="0.25">
      <c r="A155" s="50"/>
      <c r="B155" s="50" t="s">
        <v>194</v>
      </c>
      <c r="C155" s="50"/>
      <c r="D155" s="52"/>
      <c r="E155" s="52">
        <f>E156+E159+E162+E171+E176</f>
        <v>0</v>
      </c>
      <c r="F155" s="52">
        <f t="shared" ref="F155:H155" si="41">F156+F159+F162+F171+F176</f>
        <v>0</v>
      </c>
      <c r="G155" s="52">
        <f t="shared" si="41"/>
        <v>0</v>
      </c>
      <c r="H155" s="52">
        <f t="shared" si="41"/>
        <v>0</v>
      </c>
    </row>
    <row r="156" spans="1:12" s="5" customFormat="1" hidden="1" x14ac:dyDescent="0.25">
      <c r="B156" s="5" t="s">
        <v>173</v>
      </c>
      <c r="D156" s="44"/>
      <c r="E156" s="44">
        <f>E157+E160*E161</f>
        <v>0</v>
      </c>
      <c r="F156" s="44">
        <f>F157+F160*F161</f>
        <v>0</v>
      </c>
      <c r="G156" s="44">
        <f>G157+G160*G161</f>
        <v>0</v>
      </c>
      <c r="H156" s="44">
        <f t="shared" ref="H156" si="42">H157+H160*H161</f>
        <v>0</v>
      </c>
      <c r="I156" s="73"/>
    </row>
    <row r="157" spans="1:12" hidden="1" x14ac:dyDescent="0.25">
      <c r="B157" s="41" t="s">
        <v>184</v>
      </c>
      <c r="F157" s="44">
        <f>('Rates and GI'!$D$45+'Rates and GI'!$D$49)*0</f>
        <v>0</v>
      </c>
      <c r="G157" s="44">
        <f>('Rates and GI'!$D$45+'Rates and GI'!$D$49)*0</f>
        <v>0</v>
      </c>
      <c r="H157" s="44"/>
    </row>
    <row r="158" spans="1:12" hidden="1" x14ac:dyDescent="0.25">
      <c r="B158" s="41" t="s">
        <v>187</v>
      </c>
      <c r="F158" s="44">
        <f>'Rates and GI'!$D$51*0</f>
        <v>0</v>
      </c>
      <c r="G158" s="44">
        <f>'Rates and GI'!$D$51*0</f>
        <v>0</v>
      </c>
      <c r="H158" s="44"/>
    </row>
    <row r="159" spans="1:12" hidden="1" x14ac:dyDescent="0.25">
      <c r="B159" s="5" t="s">
        <v>174</v>
      </c>
      <c r="E159" s="44">
        <f>E160*E161</f>
        <v>0</v>
      </c>
      <c r="F159" s="44">
        <f t="shared" ref="F159:H159" si="43">F160*F161</f>
        <v>0</v>
      </c>
      <c r="G159" s="44">
        <f t="shared" si="43"/>
        <v>0</v>
      </c>
      <c r="H159" s="44">
        <f t="shared" si="43"/>
        <v>0</v>
      </c>
    </row>
    <row r="160" spans="1:12" hidden="1" x14ac:dyDescent="0.25">
      <c r="B160" s="41" t="s">
        <v>164</v>
      </c>
      <c r="F160" s="44">
        <f>'Rates and GI'!$D$54</f>
        <v>24.066499999999998</v>
      </c>
      <c r="G160" s="44">
        <f>'Rates and GI'!$D$54</f>
        <v>24.066499999999998</v>
      </c>
      <c r="H160" s="44">
        <f>'Rates and GI'!$D$54</f>
        <v>24.066499999999998</v>
      </c>
    </row>
    <row r="161" spans="1:12" hidden="1" x14ac:dyDescent="0.25">
      <c r="B161" s="41" t="s">
        <v>163</v>
      </c>
      <c r="F161" s="44">
        <v>0</v>
      </c>
      <c r="G161" s="38">
        <v>0</v>
      </c>
      <c r="H161" s="38">
        <v>0</v>
      </c>
    </row>
    <row r="162" spans="1:12" hidden="1" x14ac:dyDescent="0.25">
      <c r="B162" s="5" t="s">
        <v>175</v>
      </c>
      <c r="E162" s="44">
        <f>E163+E167</f>
        <v>0</v>
      </c>
      <c r="F162" s="44">
        <f t="shared" ref="F162:H162" si="44">F163+F167</f>
        <v>0</v>
      </c>
      <c r="G162" s="44">
        <f t="shared" si="44"/>
        <v>0</v>
      </c>
      <c r="H162" s="44">
        <f t="shared" si="44"/>
        <v>0</v>
      </c>
    </row>
    <row r="163" spans="1:12" hidden="1" x14ac:dyDescent="0.25">
      <c r="B163" s="41" t="s">
        <v>189</v>
      </c>
      <c r="E163" s="44">
        <f>E164*E165</f>
        <v>0</v>
      </c>
      <c r="F163" s="44">
        <f t="shared" ref="F163:H163" si="45">F164*F165</f>
        <v>0</v>
      </c>
      <c r="G163" s="44">
        <f t="shared" si="45"/>
        <v>0</v>
      </c>
      <c r="H163" s="44">
        <f t="shared" si="45"/>
        <v>0</v>
      </c>
    </row>
    <row r="164" spans="1:12" hidden="1" x14ac:dyDescent="0.25">
      <c r="B164" s="41" t="s">
        <v>176</v>
      </c>
      <c r="C164" s="5" t="s">
        <v>177</v>
      </c>
      <c r="E164" s="44">
        <v>0</v>
      </c>
      <c r="F164" s="44">
        <v>0</v>
      </c>
      <c r="G164" s="38">
        <v>0</v>
      </c>
      <c r="H164" s="38">
        <v>0</v>
      </c>
    </row>
    <row r="165" spans="1:12" hidden="1" x14ac:dyDescent="0.25">
      <c r="B165" s="41" t="s">
        <v>178</v>
      </c>
      <c r="E165" s="44">
        <f>'Rates and GI'!$D$52</f>
        <v>150</v>
      </c>
      <c r="F165" s="44">
        <f>'Rates and GI'!$D$52</f>
        <v>150</v>
      </c>
      <c r="G165" s="44">
        <f>'Rates and GI'!$D$52</f>
        <v>150</v>
      </c>
      <c r="H165" s="44">
        <f>'Rates and GI'!$D$52</f>
        <v>150</v>
      </c>
    </row>
    <row r="166" spans="1:12" hidden="1" x14ac:dyDescent="0.25">
      <c r="B166" s="6"/>
    </row>
    <row r="167" spans="1:12" hidden="1" x14ac:dyDescent="0.25">
      <c r="B167" s="41" t="s">
        <v>190</v>
      </c>
      <c r="E167" s="44">
        <f>E168*E169</f>
        <v>0</v>
      </c>
      <c r="F167" s="44">
        <f t="shared" ref="F167:H167" si="46">F168*F169</f>
        <v>0</v>
      </c>
      <c r="G167" s="44">
        <f t="shared" si="46"/>
        <v>0</v>
      </c>
      <c r="H167" s="44">
        <f t="shared" si="46"/>
        <v>0</v>
      </c>
    </row>
    <row r="168" spans="1:12" hidden="1" x14ac:dyDescent="0.25">
      <c r="B168" s="41" t="s">
        <v>176</v>
      </c>
      <c r="C168" s="5" t="s">
        <v>177</v>
      </c>
      <c r="E168" s="44">
        <v>0</v>
      </c>
      <c r="F168" s="44">
        <v>0</v>
      </c>
      <c r="G168" s="38">
        <v>0</v>
      </c>
      <c r="H168" s="38">
        <v>0</v>
      </c>
    </row>
    <row r="169" spans="1:12" s="62" customFormat="1" hidden="1" x14ac:dyDescent="0.25">
      <c r="A169" s="5"/>
      <c r="B169" s="41" t="s">
        <v>178</v>
      </c>
      <c r="C169" s="5"/>
      <c r="D169" s="44"/>
      <c r="E169" s="44">
        <f>'Rates and GI'!$D$53</f>
        <v>20</v>
      </c>
      <c r="F169" s="44">
        <f>'Rates and GI'!$D$53</f>
        <v>20</v>
      </c>
      <c r="G169" s="44">
        <f>'Rates and GI'!$D$53</f>
        <v>20</v>
      </c>
      <c r="H169" s="44">
        <f>'Rates and GI'!$D$53</f>
        <v>20</v>
      </c>
      <c r="J169" s="6"/>
      <c r="K169" s="6"/>
      <c r="L169" s="6"/>
    </row>
    <row r="170" spans="1:12" s="62" customFormat="1" hidden="1" x14ac:dyDescent="0.25">
      <c r="A170" s="5"/>
      <c r="B170" s="6"/>
      <c r="C170" s="5"/>
      <c r="D170" s="44"/>
      <c r="E170" s="44"/>
      <c r="F170" s="44"/>
      <c r="G170" s="38"/>
      <c r="H170" s="38"/>
      <c r="J170" s="6"/>
      <c r="K170" s="6"/>
      <c r="L170" s="6"/>
    </row>
    <row r="171" spans="1:12" s="62" customFormat="1" hidden="1" x14ac:dyDescent="0.25">
      <c r="A171" s="5"/>
      <c r="B171" s="5" t="s">
        <v>179</v>
      </c>
      <c r="C171" s="5"/>
      <c r="D171" s="44"/>
      <c r="E171" s="44">
        <f>E172*E173*E174</f>
        <v>0</v>
      </c>
      <c r="F171" s="44">
        <f t="shared" ref="F171:H171" si="47">F172*F173*F174</f>
        <v>0</v>
      </c>
      <c r="G171" s="44">
        <f t="shared" si="47"/>
        <v>0</v>
      </c>
      <c r="H171" s="44">
        <f t="shared" si="47"/>
        <v>0</v>
      </c>
      <c r="J171" s="6"/>
      <c r="K171" s="6"/>
      <c r="L171" s="6"/>
    </row>
    <row r="172" spans="1:12" s="62" customFormat="1" hidden="1" x14ac:dyDescent="0.25">
      <c r="A172" s="5"/>
      <c r="B172" s="41" t="s">
        <v>191</v>
      </c>
      <c r="C172" s="5"/>
      <c r="D172" s="44"/>
      <c r="E172" s="44"/>
      <c r="F172" s="44">
        <f>'Rates and GI'!$D$55</f>
        <v>300</v>
      </c>
      <c r="G172" s="44">
        <f>'Rates and GI'!$D$55</f>
        <v>300</v>
      </c>
      <c r="H172" s="44">
        <f>'Rates and GI'!$D$55</f>
        <v>300</v>
      </c>
      <c r="J172" s="6"/>
      <c r="K172" s="6"/>
      <c r="L172" s="6"/>
    </row>
    <row r="173" spans="1:12" s="62" customFormat="1" hidden="1" x14ac:dyDescent="0.25">
      <c r="A173" s="5"/>
      <c r="B173" s="41" t="s">
        <v>192</v>
      </c>
      <c r="C173" s="5"/>
      <c r="D173" s="44"/>
      <c r="E173" s="44"/>
      <c r="F173" s="44">
        <v>3</v>
      </c>
      <c r="G173" s="44">
        <v>3</v>
      </c>
      <c r="H173" s="44">
        <v>3</v>
      </c>
      <c r="J173" s="6"/>
      <c r="K173" s="6"/>
      <c r="L173" s="6"/>
    </row>
    <row r="174" spans="1:12" s="62" customFormat="1" hidden="1" x14ac:dyDescent="0.25">
      <c r="A174" s="5"/>
      <c r="B174" s="41" t="s">
        <v>193</v>
      </c>
      <c r="C174" s="5"/>
      <c r="D174" s="44"/>
      <c r="E174" s="44"/>
      <c r="F174" s="44">
        <v>0</v>
      </c>
      <c r="G174" s="44">
        <v>0</v>
      </c>
      <c r="H174" s="44">
        <v>0</v>
      </c>
      <c r="J174" s="6"/>
      <c r="K174" s="6"/>
      <c r="L174" s="6"/>
    </row>
    <row r="175" spans="1:12" hidden="1" x14ac:dyDescent="0.25"/>
    <row r="176" spans="1:12" s="62" customFormat="1" hidden="1" x14ac:dyDescent="0.25">
      <c r="A176" s="5"/>
      <c r="B176" s="5" t="s">
        <v>172</v>
      </c>
      <c r="C176" s="5"/>
      <c r="D176" s="44"/>
      <c r="E176" s="44">
        <f>E177+E178*E179</f>
        <v>0</v>
      </c>
      <c r="F176" s="44">
        <f>F177+F178*F179</f>
        <v>0</v>
      </c>
      <c r="G176" s="44">
        <f>G177+G178*G179</f>
        <v>0</v>
      </c>
      <c r="H176" s="44">
        <f>H177+H178*H179</f>
        <v>0</v>
      </c>
      <c r="J176" s="6"/>
      <c r="K176" s="6"/>
      <c r="L176" s="6"/>
    </row>
    <row r="177" spans="1:12" s="62" customFormat="1" hidden="1" x14ac:dyDescent="0.25">
      <c r="A177" s="5"/>
      <c r="B177" s="41" t="s">
        <v>153</v>
      </c>
      <c r="C177" s="5"/>
      <c r="D177" s="44"/>
      <c r="E177" s="44"/>
      <c r="F177" s="44">
        <f>'Rates and GI'!D46*0</f>
        <v>0</v>
      </c>
      <c r="G177" s="38"/>
      <c r="H177" s="38"/>
      <c r="J177" s="6"/>
      <c r="K177" s="6"/>
      <c r="L177" s="6"/>
    </row>
    <row r="178" spans="1:12" s="62" customFormat="1" hidden="1" x14ac:dyDescent="0.25">
      <c r="A178" s="5"/>
      <c r="B178" s="41" t="s">
        <v>159</v>
      </c>
      <c r="C178" s="5"/>
      <c r="D178" s="44"/>
      <c r="E178" s="44"/>
      <c r="F178" s="65">
        <f>'Rates and GI'!$D$47</f>
        <v>0.05</v>
      </c>
      <c r="G178" s="65">
        <f>'Rates and GI'!$D$47</f>
        <v>0.05</v>
      </c>
      <c r="H178" s="65">
        <f>'Rates and GI'!$D$47</f>
        <v>0.05</v>
      </c>
      <c r="J178" s="6"/>
      <c r="K178" s="6"/>
      <c r="L178" s="6"/>
    </row>
    <row r="179" spans="1:12" s="62" customFormat="1" hidden="1" x14ac:dyDescent="0.25">
      <c r="A179" s="5"/>
      <c r="B179" s="41" t="s">
        <v>160</v>
      </c>
      <c r="C179" s="5"/>
      <c r="D179" s="44"/>
      <c r="E179" s="44"/>
      <c r="F179" s="44">
        <v>0</v>
      </c>
      <c r="G179" s="38">
        <v>0</v>
      </c>
      <c r="H179" s="38"/>
      <c r="J179" s="6"/>
      <c r="K179" s="6"/>
      <c r="L179" s="6"/>
    </row>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row r="183" spans="1:12" ht="27" hidden="1" x14ac:dyDescent="0.25">
      <c r="A183" s="50"/>
      <c r="B183" s="132" t="s">
        <v>252</v>
      </c>
      <c r="C183" s="133"/>
      <c r="D183" s="51"/>
      <c r="E183" s="51"/>
      <c r="F183" s="51"/>
      <c r="G183" s="51"/>
      <c r="H183" s="51"/>
    </row>
    <row r="184" spans="1:12" hidden="1" x14ac:dyDescent="0.25">
      <c r="A184" s="10"/>
      <c r="B184" s="39" t="s">
        <v>253</v>
      </c>
      <c r="C184" s="134">
        <v>1</v>
      </c>
      <c r="D184" s="33"/>
      <c r="E184" s="44">
        <v>0</v>
      </c>
      <c r="F184" s="44">
        <v>0</v>
      </c>
      <c r="G184" s="44">
        <v>0</v>
      </c>
      <c r="H184" s="44">
        <v>0</v>
      </c>
    </row>
    <row r="185" spans="1:12" hidden="1" x14ac:dyDescent="0.25">
      <c r="B185" s="39" t="s">
        <v>254</v>
      </c>
      <c r="C185" s="44">
        <v>0</v>
      </c>
      <c r="D185" s="33"/>
      <c r="G185" s="44"/>
      <c r="H185" s="44"/>
    </row>
    <row r="186" spans="1:12" hidden="1" x14ac:dyDescent="0.25">
      <c r="B186" s="39" t="s">
        <v>255</v>
      </c>
      <c r="C186" s="73"/>
      <c r="D186" s="33"/>
      <c r="E186" s="44">
        <f>$C$185/$C$184*E184</f>
        <v>0</v>
      </c>
      <c r="F186" s="44">
        <f t="shared" ref="F186:H186" si="48">$C$185/$C$184*F184</f>
        <v>0</v>
      </c>
      <c r="G186" s="44">
        <f t="shared" si="48"/>
        <v>0</v>
      </c>
      <c r="H186" s="44">
        <f t="shared" si="48"/>
        <v>0</v>
      </c>
    </row>
    <row r="187" spans="1:12" hidden="1" x14ac:dyDescent="0.25"/>
  </sheetData>
  <pageMargins left="0.7" right="0.7" top="0.75" bottom="0.75" header="0.3" footer="0.3"/>
  <pageSetup paperSize="9" scale="56" fitToHeight="0"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3"/>
  <sheetViews>
    <sheetView topLeftCell="A70" workbookViewId="0">
      <selection activeCell="A150" sqref="A150:H15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42</v>
      </c>
      <c r="B1" s="126" t="s">
        <v>357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2969.4</v>
      </c>
      <c r="E5" s="44">
        <f>E68</f>
        <v>2969.4</v>
      </c>
      <c r="F5" s="44">
        <f t="shared" ref="F5:H5" si="1">F68</f>
        <v>0</v>
      </c>
      <c r="G5" s="44">
        <f t="shared" si="1"/>
        <v>0</v>
      </c>
      <c r="H5" s="44">
        <f t="shared" si="1"/>
        <v>0</v>
      </c>
    </row>
    <row r="6" spans="1:12" x14ac:dyDescent="0.25">
      <c r="B6" s="16" t="s">
        <v>168</v>
      </c>
      <c r="D6" s="44">
        <f t="shared" si="0"/>
        <v>0</v>
      </c>
      <c r="E6" s="44">
        <f>E72</f>
        <v>0</v>
      </c>
      <c r="F6" s="44">
        <f t="shared" ref="F6:H6" si="2">F72</f>
        <v>0</v>
      </c>
      <c r="G6" s="44">
        <f t="shared" si="2"/>
        <v>0</v>
      </c>
      <c r="H6" s="44">
        <f t="shared" si="2"/>
        <v>0</v>
      </c>
    </row>
    <row r="7" spans="1:12" ht="14.25" thickBot="1" x14ac:dyDescent="0.3">
      <c r="A7" s="13"/>
      <c r="B7" s="13" t="s">
        <v>5</v>
      </c>
      <c r="C7" s="13"/>
      <c r="D7" s="47">
        <f>SUBTOTAL(9,D5:D6)</f>
        <v>2969.4</v>
      </c>
      <c r="E7" s="47">
        <f>SUBTOTAL(9,E5:E6)</f>
        <v>2969.4</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2" si="3">SUM(E10:H10)</f>
        <v>3632.9270423529415</v>
      </c>
      <c r="E10" s="44">
        <f>E97</f>
        <v>3632.9270423529415</v>
      </c>
      <c r="F10" s="44">
        <f t="shared" ref="F10:H10" si="4">F97</f>
        <v>0</v>
      </c>
      <c r="G10" s="44">
        <f t="shared" si="4"/>
        <v>0</v>
      </c>
      <c r="H10" s="44">
        <f t="shared" si="4"/>
        <v>0</v>
      </c>
    </row>
    <row r="11" spans="1:12" x14ac:dyDescent="0.25">
      <c r="B11" s="16" t="s">
        <v>379</v>
      </c>
      <c r="D11" s="44">
        <f>SUM(E11:H11)</f>
        <v>1750.4579999999999</v>
      </c>
      <c r="E11" s="44">
        <f>E92</f>
        <v>437.61449999999996</v>
      </c>
      <c r="F11" s="44">
        <f t="shared" ref="F11:H11" si="5">F92</f>
        <v>437.61449999999996</v>
      </c>
      <c r="G11" s="44">
        <f t="shared" si="5"/>
        <v>437.61449999999996</v>
      </c>
      <c r="H11" s="44">
        <f t="shared" si="5"/>
        <v>437.61449999999996</v>
      </c>
    </row>
    <row r="12" spans="1:12" x14ac:dyDescent="0.25">
      <c r="B12" s="16" t="s">
        <v>115</v>
      </c>
      <c r="D12" s="44">
        <f t="shared" si="3"/>
        <v>0</v>
      </c>
      <c r="E12" s="44">
        <v>0</v>
      </c>
      <c r="F12" s="44">
        <v>0</v>
      </c>
      <c r="G12" s="44">
        <v>0</v>
      </c>
      <c r="H12" s="44">
        <v>0</v>
      </c>
    </row>
    <row r="13" spans="1:12" ht="14.25" thickBot="1" x14ac:dyDescent="0.3">
      <c r="A13" s="13"/>
      <c r="B13" s="13" t="s">
        <v>66</v>
      </c>
      <c r="C13" s="13"/>
      <c r="D13" s="47">
        <f>SUBTOTAL(9,D10:D12)</f>
        <v>5383.3850423529411</v>
      </c>
      <c r="E13" s="47">
        <f t="shared" ref="E13:H13" si="6">SUBTOTAL(9,E10:E12)</f>
        <v>4070.5415423529416</v>
      </c>
      <c r="F13" s="47">
        <f t="shared" si="6"/>
        <v>437.61449999999996</v>
      </c>
      <c r="G13" s="47">
        <f t="shared" si="6"/>
        <v>437.61449999999996</v>
      </c>
      <c r="H13" s="47">
        <f t="shared" si="6"/>
        <v>437.61449999999996</v>
      </c>
    </row>
    <row r="14" spans="1:12" ht="5.25" customHeight="1" x14ac:dyDescent="0.25"/>
    <row r="15" spans="1:12" x14ac:dyDescent="0.25">
      <c r="A15" s="15"/>
      <c r="B15" s="15" t="s">
        <v>12</v>
      </c>
      <c r="C15" s="15"/>
      <c r="D15" s="53"/>
      <c r="E15" s="53"/>
      <c r="F15" s="53"/>
      <c r="G15" s="54"/>
      <c r="H15" s="54"/>
      <c r="I15" s="61"/>
      <c r="J15" s="12"/>
      <c r="K15" s="12"/>
      <c r="L15" s="12"/>
    </row>
    <row r="16" spans="1:12" x14ac:dyDescent="0.25">
      <c r="B16" s="16" t="s">
        <v>169</v>
      </c>
      <c r="D16" s="44">
        <f t="shared" ref="D16" si="7">SUM(E16:H16)</f>
        <v>0</v>
      </c>
      <c r="E16" s="44">
        <f>E105</f>
        <v>0</v>
      </c>
      <c r="F16" s="44">
        <f t="shared" ref="F16:H16" si="8">F105</f>
        <v>0</v>
      </c>
      <c r="G16" s="44">
        <f t="shared" si="8"/>
        <v>0</v>
      </c>
      <c r="H16" s="44">
        <f t="shared" si="8"/>
        <v>0</v>
      </c>
    </row>
    <row r="17" spans="1:12" x14ac:dyDescent="0.25">
      <c r="B17" s="16" t="s">
        <v>71</v>
      </c>
    </row>
    <row r="18" spans="1:12" ht="14.25" thickBot="1" x14ac:dyDescent="0.3">
      <c r="A18" s="13"/>
      <c r="B18" s="13" t="s">
        <v>74</v>
      </c>
      <c r="C18" s="13"/>
      <c r="D18" s="47">
        <f>SUBTOTAL(9,D16:D17)</f>
        <v>0</v>
      </c>
      <c r="E18" s="47">
        <f t="shared" ref="E18:H18" si="9">SUBTOTAL(9,E16:E17)</f>
        <v>0</v>
      </c>
      <c r="F18" s="47">
        <f t="shared" si="9"/>
        <v>0</v>
      </c>
      <c r="G18" s="47">
        <f t="shared" si="9"/>
        <v>0</v>
      </c>
      <c r="H18" s="47">
        <f t="shared" si="9"/>
        <v>0</v>
      </c>
    </row>
    <row r="19" spans="1:12" ht="6" customHeight="1" x14ac:dyDescent="0.25"/>
    <row r="20" spans="1:12" x14ac:dyDescent="0.25">
      <c r="A20" s="15"/>
      <c r="B20" s="15" t="s">
        <v>138</v>
      </c>
      <c r="C20" s="15"/>
      <c r="D20" s="53"/>
      <c r="E20" s="53"/>
      <c r="F20" s="53"/>
      <c r="G20" s="54"/>
      <c r="H20" s="54"/>
      <c r="I20" s="61"/>
      <c r="J20" s="12"/>
      <c r="K20" s="12"/>
      <c r="L20" s="12"/>
    </row>
    <row r="21" spans="1:12" x14ac:dyDescent="0.25">
      <c r="B21" s="16" t="s">
        <v>130</v>
      </c>
      <c r="D21" s="44">
        <f t="shared" ref="D21" si="10">SUM(E21:H21)</f>
        <v>9077.4650633343736</v>
      </c>
      <c r="E21" s="44">
        <f>E109</f>
        <v>2128.125</v>
      </c>
      <c r="F21" s="44">
        <f t="shared" ref="F21:H21" si="11">F109</f>
        <v>2219.6343749999996</v>
      </c>
      <c r="G21" s="44">
        <f t="shared" si="11"/>
        <v>2315.0786531249996</v>
      </c>
      <c r="H21" s="44">
        <f t="shared" si="11"/>
        <v>2414.6270352093748</v>
      </c>
    </row>
    <row r="22" spans="1:12" x14ac:dyDescent="0.25">
      <c r="B22" s="16" t="s">
        <v>139</v>
      </c>
      <c r="D22" s="44">
        <f t="shared" ref="D22" si="12">SUM(E22:H22)</f>
        <v>0</v>
      </c>
    </row>
    <row r="23" spans="1:12" ht="14.25" thickBot="1" x14ac:dyDescent="0.3">
      <c r="A23" s="13"/>
      <c r="B23" s="13" t="s">
        <v>140</v>
      </c>
      <c r="C23" s="13"/>
      <c r="D23" s="47">
        <f>SUBTOTAL(9,D21:D22)</f>
        <v>9077.4650633343736</v>
      </c>
      <c r="E23" s="47">
        <f t="shared" ref="E23:H23" si="13">SUBTOTAL(9,E21:E22)</f>
        <v>2128.125</v>
      </c>
      <c r="F23" s="47">
        <f t="shared" si="13"/>
        <v>2219.6343749999996</v>
      </c>
      <c r="G23" s="47">
        <f t="shared" si="13"/>
        <v>2315.0786531249996</v>
      </c>
      <c r="H23" s="47">
        <f t="shared" si="13"/>
        <v>2414.6270352093748</v>
      </c>
    </row>
    <row r="24" spans="1:12" ht="5.25" customHeight="1" x14ac:dyDescent="0.25"/>
    <row r="25" spans="1:12" x14ac:dyDescent="0.25">
      <c r="A25" s="15"/>
      <c r="B25" s="15" t="s">
        <v>72</v>
      </c>
      <c r="C25" s="15"/>
      <c r="D25" s="53"/>
      <c r="E25" s="53"/>
      <c r="F25" s="53"/>
      <c r="G25" s="54"/>
      <c r="H25" s="54"/>
      <c r="I25" s="61"/>
      <c r="J25" s="12"/>
      <c r="K25" s="12"/>
      <c r="L25" s="12"/>
    </row>
    <row r="26" spans="1:12" x14ac:dyDescent="0.25">
      <c r="B26" s="16" t="s">
        <v>24</v>
      </c>
      <c r="D26" s="44">
        <f>SUM(E26:H26)</f>
        <v>0</v>
      </c>
      <c r="E26" s="44">
        <f>E117</f>
        <v>0</v>
      </c>
      <c r="F26" s="44">
        <f t="shared" ref="F26:H26" si="14">F117</f>
        <v>0</v>
      </c>
      <c r="G26" s="44">
        <f t="shared" si="14"/>
        <v>0</v>
      </c>
      <c r="H26" s="44">
        <f t="shared" si="14"/>
        <v>0</v>
      </c>
    </row>
    <row r="27" spans="1:12" x14ac:dyDescent="0.25">
      <c r="B27" s="16" t="s">
        <v>25</v>
      </c>
      <c r="D27" s="44">
        <f t="shared" ref="D27" si="15">SUM(E27:H27)</f>
        <v>612</v>
      </c>
      <c r="E27" s="44">
        <f>E142</f>
        <v>0</v>
      </c>
      <c r="F27" s="44">
        <f t="shared" ref="F27:H27" si="16">F142</f>
        <v>504</v>
      </c>
      <c r="G27" s="44">
        <f t="shared" si="16"/>
        <v>54</v>
      </c>
      <c r="H27" s="44">
        <f t="shared" si="16"/>
        <v>54</v>
      </c>
    </row>
    <row r="28" spans="1:12" x14ac:dyDescent="0.25">
      <c r="B28" s="16" t="s">
        <v>233</v>
      </c>
    </row>
    <row r="29" spans="1:12" ht="14.25" thickBot="1" x14ac:dyDescent="0.3">
      <c r="A29" s="13"/>
      <c r="B29" s="13" t="s">
        <v>73</v>
      </c>
      <c r="C29" s="13"/>
      <c r="D29" s="47">
        <f>SUBTOTAL(9,D26:D28)</f>
        <v>612</v>
      </c>
      <c r="E29" s="47">
        <f t="shared" ref="E29:H29" si="17">SUBTOTAL(9,E26:E28)</f>
        <v>0</v>
      </c>
      <c r="F29" s="47">
        <f t="shared" si="17"/>
        <v>504</v>
      </c>
      <c r="G29" s="47">
        <f t="shared" si="17"/>
        <v>54</v>
      </c>
      <c r="H29" s="47">
        <f t="shared" si="17"/>
        <v>54</v>
      </c>
    </row>
    <row r="30" spans="1:12" ht="6" customHeight="1" x14ac:dyDescent="0.25"/>
    <row r="31" spans="1:12" x14ac:dyDescent="0.25">
      <c r="A31" s="15"/>
      <c r="B31" s="15" t="s">
        <v>7</v>
      </c>
      <c r="C31" s="15"/>
      <c r="D31" s="53"/>
      <c r="E31" s="53"/>
      <c r="F31" s="53"/>
      <c r="G31" s="54"/>
      <c r="H31" s="54"/>
      <c r="I31" s="61"/>
      <c r="J31" s="12"/>
      <c r="K31" s="12"/>
      <c r="L31" s="12"/>
    </row>
    <row r="32" spans="1:12" x14ac:dyDescent="0.25">
      <c r="B32" s="16" t="s">
        <v>354</v>
      </c>
      <c r="D32" s="44">
        <f t="shared" ref="D32:D35" si="18">SUM(E32:H32)</f>
        <v>0</v>
      </c>
      <c r="E32" s="44">
        <f>E122</f>
        <v>0</v>
      </c>
      <c r="F32" s="44">
        <f t="shared" ref="F32:H32" si="19">F122</f>
        <v>0</v>
      </c>
      <c r="G32" s="44">
        <f t="shared" si="19"/>
        <v>0</v>
      </c>
      <c r="H32" s="44">
        <f t="shared" si="19"/>
        <v>0</v>
      </c>
    </row>
    <row r="33" spans="1:12" x14ac:dyDescent="0.25">
      <c r="B33" s="16" t="s">
        <v>26</v>
      </c>
      <c r="D33" s="44">
        <f t="shared" si="18"/>
        <v>0</v>
      </c>
      <c r="E33" s="44">
        <f>E131</f>
        <v>0</v>
      </c>
    </row>
    <row r="34" spans="1:12" x14ac:dyDescent="0.25">
      <c r="B34" s="16" t="s">
        <v>8</v>
      </c>
      <c r="D34" s="44">
        <f t="shared" si="18"/>
        <v>0</v>
      </c>
    </row>
    <row r="35" spans="1:12" x14ac:dyDescent="0.25">
      <c r="B35" s="16" t="s">
        <v>9</v>
      </c>
      <c r="D35" s="44">
        <f t="shared" si="18"/>
        <v>0</v>
      </c>
    </row>
    <row r="36" spans="1:12" ht="14.25" thickBot="1" x14ac:dyDescent="0.3">
      <c r="A36" s="13"/>
      <c r="B36" s="13" t="s">
        <v>67</v>
      </c>
      <c r="C36" s="13"/>
      <c r="D36" s="47">
        <f>SUBTOTAL(9,D32:D35)</f>
        <v>0</v>
      </c>
      <c r="E36" s="47">
        <f>SUBTOTAL(9,E32:E35)</f>
        <v>0</v>
      </c>
      <c r="F36" s="47">
        <f t="shared" ref="F36:H36" si="20">SUBTOTAL(9,F32:F35)</f>
        <v>0</v>
      </c>
      <c r="G36" s="47">
        <f>SUBTOTAL(9,G32:G35)</f>
        <v>0</v>
      </c>
      <c r="H36" s="47">
        <f t="shared" si="20"/>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21">SUM(E39:H39)</f>
        <v>0</v>
      </c>
    </row>
    <row r="40" spans="1:12" x14ac:dyDescent="0.25">
      <c r="A40" s="2"/>
      <c r="B40" s="2" t="s">
        <v>18</v>
      </c>
      <c r="C40" s="2"/>
      <c r="D40" s="44">
        <f t="shared" si="21"/>
        <v>0</v>
      </c>
    </row>
    <row r="41" spans="1:12" x14ac:dyDescent="0.25">
      <c r="A41" s="2"/>
      <c r="B41" s="2" t="s">
        <v>19</v>
      </c>
      <c r="C41" s="2"/>
      <c r="D41" s="44">
        <f t="shared" si="21"/>
        <v>0</v>
      </c>
      <c r="E41" s="44">
        <f>E187</f>
        <v>0</v>
      </c>
      <c r="F41" s="44">
        <f t="shared" ref="F41:H41" si="22">F187</f>
        <v>0</v>
      </c>
      <c r="G41" s="44">
        <f t="shared" si="22"/>
        <v>0</v>
      </c>
      <c r="H41" s="44">
        <f t="shared" si="22"/>
        <v>0</v>
      </c>
    </row>
    <row r="42" spans="1:12" x14ac:dyDescent="0.25">
      <c r="A42" s="3"/>
      <c r="B42" s="3" t="s">
        <v>13</v>
      </c>
      <c r="C42" s="3"/>
      <c r="D42" s="44">
        <f t="shared" si="21"/>
        <v>0</v>
      </c>
    </row>
    <row r="43" spans="1:12" x14ac:dyDescent="0.25">
      <c r="A43" s="3"/>
      <c r="B43" s="3" t="s">
        <v>22</v>
      </c>
      <c r="C43" s="3"/>
      <c r="D43" s="44">
        <f t="shared" si="21"/>
        <v>0</v>
      </c>
    </row>
    <row r="44" spans="1:12" ht="14.25" thickBot="1" x14ac:dyDescent="0.3">
      <c r="A44" s="13"/>
      <c r="B44" s="13" t="s">
        <v>68</v>
      </c>
      <c r="C44" s="13"/>
      <c r="D44" s="47">
        <f>SUBTOTAL(9,D39:D43)</f>
        <v>0</v>
      </c>
      <c r="E44" s="47">
        <f t="shared" ref="E44:H44" si="23">SUBTOTAL(9,E39:E43)</f>
        <v>0</v>
      </c>
      <c r="F44" s="47">
        <f t="shared" si="23"/>
        <v>0</v>
      </c>
      <c r="G44" s="47">
        <f t="shared" si="23"/>
        <v>0</v>
      </c>
      <c r="H44" s="47">
        <f t="shared" si="23"/>
        <v>0</v>
      </c>
    </row>
    <row r="45" spans="1:12" ht="5.25" customHeight="1" x14ac:dyDescent="0.25">
      <c r="A45" s="3"/>
      <c r="B45" s="6"/>
      <c r="C45" s="3"/>
    </row>
    <row r="46" spans="1:12" x14ac:dyDescent="0.25">
      <c r="A46" s="15"/>
      <c r="B46" s="15" t="s">
        <v>252</v>
      </c>
      <c r="C46" s="135"/>
      <c r="D46" s="53"/>
      <c r="E46" s="53"/>
      <c r="F46" s="53"/>
      <c r="G46" s="54"/>
      <c r="H46" s="54"/>
      <c r="I46" s="12"/>
      <c r="J46" s="12"/>
      <c r="K46" s="12"/>
      <c r="L46" s="12"/>
    </row>
    <row r="47" spans="1:12" x14ac:dyDescent="0.25">
      <c r="A47" s="2"/>
      <c r="B47" s="2" t="s">
        <v>252</v>
      </c>
      <c r="C47" s="1"/>
      <c r="D47" s="44">
        <f t="shared" ref="D47" si="24">SUM(E47:H47)</f>
        <v>0</v>
      </c>
      <c r="E47" s="44">
        <f>E192</f>
        <v>0</v>
      </c>
      <c r="F47" s="44">
        <f t="shared" ref="F47:H47" si="25">F192</f>
        <v>0</v>
      </c>
      <c r="G47" s="44">
        <f t="shared" si="25"/>
        <v>0</v>
      </c>
      <c r="H47" s="44">
        <f t="shared" si="25"/>
        <v>0</v>
      </c>
      <c r="I47" s="6"/>
    </row>
    <row r="48" spans="1:12" ht="14.25" thickBot="1" x14ac:dyDescent="0.3">
      <c r="A48" s="13"/>
      <c r="B48" s="13" t="s">
        <v>256</v>
      </c>
      <c r="C48" s="136"/>
      <c r="D48" s="47">
        <f>SUBTOTAL(9,D47)</f>
        <v>0</v>
      </c>
      <c r="E48" s="47">
        <f t="shared" ref="E48:H48" si="26">SUBTOTAL(9,E47)</f>
        <v>0</v>
      </c>
      <c r="F48" s="47">
        <f t="shared" si="26"/>
        <v>0</v>
      </c>
      <c r="G48" s="47">
        <f t="shared" si="26"/>
        <v>0</v>
      </c>
      <c r="H48" s="47">
        <f t="shared" si="26"/>
        <v>0</v>
      </c>
      <c r="I48" s="6"/>
    </row>
    <row r="49" spans="1:12" ht="5.25" customHeight="1" x14ac:dyDescent="0.25">
      <c r="A49" s="3"/>
      <c r="B49" s="6"/>
      <c r="C49" s="3"/>
    </row>
    <row r="50" spans="1:12" x14ac:dyDescent="0.25">
      <c r="A50" s="15"/>
      <c r="B50" s="15" t="s">
        <v>20</v>
      </c>
      <c r="C50" s="15"/>
      <c r="D50" s="53"/>
      <c r="E50" s="53"/>
      <c r="F50" s="53"/>
      <c r="G50" s="54"/>
      <c r="H50" s="54"/>
      <c r="I50" s="61"/>
      <c r="J50" s="12"/>
      <c r="K50" s="12"/>
      <c r="L50" s="12"/>
    </row>
    <row r="51" spans="1:12" x14ac:dyDescent="0.25">
      <c r="A51" s="3"/>
      <c r="B51" s="3" t="s">
        <v>194</v>
      </c>
      <c r="C51" s="3"/>
      <c r="D51" s="44">
        <f t="shared" ref="D51:D52" si="27">SUM(E51:H51)</f>
        <v>0</v>
      </c>
      <c r="E51" s="44">
        <f>E161</f>
        <v>0</v>
      </c>
      <c r="F51" s="44">
        <f t="shared" ref="F51:H51" si="28">F161</f>
        <v>0</v>
      </c>
      <c r="G51" s="44">
        <f t="shared" si="28"/>
        <v>0</v>
      </c>
      <c r="H51" s="44">
        <f t="shared" si="28"/>
        <v>0</v>
      </c>
    </row>
    <row r="52" spans="1:12" x14ac:dyDescent="0.25">
      <c r="A52" s="3"/>
      <c r="B52" s="3" t="s">
        <v>21</v>
      </c>
      <c r="C52" s="3"/>
      <c r="D52" s="44">
        <f t="shared" si="27"/>
        <v>0</v>
      </c>
      <c r="E52" s="44">
        <f>E151</f>
        <v>0</v>
      </c>
      <c r="F52" s="44">
        <f t="shared" ref="F52:H52" si="29">F151</f>
        <v>0</v>
      </c>
      <c r="G52" s="44">
        <f t="shared" si="29"/>
        <v>0</v>
      </c>
      <c r="H52" s="44">
        <f t="shared" si="29"/>
        <v>0</v>
      </c>
    </row>
    <row r="53" spans="1:12" ht="14.25" thickBot="1" x14ac:dyDescent="0.3">
      <c r="A53" s="13"/>
      <c r="B53" s="13" t="s">
        <v>69</v>
      </c>
      <c r="C53" s="13"/>
      <c r="D53" s="47">
        <f>SUBTOTAL(9,D51:D52)</f>
        <v>0</v>
      </c>
      <c r="E53" s="47">
        <f>SUBTOTAL(9,E51:E52)</f>
        <v>0</v>
      </c>
      <c r="F53" s="47">
        <f>SUBTOTAL(9,F51:F52)</f>
        <v>0</v>
      </c>
      <c r="G53" s="47">
        <f>SUBTOTAL(9,G51:G52)</f>
        <v>0</v>
      </c>
      <c r="H53" s="47">
        <f>SUBTOTAL(9,H51:H52)</f>
        <v>0</v>
      </c>
    </row>
    <row r="54" spans="1:12" ht="5.25" customHeight="1" x14ac:dyDescent="0.25">
      <c r="A54" s="1"/>
      <c r="B54" s="1"/>
      <c r="C54" s="1"/>
    </row>
    <row r="55" spans="1:12" ht="14.25" thickBot="1" x14ac:dyDescent="0.3">
      <c r="A55" s="48"/>
      <c r="B55" s="48" t="s">
        <v>142</v>
      </c>
      <c r="C55" s="48"/>
      <c r="D55" s="49">
        <f>SUBTOTAL(9,D5:D53)</f>
        <v>18042.250105687315</v>
      </c>
      <c r="E55" s="49">
        <f>SUBTOTAL(9,E5:E53)</f>
        <v>9168.0665423529408</v>
      </c>
      <c r="F55" s="49">
        <f>SUBTOTAL(9,F5:F53)</f>
        <v>3161.2488749999998</v>
      </c>
      <c r="G55" s="49">
        <f>SUBTOTAL(9,G5:G53)</f>
        <v>2806.6931531249998</v>
      </c>
      <c r="H55" s="49">
        <f>SUBTOTAL(9,H5:H53)</f>
        <v>2906.2415352093749</v>
      </c>
    </row>
    <row r="56" spans="1:12" ht="14.25" thickBot="1" x14ac:dyDescent="0.3">
      <c r="A56" s="1"/>
      <c r="B56" s="1"/>
      <c r="C56" s="1"/>
      <c r="D56" s="33"/>
      <c r="E56" s="33"/>
      <c r="F56" s="33"/>
      <c r="G56" s="28"/>
      <c r="H56" s="28"/>
      <c r="I56" s="6"/>
    </row>
    <row r="57" spans="1:12" ht="18" thickTop="1" x14ac:dyDescent="0.3">
      <c r="A57" s="120"/>
      <c r="B57" s="121" t="s">
        <v>27</v>
      </c>
      <c r="C57" s="121"/>
      <c r="D57" s="122"/>
      <c r="E57" s="122"/>
      <c r="F57" s="122"/>
      <c r="G57" s="122"/>
      <c r="H57" s="122"/>
      <c r="I57" s="6"/>
    </row>
    <row r="58" spans="1:12" ht="6.75" customHeight="1" x14ac:dyDescent="0.25">
      <c r="A58" s="1"/>
      <c r="B58" s="1"/>
      <c r="C58" s="1"/>
      <c r="D58" s="33"/>
      <c r="E58" s="33"/>
      <c r="F58" s="33"/>
      <c r="G58" s="28"/>
      <c r="H58" s="28"/>
      <c r="I58" s="6"/>
    </row>
    <row r="59" spans="1:12" s="14" customFormat="1" x14ac:dyDescent="0.25">
      <c r="A59" s="81"/>
      <c r="B59" s="81" t="s">
        <v>65</v>
      </c>
      <c r="C59" s="81" t="s">
        <v>64</v>
      </c>
      <c r="D59" s="82"/>
      <c r="E59" s="83">
        <f>start</f>
        <v>43831</v>
      </c>
      <c r="F59" s="83">
        <f>EOMONTH(E59,11)+1</f>
        <v>44197</v>
      </c>
      <c r="G59" s="83">
        <f>EOMONTH(F59,11)+1</f>
        <v>44562</v>
      </c>
      <c r="H59" s="83">
        <f>EOMONTH(G59,11)+1</f>
        <v>44927</v>
      </c>
    </row>
    <row r="60" spans="1:12" ht="6.75" customHeight="1" x14ac:dyDescent="0.25">
      <c r="D60" s="33"/>
      <c r="E60" s="33"/>
      <c r="F60" s="33"/>
      <c r="G60" s="28"/>
      <c r="H60" s="28"/>
      <c r="I60" s="6"/>
    </row>
    <row r="61" spans="1:12" x14ac:dyDescent="0.25">
      <c r="A61" s="50"/>
      <c r="B61" s="50" t="s">
        <v>0</v>
      </c>
      <c r="C61" s="50"/>
      <c r="D61" s="52"/>
      <c r="E61" s="52"/>
      <c r="F61" s="52"/>
      <c r="G61" s="52"/>
      <c r="H61" s="52"/>
    </row>
    <row r="62" spans="1:12" hidden="1" x14ac:dyDescent="0.25">
      <c r="B62" s="5" t="s">
        <v>2</v>
      </c>
      <c r="E62" s="44">
        <f>E63*E64*E65*E66</f>
        <v>0</v>
      </c>
      <c r="F62" s="45"/>
      <c r="G62" s="37"/>
      <c r="H62" s="37"/>
    </row>
    <row r="63" spans="1:12" hidden="1" x14ac:dyDescent="0.25">
      <c r="A63" s="9"/>
      <c r="B63" s="9" t="s">
        <v>36</v>
      </c>
      <c r="C63" s="9"/>
      <c r="E63" s="44">
        <v>0</v>
      </c>
    </row>
    <row r="64" spans="1:12" hidden="1" x14ac:dyDescent="0.25">
      <c r="A64" s="9"/>
      <c r="B64" s="9" t="s">
        <v>37</v>
      </c>
      <c r="C64" s="9"/>
      <c r="D64" s="45"/>
      <c r="E64" s="45">
        <v>0</v>
      </c>
    </row>
    <row r="65" spans="1:12" hidden="1" x14ac:dyDescent="0.25">
      <c r="A65" s="9"/>
      <c r="B65" s="9" t="s">
        <v>38</v>
      </c>
      <c r="C65" s="9"/>
      <c r="E65" s="44">
        <v>0</v>
      </c>
    </row>
    <row r="66" spans="1:12" hidden="1" x14ac:dyDescent="0.25">
      <c r="A66" s="9"/>
      <c r="B66" s="9" t="s">
        <v>39</v>
      </c>
      <c r="C66" s="9"/>
      <c r="E66" s="46">
        <v>0</v>
      </c>
    </row>
    <row r="67" spans="1:12" x14ac:dyDescent="0.25">
      <c r="A67" s="9"/>
      <c r="B67" s="9"/>
      <c r="C67" s="9"/>
    </row>
    <row r="68" spans="1:12" x14ac:dyDescent="0.25">
      <c r="B68" s="5" t="s">
        <v>23</v>
      </c>
      <c r="E68" s="44">
        <f>E69*E70</f>
        <v>2969.4</v>
      </c>
      <c r="F68" s="44">
        <f t="shared" ref="F68:H68" si="30">F69*F70</f>
        <v>0</v>
      </c>
      <c r="G68" s="44">
        <f t="shared" si="30"/>
        <v>0</v>
      </c>
      <c r="H68" s="44">
        <f t="shared" si="30"/>
        <v>0</v>
      </c>
    </row>
    <row r="69" spans="1:12" x14ac:dyDescent="0.25">
      <c r="A69" s="9"/>
      <c r="B69" s="9" t="s">
        <v>114</v>
      </c>
      <c r="C69" s="9" t="s">
        <v>113</v>
      </c>
      <c r="E69" s="44">
        <f>(4+4)*21</f>
        <v>168</v>
      </c>
      <c r="F69" s="44">
        <v>0</v>
      </c>
      <c r="G69" s="44">
        <v>0</v>
      </c>
      <c r="H69" s="44">
        <v>0</v>
      </c>
    </row>
    <row r="70" spans="1:12" x14ac:dyDescent="0.25">
      <c r="A70" s="9"/>
      <c r="B70" s="9" t="s">
        <v>40</v>
      </c>
      <c r="C70" s="9"/>
      <c r="E70" s="44">
        <f>'Rates and GI'!D12</f>
        <v>17.675000000000001</v>
      </c>
      <c r="F70" s="44">
        <f>E70*(1+index)</f>
        <v>18.435025</v>
      </c>
      <c r="G70" s="44">
        <f>F70*(1+index)</f>
        <v>19.227731074999998</v>
      </c>
      <c r="H70" s="44">
        <f>G70*(1+index)</f>
        <v>20.054523511224996</v>
      </c>
    </row>
    <row r="71" spans="1:12" hidden="1" x14ac:dyDescent="0.25"/>
    <row r="72" spans="1:12" s="7" customFormat="1" hidden="1" x14ac:dyDescent="0.25">
      <c r="A72" s="5"/>
      <c r="B72" s="5" t="s">
        <v>168</v>
      </c>
      <c r="C72" s="5"/>
      <c r="D72" s="44"/>
      <c r="E72" s="44">
        <f>E73*E74</f>
        <v>0</v>
      </c>
      <c r="F72" s="44">
        <f t="shared" ref="F72:H72" si="31">F73*F74</f>
        <v>0</v>
      </c>
      <c r="G72" s="44">
        <f t="shared" si="31"/>
        <v>0</v>
      </c>
      <c r="H72" s="44">
        <f t="shared" si="31"/>
        <v>0</v>
      </c>
      <c r="I72" s="62"/>
      <c r="J72" s="6"/>
      <c r="K72" s="6"/>
      <c r="L72" s="6"/>
    </row>
    <row r="73" spans="1:12" s="7" customFormat="1" hidden="1" x14ac:dyDescent="0.25">
      <c r="A73" s="9"/>
      <c r="B73" s="9" t="s">
        <v>170</v>
      </c>
      <c r="C73" s="9" t="s">
        <v>113</v>
      </c>
      <c r="D73" s="44"/>
      <c r="E73" s="44">
        <v>0</v>
      </c>
      <c r="F73" s="44">
        <v>0</v>
      </c>
      <c r="G73" s="44">
        <v>0</v>
      </c>
      <c r="H73" s="44">
        <v>0</v>
      </c>
      <c r="I73" s="62"/>
      <c r="J73" s="6"/>
      <c r="K73" s="6"/>
      <c r="L73" s="6"/>
    </row>
    <row r="74" spans="1:12" s="7" customFormat="1" hidden="1" x14ac:dyDescent="0.25">
      <c r="A74" s="9"/>
      <c r="B74" s="9" t="s">
        <v>40</v>
      </c>
      <c r="C74" s="9"/>
      <c r="D74" s="44"/>
      <c r="E74" s="44">
        <f>'Rates and GI'!D13</f>
        <v>162.21599999999998</v>
      </c>
      <c r="F74" s="44">
        <f>E74*(1+index)</f>
        <v>169.19128799999996</v>
      </c>
      <c r="G74" s="44">
        <f>F74*(1+index)</f>
        <v>176.46651338399994</v>
      </c>
      <c r="H74" s="44">
        <f>G74*(1+index)</f>
        <v>184.05457345951191</v>
      </c>
      <c r="I74" s="62"/>
      <c r="J74" s="6"/>
      <c r="K74" s="6"/>
      <c r="L74" s="6"/>
    </row>
    <row r="75" spans="1:12" hidden="1" x14ac:dyDescent="0.25"/>
    <row r="76" spans="1:12" s="7" customFormat="1" hidden="1" x14ac:dyDescent="0.25">
      <c r="A76" s="5"/>
      <c r="B76" s="5" t="s">
        <v>1</v>
      </c>
      <c r="C76" s="5"/>
      <c r="D76" s="44"/>
      <c r="E76" s="44"/>
      <c r="F76" s="44"/>
      <c r="G76" s="38"/>
      <c r="H76" s="38"/>
      <c r="I76" s="62"/>
      <c r="J76" s="6"/>
      <c r="K76" s="6"/>
      <c r="L76" s="6"/>
    </row>
    <row r="77" spans="1:12" s="7" customFormat="1" hidden="1" x14ac:dyDescent="0.25">
      <c r="A77" s="9"/>
      <c r="B77" s="9" t="s">
        <v>41</v>
      </c>
      <c r="C77" s="9"/>
      <c r="D77" s="44"/>
      <c r="E77" s="44">
        <v>0</v>
      </c>
      <c r="F77" s="44"/>
      <c r="G77" s="38"/>
      <c r="H77" s="38"/>
      <c r="I77" s="62"/>
      <c r="J77" s="6"/>
      <c r="K77" s="6"/>
      <c r="L77" s="6"/>
    </row>
    <row r="78" spans="1:12" s="7" customFormat="1" hidden="1" x14ac:dyDescent="0.25">
      <c r="A78" s="9"/>
      <c r="B78" s="9" t="s">
        <v>42</v>
      </c>
      <c r="C78" s="9"/>
      <c r="D78" s="44"/>
      <c r="E78" s="44">
        <v>0</v>
      </c>
      <c r="F78" s="44"/>
      <c r="G78" s="38"/>
      <c r="H78" s="38"/>
      <c r="I78" s="62"/>
      <c r="J78" s="6"/>
      <c r="K78" s="6"/>
      <c r="L78" s="6"/>
    </row>
    <row r="79" spans="1:12" s="7" customFormat="1" hidden="1" x14ac:dyDescent="0.25">
      <c r="A79" s="9"/>
      <c r="B79" s="9" t="s">
        <v>43</v>
      </c>
      <c r="C79" s="9"/>
      <c r="D79" s="44"/>
      <c r="E79" s="44">
        <v>0</v>
      </c>
      <c r="F79" s="44"/>
      <c r="G79" s="38"/>
      <c r="H79" s="38"/>
      <c r="I79" s="62"/>
      <c r="J79" s="6"/>
      <c r="K79" s="6"/>
      <c r="L79" s="6"/>
    </row>
    <row r="80" spans="1:12" s="7" customFormat="1" hidden="1" x14ac:dyDescent="0.25">
      <c r="A80" s="9"/>
      <c r="B80" s="9" t="s">
        <v>44</v>
      </c>
      <c r="C80" s="9"/>
      <c r="D80" s="44"/>
      <c r="E80" s="44">
        <v>0</v>
      </c>
      <c r="F80" s="44"/>
      <c r="G80" s="38"/>
      <c r="H80" s="38"/>
      <c r="I80" s="62"/>
      <c r="J80" s="6"/>
      <c r="K80" s="6"/>
      <c r="L80" s="6"/>
    </row>
    <row r="81" spans="1:12" hidden="1" x14ac:dyDescent="0.25"/>
    <row r="82" spans="1:12" s="7" customFormat="1" hidden="1" x14ac:dyDescent="0.25">
      <c r="A82" s="5"/>
      <c r="B82" s="5" t="s">
        <v>3</v>
      </c>
      <c r="C82" s="5"/>
      <c r="D82" s="44"/>
      <c r="E82" s="44"/>
      <c r="F82" s="44"/>
      <c r="G82" s="38"/>
      <c r="H82" s="38"/>
      <c r="I82" s="62"/>
      <c r="J82" s="6"/>
      <c r="K82" s="6"/>
      <c r="L82" s="6"/>
    </row>
    <row r="83" spans="1:12" s="7" customFormat="1" hidden="1" x14ac:dyDescent="0.25">
      <c r="A83" s="9"/>
      <c r="B83" s="9" t="s">
        <v>45</v>
      </c>
      <c r="C83" s="9"/>
      <c r="D83" s="44"/>
      <c r="E83" s="44">
        <v>0</v>
      </c>
      <c r="F83" s="44"/>
      <c r="G83" s="38"/>
      <c r="H83" s="38"/>
      <c r="I83" s="62"/>
      <c r="J83" s="6"/>
      <c r="K83" s="6"/>
      <c r="L83" s="6"/>
    </row>
    <row r="84" spans="1:12" s="7" customFormat="1" hidden="1" x14ac:dyDescent="0.25">
      <c r="A84" s="9"/>
      <c r="B84" s="9" t="s">
        <v>46</v>
      </c>
      <c r="C84" s="9"/>
      <c r="D84" s="44"/>
      <c r="E84" s="44">
        <v>0</v>
      </c>
      <c r="F84" s="44"/>
      <c r="G84" s="38"/>
      <c r="H84" s="38"/>
      <c r="I84" s="62"/>
      <c r="J84" s="6"/>
      <c r="K84" s="6"/>
      <c r="L84" s="6"/>
    </row>
    <row r="85" spans="1:12" hidden="1" x14ac:dyDescent="0.25"/>
    <row r="86" spans="1:12" s="7" customFormat="1" hidden="1" x14ac:dyDescent="0.25">
      <c r="A86" s="5"/>
      <c r="B86" s="5" t="s">
        <v>4</v>
      </c>
      <c r="C86" s="5"/>
      <c r="D86" s="44"/>
      <c r="E86" s="44"/>
      <c r="F86" s="44"/>
      <c r="G86" s="38"/>
      <c r="H86" s="38"/>
      <c r="I86" s="62"/>
      <c r="J86" s="6"/>
      <c r="K86" s="6"/>
      <c r="L86" s="6"/>
    </row>
    <row r="87" spans="1:12" s="7" customFormat="1" hidden="1" x14ac:dyDescent="0.25">
      <c r="A87" s="9"/>
      <c r="B87" s="9" t="s">
        <v>47</v>
      </c>
      <c r="C87" s="9"/>
      <c r="D87" s="44"/>
      <c r="E87" s="44">
        <v>0</v>
      </c>
      <c r="F87" s="44"/>
      <c r="G87" s="38"/>
      <c r="H87" s="38"/>
      <c r="I87" s="62"/>
      <c r="J87" s="6"/>
      <c r="K87" s="6"/>
      <c r="L87" s="6"/>
    </row>
    <row r="88" spans="1:12" s="7" customFormat="1" hidden="1" x14ac:dyDescent="0.25">
      <c r="A88" s="9"/>
      <c r="B88" s="9" t="s">
        <v>48</v>
      </c>
      <c r="C88" s="9"/>
      <c r="D88" s="44"/>
      <c r="E88" s="44">
        <v>0</v>
      </c>
      <c r="F88" s="44"/>
      <c r="G88" s="38"/>
      <c r="H88" s="38"/>
      <c r="I88" s="62"/>
      <c r="J88" s="6"/>
      <c r="K88" s="6"/>
      <c r="L88" s="6"/>
    </row>
    <row r="89" spans="1:12" hidden="1" x14ac:dyDescent="0.25"/>
    <row r="90" spans="1:12" s="7" customFormat="1" hidden="1" x14ac:dyDescent="0.25">
      <c r="A90" s="9"/>
      <c r="B90" s="9" t="s">
        <v>39</v>
      </c>
      <c r="C90" s="9"/>
      <c r="D90" s="44"/>
      <c r="E90" s="46"/>
      <c r="F90" s="44"/>
      <c r="G90" s="38"/>
      <c r="H90" s="38"/>
      <c r="I90" s="62"/>
      <c r="J90" s="6"/>
      <c r="K90" s="6"/>
      <c r="L90" s="6"/>
    </row>
    <row r="92" spans="1:12" x14ac:dyDescent="0.25">
      <c r="A92" s="50"/>
      <c r="B92" s="50" t="s">
        <v>379</v>
      </c>
      <c r="C92" s="50"/>
      <c r="D92" s="52"/>
      <c r="E92" s="52">
        <f>E94</f>
        <v>437.61449999999996</v>
      </c>
      <c r="F92" s="52">
        <f t="shared" ref="F92:H92" si="32">F94</f>
        <v>437.61449999999996</v>
      </c>
      <c r="G92" s="52">
        <f t="shared" si="32"/>
        <v>437.61449999999996</v>
      </c>
      <c r="H92" s="52">
        <f t="shared" si="32"/>
        <v>437.61449999999996</v>
      </c>
    </row>
    <row r="93" spans="1:12" x14ac:dyDescent="0.25">
      <c r="B93" s="5" t="s">
        <v>492</v>
      </c>
    </row>
    <row r="94" spans="1:12" x14ac:dyDescent="0.25">
      <c r="B94" s="9" t="s">
        <v>493</v>
      </c>
      <c r="E94" s="44">
        <f>291.743*15*10%</f>
        <v>437.61449999999996</v>
      </c>
      <c r="F94" s="44">
        <f t="shared" ref="F94:H94" si="33">291.743*15*10%</f>
        <v>437.61449999999996</v>
      </c>
      <c r="G94" s="44">
        <f t="shared" si="33"/>
        <v>437.61449999999996</v>
      </c>
      <c r="H94" s="44">
        <f t="shared" si="33"/>
        <v>437.61449999999996</v>
      </c>
    </row>
    <row r="97" spans="1:12" x14ac:dyDescent="0.25">
      <c r="A97" s="50"/>
      <c r="B97" s="50" t="s">
        <v>10</v>
      </c>
      <c r="C97" s="50"/>
      <c r="D97" s="52"/>
      <c r="E97" s="52">
        <f>E98*E99+E101*E102</f>
        <v>3632.9270423529415</v>
      </c>
      <c r="F97" s="52">
        <f t="shared" ref="F97:H97" si="34">F98*F99+F101*F102</f>
        <v>0</v>
      </c>
      <c r="G97" s="52">
        <f t="shared" si="34"/>
        <v>0</v>
      </c>
      <c r="H97" s="52">
        <f t="shared" si="34"/>
        <v>0</v>
      </c>
    </row>
    <row r="98" spans="1:12" s="7" customFormat="1" x14ac:dyDescent="0.25">
      <c r="A98" s="5"/>
      <c r="B98" s="9" t="s">
        <v>49</v>
      </c>
      <c r="C98" s="5"/>
      <c r="D98" s="44"/>
      <c r="E98" s="44">
        <v>4</v>
      </c>
      <c r="F98" s="44">
        <v>0</v>
      </c>
      <c r="G98" s="44">
        <v>0</v>
      </c>
      <c r="H98" s="44">
        <v>0</v>
      </c>
      <c r="I98" s="62"/>
      <c r="J98" s="6"/>
      <c r="K98" s="6"/>
      <c r="L98" s="6"/>
    </row>
    <row r="99" spans="1:12" s="7" customFormat="1" x14ac:dyDescent="0.25">
      <c r="A99" s="5"/>
      <c r="B99" s="9" t="s">
        <v>50</v>
      </c>
      <c r="C99" s="5"/>
      <c r="D99" s="44"/>
      <c r="E99" s="44">
        <f>Trips!$B$10</f>
        <v>908.23176058823537</v>
      </c>
      <c r="F99" s="44">
        <f>Trips!$B$10</f>
        <v>908.23176058823537</v>
      </c>
      <c r="G99" s="44">
        <f>Trips!$B$10</f>
        <v>908.23176058823537</v>
      </c>
      <c r="H99" s="44">
        <f>Trips!$B$10</f>
        <v>908.23176058823537</v>
      </c>
      <c r="I99" s="62"/>
      <c r="J99" s="6"/>
      <c r="K99" s="6"/>
      <c r="L99" s="6"/>
    </row>
    <row r="100" spans="1:12" hidden="1" x14ac:dyDescent="0.25"/>
    <row r="101" spans="1:12" s="7" customFormat="1" hidden="1" x14ac:dyDescent="0.25">
      <c r="A101" s="5"/>
      <c r="B101" s="9" t="s">
        <v>51</v>
      </c>
      <c r="C101" s="5"/>
      <c r="D101" s="44"/>
      <c r="E101" s="44">
        <v>0</v>
      </c>
      <c r="F101" s="44">
        <v>0</v>
      </c>
      <c r="G101" s="44">
        <v>0</v>
      </c>
      <c r="H101" s="44">
        <v>0</v>
      </c>
      <c r="I101" s="62"/>
      <c r="J101" s="6"/>
      <c r="K101" s="6"/>
      <c r="L101" s="6"/>
    </row>
    <row r="102" spans="1:12" s="7" customFormat="1" hidden="1" x14ac:dyDescent="0.25">
      <c r="A102" s="5"/>
      <c r="B102" s="9" t="s">
        <v>52</v>
      </c>
      <c r="C102" s="5"/>
      <c r="D102" s="44"/>
      <c r="E102" s="44">
        <f>Trips!$B$5</f>
        <v>52</v>
      </c>
      <c r="F102" s="44">
        <f>Trips!$B$5</f>
        <v>52</v>
      </c>
      <c r="G102" s="44">
        <f>Trips!$B$5</f>
        <v>52</v>
      </c>
      <c r="H102" s="44">
        <f>Trips!$B$5</f>
        <v>52</v>
      </c>
      <c r="I102" s="62"/>
      <c r="J102" s="6"/>
      <c r="K102" s="6"/>
      <c r="L102" s="6"/>
    </row>
    <row r="103" spans="1:12" hidden="1" x14ac:dyDescent="0.25"/>
    <row r="104" spans="1:12" hidden="1" x14ac:dyDescent="0.25"/>
    <row r="105" spans="1:12" hidden="1" x14ac:dyDescent="0.25">
      <c r="A105" s="50"/>
      <c r="B105" s="50" t="s">
        <v>171</v>
      </c>
      <c r="C105" s="50"/>
      <c r="D105" s="52"/>
      <c r="E105" s="52">
        <f>E106*E107</f>
        <v>0</v>
      </c>
      <c r="F105" s="52">
        <f t="shared" ref="F105:H105" si="35">F106*F107</f>
        <v>0</v>
      </c>
      <c r="G105" s="52">
        <f t="shared" si="35"/>
        <v>0</v>
      </c>
      <c r="H105" s="52">
        <f t="shared" si="35"/>
        <v>0</v>
      </c>
    </row>
    <row r="106" spans="1:12" s="7" customFormat="1" hidden="1" x14ac:dyDescent="0.25">
      <c r="A106" s="10"/>
      <c r="B106" s="39" t="s">
        <v>144</v>
      </c>
      <c r="C106" s="10" t="s">
        <v>145</v>
      </c>
      <c r="D106" s="44"/>
      <c r="E106" s="44">
        <v>0</v>
      </c>
      <c r="F106" s="44">
        <v>0</v>
      </c>
      <c r="G106" s="44">
        <v>0</v>
      </c>
      <c r="H106" s="44">
        <v>0</v>
      </c>
      <c r="I106" s="62"/>
      <c r="J106" s="6"/>
      <c r="K106" s="6"/>
      <c r="L106" s="6"/>
    </row>
    <row r="107" spans="1:12" s="7" customFormat="1" hidden="1" x14ac:dyDescent="0.25">
      <c r="A107" s="5"/>
      <c r="B107" s="39" t="s">
        <v>141</v>
      </c>
      <c r="C107" s="5"/>
      <c r="D107" s="44"/>
      <c r="E107" s="44">
        <f>Trips!B41</f>
        <v>631.70365882352939</v>
      </c>
      <c r="F107" s="44">
        <f>E107*(1+index)</f>
        <v>658.86691615294114</v>
      </c>
      <c r="G107" s="44">
        <f>F107*(1+index)</f>
        <v>687.19819354751758</v>
      </c>
      <c r="H107" s="44">
        <f>G107*(1+index)</f>
        <v>716.7477158700608</v>
      </c>
      <c r="I107" s="62"/>
      <c r="J107" s="6"/>
      <c r="K107" s="6"/>
      <c r="L107" s="6"/>
    </row>
    <row r="108" spans="1:12" hidden="1" x14ac:dyDescent="0.25"/>
    <row r="109" spans="1:12" x14ac:dyDescent="0.25">
      <c r="A109" s="50"/>
      <c r="B109" s="50" t="s">
        <v>130</v>
      </c>
      <c r="C109" s="50"/>
      <c r="D109" s="52"/>
      <c r="E109" s="52">
        <f>E110*E111+E112*E113+E114*E115</f>
        <v>2128.125</v>
      </c>
      <c r="F109" s="52">
        <f t="shared" ref="F109:H109" si="36">F110*F111+F112*F113+F114*F115</f>
        <v>2219.6343749999996</v>
      </c>
      <c r="G109" s="52">
        <f t="shared" si="36"/>
        <v>2315.0786531249996</v>
      </c>
      <c r="H109" s="52">
        <f t="shared" si="36"/>
        <v>2414.6270352093748</v>
      </c>
    </row>
    <row r="110" spans="1:12" hidden="1" x14ac:dyDescent="0.25">
      <c r="B110" s="39" t="s">
        <v>131</v>
      </c>
      <c r="C110" s="5" t="s">
        <v>132</v>
      </c>
      <c r="E110" s="44">
        <f>Training!$C$33</f>
        <v>81.10799999999999</v>
      </c>
      <c r="F110" s="44">
        <f>E110*(1+index)</f>
        <v>84.595643999999979</v>
      </c>
      <c r="G110" s="44">
        <f>F110*(1+index)</f>
        <v>88.233256691999969</v>
      </c>
      <c r="H110" s="44">
        <f>G110*(1+index)</f>
        <v>92.027286729755957</v>
      </c>
    </row>
    <row r="111" spans="1:12" hidden="1" x14ac:dyDescent="0.25">
      <c r="B111" s="39" t="s">
        <v>133</v>
      </c>
      <c r="F111" s="44">
        <f>F98</f>
        <v>0</v>
      </c>
      <c r="G111" s="44">
        <f t="shared" ref="G111:H111" si="37">G98</f>
        <v>0</v>
      </c>
      <c r="H111" s="44">
        <f t="shared" si="37"/>
        <v>0</v>
      </c>
    </row>
    <row r="112" spans="1:12" x14ac:dyDescent="0.25">
      <c r="B112" s="39" t="s">
        <v>134</v>
      </c>
      <c r="E112" s="44">
        <f>Training!C23</f>
        <v>709.375</v>
      </c>
      <c r="F112" s="44">
        <f>E112*(1+index)</f>
        <v>739.87812499999995</v>
      </c>
      <c r="G112" s="44">
        <f>F112*(1+index)</f>
        <v>771.69288437499995</v>
      </c>
      <c r="H112" s="44">
        <f>G112*(1+index)</f>
        <v>804.87567840312488</v>
      </c>
    </row>
    <row r="113" spans="1:12" x14ac:dyDescent="0.25">
      <c r="B113" s="39" t="s">
        <v>135</v>
      </c>
      <c r="C113" s="5" t="s">
        <v>471</v>
      </c>
      <c r="E113" s="44">
        <v>3</v>
      </c>
      <c r="F113" s="44">
        <f>E113</f>
        <v>3</v>
      </c>
      <c r="G113" s="44">
        <f t="shared" ref="G113:H113" si="38">F113</f>
        <v>3</v>
      </c>
      <c r="H113" s="44">
        <f t="shared" si="38"/>
        <v>3</v>
      </c>
    </row>
    <row r="114" spans="1:12" hidden="1" x14ac:dyDescent="0.25">
      <c r="B114" s="39" t="s">
        <v>203</v>
      </c>
      <c r="C114" s="5" t="s">
        <v>137</v>
      </c>
      <c r="G114" s="44"/>
      <c r="H114" s="44"/>
    </row>
    <row r="115" spans="1:12" hidden="1" x14ac:dyDescent="0.25">
      <c r="B115" s="39" t="s">
        <v>133</v>
      </c>
      <c r="E115" s="44">
        <v>0</v>
      </c>
      <c r="F115" s="44">
        <v>0</v>
      </c>
      <c r="G115" s="44">
        <v>0</v>
      </c>
      <c r="H115" s="44">
        <v>0</v>
      </c>
    </row>
    <row r="116" spans="1:12" hidden="1" x14ac:dyDescent="0.25">
      <c r="B116" s="39"/>
    </row>
    <row r="117" spans="1:12" hidden="1" x14ac:dyDescent="0.25">
      <c r="A117" s="50"/>
      <c r="B117" s="50" t="s">
        <v>24</v>
      </c>
      <c r="C117" s="50"/>
      <c r="D117" s="52"/>
      <c r="E117" s="52">
        <f t="shared" ref="E117:H117" si="39">E118*E119</f>
        <v>0</v>
      </c>
      <c r="F117" s="52">
        <f t="shared" si="39"/>
        <v>0</v>
      </c>
      <c r="G117" s="52">
        <f t="shared" si="39"/>
        <v>0</v>
      </c>
      <c r="H117" s="52">
        <f t="shared" si="39"/>
        <v>0</v>
      </c>
    </row>
    <row r="118" spans="1:12" s="7" customFormat="1" hidden="1" x14ac:dyDescent="0.25">
      <c r="A118" s="5"/>
      <c r="B118" s="39" t="s">
        <v>53</v>
      </c>
      <c r="C118" s="5"/>
      <c r="D118" s="44"/>
      <c r="E118" s="44">
        <v>0</v>
      </c>
      <c r="F118" s="44">
        <v>0</v>
      </c>
      <c r="G118" s="44"/>
      <c r="H118" s="44"/>
      <c r="I118" s="62"/>
      <c r="J118" s="6"/>
      <c r="K118" s="6"/>
      <c r="L118" s="6"/>
    </row>
    <row r="119" spans="1:12" s="7" customFormat="1" hidden="1" x14ac:dyDescent="0.25">
      <c r="A119" s="5"/>
      <c r="B119" s="39" t="s">
        <v>54</v>
      </c>
      <c r="C119" s="5"/>
      <c r="D119" s="44"/>
      <c r="E119" s="44">
        <f>'Rates and GI'!D25</f>
        <v>6</v>
      </c>
      <c r="F119" s="44">
        <f>E119*(1+index)</f>
        <v>6.2579999999999991</v>
      </c>
      <c r="G119" s="44">
        <f>F119*(1+index)</f>
        <v>6.5270939999999991</v>
      </c>
      <c r="H119" s="44">
        <f>G119*(1+index)</f>
        <v>6.8077590419999989</v>
      </c>
      <c r="I119" s="62"/>
      <c r="J119" s="6"/>
      <c r="K119" s="6"/>
      <c r="L119" s="6"/>
    </row>
    <row r="120" spans="1:12" hidden="1" x14ac:dyDescent="0.25"/>
    <row r="121" spans="1:12" hidden="1" x14ac:dyDescent="0.25">
      <c r="A121" s="50"/>
      <c r="B121" s="50" t="s">
        <v>7</v>
      </c>
      <c r="C121" s="50"/>
      <c r="D121" s="52"/>
      <c r="E121" s="52"/>
      <c r="F121" s="52"/>
      <c r="G121" s="52"/>
      <c r="H121" s="52"/>
    </row>
    <row r="122" spans="1:12" ht="27" hidden="1" x14ac:dyDescent="0.25">
      <c r="B122" s="66" t="s">
        <v>320</v>
      </c>
      <c r="C122" s="77"/>
      <c r="E122" s="152">
        <f>E124+E125</f>
        <v>0</v>
      </c>
      <c r="G122" s="44"/>
      <c r="H122" s="44"/>
    </row>
    <row r="123" spans="1:12" hidden="1" x14ac:dyDescent="0.25">
      <c r="B123" s="66"/>
      <c r="G123" s="44"/>
      <c r="H123" s="44"/>
    </row>
    <row r="124" spans="1:12" hidden="1" x14ac:dyDescent="0.25">
      <c r="B124" s="66" t="s">
        <v>337</v>
      </c>
      <c r="G124" s="44"/>
      <c r="H124" s="44"/>
    </row>
    <row r="125" spans="1:12" hidden="1" x14ac:dyDescent="0.25">
      <c r="B125" s="5" t="s">
        <v>336</v>
      </c>
      <c r="G125" s="44"/>
      <c r="H125" s="44"/>
    </row>
    <row r="126" spans="1:12" s="7" customFormat="1" hidden="1" x14ac:dyDescent="0.25">
      <c r="A126" s="5"/>
      <c r="B126" s="4" t="s">
        <v>57</v>
      </c>
      <c r="C126" s="5"/>
      <c r="D126" s="44"/>
      <c r="E126" s="46"/>
      <c r="F126" s="46"/>
      <c r="G126" s="105"/>
      <c r="H126" s="105"/>
      <c r="I126" s="61"/>
      <c r="J126" s="6"/>
      <c r="K126" s="6"/>
      <c r="L126" s="6"/>
    </row>
    <row r="127" spans="1:12" s="43" customFormat="1" hidden="1" x14ac:dyDescent="0.25">
      <c r="A127" s="40"/>
      <c r="B127" s="41" t="s">
        <v>58</v>
      </c>
      <c r="C127" s="40" t="s">
        <v>55</v>
      </c>
      <c r="D127" s="71"/>
      <c r="E127" s="71"/>
      <c r="F127" s="71"/>
      <c r="G127" s="72"/>
      <c r="H127" s="72"/>
      <c r="I127" s="75"/>
      <c r="J127" s="42"/>
      <c r="K127" s="42"/>
      <c r="L127" s="42"/>
    </row>
    <row r="128" spans="1:12" s="40" customFormat="1" hidden="1" x14ac:dyDescent="0.25">
      <c r="B128" s="41" t="s">
        <v>56</v>
      </c>
      <c r="D128" s="71"/>
      <c r="E128" s="71"/>
      <c r="F128" s="71"/>
      <c r="G128" s="72"/>
      <c r="H128" s="72"/>
      <c r="I128" s="75"/>
      <c r="J128" s="42"/>
      <c r="K128" s="42"/>
      <c r="L128" s="42"/>
    </row>
    <row r="129" spans="1:12" s="40" customFormat="1" hidden="1" x14ac:dyDescent="0.25">
      <c r="B129" s="41" t="s">
        <v>59</v>
      </c>
      <c r="D129" s="71"/>
      <c r="E129" s="71"/>
      <c r="F129" s="71"/>
      <c r="G129" s="72"/>
      <c r="H129" s="72"/>
      <c r="I129" s="75"/>
      <c r="J129" s="42"/>
      <c r="K129" s="42"/>
      <c r="L129" s="42"/>
    </row>
    <row r="130" spans="1:12" hidden="1" x14ac:dyDescent="0.25"/>
    <row r="131" spans="1:12" hidden="1" x14ac:dyDescent="0.25">
      <c r="A131" s="50"/>
      <c r="B131" s="50" t="s">
        <v>26</v>
      </c>
      <c r="C131" s="50"/>
      <c r="D131" s="52"/>
      <c r="E131" s="52">
        <f>E136*E137</f>
        <v>0</v>
      </c>
      <c r="F131" s="52">
        <f>F136*F137</f>
        <v>0</v>
      </c>
      <c r="G131" s="52"/>
      <c r="H131" s="52"/>
    </row>
    <row r="132" spans="1:12" s="5" customFormat="1" hidden="1" x14ac:dyDescent="0.25">
      <c r="B132" s="55" t="s">
        <v>60</v>
      </c>
      <c r="D132" s="44"/>
      <c r="E132" s="44"/>
      <c r="F132" s="44"/>
      <c r="G132" s="38"/>
      <c r="H132" s="38"/>
      <c r="I132" s="62"/>
      <c r="J132" s="6"/>
      <c r="K132" s="6"/>
      <c r="L132" s="6"/>
    </row>
    <row r="133" spans="1:12" s="5" customFormat="1" hidden="1" x14ac:dyDescent="0.25">
      <c r="B133" s="41" t="s">
        <v>147</v>
      </c>
      <c r="D133" s="44"/>
      <c r="E133" s="44"/>
      <c r="F133" s="44"/>
      <c r="G133" s="38"/>
      <c r="H133" s="38"/>
      <c r="I133" s="62"/>
      <c r="J133" s="6"/>
      <c r="K133" s="6"/>
      <c r="L133" s="6"/>
    </row>
    <row r="134" spans="1:12" s="5" customFormat="1" hidden="1" x14ac:dyDescent="0.25">
      <c r="B134" s="41" t="s">
        <v>146</v>
      </c>
      <c r="D134" s="44"/>
      <c r="E134" s="44"/>
      <c r="F134" s="44"/>
      <c r="G134" s="38"/>
      <c r="H134" s="38"/>
      <c r="I134" s="62"/>
      <c r="J134" s="6"/>
      <c r="K134" s="6"/>
      <c r="L134" s="6"/>
    </row>
    <row r="135" spans="1:12" s="5" customFormat="1" hidden="1" x14ac:dyDescent="0.25">
      <c r="B135" s="55" t="s">
        <v>123</v>
      </c>
      <c r="D135" s="44"/>
      <c r="E135" s="44"/>
      <c r="F135" s="44"/>
      <c r="G135" s="38"/>
      <c r="H135" s="38"/>
      <c r="I135" s="62"/>
      <c r="J135" s="6"/>
      <c r="K135" s="6"/>
      <c r="L135" s="6"/>
    </row>
    <row r="136" spans="1:12" s="5" customFormat="1" hidden="1" x14ac:dyDescent="0.25">
      <c r="B136" s="41" t="s">
        <v>147</v>
      </c>
      <c r="D136" s="44"/>
      <c r="E136" s="44">
        <f>'Rates and GI'!$D$31</f>
        <v>350</v>
      </c>
      <c r="F136" s="44">
        <f>'Rates and GI'!$D$31</f>
        <v>350</v>
      </c>
      <c r="G136" s="44">
        <f>'Rates and GI'!$D$31</f>
        <v>350</v>
      </c>
      <c r="H136" s="44">
        <f>'Rates and GI'!$D$31</f>
        <v>350</v>
      </c>
      <c r="I136" s="62"/>
      <c r="J136" s="6"/>
      <c r="K136" s="6"/>
      <c r="L136" s="6"/>
    </row>
    <row r="137" spans="1:12" s="5" customFormat="1" hidden="1" x14ac:dyDescent="0.25">
      <c r="B137" s="41" t="s">
        <v>146</v>
      </c>
      <c r="D137" s="44"/>
      <c r="E137" s="44">
        <v>0</v>
      </c>
      <c r="F137" s="44">
        <v>0</v>
      </c>
      <c r="G137" s="38"/>
      <c r="H137" s="38"/>
      <c r="I137" s="62"/>
      <c r="J137" s="6"/>
      <c r="K137" s="6"/>
      <c r="L137" s="6"/>
    </row>
    <row r="138" spans="1:12" s="5" customFormat="1" hidden="1" x14ac:dyDescent="0.25">
      <c r="B138" s="55" t="s">
        <v>8</v>
      </c>
      <c r="D138" s="44"/>
      <c r="E138" s="44"/>
      <c r="F138" s="44"/>
      <c r="G138" s="38"/>
      <c r="H138" s="38"/>
      <c r="I138" s="62"/>
      <c r="J138" s="6"/>
      <c r="K138" s="6"/>
      <c r="L138" s="6"/>
    </row>
    <row r="139" spans="1:12" s="5" customFormat="1" hidden="1" x14ac:dyDescent="0.25">
      <c r="B139" s="41" t="s">
        <v>147</v>
      </c>
      <c r="D139" s="44"/>
      <c r="E139" s="44"/>
      <c r="F139" s="44"/>
      <c r="G139" s="38"/>
      <c r="H139" s="38"/>
      <c r="I139" s="62"/>
      <c r="J139" s="6"/>
      <c r="K139" s="6"/>
      <c r="L139" s="6"/>
    </row>
    <row r="140" spans="1:12" s="5" customFormat="1" hidden="1" x14ac:dyDescent="0.25">
      <c r="B140" s="41" t="s">
        <v>146</v>
      </c>
      <c r="D140" s="44"/>
      <c r="E140" s="44"/>
      <c r="F140" s="44"/>
      <c r="G140" s="38"/>
      <c r="H140" s="38"/>
      <c r="I140" s="62"/>
      <c r="J140" s="6"/>
      <c r="K140" s="6"/>
      <c r="L140" s="6"/>
    </row>
    <row r="141" spans="1:12" hidden="1" x14ac:dyDescent="0.25"/>
    <row r="142" spans="1:12" x14ac:dyDescent="0.25">
      <c r="A142" s="50"/>
      <c r="B142" s="50" t="s">
        <v>25</v>
      </c>
      <c r="C142" s="50"/>
      <c r="D142" s="52"/>
      <c r="E142" s="52">
        <f>E143+E146</f>
        <v>0</v>
      </c>
      <c r="F142" s="52">
        <f t="shared" ref="F142:H142" si="40">F143+F146</f>
        <v>504</v>
      </c>
      <c r="G142" s="52">
        <f t="shared" si="40"/>
        <v>54</v>
      </c>
      <c r="H142" s="52">
        <f t="shared" si="40"/>
        <v>54</v>
      </c>
    </row>
    <row r="143" spans="1:12" s="5" customFormat="1" hidden="1" x14ac:dyDescent="0.25">
      <c r="B143" s="5" t="s">
        <v>205</v>
      </c>
      <c r="D143" s="44"/>
      <c r="E143" s="44"/>
      <c r="F143" s="44">
        <v>0</v>
      </c>
      <c r="G143" s="38"/>
      <c r="H143" s="38"/>
      <c r="I143" s="62"/>
      <c r="J143" s="6"/>
      <c r="K143" s="6"/>
      <c r="L143" s="6"/>
    </row>
    <row r="144" spans="1:12" s="5" customFormat="1" hidden="1" x14ac:dyDescent="0.25">
      <c r="B144" s="41"/>
      <c r="D144" s="44"/>
      <c r="E144" s="44"/>
      <c r="F144" s="44"/>
      <c r="G144" s="38"/>
      <c r="H144" s="38"/>
      <c r="I144" s="62"/>
      <c r="J144" s="6"/>
      <c r="K144" s="6"/>
      <c r="L144" s="6"/>
    </row>
    <row r="145" spans="1:12" s="5" customFormat="1" hidden="1" x14ac:dyDescent="0.25">
      <c r="B145" s="41"/>
      <c r="D145" s="44"/>
      <c r="E145" s="44"/>
      <c r="F145" s="44"/>
      <c r="G145" s="38"/>
      <c r="H145" s="38"/>
      <c r="I145" s="62"/>
      <c r="J145" s="6"/>
      <c r="K145" s="6"/>
      <c r="L145" s="6"/>
    </row>
    <row r="146" spans="1:12" s="5" customFormat="1" x14ac:dyDescent="0.25">
      <c r="B146" s="5" t="s">
        <v>154</v>
      </c>
      <c r="D146" s="44"/>
      <c r="E146" s="44">
        <f>E147+E148*E149</f>
        <v>0</v>
      </c>
      <c r="F146" s="44">
        <f>F147+F148*F149</f>
        <v>504</v>
      </c>
      <c r="G146" s="44">
        <f t="shared" ref="G146:H146" si="41">G147+G148*G149</f>
        <v>54</v>
      </c>
      <c r="H146" s="44">
        <f t="shared" si="41"/>
        <v>54</v>
      </c>
      <c r="I146" s="73"/>
    </row>
    <row r="147" spans="1:12" x14ac:dyDescent="0.25">
      <c r="B147" s="41" t="s">
        <v>153</v>
      </c>
      <c r="E147" s="44">
        <v>0</v>
      </c>
      <c r="F147" s="44">
        <f>'Rates and GI'!D46*3</f>
        <v>450</v>
      </c>
    </row>
    <row r="148" spans="1:12" x14ac:dyDescent="0.25">
      <c r="B148" s="41" t="s">
        <v>159</v>
      </c>
      <c r="E148" s="60">
        <f>'Rates and GI'!$D$48</f>
        <v>0.02</v>
      </c>
      <c r="F148" s="60">
        <f>'Rates and GI'!$D$48</f>
        <v>0.02</v>
      </c>
      <c r="G148" s="60">
        <f>'Rates and GI'!$D$48</f>
        <v>0.02</v>
      </c>
      <c r="H148" s="60">
        <f>'Rates and GI'!$D$48</f>
        <v>0.02</v>
      </c>
    </row>
    <row r="149" spans="1:12" x14ac:dyDescent="0.25">
      <c r="B149" s="41" t="s">
        <v>160</v>
      </c>
      <c r="E149" s="44">
        <v>0</v>
      </c>
      <c r="F149" s="44">
        <f>Emp!$C$16*30</f>
        <v>2700</v>
      </c>
      <c r="G149" s="44">
        <f>Emp!$C$16*30</f>
        <v>2700</v>
      </c>
      <c r="H149" s="44">
        <f>Emp!$C$16*30</f>
        <v>2700</v>
      </c>
    </row>
    <row r="150" spans="1:12" s="5" customFormat="1" x14ac:dyDescent="0.25">
      <c r="A150" s="228"/>
      <c r="B150" s="231"/>
      <c r="C150" s="228"/>
      <c r="D150" s="230"/>
      <c r="E150" s="230"/>
      <c r="F150" s="230"/>
      <c r="G150" s="230"/>
      <c r="H150" s="230"/>
      <c r="I150" s="62"/>
      <c r="J150" s="6"/>
      <c r="K150" s="6"/>
      <c r="L150" s="6"/>
    </row>
    <row r="151" spans="1:12" hidden="1" x14ac:dyDescent="0.25">
      <c r="A151" s="50"/>
      <c r="B151" s="50" t="s">
        <v>21</v>
      </c>
      <c r="C151" s="50"/>
      <c r="D151" s="52"/>
      <c r="E151" s="52">
        <f>E152*E153+E154*E155++E156*E157+E158*E159</f>
        <v>0</v>
      </c>
      <c r="F151" s="52">
        <f t="shared" ref="F151:H151" si="42">F152*F153+F154*F155++F156*F157+F158*F159</f>
        <v>0</v>
      </c>
      <c r="G151" s="52">
        <f t="shared" si="42"/>
        <v>0</v>
      </c>
      <c r="H151" s="52">
        <f t="shared" si="42"/>
        <v>0</v>
      </c>
    </row>
    <row r="152" spans="1:12" hidden="1" x14ac:dyDescent="0.25">
      <c r="B152" s="41" t="s">
        <v>150</v>
      </c>
      <c r="G152" s="44">
        <v>0</v>
      </c>
      <c r="H152" s="44"/>
    </row>
    <row r="153" spans="1:12" hidden="1" x14ac:dyDescent="0.25">
      <c r="B153" s="41" t="s">
        <v>151</v>
      </c>
      <c r="E153" s="44">
        <f>'Rates and GI'!$D$58</f>
        <v>5000</v>
      </c>
      <c r="F153" s="44">
        <f>'Rates and GI'!$D$58</f>
        <v>5000</v>
      </c>
      <c r="G153" s="44">
        <f>'Rates and GI'!$D$58</f>
        <v>5000</v>
      </c>
      <c r="H153" s="44">
        <f>'Rates and GI'!$D$58</f>
        <v>5000</v>
      </c>
    </row>
    <row r="154" spans="1:12" hidden="1" x14ac:dyDescent="0.25">
      <c r="B154" s="41" t="s">
        <v>148</v>
      </c>
      <c r="E154" s="44">
        <v>0</v>
      </c>
      <c r="F154" s="44">
        <v>0</v>
      </c>
      <c r="G154" s="44">
        <v>0</v>
      </c>
      <c r="H154" s="44">
        <v>0</v>
      </c>
    </row>
    <row r="155" spans="1:12" hidden="1" x14ac:dyDescent="0.25">
      <c r="B155" s="41" t="s">
        <v>149</v>
      </c>
      <c r="E155" s="44">
        <f>'Rates and GI'!$D$59</f>
        <v>1500</v>
      </c>
      <c r="F155" s="44">
        <f>'Rates and GI'!$D$59</f>
        <v>1500</v>
      </c>
      <c r="G155" s="44">
        <f>'Rates and GI'!$D$59</f>
        <v>1500</v>
      </c>
      <c r="H155" s="44">
        <f>'Rates and GI'!$D$59</f>
        <v>1500</v>
      </c>
    </row>
    <row r="156" spans="1:12" ht="27" hidden="1" x14ac:dyDescent="0.25">
      <c r="B156" s="63" t="s">
        <v>162</v>
      </c>
      <c r="E156" s="44">
        <v>0</v>
      </c>
      <c r="F156" s="44">
        <v>0</v>
      </c>
      <c r="G156" s="44">
        <v>0</v>
      </c>
      <c r="H156" s="44">
        <v>0</v>
      </c>
    </row>
    <row r="157" spans="1:12" ht="27" hidden="1" x14ac:dyDescent="0.25">
      <c r="B157" s="63" t="s">
        <v>161</v>
      </c>
      <c r="E157" s="44">
        <f>'Rates and GI'!$D$60</f>
        <v>200</v>
      </c>
      <c r="F157" s="44">
        <f>'Rates and GI'!$D$60</f>
        <v>200</v>
      </c>
      <c r="G157" s="44">
        <f>'Rates and GI'!$D$60</f>
        <v>200</v>
      </c>
      <c r="H157" s="44">
        <f>'Rates and GI'!$D$60</f>
        <v>200</v>
      </c>
    </row>
    <row r="158" spans="1:12" s="5" customFormat="1" hidden="1" x14ac:dyDescent="0.25">
      <c r="B158" s="41" t="s">
        <v>217</v>
      </c>
      <c r="D158" s="44"/>
      <c r="E158" s="44">
        <v>0</v>
      </c>
      <c r="F158" s="44">
        <v>0</v>
      </c>
      <c r="G158" s="44">
        <v>0</v>
      </c>
      <c r="H158" s="44">
        <v>0</v>
      </c>
      <c r="I158" s="62"/>
      <c r="J158" s="6"/>
      <c r="K158" s="6"/>
      <c r="L158" s="6"/>
    </row>
    <row r="159" spans="1:12" s="5" customFormat="1" hidden="1" x14ac:dyDescent="0.25">
      <c r="B159" s="41" t="s">
        <v>214</v>
      </c>
      <c r="D159" s="44"/>
      <c r="E159" s="44">
        <f>'Rates and GI'!$D$61</f>
        <v>50</v>
      </c>
      <c r="F159" s="44">
        <f>'Rates and GI'!$D$61</f>
        <v>50</v>
      </c>
      <c r="G159" s="38">
        <f>'Rates and GI'!$D$61</f>
        <v>50</v>
      </c>
      <c r="H159" s="38">
        <f>'Rates and GI'!$D$61</f>
        <v>50</v>
      </c>
      <c r="I159" s="62"/>
      <c r="J159" s="6"/>
      <c r="K159" s="6"/>
      <c r="L159" s="6"/>
    </row>
    <row r="160" spans="1:12" hidden="1" x14ac:dyDescent="0.25">
      <c r="A160" s="50"/>
      <c r="B160" s="50"/>
      <c r="C160" s="50"/>
      <c r="D160" s="52"/>
      <c r="E160" s="52"/>
      <c r="F160" s="52"/>
      <c r="G160" s="52"/>
      <c r="H160" s="52"/>
    </row>
    <row r="161" spans="1:12" hidden="1" x14ac:dyDescent="0.25">
      <c r="A161" s="50"/>
      <c r="B161" s="50" t="s">
        <v>194</v>
      </c>
      <c r="C161" s="50"/>
      <c r="D161" s="52"/>
      <c r="E161" s="52">
        <f>E162+E165+E168+E177+E182</f>
        <v>0</v>
      </c>
      <c r="F161" s="52">
        <f t="shared" ref="F161:H161" si="43">F162+F165+F168+F177+F182</f>
        <v>0</v>
      </c>
      <c r="G161" s="52">
        <f t="shared" si="43"/>
        <v>0</v>
      </c>
      <c r="H161" s="52">
        <f t="shared" si="43"/>
        <v>0</v>
      </c>
    </row>
    <row r="162" spans="1:12" s="5" customFormat="1" hidden="1" x14ac:dyDescent="0.25">
      <c r="B162" s="5" t="s">
        <v>173</v>
      </c>
      <c r="D162" s="44"/>
      <c r="E162" s="44">
        <f>E163+E166*E167</f>
        <v>0</v>
      </c>
      <c r="F162" s="44">
        <f>F163+F166*F167</f>
        <v>0</v>
      </c>
      <c r="G162" s="44">
        <f>G163+G166*G167</f>
        <v>0</v>
      </c>
      <c r="H162" s="44">
        <f t="shared" ref="H162" si="44">H163+H166*H167</f>
        <v>0</v>
      </c>
      <c r="I162" s="73"/>
    </row>
    <row r="163" spans="1:12" hidden="1" x14ac:dyDescent="0.25">
      <c r="B163" s="41" t="s">
        <v>184</v>
      </c>
      <c r="F163" s="44">
        <f>('Rates and GI'!$D$45+'Rates and GI'!$D$49)*0</f>
        <v>0</v>
      </c>
      <c r="G163" s="44">
        <f>('Rates and GI'!$D$45+'Rates and GI'!$D$49)*0</f>
        <v>0</v>
      </c>
      <c r="H163" s="44"/>
    </row>
    <row r="164" spans="1:12" hidden="1" x14ac:dyDescent="0.25">
      <c r="B164" s="41" t="s">
        <v>187</v>
      </c>
      <c r="F164" s="44">
        <f>'Rates and GI'!$D$51*0</f>
        <v>0</v>
      </c>
      <c r="G164" s="44">
        <f>'Rates and GI'!$D$51*0</f>
        <v>0</v>
      </c>
      <c r="H164" s="44"/>
    </row>
    <row r="165" spans="1:12" hidden="1" x14ac:dyDescent="0.25">
      <c r="B165" s="5" t="s">
        <v>174</v>
      </c>
      <c r="E165" s="44">
        <f>E166*E167</f>
        <v>0</v>
      </c>
      <c r="F165" s="44">
        <f t="shared" ref="F165:H165" si="45">F166*F167</f>
        <v>0</v>
      </c>
      <c r="G165" s="44">
        <f t="shared" si="45"/>
        <v>0</v>
      </c>
      <c r="H165" s="44">
        <f t="shared" si="45"/>
        <v>0</v>
      </c>
    </row>
    <row r="166" spans="1:12" hidden="1" x14ac:dyDescent="0.25">
      <c r="B166" s="41" t="s">
        <v>164</v>
      </c>
      <c r="F166" s="44">
        <f>'Rates and GI'!$D$54</f>
        <v>24.066499999999998</v>
      </c>
      <c r="G166" s="44">
        <f>'Rates and GI'!$D$54</f>
        <v>24.066499999999998</v>
      </c>
      <c r="H166" s="44">
        <f>'Rates and GI'!$D$54</f>
        <v>24.066499999999998</v>
      </c>
    </row>
    <row r="167" spans="1:12" hidden="1" x14ac:dyDescent="0.25">
      <c r="B167" s="41" t="s">
        <v>163</v>
      </c>
      <c r="F167" s="44">
        <v>0</v>
      </c>
      <c r="G167" s="38">
        <v>0</v>
      </c>
      <c r="H167" s="38">
        <v>0</v>
      </c>
    </row>
    <row r="168" spans="1:12" hidden="1" x14ac:dyDescent="0.25">
      <c r="B168" s="5" t="s">
        <v>175</v>
      </c>
      <c r="E168" s="44">
        <f>E169+E173</f>
        <v>0</v>
      </c>
      <c r="F168" s="44">
        <f t="shared" ref="F168:H168" si="46">F169+F173</f>
        <v>0</v>
      </c>
      <c r="G168" s="44">
        <f t="shared" si="46"/>
        <v>0</v>
      </c>
      <c r="H168" s="44">
        <f t="shared" si="46"/>
        <v>0</v>
      </c>
    </row>
    <row r="169" spans="1:12" hidden="1" x14ac:dyDescent="0.25">
      <c r="B169" s="41" t="s">
        <v>189</v>
      </c>
      <c r="E169" s="44">
        <f>E170*E171</f>
        <v>0</v>
      </c>
      <c r="F169" s="44">
        <f t="shared" ref="F169:H169" si="47">F170*F171</f>
        <v>0</v>
      </c>
      <c r="G169" s="44">
        <f t="shared" si="47"/>
        <v>0</v>
      </c>
      <c r="H169" s="44">
        <f t="shared" si="47"/>
        <v>0</v>
      </c>
    </row>
    <row r="170" spans="1:12" hidden="1" x14ac:dyDescent="0.25">
      <c r="B170" s="41" t="s">
        <v>176</v>
      </c>
      <c r="C170" s="5" t="s">
        <v>177</v>
      </c>
      <c r="E170" s="44">
        <v>0</v>
      </c>
      <c r="F170" s="44">
        <v>0</v>
      </c>
      <c r="G170" s="38">
        <v>0</v>
      </c>
      <c r="H170" s="38">
        <v>0</v>
      </c>
    </row>
    <row r="171" spans="1:12" hidden="1" x14ac:dyDescent="0.25">
      <c r="B171" s="41" t="s">
        <v>178</v>
      </c>
      <c r="E171" s="44">
        <f>'Rates and GI'!$D$52</f>
        <v>150</v>
      </c>
      <c r="F171" s="44">
        <f>'Rates and GI'!$D$52</f>
        <v>150</v>
      </c>
      <c r="G171" s="44">
        <f>'Rates and GI'!$D$52</f>
        <v>150</v>
      </c>
      <c r="H171" s="44">
        <f>'Rates and GI'!$D$52</f>
        <v>150</v>
      </c>
    </row>
    <row r="172" spans="1:12" hidden="1" x14ac:dyDescent="0.25">
      <c r="B172" s="6"/>
    </row>
    <row r="173" spans="1:12" hidden="1" x14ac:dyDescent="0.25">
      <c r="B173" s="41" t="s">
        <v>190</v>
      </c>
      <c r="E173" s="44">
        <f>E174*E175</f>
        <v>0</v>
      </c>
      <c r="F173" s="44">
        <f t="shared" ref="F173:H173" si="48">F174*F175</f>
        <v>0</v>
      </c>
      <c r="G173" s="44">
        <f t="shared" si="48"/>
        <v>0</v>
      </c>
      <c r="H173" s="44">
        <f t="shared" si="48"/>
        <v>0</v>
      </c>
    </row>
    <row r="174" spans="1:12" hidden="1" x14ac:dyDescent="0.25">
      <c r="B174" s="41" t="s">
        <v>176</v>
      </c>
      <c r="C174" s="5" t="s">
        <v>177</v>
      </c>
      <c r="E174" s="44">
        <v>0</v>
      </c>
      <c r="F174" s="44">
        <v>0</v>
      </c>
      <c r="G174" s="38">
        <v>0</v>
      </c>
      <c r="H174" s="38">
        <v>0</v>
      </c>
    </row>
    <row r="175" spans="1:12" s="62" customFormat="1" hidden="1" x14ac:dyDescent="0.25">
      <c r="A175" s="5"/>
      <c r="B175" s="41" t="s">
        <v>178</v>
      </c>
      <c r="C175" s="5"/>
      <c r="D175" s="44"/>
      <c r="E175" s="44">
        <f>'Rates and GI'!$D$53</f>
        <v>20</v>
      </c>
      <c r="F175" s="44">
        <f>'Rates and GI'!$D$53</f>
        <v>20</v>
      </c>
      <c r="G175" s="44">
        <f>'Rates and GI'!$D$53</f>
        <v>20</v>
      </c>
      <c r="H175" s="44">
        <f>'Rates and GI'!$D$53</f>
        <v>20</v>
      </c>
      <c r="J175" s="6"/>
      <c r="K175" s="6"/>
      <c r="L175" s="6"/>
    </row>
    <row r="176" spans="1:12" s="62" customFormat="1" hidden="1" x14ac:dyDescent="0.25">
      <c r="A176" s="5"/>
      <c r="B176" s="6"/>
      <c r="C176" s="5"/>
      <c r="D176" s="44"/>
      <c r="E176" s="44"/>
      <c r="F176" s="44"/>
      <c r="G176" s="38"/>
      <c r="H176" s="38"/>
      <c r="J176" s="6"/>
      <c r="K176" s="6"/>
      <c r="L176" s="6"/>
    </row>
    <row r="177" spans="1:12" s="62" customFormat="1" hidden="1" x14ac:dyDescent="0.25">
      <c r="A177" s="5"/>
      <c r="B177" s="5" t="s">
        <v>179</v>
      </c>
      <c r="C177" s="5"/>
      <c r="D177" s="44"/>
      <c r="E177" s="44">
        <f>E178*E179*E180</f>
        <v>0</v>
      </c>
      <c r="F177" s="44">
        <f t="shared" ref="F177:H177" si="49">F178*F179*F180</f>
        <v>0</v>
      </c>
      <c r="G177" s="44">
        <f t="shared" si="49"/>
        <v>0</v>
      </c>
      <c r="H177" s="44">
        <f t="shared" si="49"/>
        <v>0</v>
      </c>
      <c r="J177" s="6"/>
      <c r="K177" s="6"/>
      <c r="L177" s="6"/>
    </row>
    <row r="178" spans="1:12" s="62" customFormat="1" hidden="1" x14ac:dyDescent="0.25">
      <c r="A178" s="5"/>
      <c r="B178" s="41" t="s">
        <v>191</v>
      </c>
      <c r="C178" s="5"/>
      <c r="D178" s="44"/>
      <c r="E178" s="44"/>
      <c r="F178" s="44">
        <f>'Rates and GI'!$D$55</f>
        <v>300</v>
      </c>
      <c r="G178" s="44">
        <f>'Rates and GI'!$D$55</f>
        <v>300</v>
      </c>
      <c r="H178" s="44">
        <f>'Rates and GI'!$D$55</f>
        <v>300</v>
      </c>
      <c r="J178" s="6"/>
      <c r="K178" s="6"/>
      <c r="L178" s="6"/>
    </row>
    <row r="179" spans="1:12" s="62" customFormat="1" hidden="1" x14ac:dyDescent="0.25">
      <c r="A179" s="5"/>
      <c r="B179" s="41" t="s">
        <v>192</v>
      </c>
      <c r="C179" s="5"/>
      <c r="D179" s="44"/>
      <c r="E179" s="44"/>
      <c r="F179" s="44">
        <v>3</v>
      </c>
      <c r="G179" s="44">
        <v>3</v>
      </c>
      <c r="H179" s="44">
        <v>3</v>
      </c>
      <c r="J179" s="6"/>
      <c r="K179" s="6"/>
      <c r="L179" s="6"/>
    </row>
    <row r="180" spans="1:12" s="62" customFormat="1" hidden="1" x14ac:dyDescent="0.25">
      <c r="A180" s="5"/>
      <c r="B180" s="41" t="s">
        <v>193</v>
      </c>
      <c r="C180" s="5"/>
      <c r="D180" s="44"/>
      <c r="E180" s="44"/>
      <c r="F180" s="44">
        <v>0</v>
      </c>
      <c r="G180" s="44">
        <v>0</v>
      </c>
      <c r="H180" s="44">
        <v>0</v>
      </c>
      <c r="J180" s="6"/>
      <c r="K180" s="6"/>
      <c r="L180" s="6"/>
    </row>
    <row r="181" spans="1:12" hidden="1" x14ac:dyDescent="0.25"/>
    <row r="182" spans="1:12" s="62" customFormat="1" hidden="1" x14ac:dyDescent="0.25">
      <c r="A182" s="5"/>
      <c r="B182" s="5" t="s">
        <v>172</v>
      </c>
      <c r="C182" s="5"/>
      <c r="D182" s="44"/>
      <c r="E182" s="44">
        <f>E183+E184*E185</f>
        <v>0</v>
      </c>
      <c r="F182" s="44">
        <f>F183+F184*F185</f>
        <v>0</v>
      </c>
      <c r="G182" s="44">
        <f>G183+G184*G185</f>
        <v>0</v>
      </c>
      <c r="H182" s="44">
        <f>H183+H184*H185</f>
        <v>0</v>
      </c>
      <c r="J182" s="6"/>
      <c r="K182" s="6"/>
      <c r="L182" s="6"/>
    </row>
    <row r="183" spans="1:12" s="62" customFormat="1" hidden="1" x14ac:dyDescent="0.25">
      <c r="A183" s="5"/>
      <c r="B183" s="41" t="s">
        <v>153</v>
      </c>
      <c r="C183" s="5"/>
      <c r="D183" s="44"/>
      <c r="E183" s="44"/>
      <c r="F183" s="44">
        <f>'Rates and GI'!D46*0</f>
        <v>0</v>
      </c>
      <c r="G183" s="38"/>
      <c r="H183" s="38"/>
      <c r="J183" s="6"/>
      <c r="K183" s="6"/>
      <c r="L183" s="6"/>
    </row>
    <row r="184" spans="1:12" s="62" customFormat="1" hidden="1" x14ac:dyDescent="0.25">
      <c r="A184" s="5"/>
      <c r="B184" s="41" t="s">
        <v>159</v>
      </c>
      <c r="C184" s="5"/>
      <c r="D184" s="44"/>
      <c r="E184" s="44"/>
      <c r="F184" s="65">
        <f>'Rates and GI'!$D$47</f>
        <v>0.05</v>
      </c>
      <c r="G184" s="65">
        <f>'Rates and GI'!$D$47</f>
        <v>0.05</v>
      </c>
      <c r="H184" s="65">
        <f>'Rates and GI'!$D$47</f>
        <v>0.05</v>
      </c>
      <c r="J184" s="6"/>
      <c r="K184" s="6"/>
      <c r="L184" s="6"/>
    </row>
    <row r="185" spans="1:12" s="62" customFormat="1" hidden="1" x14ac:dyDescent="0.25">
      <c r="A185" s="5"/>
      <c r="B185" s="41" t="s">
        <v>160</v>
      </c>
      <c r="C185" s="5"/>
      <c r="D185" s="44"/>
      <c r="E185" s="44"/>
      <c r="F185" s="44">
        <v>0</v>
      </c>
      <c r="G185" s="38">
        <v>0</v>
      </c>
      <c r="H185" s="38"/>
      <c r="J185" s="6"/>
      <c r="K185" s="6"/>
      <c r="L185" s="6"/>
    </row>
    <row r="186" spans="1:12" hidden="1" x14ac:dyDescent="0.25"/>
    <row r="187" spans="1:12" s="62" customFormat="1" hidden="1" x14ac:dyDescent="0.25">
      <c r="A187" s="50"/>
      <c r="B187" s="50" t="s">
        <v>19</v>
      </c>
      <c r="C187" s="50"/>
      <c r="D187" s="52"/>
      <c r="E187" s="52">
        <v>0</v>
      </c>
      <c r="F187" s="52">
        <v>0</v>
      </c>
      <c r="G187" s="52">
        <v>0</v>
      </c>
      <c r="H187" s="52">
        <v>0</v>
      </c>
      <c r="J187" s="6"/>
      <c r="K187" s="6"/>
      <c r="L187" s="6"/>
    </row>
    <row r="188" spans="1:12" hidden="1" x14ac:dyDescent="0.25"/>
    <row r="189" spans="1:12" ht="27" hidden="1" x14ac:dyDescent="0.25">
      <c r="A189" s="50"/>
      <c r="B189" s="132" t="s">
        <v>252</v>
      </c>
      <c r="C189" s="133"/>
      <c r="D189" s="51"/>
      <c r="E189" s="51"/>
      <c r="F189" s="51"/>
      <c r="G189" s="51"/>
      <c r="H189" s="51"/>
    </row>
    <row r="190" spans="1:12" hidden="1" x14ac:dyDescent="0.25">
      <c r="A190" s="10"/>
      <c r="B190" s="39" t="s">
        <v>253</v>
      </c>
      <c r="C190" s="134">
        <v>1</v>
      </c>
      <c r="D190" s="33"/>
      <c r="E190" s="44">
        <v>0</v>
      </c>
      <c r="F190" s="44">
        <v>0</v>
      </c>
      <c r="G190" s="44">
        <v>0</v>
      </c>
      <c r="H190" s="44">
        <v>0</v>
      </c>
    </row>
    <row r="191" spans="1:12" hidden="1" x14ac:dyDescent="0.25">
      <c r="B191" s="39" t="s">
        <v>254</v>
      </c>
      <c r="C191" s="33">
        <v>0</v>
      </c>
      <c r="D191" s="33"/>
      <c r="G191" s="44"/>
      <c r="H191" s="44"/>
    </row>
    <row r="192" spans="1:12" hidden="1" x14ac:dyDescent="0.25">
      <c r="B192" s="39" t="s">
        <v>255</v>
      </c>
      <c r="C192" s="73"/>
      <c r="D192" s="33"/>
      <c r="E192" s="44">
        <f>$C$191/$C$190*E190</f>
        <v>0</v>
      </c>
      <c r="F192" s="44">
        <f t="shared" ref="F192:H192" si="50">$C$191/$C$190*F190</f>
        <v>0</v>
      </c>
      <c r="G192" s="44">
        <f t="shared" si="50"/>
        <v>0</v>
      </c>
      <c r="H192" s="44">
        <f t="shared" si="50"/>
        <v>0</v>
      </c>
    </row>
    <row r="193" hidden="1" x14ac:dyDescent="0.25"/>
  </sheetData>
  <pageMargins left="0.7" right="0.7" top="0.75" bottom="0.75" header="0.3" footer="0.3"/>
  <pageSetup paperSize="9" scale="56" fitToHeight="0"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4"/>
  <sheetViews>
    <sheetView topLeftCell="A68" workbookViewId="0">
      <selection activeCell="B186" sqref="B186"/>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43</v>
      </c>
      <c r="B1" s="126" t="s">
        <v>260</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8235.9922466571734</v>
      </c>
      <c r="E5" s="44">
        <f>E67</f>
        <v>2227.0500000000002</v>
      </c>
      <c r="F5" s="44">
        <f t="shared" ref="F5:H5" si="1">F67</f>
        <v>2322.81315</v>
      </c>
      <c r="G5" s="44">
        <f t="shared" si="1"/>
        <v>2422.6941154499996</v>
      </c>
      <c r="H5" s="44">
        <f t="shared" si="1"/>
        <v>1263.4349812071748</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8235.9922466571734</v>
      </c>
      <c r="E7" s="47">
        <f>SUBTOTAL(9,E5:E6)</f>
        <v>2227.0500000000002</v>
      </c>
      <c r="F7" s="47">
        <f>SUBTOTAL(9,F5:F6)</f>
        <v>2322.81315</v>
      </c>
      <c r="G7" s="47">
        <f>SUBTOTAL(9,G5:G6)</f>
        <v>2422.6941154499996</v>
      </c>
      <c r="H7" s="47">
        <f>SUBTOTAL(9,H5:H6)</f>
        <v>1263.4349812071748</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8624.9270423529415</v>
      </c>
      <c r="E10" s="44">
        <f>E91</f>
        <v>1248</v>
      </c>
      <c r="F10" s="44">
        <f t="shared" ref="F10:H10" si="4">F91</f>
        <v>3064.4635211764707</v>
      </c>
      <c r="G10" s="44">
        <f t="shared" si="4"/>
        <v>3064.4635211764707</v>
      </c>
      <c r="H10" s="44">
        <f t="shared" si="4"/>
        <v>1248</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8624.9270423529415</v>
      </c>
      <c r="E12" s="47">
        <f t="shared" ref="E12:H12" si="5">SUBTOTAL(9,E10:E11)</f>
        <v>1248</v>
      </c>
      <c r="F12" s="47">
        <f t="shared" si="5"/>
        <v>3064.4635211764707</v>
      </c>
      <c r="G12" s="47">
        <f t="shared" si="5"/>
        <v>3064.4635211764707</v>
      </c>
      <c r="H12" s="47">
        <f t="shared" si="5"/>
        <v>1248</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150</v>
      </c>
      <c r="E51" s="44">
        <f>E141</f>
        <v>150</v>
      </c>
      <c r="F51" s="44">
        <f t="shared" ref="F51:H51" si="27">F141</f>
        <v>0</v>
      </c>
      <c r="G51" s="44">
        <f t="shared" si="27"/>
        <v>0</v>
      </c>
      <c r="H51" s="44">
        <f t="shared" si="27"/>
        <v>0</v>
      </c>
    </row>
    <row r="52" spans="1:12" ht="14.25" thickBot="1" x14ac:dyDescent="0.3">
      <c r="A52" s="13"/>
      <c r="B52" s="13" t="s">
        <v>69</v>
      </c>
      <c r="C52" s="13"/>
      <c r="D52" s="47">
        <f>SUBTOTAL(9,D50:D51)</f>
        <v>150</v>
      </c>
      <c r="E52" s="47">
        <f>SUBTOTAL(9,E50:E51)</f>
        <v>150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17010.919289010115</v>
      </c>
      <c r="E54" s="49">
        <f>SUBTOTAL(9,E5:E52)</f>
        <v>3625.05</v>
      </c>
      <c r="F54" s="49">
        <f>SUBTOTAL(9,F5:F52)</f>
        <v>5387.2766711764707</v>
      </c>
      <c r="G54" s="49">
        <f>SUBTOTAL(9,G5:G52)</f>
        <v>5487.1576366264708</v>
      </c>
      <c r="H54" s="49">
        <f>SUBTOTAL(9,H5:H52)</f>
        <v>2511.434981207175</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2227.0500000000002</v>
      </c>
      <c r="F67" s="44">
        <f t="shared" ref="F67:H67" si="28">F68*F69</f>
        <v>2322.81315</v>
      </c>
      <c r="G67" s="44">
        <f t="shared" si="28"/>
        <v>2422.6941154499996</v>
      </c>
      <c r="H67" s="44">
        <f t="shared" si="28"/>
        <v>1263.4349812071748</v>
      </c>
    </row>
    <row r="68" spans="1:12" x14ac:dyDescent="0.25">
      <c r="A68" s="9"/>
      <c r="B68" s="9" t="s">
        <v>114</v>
      </c>
      <c r="C68" s="9" t="s">
        <v>113</v>
      </c>
      <c r="E68" s="44">
        <f>6*21</f>
        <v>126</v>
      </c>
      <c r="F68" s="44">
        <f t="shared" ref="F68:G68" si="29">6*21</f>
        <v>126</v>
      </c>
      <c r="G68" s="44">
        <f t="shared" si="29"/>
        <v>126</v>
      </c>
      <c r="H68" s="44">
        <f>3*21</f>
        <v>63</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30">F72*F73</f>
        <v>0</v>
      </c>
      <c r="G71" s="44">
        <f t="shared" si="30"/>
        <v>0</v>
      </c>
      <c r="H71" s="44">
        <f t="shared" si="30"/>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1248</v>
      </c>
      <c r="F91" s="52">
        <f t="shared" ref="F91:H91" si="31">F92*F93+F95*F96</f>
        <v>3064.4635211764707</v>
      </c>
      <c r="G91" s="52">
        <f t="shared" si="31"/>
        <v>3064.4635211764707</v>
      </c>
      <c r="H91" s="52">
        <f t="shared" si="31"/>
        <v>1248</v>
      </c>
    </row>
    <row r="92" spans="1:12" s="7" customFormat="1" x14ac:dyDescent="0.25">
      <c r="A92" s="5"/>
      <c r="B92" s="9" t="s">
        <v>49</v>
      </c>
      <c r="C92" s="5"/>
      <c r="D92" s="44"/>
      <c r="E92" s="44">
        <v>0</v>
      </c>
      <c r="F92" s="44">
        <v>2</v>
      </c>
      <c r="G92" s="44">
        <v>2</v>
      </c>
      <c r="H92" s="44">
        <v>0</v>
      </c>
      <c r="I92" s="62"/>
      <c r="J92" s="6"/>
      <c r="K92" s="6"/>
      <c r="L92" s="6"/>
    </row>
    <row r="93" spans="1:12" s="7" customFormat="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5" spans="1:12" s="7" customFormat="1" x14ac:dyDescent="0.25">
      <c r="A95" s="5"/>
      <c r="B95" s="9" t="s">
        <v>51</v>
      </c>
      <c r="C95" s="5"/>
      <c r="D95" s="44"/>
      <c r="E95" s="44">
        <v>24</v>
      </c>
      <c r="F95" s="44">
        <f>E95</f>
        <v>24</v>
      </c>
      <c r="G95" s="44">
        <f>2*12</f>
        <v>24</v>
      </c>
      <c r="H95" s="44">
        <f>G95</f>
        <v>24</v>
      </c>
      <c r="I95" s="62"/>
      <c r="J95" s="6"/>
      <c r="K95" s="6"/>
      <c r="L95" s="6"/>
    </row>
    <row r="96" spans="1:12" s="7" customFormat="1" x14ac:dyDescent="0.25">
      <c r="A96" s="5"/>
      <c r="B96" s="9" t="s">
        <v>52</v>
      </c>
      <c r="C96" s="5"/>
      <c r="D96" s="44"/>
      <c r="E96" s="44">
        <f>Trips!$B$5</f>
        <v>52</v>
      </c>
      <c r="F96" s="44">
        <f>Trips!$B$5</f>
        <v>52</v>
      </c>
      <c r="G96" s="44">
        <f>Trips!$B$5</f>
        <v>52</v>
      </c>
      <c r="H96" s="44">
        <f>Trips!$B$5</f>
        <v>52</v>
      </c>
      <c r="I96" s="62"/>
      <c r="J96" s="6"/>
      <c r="K96" s="6"/>
      <c r="L96" s="6"/>
    </row>
    <row r="97" spans="1:12" hidden="1" x14ac:dyDescent="0.25"/>
    <row r="99" spans="1:12" hidden="1" x14ac:dyDescent="0.25">
      <c r="A99" s="50"/>
      <c r="B99" s="50" t="s">
        <v>171</v>
      </c>
      <c r="C99" s="50"/>
      <c r="D99" s="52"/>
      <c r="E99" s="52">
        <f>E100*E101</f>
        <v>0</v>
      </c>
      <c r="F99" s="52">
        <f t="shared" ref="F99:H99" si="32">F100*F101</f>
        <v>0</v>
      </c>
      <c r="G99" s="52">
        <f t="shared" si="32"/>
        <v>0</v>
      </c>
      <c r="H99" s="52">
        <f t="shared" si="32"/>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3">F104*F105+F106*F107+F108*F109</f>
        <v>0</v>
      </c>
      <c r="G103" s="52">
        <f t="shared" si="33"/>
        <v>0</v>
      </c>
      <c r="H103" s="52">
        <f t="shared" si="33"/>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v>0</v>
      </c>
      <c r="G105" s="44">
        <v>0</v>
      </c>
      <c r="H105" s="44">
        <f t="shared" ref="H105" si="34">H92</f>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44">
        <v>0</v>
      </c>
      <c r="H107" s="44">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35">E112*E113</f>
        <v>0</v>
      </c>
      <c r="F111" s="52">
        <f t="shared" si="35"/>
        <v>0</v>
      </c>
      <c r="G111" s="52">
        <f t="shared" si="35"/>
        <v>0</v>
      </c>
      <c r="H111" s="52">
        <f t="shared" si="35"/>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6">F133+F136</f>
        <v>0</v>
      </c>
      <c r="G132" s="52">
        <f t="shared" si="36"/>
        <v>0</v>
      </c>
      <c r="H132" s="52">
        <f t="shared" si="36"/>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7">G137+G138*G139</f>
        <v>0</v>
      </c>
      <c r="H136" s="44">
        <f t="shared" si="37"/>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150</v>
      </c>
      <c r="F141" s="52">
        <f t="shared" ref="F141:H141" si="38">F142*F143+F144*F145++F146*F147+F148*F149</f>
        <v>0</v>
      </c>
      <c r="G141" s="52">
        <f t="shared" si="38"/>
        <v>0</v>
      </c>
      <c r="H141" s="52">
        <f t="shared" si="38"/>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x14ac:dyDescent="0.25">
      <c r="B148" s="41" t="s">
        <v>217</v>
      </c>
      <c r="D148" s="44"/>
      <c r="E148" s="44">
        <v>3</v>
      </c>
      <c r="F148" s="44">
        <v>0</v>
      </c>
      <c r="G148" s="44">
        <v>0</v>
      </c>
      <c r="H148" s="44">
        <v>0</v>
      </c>
      <c r="I148" s="62"/>
      <c r="J148" s="6"/>
      <c r="K148" s="6"/>
      <c r="L148" s="6"/>
    </row>
    <row r="149" spans="1:12" s="5" customFormat="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9">F152+F155+F158+F167+F172</f>
        <v>0</v>
      </c>
      <c r="G151" s="52">
        <f t="shared" si="39"/>
        <v>0</v>
      </c>
      <c r="H151" s="52">
        <f t="shared" si="39"/>
        <v>0</v>
      </c>
    </row>
    <row r="152" spans="1:12" s="5" customFormat="1" hidden="1" x14ac:dyDescent="0.25">
      <c r="B152" s="5" t="s">
        <v>173</v>
      </c>
      <c r="D152" s="44"/>
      <c r="E152" s="44">
        <f>E153+E156*E157</f>
        <v>0</v>
      </c>
      <c r="F152" s="44">
        <f>F153+F156*F157</f>
        <v>0</v>
      </c>
      <c r="G152" s="44">
        <f>G153+G156*G157</f>
        <v>0</v>
      </c>
      <c r="H152" s="44">
        <f t="shared" ref="H152" si="40">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1">F156*F157</f>
        <v>0</v>
      </c>
      <c r="G155" s="44">
        <f t="shared" si="41"/>
        <v>0</v>
      </c>
      <c r="H155" s="44">
        <f t="shared" si="41"/>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2">F159+F163</f>
        <v>0</v>
      </c>
      <c r="G158" s="44">
        <f t="shared" si="42"/>
        <v>0</v>
      </c>
      <c r="H158" s="44">
        <f t="shared" si="42"/>
        <v>0</v>
      </c>
    </row>
    <row r="159" spans="1:12" hidden="1" x14ac:dyDescent="0.25">
      <c r="B159" s="41" t="s">
        <v>189</v>
      </c>
      <c r="E159" s="44">
        <f>E160*E161</f>
        <v>0</v>
      </c>
      <c r="F159" s="44">
        <f t="shared" ref="F159:H159" si="43">F160*F161</f>
        <v>0</v>
      </c>
      <c r="G159" s="44">
        <f t="shared" si="43"/>
        <v>0</v>
      </c>
      <c r="H159" s="44">
        <f t="shared" si="43"/>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4">F164*F165</f>
        <v>0</v>
      </c>
      <c r="G163" s="44">
        <f t="shared" si="44"/>
        <v>0</v>
      </c>
      <c r="H163" s="44">
        <f t="shared" si="44"/>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5">F168*F169*F170</f>
        <v>0</v>
      </c>
      <c r="G167" s="44">
        <f t="shared" si="45"/>
        <v>0</v>
      </c>
      <c r="H167" s="44">
        <f t="shared" si="45"/>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6">$C$181/$C$180*F180</f>
        <v>0</v>
      </c>
      <c r="G182" s="44">
        <f t="shared" si="46"/>
        <v>0</v>
      </c>
      <c r="H182" s="44">
        <f t="shared" si="46"/>
        <v>0</v>
      </c>
    </row>
    <row r="183" spans="1:12" hidden="1" x14ac:dyDescent="0.25"/>
    <row r="184" spans="1:12" x14ac:dyDescent="0.25">
      <c r="A184" s="228"/>
      <c r="B184" s="228"/>
      <c r="C184" s="228"/>
      <c r="D184" s="230"/>
      <c r="E184" s="230"/>
      <c r="F184" s="230"/>
      <c r="G184" s="230"/>
      <c r="H184" s="230"/>
    </row>
  </sheetData>
  <pageMargins left="0.7" right="0.7" top="0.75" bottom="0.75" header="0.3" footer="0.3"/>
  <pageSetup paperSize="9" scale="56" fitToHeight="0" orientation="portrait" horizontalDpi="1200"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7"/>
  <sheetViews>
    <sheetView topLeftCell="A92" workbookViewId="0">
      <selection activeCell="B194" sqref="B194"/>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44</v>
      </c>
      <c r="B1" s="126" t="s">
        <v>359</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E67</f>
        <v>2227.0500000000002</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2227.0500000000002</v>
      </c>
      <c r="E7" s="47">
        <f>SUBTOTAL(9,E5:E6)</f>
        <v>2227.0500000000002</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1816.4635211764707</v>
      </c>
      <c r="E10" s="44">
        <f>E91</f>
        <v>1816.4635211764707</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1816.4635211764707</v>
      </c>
      <c r="E12" s="47">
        <f t="shared" ref="E12:H12" si="5">SUBTOTAL(9,E10:E11)</f>
        <v>1816.4635211764707</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5179.1468749999995</v>
      </c>
      <c r="E20" s="44">
        <f>E103</f>
        <v>0</v>
      </c>
      <c r="F20" s="44">
        <f t="shared" ref="F20:H20" si="10">F103</f>
        <v>5179.1468749999995</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5179.1468749999995</v>
      </c>
      <c r="E22" s="47">
        <f t="shared" ref="E22:H22" si="12">SUBTOTAL(9,E20:E21)</f>
        <v>0</v>
      </c>
      <c r="F22" s="47">
        <f t="shared" si="12"/>
        <v>5179.1468749999995</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555</v>
      </c>
      <c r="E26" s="44">
        <f>E136</f>
        <v>150</v>
      </c>
      <c r="F26" s="44">
        <f t="shared" ref="F26:H26" si="15">F136</f>
        <v>405</v>
      </c>
      <c r="G26" s="44">
        <f t="shared" si="15"/>
        <v>0</v>
      </c>
      <c r="H26" s="44">
        <f t="shared" si="15"/>
        <v>0</v>
      </c>
    </row>
    <row r="27" spans="1:12" x14ac:dyDescent="0.25">
      <c r="B27" s="16" t="s">
        <v>233</v>
      </c>
    </row>
    <row r="28" spans="1:12" ht="14.25" thickBot="1" x14ac:dyDescent="0.3">
      <c r="A28" s="13"/>
      <c r="B28" s="13" t="s">
        <v>73</v>
      </c>
      <c r="C28" s="13"/>
      <c r="D28" s="47">
        <f>SUBTOTAL(9,D25:D27)</f>
        <v>555</v>
      </c>
      <c r="E28" s="47">
        <f t="shared" ref="E28:H28" si="16">SUBTOTAL(9,E25:E27)</f>
        <v>150</v>
      </c>
      <c r="F28" s="47">
        <f t="shared" si="16"/>
        <v>405</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354</v>
      </c>
      <c r="D31" s="44">
        <f t="shared" ref="D31:D34" si="17">SUM(E31:H31)</f>
        <v>0</v>
      </c>
      <c r="E31" s="44">
        <f>E116</f>
        <v>0</v>
      </c>
      <c r="F31" s="44">
        <f t="shared" ref="F31:H31" si="18">F116</f>
        <v>0</v>
      </c>
      <c r="G31" s="44">
        <f t="shared" si="18"/>
        <v>0</v>
      </c>
      <c r="H31" s="44">
        <f t="shared" si="18"/>
        <v>0</v>
      </c>
    </row>
    <row r="32" spans="1:12" x14ac:dyDescent="0.25">
      <c r="B32" s="16" t="s">
        <v>26</v>
      </c>
      <c r="D32" s="44">
        <f t="shared" si="17"/>
        <v>0</v>
      </c>
      <c r="E32" s="44">
        <f>E125</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SUBTOTAL(9,E31:E34)</f>
        <v>0</v>
      </c>
      <c r="F35" s="47">
        <f t="shared" ref="F35:H35" si="19">SUBTOTAL(9,F31:F34)</f>
        <v>0</v>
      </c>
      <c r="G35" s="47">
        <f>SUBTOTAL(9,G31:G34)</f>
        <v>0</v>
      </c>
      <c r="H35" s="47">
        <f t="shared" si="19"/>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20">SUM(E38:H38)</f>
        <v>0</v>
      </c>
    </row>
    <row r="39" spans="1:12" x14ac:dyDescent="0.25">
      <c r="A39" s="2"/>
      <c r="B39" s="2" t="s">
        <v>18</v>
      </c>
      <c r="C39" s="2"/>
      <c r="D39" s="44">
        <f t="shared" si="20"/>
        <v>0</v>
      </c>
    </row>
    <row r="40" spans="1:12" x14ac:dyDescent="0.25">
      <c r="A40" s="2"/>
      <c r="B40" s="2" t="s">
        <v>19</v>
      </c>
      <c r="C40" s="2"/>
      <c r="D40" s="44">
        <f t="shared" si="20"/>
        <v>0</v>
      </c>
      <c r="E40" s="44">
        <f>E181</f>
        <v>0</v>
      </c>
      <c r="F40" s="44">
        <f t="shared" ref="F40:H40" si="21">F181</f>
        <v>0</v>
      </c>
      <c r="G40" s="44">
        <f t="shared" si="21"/>
        <v>0</v>
      </c>
      <c r="H40" s="44">
        <f t="shared" si="21"/>
        <v>0</v>
      </c>
    </row>
    <row r="41" spans="1:12" x14ac:dyDescent="0.25">
      <c r="A41" s="3"/>
      <c r="B41" s="3" t="s">
        <v>13</v>
      </c>
      <c r="C41" s="3"/>
      <c r="D41" s="44">
        <f t="shared" si="20"/>
        <v>0</v>
      </c>
    </row>
    <row r="42" spans="1:12" x14ac:dyDescent="0.25">
      <c r="A42" s="3"/>
      <c r="B42" s="3" t="s">
        <v>22</v>
      </c>
      <c r="C42" s="3"/>
      <c r="D42" s="44">
        <f t="shared" si="20"/>
        <v>0</v>
      </c>
    </row>
    <row r="43" spans="1:12" ht="14.25" thickBot="1" x14ac:dyDescent="0.3">
      <c r="A43" s="13"/>
      <c r="B43" s="13" t="s">
        <v>68</v>
      </c>
      <c r="C43" s="13"/>
      <c r="D43" s="47">
        <f>SUBTOTAL(9,D38:D42)</f>
        <v>0</v>
      </c>
      <c r="E43" s="47">
        <f t="shared" ref="E43:H43" si="22">SUBTOTAL(9,E38:E42)</f>
        <v>0</v>
      </c>
      <c r="F43" s="47">
        <f t="shared" si="22"/>
        <v>0</v>
      </c>
      <c r="G43" s="47">
        <f t="shared" si="22"/>
        <v>0</v>
      </c>
      <c r="H43" s="47">
        <f t="shared" si="22"/>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E186</f>
        <v>0</v>
      </c>
      <c r="F46" s="44">
        <f t="shared" ref="F46:H46" si="24">F186</f>
        <v>0</v>
      </c>
      <c r="G46" s="44">
        <f t="shared" si="24"/>
        <v>0</v>
      </c>
      <c r="H46" s="44">
        <f t="shared" si="24"/>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E155</f>
        <v>0</v>
      </c>
      <c r="F50" s="44">
        <f t="shared" ref="F50:H50" si="27">F155</f>
        <v>0</v>
      </c>
      <c r="G50" s="44">
        <f t="shared" si="27"/>
        <v>0</v>
      </c>
      <c r="H50" s="44">
        <f t="shared" si="27"/>
        <v>0</v>
      </c>
    </row>
    <row r="51" spans="1:12" x14ac:dyDescent="0.25">
      <c r="A51" s="3"/>
      <c r="B51" s="3" t="s">
        <v>21</v>
      </c>
      <c r="C51" s="3"/>
      <c r="D51" s="44">
        <f t="shared" si="26"/>
        <v>0</v>
      </c>
      <c r="E51" s="44">
        <f>E145</f>
        <v>0</v>
      </c>
      <c r="F51" s="44">
        <f t="shared" ref="F51:H51" si="28">F145</f>
        <v>0</v>
      </c>
      <c r="G51" s="44">
        <f t="shared" si="28"/>
        <v>0</v>
      </c>
      <c r="H51" s="44">
        <f t="shared" si="28"/>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9777.6603961764704</v>
      </c>
      <c r="E54" s="49">
        <f>SUBTOTAL(9,E5:E52)</f>
        <v>4193.5135211764709</v>
      </c>
      <c r="F54" s="49">
        <f>SUBTOTAL(9,F5:F52)</f>
        <v>5584.1468749999995</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2227.0500000000002</v>
      </c>
      <c r="F67" s="44">
        <f t="shared" ref="F67:H67" si="29">F68*F69</f>
        <v>0</v>
      </c>
      <c r="G67" s="44">
        <f t="shared" si="29"/>
        <v>0</v>
      </c>
      <c r="H67" s="44">
        <f t="shared" si="29"/>
        <v>0</v>
      </c>
    </row>
    <row r="68" spans="1:12" x14ac:dyDescent="0.25">
      <c r="A68" s="9"/>
      <c r="B68" s="9" t="s">
        <v>114</v>
      </c>
      <c r="C68" s="9" t="s">
        <v>113</v>
      </c>
      <c r="E68" s="44">
        <f>6*21</f>
        <v>126</v>
      </c>
      <c r="F68" s="44">
        <v>0</v>
      </c>
      <c r="G68" s="44">
        <v>0</v>
      </c>
      <c r="H68" s="44">
        <v>0</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30">F72*F73</f>
        <v>0</v>
      </c>
      <c r="G71" s="44">
        <f t="shared" si="30"/>
        <v>0</v>
      </c>
      <c r="H71" s="44">
        <f t="shared" si="30"/>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x14ac:dyDescent="0.25">
      <c r="A91" s="50"/>
      <c r="B91" s="50" t="s">
        <v>10</v>
      </c>
      <c r="C91" s="50"/>
      <c r="D91" s="52"/>
      <c r="E91" s="52">
        <f>E92*E93+E95*E96</f>
        <v>1816.4635211764707</v>
      </c>
      <c r="F91" s="52">
        <f t="shared" ref="F91:H91" si="31">F92*F93+F95*F96</f>
        <v>0</v>
      </c>
      <c r="G91" s="52">
        <f t="shared" si="31"/>
        <v>0</v>
      </c>
      <c r="H91" s="52">
        <f t="shared" si="31"/>
        <v>0</v>
      </c>
    </row>
    <row r="92" spans="1:12" s="7" customFormat="1" x14ac:dyDescent="0.25">
      <c r="A92" s="5"/>
      <c r="B92" s="9" t="s">
        <v>49</v>
      </c>
      <c r="C92" s="5"/>
      <c r="D92" s="44"/>
      <c r="E92" s="44">
        <v>2</v>
      </c>
      <c r="F92" s="44">
        <v>0</v>
      </c>
      <c r="G92" s="44">
        <v>0</v>
      </c>
      <c r="H92" s="44">
        <v>0</v>
      </c>
      <c r="I92" s="62"/>
      <c r="J92" s="6"/>
      <c r="K92" s="6"/>
      <c r="L92" s="6"/>
    </row>
    <row r="93" spans="1:12" s="7" customFormat="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9" spans="1:12" hidden="1" x14ac:dyDescent="0.25">
      <c r="A99" s="50"/>
      <c r="B99" s="50" t="s">
        <v>171</v>
      </c>
      <c r="C99" s="50"/>
      <c r="D99" s="52"/>
      <c r="E99" s="52">
        <f>E100*E101</f>
        <v>0</v>
      </c>
      <c r="F99" s="52">
        <f t="shared" ref="F99:H99" si="32">F100*F101</f>
        <v>0</v>
      </c>
      <c r="G99" s="52">
        <f t="shared" si="32"/>
        <v>0</v>
      </c>
      <c r="H99" s="52">
        <f t="shared" si="32"/>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f>
        <v>0</v>
      </c>
      <c r="F103" s="52">
        <f t="shared" ref="F103:H103" si="33">F104*F105+F106*F107+F108*F109</f>
        <v>5179.1468749999995</v>
      </c>
      <c r="G103" s="52">
        <f t="shared" si="33"/>
        <v>0</v>
      </c>
      <c r="H103" s="52">
        <f t="shared" si="33"/>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4">G92</f>
        <v>0</v>
      </c>
      <c r="H105" s="44">
        <f t="shared" si="34"/>
        <v>0</v>
      </c>
    </row>
    <row r="106" spans="1:12" x14ac:dyDescent="0.25">
      <c r="B106" s="39" t="s">
        <v>134</v>
      </c>
      <c r="E106" s="44">
        <f>Training!C23</f>
        <v>709.375</v>
      </c>
      <c r="F106" s="44">
        <f>E106*(1+index)</f>
        <v>739.87812499999995</v>
      </c>
      <c r="G106" s="44">
        <f>F106*(1+index)</f>
        <v>771.69288437499995</v>
      </c>
      <c r="H106" s="44">
        <f>G106*(1+index)</f>
        <v>804.87567840312488</v>
      </c>
    </row>
    <row r="107" spans="1:12" x14ac:dyDescent="0.25">
      <c r="B107" s="39" t="s">
        <v>135</v>
      </c>
      <c r="C107" s="5" t="s">
        <v>471</v>
      </c>
      <c r="E107" s="44">
        <v>0</v>
      </c>
      <c r="F107" s="44">
        <v>7</v>
      </c>
      <c r="G107" s="44">
        <v>0</v>
      </c>
      <c r="H107" s="44">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x14ac:dyDescent="0.25">
      <c r="B110" s="39"/>
    </row>
    <row r="111" spans="1:12" hidden="1" x14ac:dyDescent="0.25">
      <c r="A111" s="50"/>
      <c r="B111" s="50" t="s">
        <v>24</v>
      </c>
      <c r="C111" s="50"/>
      <c r="D111" s="52"/>
      <c r="E111" s="52">
        <f t="shared" ref="E111:H111" si="35">E112*E113</f>
        <v>0</v>
      </c>
      <c r="F111" s="52">
        <f t="shared" si="35"/>
        <v>0</v>
      </c>
      <c r="G111" s="52">
        <f t="shared" si="35"/>
        <v>0</v>
      </c>
      <c r="H111" s="52">
        <f t="shared" si="35"/>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hidden="1" x14ac:dyDescent="0.25">
      <c r="B116" s="66"/>
      <c r="C116" s="77"/>
      <c r="E116" s="152"/>
      <c r="G116" s="44"/>
      <c r="H116" s="44"/>
    </row>
    <row r="117" spans="1:12" hidden="1" x14ac:dyDescent="0.25">
      <c r="B117" s="66"/>
      <c r="G117" s="44"/>
      <c r="H117" s="44"/>
    </row>
    <row r="118" spans="1:12" hidden="1" x14ac:dyDescent="0.25">
      <c r="B118" s="66" t="s">
        <v>337</v>
      </c>
      <c r="G118" s="44"/>
      <c r="H118" s="44"/>
    </row>
    <row r="119" spans="1:12" hidden="1" x14ac:dyDescent="0.25">
      <c r="B119" s="5" t="s">
        <v>336</v>
      </c>
      <c r="G119" s="44"/>
      <c r="H119" s="44"/>
    </row>
    <row r="120" spans="1:12" s="7" customFormat="1" hidden="1" x14ac:dyDescent="0.25">
      <c r="A120" s="5"/>
      <c r="B120" s="4" t="s">
        <v>57</v>
      </c>
      <c r="C120" s="5"/>
      <c r="D120" s="44"/>
      <c r="E120" s="46"/>
      <c r="F120" s="46"/>
      <c r="G120" s="105"/>
      <c r="H120" s="105"/>
      <c r="I120" s="61"/>
      <c r="J120" s="6"/>
      <c r="K120" s="6"/>
      <c r="L120" s="6"/>
    </row>
    <row r="121" spans="1:12" s="43" customFormat="1" hidden="1" x14ac:dyDescent="0.25">
      <c r="A121" s="40"/>
      <c r="B121" s="41" t="s">
        <v>58</v>
      </c>
      <c r="C121" s="40" t="s">
        <v>55</v>
      </c>
      <c r="D121" s="71"/>
      <c r="E121" s="71"/>
      <c r="F121" s="71"/>
      <c r="G121" s="72"/>
      <c r="H121" s="72"/>
      <c r="I121" s="75"/>
      <c r="J121" s="42"/>
      <c r="K121" s="42"/>
      <c r="L121" s="42"/>
    </row>
    <row r="122" spans="1:12" s="40" customFormat="1" hidden="1" x14ac:dyDescent="0.25">
      <c r="B122" s="41" t="s">
        <v>56</v>
      </c>
      <c r="D122" s="71"/>
      <c r="E122" s="71"/>
      <c r="F122" s="71"/>
      <c r="G122" s="72"/>
      <c r="H122" s="72"/>
      <c r="I122" s="75"/>
      <c r="J122" s="42"/>
      <c r="K122" s="42"/>
      <c r="L122" s="42"/>
    </row>
    <row r="123" spans="1:12" s="40" customFormat="1" hidden="1" x14ac:dyDescent="0.25">
      <c r="B123" s="41" t="s">
        <v>59</v>
      </c>
      <c r="D123" s="71"/>
      <c r="E123" s="71"/>
      <c r="F123" s="71"/>
      <c r="G123" s="72"/>
      <c r="H123" s="72"/>
      <c r="I123" s="75"/>
      <c r="J123" s="42"/>
      <c r="K123" s="42"/>
      <c r="L123" s="42"/>
    </row>
    <row r="124" spans="1:12" hidden="1" x14ac:dyDescent="0.25"/>
    <row r="125" spans="1:12" hidden="1" x14ac:dyDescent="0.25">
      <c r="A125" s="50"/>
      <c r="B125" s="50" t="s">
        <v>26</v>
      </c>
      <c r="C125" s="50"/>
      <c r="D125" s="52"/>
      <c r="E125" s="52">
        <f>E130*E131</f>
        <v>0</v>
      </c>
      <c r="F125" s="52">
        <f>F130*F131</f>
        <v>0</v>
      </c>
      <c r="G125" s="52"/>
      <c r="H125" s="52"/>
    </row>
    <row r="126" spans="1:12" s="5" customFormat="1" hidden="1" x14ac:dyDescent="0.25">
      <c r="B126" s="55" t="s">
        <v>60</v>
      </c>
      <c r="D126" s="44"/>
      <c r="E126" s="44"/>
      <c r="F126" s="44"/>
      <c r="G126" s="38"/>
      <c r="H126" s="38"/>
      <c r="I126" s="62"/>
      <c r="J126" s="6"/>
      <c r="K126" s="6"/>
      <c r="L126" s="6"/>
    </row>
    <row r="127" spans="1:12" s="5" customFormat="1" hidden="1" x14ac:dyDescent="0.25">
      <c r="B127" s="41" t="s">
        <v>147</v>
      </c>
      <c r="D127" s="44"/>
      <c r="E127" s="44"/>
      <c r="F127" s="44"/>
      <c r="G127" s="38"/>
      <c r="H127" s="38"/>
      <c r="I127" s="62"/>
      <c r="J127" s="6"/>
      <c r="K127" s="6"/>
      <c r="L127" s="6"/>
    </row>
    <row r="128" spans="1:12" s="5" customFormat="1" hidden="1" x14ac:dyDescent="0.25">
      <c r="B128" s="41" t="s">
        <v>146</v>
      </c>
      <c r="D128" s="44"/>
      <c r="E128" s="44"/>
      <c r="F128" s="44"/>
      <c r="G128" s="38"/>
      <c r="H128" s="38"/>
      <c r="I128" s="62"/>
      <c r="J128" s="6"/>
      <c r="K128" s="6"/>
      <c r="L128" s="6"/>
    </row>
    <row r="129" spans="1:12" s="5" customFormat="1" hidden="1" x14ac:dyDescent="0.25">
      <c r="B129" s="55" t="s">
        <v>123</v>
      </c>
      <c r="D129" s="44"/>
      <c r="E129" s="44"/>
      <c r="F129" s="44"/>
      <c r="G129" s="38"/>
      <c r="H129" s="38"/>
      <c r="I129" s="62"/>
      <c r="J129" s="6"/>
      <c r="K129" s="6"/>
      <c r="L129" s="6"/>
    </row>
    <row r="130" spans="1:12" s="5" customFormat="1" hidden="1" x14ac:dyDescent="0.25">
      <c r="B130" s="41" t="s">
        <v>147</v>
      </c>
      <c r="D130" s="44"/>
      <c r="E130" s="44">
        <f>'Rates and GI'!$D$31</f>
        <v>350</v>
      </c>
      <c r="F130" s="44">
        <f>'Rates and GI'!$D$31</f>
        <v>350</v>
      </c>
      <c r="G130" s="44">
        <f>'Rates and GI'!$D$31</f>
        <v>350</v>
      </c>
      <c r="H130" s="44">
        <f>'Rates and GI'!$D$31</f>
        <v>350</v>
      </c>
      <c r="I130" s="62"/>
      <c r="J130" s="6"/>
      <c r="K130" s="6"/>
      <c r="L130" s="6"/>
    </row>
    <row r="131" spans="1:12" s="5" customFormat="1" hidden="1" x14ac:dyDescent="0.25">
      <c r="B131" s="41" t="s">
        <v>146</v>
      </c>
      <c r="D131" s="44"/>
      <c r="E131" s="44">
        <v>0</v>
      </c>
      <c r="F131" s="44">
        <v>0</v>
      </c>
      <c r="G131" s="38"/>
      <c r="H131" s="38"/>
      <c r="I131" s="62"/>
      <c r="J131" s="6"/>
      <c r="K131" s="6"/>
      <c r="L131" s="6"/>
    </row>
    <row r="132" spans="1:12" s="5" customFormat="1" hidden="1" x14ac:dyDescent="0.25">
      <c r="B132" s="55" t="s">
        <v>8</v>
      </c>
      <c r="D132" s="44"/>
      <c r="E132" s="44"/>
      <c r="F132" s="44"/>
      <c r="G132" s="38"/>
      <c r="H132" s="38"/>
      <c r="I132" s="62"/>
      <c r="J132" s="6"/>
      <c r="K132" s="6"/>
      <c r="L132" s="6"/>
    </row>
    <row r="133" spans="1:12" s="5" customFormat="1" hidden="1" x14ac:dyDescent="0.25">
      <c r="B133" s="41" t="s">
        <v>147</v>
      </c>
      <c r="D133" s="44"/>
      <c r="E133" s="44"/>
      <c r="F133" s="44"/>
      <c r="G133" s="38"/>
      <c r="H133" s="38"/>
      <c r="I133" s="62"/>
      <c r="J133" s="6"/>
      <c r="K133" s="6"/>
      <c r="L133" s="6"/>
    </row>
    <row r="134" spans="1:12" s="5" customFormat="1" hidden="1" x14ac:dyDescent="0.25">
      <c r="B134" s="41" t="s">
        <v>146</v>
      </c>
      <c r="D134" s="44"/>
      <c r="E134" s="44"/>
      <c r="F134" s="44"/>
      <c r="G134" s="38"/>
      <c r="H134" s="38"/>
      <c r="I134" s="62"/>
      <c r="J134" s="6"/>
      <c r="K134" s="6"/>
      <c r="L134" s="6"/>
    </row>
    <row r="135" spans="1:12" hidden="1" x14ac:dyDescent="0.25"/>
    <row r="136" spans="1:12" x14ac:dyDescent="0.25">
      <c r="A136" s="50"/>
      <c r="B136" s="50" t="s">
        <v>25</v>
      </c>
      <c r="C136" s="50"/>
      <c r="D136" s="52"/>
      <c r="E136" s="52">
        <f>E137+E140</f>
        <v>150</v>
      </c>
      <c r="F136" s="52">
        <f t="shared" ref="F136:H136" si="36">F137+F140</f>
        <v>405</v>
      </c>
      <c r="G136" s="52">
        <f t="shared" si="36"/>
        <v>0</v>
      </c>
      <c r="H136" s="52">
        <f t="shared" si="36"/>
        <v>0</v>
      </c>
    </row>
    <row r="137" spans="1:12" s="5" customFormat="1" hidden="1" x14ac:dyDescent="0.25">
      <c r="B137" s="5" t="s">
        <v>205</v>
      </c>
      <c r="D137" s="44"/>
      <c r="E137" s="44"/>
      <c r="F137" s="44">
        <v>0</v>
      </c>
      <c r="G137" s="38"/>
      <c r="H137" s="38"/>
      <c r="I137" s="62"/>
      <c r="J137" s="6"/>
      <c r="K137" s="6"/>
      <c r="L137" s="6"/>
    </row>
    <row r="138" spans="1:12" s="5" customFormat="1" hidden="1" x14ac:dyDescent="0.25">
      <c r="B138" s="41"/>
      <c r="D138" s="44"/>
      <c r="E138" s="44"/>
      <c r="F138" s="44"/>
      <c r="G138" s="38"/>
      <c r="H138" s="38"/>
      <c r="I138" s="62"/>
      <c r="J138" s="6"/>
      <c r="K138" s="6"/>
      <c r="L138" s="6"/>
    </row>
    <row r="139" spans="1:12" s="5" customFormat="1" hidden="1" x14ac:dyDescent="0.25">
      <c r="B139" s="41"/>
      <c r="D139" s="44"/>
      <c r="E139" s="44"/>
      <c r="F139" s="44"/>
      <c r="G139" s="38"/>
      <c r="H139" s="38"/>
      <c r="I139" s="62"/>
      <c r="J139" s="6"/>
      <c r="K139" s="6"/>
      <c r="L139" s="6"/>
    </row>
    <row r="140" spans="1:12" s="5" customFormat="1" x14ac:dyDescent="0.25">
      <c r="B140" s="5" t="s">
        <v>154</v>
      </c>
      <c r="D140" s="44"/>
      <c r="E140" s="44">
        <f>E141+E142*E143</f>
        <v>150</v>
      </c>
      <c r="F140" s="44">
        <f>F141+F142*F143</f>
        <v>405</v>
      </c>
      <c r="G140" s="44">
        <f t="shared" ref="G140:H140" si="37">G141+G142*G143</f>
        <v>0</v>
      </c>
      <c r="H140" s="44">
        <f t="shared" si="37"/>
        <v>0</v>
      </c>
      <c r="I140" s="73"/>
    </row>
    <row r="141" spans="1:12" x14ac:dyDescent="0.25">
      <c r="B141" s="41" t="s">
        <v>153</v>
      </c>
      <c r="E141" s="44">
        <f>'Rates and GI'!D46*1</f>
        <v>150</v>
      </c>
      <c r="F141" s="44">
        <f>'Rates and GI'!D46*2</f>
        <v>300</v>
      </c>
    </row>
    <row r="142" spans="1:12" x14ac:dyDescent="0.25">
      <c r="B142" s="41" t="s">
        <v>159</v>
      </c>
      <c r="E142" s="60">
        <f>'Rates and GI'!$D$48</f>
        <v>0.02</v>
      </c>
      <c r="F142" s="60">
        <f>'Rates and GI'!$D$48</f>
        <v>0.02</v>
      </c>
      <c r="G142" s="60">
        <f>'Rates and GI'!$D$48</f>
        <v>0.02</v>
      </c>
      <c r="H142" s="60">
        <f>'Rates and GI'!$D$48</f>
        <v>0.02</v>
      </c>
    </row>
    <row r="143" spans="1:12" x14ac:dyDescent="0.25">
      <c r="B143" s="41" t="s">
        <v>160</v>
      </c>
      <c r="E143" s="169"/>
      <c r="F143" s="44">
        <f>7*25*30</f>
        <v>5250</v>
      </c>
      <c r="G143" s="44">
        <f t="shared" ref="G143:H143" si="38">G107*(25+3)*50</f>
        <v>0</v>
      </c>
      <c r="H143" s="44">
        <f t="shared" si="38"/>
        <v>0</v>
      </c>
    </row>
    <row r="144" spans="1:12" s="5" customFormat="1" x14ac:dyDescent="0.25">
      <c r="A144" s="228"/>
      <c r="B144" s="231"/>
      <c r="C144" s="228"/>
      <c r="D144" s="230"/>
      <c r="E144" s="230"/>
      <c r="F144" s="230"/>
      <c r="G144" s="230"/>
      <c r="H144" s="230"/>
      <c r="I144" s="62"/>
      <c r="J144" s="6"/>
      <c r="K144" s="6"/>
      <c r="L144" s="6"/>
    </row>
    <row r="145" spans="1:12" hidden="1" x14ac:dyDescent="0.25">
      <c r="A145" s="50"/>
      <c r="B145" s="50" t="s">
        <v>21</v>
      </c>
      <c r="C145" s="50"/>
      <c r="D145" s="52"/>
      <c r="E145" s="52">
        <f>E146*E147+E148*E149++E150*E151+E152*E153</f>
        <v>0</v>
      </c>
      <c r="F145" s="52">
        <f t="shared" ref="F145:H145" si="39">F146*F147+F148*F149++F150*F151+F152*F153</f>
        <v>0</v>
      </c>
      <c r="G145" s="52">
        <f t="shared" si="39"/>
        <v>0</v>
      </c>
      <c r="H145" s="52">
        <f t="shared" si="39"/>
        <v>0</v>
      </c>
    </row>
    <row r="146" spans="1:12" hidden="1" x14ac:dyDescent="0.25">
      <c r="B146" s="41" t="s">
        <v>150</v>
      </c>
      <c r="G146" s="44">
        <v>0</v>
      </c>
      <c r="H146" s="44"/>
    </row>
    <row r="147" spans="1:12" hidden="1" x14ac:dyDescent="0.25">
      <c r="B147" s="41" t="s">
        <v>151</v>
      </c>
      <c r="E147" s="44">
        <f>'Rates and GI'!$D$58</f>
        <v>5000</v>
      </c>
      <c r="F147" s="44">
        <f>'Rates and GI'!$D$58</f>
        <v>5000</v>
      </c>
      <c r="G147" s="44">
        <f>'Rates and GI'!$D$58</f>
        <v>5000</v>
      </c>
      <c r="H147" s="44">
        <f>'Rates and GI'!$D$58</f>
        <v>5000</v>
      </c>
    </row>
    <row r="148" spans="1:12" hidden="1" x14ac:dyDescent="0.25">
      <c r="B148" s="41" t="s">
        <v>148</v>
      </c>
      <c r="E148" s="44">
        <v>0</v>
      </c>
      <c r="F148" s="44">
        <v>0</v>
      </c>
      <c r="G148" s="44">
        <v>0</v>
      </c>
      <c r="H148" s="44">
        <v>0</v>
      </c>
    </row>
    <row r="149" spans="1:12" hidden="1" x14ac:dyDescent="0.25">
      <c r="B149" s="41" t="s">
        <v>149</v>
      </c>
      <c r="E149" s="44">
        <f>'Rates and GI'!$D$59</f>
        <v>1500</v>
      </c>
      <c r="F149" s="44">
        <f>'Rates and GI'!$D$59</f>
        <v>1500</v>
      </c>
      <c r="G149" s="44">
        <f>'Rates and GI'!$D$59</f>
        <v>1500</v>
      </c>
      <c r="H149" s="44">
        <f>'Rates and GI'!$D$59</f>
        <v>1500</v>
      </c>
    </row>
    <row r="150" spans="1:12" ht="27" hidden="1" x14ac:dyDescent="0.25">
      <c r="B150" s="63" t="s">
        <v>162</v>
      </c>
      <c r="E150" s="44">
        <v>0</v>
      </c>
      <c r="F150" s="44">
        <v>0</v>
      </c>
      <c r="G150" s="44">
        <v>0</v>
      </c>
      <c r="H150" s="44">
        <v>0</v>
      </c>
    </row>
    <row r="151" spans="1:12" ht="27" hidden="1" x14ac:dyDescent="0.25">
      <c r="B151" s="63" t="s">
        <v>161</v>
      </c>
      <c r="E151" s="44">
        <f>'Rates and GI'!$D$60</f>
        <v>200</v>
      </c>
      <c r="F151" s="44">
        <f>'Rates and GI'!$D$60</f>
        <v>200</v>
      </c>
      <c r="G151" s="44">
        <f>'Rates and GI'!$D$60</f>
        <v>200</v>
      </c>
      <c r="H151" s="44">
        <f>'Rates and GI'!$D$60</f>
        <v>200</v>
      </c>
    </row>
    <row r="152" spans="1:12" s="5" customFormat="1" hidden="1" x14ac:dyDescent="0.25">
      <c r="B152" s="41" t="s">
        <v>217</v>
      </c>
      <c r="D152" s="44"/>
      <c r="E152" s="44">
        <v>0</v>
      </c>
      <c r="F152" s="44">
        <v>0</v>
      </c>
      <c r="G152" s="44">
        <v>0</v>
      </c>
      <c r="H152" s="44">
        <v>0</v>
      </c>
      <c r="I152" s="62"/>
      <c r="J152" s="6"/>
      <c r="K152" s="6"/>
      <c r="L152" s="6"/>
    </row>
    <row r="153" spans="1:12" s="5" customFormat="1" hidden="1" x14ac:dyDescent="0.25">
      <c r="B153" s="41" t="s">
        <v>214</v>
      </c>
      <c r="D153" s="44"/>
      <c r="E153" s="44">
        <f>'Rates and GI'!$D$61</f>
        <v>50</v>
      </c>
      <c r="F153" s="44">
        <f>'Rates and GI'!$D$61</f>
        <v>50</v>
      </c>
      <c r="G153" s="38">
        <f>'Rates and GI'!$D$61</f>
        <v>50</v>
      </c>
      <c r="H153" s="38">
        <f>'Rates and GI'!$D$61</f>
        <v>50</v>
      </c>
      <c r="I153" s="62"/>
      <c r="J153" s="6"/>
      <c r="K153" s="6"/>
      <c r="L153" s="6"/>
    </row>
    <row r="154" spans="1:12" hidden="1" x14ac:dyDescent="0.25">
      <c r="A154" s="50"/>
      <c r="B154" s="50"/>
      <c r="C154" s="50"/>
      <c r="D154" s="52"/>
      <c r="E154" s="52"/>
      <c r="F154" s="52"/>
      <c r="G154" s="52"/>
      <c r="H154" s="52"/>
    </row>
    <row r="155" spans="1:12" hidden="1" x14ac:dyDescent="0.25">
      <c r="A155" s="50"/>
      <c r="B155" s="50" t="s">
        <v>194</v>
      </c>
      <c r="C155" s="50"/>
      <c r="D155" s="52"/>
      <c r="E155" s="52">
        <f>E156+E159+E162+E171+E176</f>
        <v>0</v>
      </c>
      <c r="F155" s="52">
        <f t="shared" ref="F155:H155" si="40">F156+F159+F162+F171+F176</f>
        <v>0</v>
      </c>
      <c r="G155" s="52">
        <f t="shared" si="40"/>
        <v>0</v>
      </c>
      <c r="H155" s="52">
        <f t="shared" si="40"/>
        <v>0</v>
      </c>
    </row>
    <row r="156" spans="1:12" s="5" customFormat="1" hidden="1" x14ac:dyDescent="0.25">
      <c r="B156" s="5" t="s">
        <v>173</v>
      </c>
      <c r="D156" s="44"/>
      <c r="E156" s="44">
        <f>E157+E160*E161</f>
        <v>0</v>
      </c>
      <c r="F156" s="44">
        <f>F157+F160*F161</f>
        <v>0</v>
      </c>
      <c r="G156" s="44">
        <f>G157+G160*G161</f>
        <v>0</v>
      </c>
      <c r="H156" s="44">
        <f t="shared" ref="H156" si="41">H157+H160*H161</f>
        <v>0</v>
      </c>
      <c r="I156" s="73"/>
    </row>
    <row r="157" spans="1:12" hidden="1" x14ac:dyDescent="0.25">
      <c r="B157" s="41" t="s">
        <v>184</v>
      </c>
      <c r="F157" s="44">
        <f>('Rates and GI'!$D$45+'Rates and GI'!$D$49)*0</f>
        <v>0</v>
      </c>
      <c r="G157" s="44">
        <f>('Rates and GI'!$D$45+'Rates and GI'!$D$49)*0</f>
        <v>0</v>
      </c>
      <c r="H157" s="44"/>
    </row>
    <row r="158" spans="1:12" hidden="1" x14ac:dyDescent="0.25">
      <c r="B158" s="41" t="s">
        <v>187</v>
      </c>
      <c r="F158" s="44">
        <f>'Rates and GI'!$D$51*0</f>
        <v>0</v>
      </c>
      <c r="G158" s="44">
        <f>'Rates and GI'!$D$51*0</f>
        <v>0</v>
      </c>
      <c r="H158" s="44"/>
    </row>
    <row r="159" spans="1:12" hidden="1" x14ac:dyDescent="0.25">
      <c r="B159" s="5" t="s">
        <v>174</v>
      </c>
      <c r="E159" s="44">
        <f>E160*E161</f>
        <v>0</v>
      </c>
      <c r="F159" s="44">
        <f t="shared" ref="F159:H159" si="42">F160*F161</f>
        <v>0</v>
      </c>
      <c r="G159" s="44">
        <f t="shared" si="42"/>
        <v>0</v>
      </c>
      <c r="H159" s="44">
        <f t="shared" si="42"/>
        <v>0</v>
      </c>
    </row>
    <row r="160" spans="1:12" hidden="1" x14ac:dyDescent="0.25">
      <c r="B160" s="41" t="s">
        <v>164</v>
      </c>
      <c r="F160" s="44">
        <f>'Rates and GI'!$D$54</f>
        <v>24.066499999999998</v>
      </c>
      <c r="G160" s="44">
        <f>'Rates and GI'!$D$54</f>
        <v>24.066499999999998</v>
      </c>
      <c r="H160" s="44">
        <f>'Rates and GI'!$D$54</f>
        <v>24.066499999999998</v>
      </c>
    </row>
    <row r="161" spans="1:12" hidden="1" x14ac:dyDescent="0.25">
      <c r="B161" s="41" t="s">
        <v>163</v>
      </c>
      <c r="F161" s="44">
        <v>0</v>
      </c>
      <c r="G161" s="38">
        <v>0</v>
      </c>
      <c r="H161" s="38">
        <v>0</v>
      </c>
    </row>
    <row r="162" spans="1:12" hidden="1" x14ac:dyDescent="0.25">
      <c r="B162" s="5" t="s">
        <v>175</v>
      </c>
      <c r="E162" s="44">
        <f>E163+E167</f>
        <v>0</v>
      </c>
      <c r="F162" s="44">
        <f t="shared" ref="F162:H162" si="43">F163+F167</f>
        <v>0</v>
      </c>
      <c r="G162" s="44">
        <f t="shared" si="43"/>
        <v>0</v>
      </c>
      <c r="H162" s="44">
        <f t="shared" si="43"/>
        <v>0</v>
      </c>
    </row>
    <row r="163" spans="1:12" hidden="1" x14ac:dyDescent="0.25">
      <c r="B163" s="41" t="s">
        <v>189</v>
      </c>
      <c r="E163" s="44">
        <f>E164*E165</f>
        <v>0</v>
      </c>
      <c r="F163" s="44">
        <f t="shared" ref="F163:H163" si="44">F164*F165</f>
        <v>0</v>
      </c>
      <c r="G163" s="44">
        <f t="shared" si="44"/>
        <v>0</v>
      </c>
      <c r="H163" s="44">
        <f t="shared" si="44"/>
        <v>0</v>
      </c>
    </row>
    <row r="164" spans="1:12" hidden="1" x14ac:dyDescent="0.25">
      <c r="B164" s="41" t="s">
        <v>176</v>
      </c>
      <c r="C164" s="5" t="s">
        <v>177</v>
      </c>
      <c r="E164" s="44">
        <v>0</v>
      </c>
      <c r="F164" s="44">
        <v>0</v>
      </c>
      <c r="G164" s="38">
        <v>0</v>
      </c>
      <c r="H164" s="38">
        <v>0</v>
      </c>
    </row>
    <row r="165" spans="1:12" hidden="1" x14ac:dyDescent="0.25">
      <c r="B165" s="41" t="s">
        <v>178</v>
      </c>
      <c r="E165" s="44">
        <f>'Rates and GI'!$D$52</f>
        <v>150</v>
      </c>
      <c r="F165" s="44">
        <f>'Rates and GI'!$D$52</f>
        <v>150</v>
      </c>
      <c r="G165" s="44">
        <f>'Rates and GI'!$D$52</f>
        <v>150</v>
      </c>
      <c r="H165" s="44">
        <f>'Rates and GI'!$D$52</f>
        <v>150</v>
      </c>
    </row>
    <row r="166" spans="1:12" hidden="1" x14ac:dyDescent="0.25">
      <c r="B166" s="6"/>
    </row>
    <row r="167" spans="1:12" hidden="1" x14ac:dyDescent="0.25">
      <c r="B167" s="41" t="s">
        <v>190</v>
      </c>
      <c r="E167" s="44">
        <f>E168*E169</f>
        <v>0</v>
      </c>
      <c r="F167" s="44">
        <f t="shared" ref="F167:H167" si="45">F168*F169</f>
        <v>0</v>
      </c>
      <c r="G167" s="44">
        <f t="shared" si="45"/>
        <v>0</v>
      </c>
      <c r="H167" s="44">
        <f t="shared" si="45"/>
        <v>0</v>
      </c>
    </row>
    <row r="168" spans="1:12" hidden="1" x14ac:dyDescent="0.25">
      <c r="B168" s="41" t="s">
        <v>176</v>
      </c>
      <c r="C168" s="5" t="s">
        <v>177</v>
      </c>
      <c r="E168" s="44">
        <v>0</v>
      </c>
      <c r="F168" s="44">
        <v>0</v>
      </c>
      <c r="G168" s="38">
        <v>0</v>
      </c>
      <c r="H168" s="38">
        <v>0</v>
      </c>
    </row>
    <row r="169" spans="1:12" s="62" customFormat="1" hidden="1" x14ac:dyDescent="0.25">
      <c r="A169" s="5"/>
      <c r="B169" s="41" t="s">
        <v>178</v>
      </c>
      <c r="C169" s="5"/>
      <c r="D169" s="44"/>
      <c r="E169" s="44">
        <f>'Rates and GI'!$D$53</f>
        <v>20</v>
      </c>
      <c r="F169" s="44">
        <f>'Rates and GI'!$D$53</f>
        <v>20</v>
      </c>
      <c r="G169" s="44">
        <f>'Rates and GI'!$D$53</f>
        <v>20</v>
      </c>
      <c r="H169" s="44">
        <f>'Rates and GI'!$D$53</f>
        <v>20</v>
      </c>
      <c r="J169" s="6"/>
      <c r="K169" s="6"/>
      <c r="L169" s="6"/>
    </row>
    <row r="170" spans="1:12" s="62" customFormat="1" hidden="1" x14ac:dyDescent="0.25">
      <c r="A170" s="5"/>
      <c r="B170" s="6"/>
      <c r="C170" s="5"/>
      <c r="D170" s="44"/>
      <c r="E170" s="44"/>
      <c r="F170" s="44"/>
      <c r="G170" s="38"/>
      <c r="H170" s="38"/>
      <c r="J170" s="6"/>
      <c r="K170" s="6"/>
      <c r="L170" s="6"/>
    </row>
    <row r="171" spans="1:12" s="62" customFormat="1" hidden="1" x14ac:dyDescent="0.25">
      <c r="A171" s="5"/>
      <c r="B171" s="5" t="s">
        <v>179</v>
      </c>
      <c r="C171" s="5"/>
      <c r="D171" s="44"/>
      <c r="E171" s="44">
        <f>E172*E173*E174</f>
        <v>0</v>
      </c>
      <c r="F171" s="44">
        <f t="shared" ref="F171:H171" si="46">F172*F173*F174</f>
        <v>0</v>
      </c>
      <c r="G171" s="44">
        <f t="shared" si="46"/>
        <v>0</v>
      </c>
      <c r="H171" s="44">
        <f t="shared" si="46"/>
        <v>0</v>
      </c>
      <c r="J171" s="6"/>
      <c r="K171" s="6"/>
      <c r="L171" s="6"/>
    </row>
    <row r="172" spans="1:12" s="62" customFormat="1" hidden="1" x14ac:dyDescent="0.25">
      <c r="A172" s="5"/>
      <c r="B172" s="41" t="s">
        <v>191</v>
      </c>
      <c r="C172" s="5"/>
      <c r="D172" s="44"/>
      <c r="E172" s="44"/>
      <c r="F172" s="44">
        <f>'Rates and GI'!$D$55</f>
        <v>300</v>
      </c>
      <c r="G172" s="44">
        <f>'Rates and GI'!$D$55</f>
        <v>300</v>
      </c>
      <c r="H172" s="44">
        <f>'Rates and GI'!$D$55</f>
        <v>300</v>
      </c>
      <c r="J172" s="6"/>
      <c r="K172" s="6"/>
      <c r="L172" s="6"/>
    </row>
    <row r="173" spans="1:12" s="62" customFormat="1" hidden="1" x14ac:dyDescent="0.25">
      <c r="A173" s="5"/>
      <c r="B173" s="41" t="s">
        <v>192</v>
      </c>
      <c r="C173" s="5"/>
      <c r="D173" s="44"/>
      <c r="E173" s="44"/>
      <c r="F173" s="44">
        <v>3</v>
      </c>
      <c r="G173" s="44">
        <v>3</v>
      </c>
      <c r="H173" s="44">
        <v>3</v>
      </c>
      <c r="J173" s="6"/>
      <c r="K173" s="6"/>
      <c r="L173" s="6"/>
    </row>
    <row r="174" spans="1:12" s="62" customFormat="1" hidden="1" x14ac:dyDescent="0.25">
      <c r="A174" s="5"/>
      <c r="B174" s="41" t="s">
        <v>193</v>
      </c>
      <c r="C174" s="5"/>
      <c r="D174" s="44"/>
      <c r="E174" s="44"/>
      <c r="F174" s="44">
        <v>0</v>
      </c>
      <c r="G174" s="44">
        <v>0</v>
      </c>
      <c r="H174" s="44">
        <v>0</v>
      </c>
      <c r="J174" s="6"/>
      <c r="K174" s="6"/>
      <c r="L174" s="6"/>
    </row>
    <row r="175" spans="1:12" hidden="1" x14ac:dyDescent="0.25"/>
    <row r="176" spans="1:12" s="62" customFormat="1" hidden="1" x14ac:dyDescent="0.25">
      <c r="A176" s="5"/>
      <c r="B176" s="5" t="s">
        <v>172</v>
      </c>
      <c r="C176" s="5"/>
      <c r="D176" s="44"/>
      <c r="E176" s="44">
        <f>E177+E178*E179</f>
        <v>0</v>
      </c>
      <c r="F176" s="44">
        <f>F177+F178*F179</f>
        <v>0</v>
      </c>
      <c r="G176" s="44">
        <f>G177+G178*G179</f>
        <v>0</v>
      </c>
      <c r="H176" s="44">
        <f>H177+H178*H179</f>
        <v>0</v>
      </c>
      <c r="J176" s="6"/>
      <c r="K176" s="6"/>
      <c r="L176" s="6"/>
    </row>
    <row r="177" spans="1:12" s="62" customFormat="1" hidden="1" x14ac:dyDescent="0.25">
      <c r="A177" s="5"/>
      <c r="B177" s="41" t="s">
        <v>153</v>
      </c>
      <c r="C177" s="5"/>
      <c r="D177" s="44"/>
      <c r="E177" s="44"/>
      <c r="F177" s="44">
        <f>'Rates and GI'!D46*0</f>
        <v>0</v>
      </c>
      <c r="G177" s="38"/>
      <c r="H177" s="38"/>
      <c r="J177" s="6"/>
      <c r="K177" s="6"/>
      <c r="L177" s="6"/>
    </row>
    <row r="178" spans="1:12" s="62" customFormat="1" hidden="1" x14ac:dyDescent="0.25">
      <c r="A178" s="5"/>
      <c r="B178" s="41" t="s">
        <v>159</v>
      </c>
      <c r="C178" s="5"/>
      <c r="D178" s="44"/>
      <c r="E178" s="44"/>
      <c r="F178" s="65">
        <f>'Rates and GI'!$D$47</f>
        <v>0.05</v>
      </c>
      <c r="G178" s="65">
        <f>'Rates and GI'!$D$47</f>
        <v>0.05</v>
      </c>
      <c r="H178" s="65">
        <f>'Rates and GI'!$D$47</f>
        <v>0.05</v>
      </c>
      <c r="J178" s="6"/>
      <c r="K178" s="6"/>
      <c r="L178" s="6"/>
    </row>
    <row r="179" spans="1:12" s="62" customFormat="1" hidden="1" x14ac:dyDescent="0.25">
      <c r="A179" s="5"/>
      <c r="B179" s="41" t="s">
        <v>160</v>
      </c>
      <c r="C179" s="5"/>
      <c r="D179" s="44"/>
      <c r="E179" s="44"/>
      <c r="F179" s="44">
        <v>0</v>
      </c>
      <c r="G179" s="38">
        <v>0</v>
      </c>
      <c r="H179" s="38"/>
      <c r="J179" s="6"/>
      <c r="K179" s="6"/>
      <c r="L179" s="6"/>
    </row>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row r="183" spans="1:12" ht="27" hidden="1" x14ac:dyDescent="0.25">
      <c r="A183" s="50"/>
      <c r="B183" s="132" t="s">
        <v>252</v>
      </c>
      <c r="C183" s="133"/>
      <c r="D183" s="51"/>
      <c r="E183" s="51"/>
      <c r="F183" s="51"/>
      <c r="G183" s="51"/>
      <c r="H183" s="51"/>
    </row>
    <row r="184" spans="1:12" hidden="1" x14ac:dyDescent="0.25">
      <c r="A184" s="10"/>
      <c r="B184" s="39" t="s">
        <v>253</v>
      </c>
      <c r="C184" s="134">
        <v>1</v>
      </c>
      <c r="D184" s="33"/>
      <c r="E184" s="44">
        <v>0</v>
      </c>
      <c r="F184" s="44">
        <v>0</v>
      </c>
      <c r="G184" s="44">
        <v>0</v>
      </c>
      <c r="H184" s="44">
        <v>0</v>
      </c>
    </row>
    <row r="185" spans="1:12" hidden="1" x14ac:dyDescent="0.25">
      <c r="B185" s="39" t="s">
        <v>254</v>
      </c>
      <c r="C185" s="33">
        <v>0</v>
      </c>
      <c r="D185" s="33"/>
      <c r="G185" s="44"/>
      <c r="H185" s="44"/>
    </row>
    <row r="186" spans="1:12" hidden="1" x14ac:dyDescent="0.25">
      <c r="B186" s="39" t="s">
        <v>255</v>
      </c>
      <c r="C186" s="73"/>
      <c r="D186" s="33"/>
      <c r="E186" s="44">
        <f>$C$185/$C$184*E184</f>
        <v>0</v>
      </c>
      <c r="F186" s="44">
        <f t="shared" ref="F186:H186" si="47">$C$185/$C$184*F184</f>
        <v>0</v>
      </c>
      <c r="G186" s="44">
        <f t="shared" si="47"/>
        <v>0</v>
      </c>
      <c r="H186" s="44">
        <f t="shared" si="47"/>
        <v>0</v>
      </c>
    </row>
    <row r="187" spans="1:12" hidden="1" x14ac:dyDescent="0.25"/>
  </sheetData>
  <pageMargins left="0.7" right="0.7" top="0.75" bottom="0.75" header="0.3" footer="0.3"/>
  <pageSetup paperSize="9" scale="56" fitToHeight="0"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4"/>
  <sheetViews>
    <sheetView topLeftCell="A73" workbookViewId="0">
      <selection activeCell="B187" sqref="B187"/>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45</v>
      </c>
      <c r="B1" s="126" t="s">
        <v>317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2969.4</v>
      </c>
      <c r="E5" s="44">
        <f>E67</f>
        <v>2969.4</v>
      </c>
      <c r="F5" s="44">
        <f t="shared" ref="F5:H5" si="1">F67</f>
        <v>0</v>
      </c>
      <c r="G5" s="44">
        <f t="shared" si="1"/>
        <v>0</v>
      </c>
      <c r="H5" s="44">
        <f t="shared" si="1"/>
        <v>0</v>
      </c>
    </row>
    <row r="6" spans="1:12" x14ac:dyDescent="0.25">
      <c r="B6" s="16" t="s">
        <v>168</v>
      </c>
      <c r="D6" s="44">
        <f t="shared" si="0"/>
        <v>6813.0719999999992</v>
      </c>
      <c r="E6" s="44">
        <f>E71</f>
        <v>6813.0719999999992</v>
      </c>
      <c r="F6" s="44">
        <f t="shared" ref="F6:H6" si="2">F71</f>
        <v>0</v>
      </c>
      <c r="G6" s="44">
        <f t="shared" si="2"/>
        <v>0</v>
      </c>
      <c r="H6" s="44">
        <f t="shared" si="2"/>
        <v>0</v>
      </c>
    </row>
    <row r="7" spans="1:12" ht="14.25" thickBot="1" x14ac:dyDescent="0.3">
      <c r="A7" s="13"/>
      <c r="B7" s="13" t="s">
        <v>5</v>
      </c>
      <c r="C7" s="13"/>
      <c r="D7" s="47">
        <f>SUBTOTAL(9,D5:D6)</f>
        <v>9782.4719999999998</v>
      </c>
      <c r="E7" s="47">
        <f>SUBTOTAL(9,E5:E6)</f>
        <v>9782.4719999999998</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300</v>
      </c>
      <c r="E25" s="44">
        <f>E111</f>
        <v>300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300</v>
      </c>
      <c r="E28" s="47">
        <f t="shared" ref="E28:H28" si="16">SUBTOTAL(9,E25:E27)</f>
        <v>300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2500</v>
      </c>
      <c r="E51" s="44">
        <f>E141</f>
        <v>2500</v>
      </c>
      <c r="F51" s="44">
        <f t="shared" ref="F51:H51" si="27">F141</f>
        <v>0</v>
      </c>
      <c r="G51" s="44">
        <f t="shared" si="27"/>
        <v>0</v>
      </c>
      <c r="H51" s="44">
        <f t="shared" si="27"/>
        <v>0</v>
      </c>
    </row>
    <row r="52" spans="1:12" ht="14.25" thickBot="1" x14ac:dyDescent="0.3">
      <c r="A52" s="13"/>
      <c r="B52" s="13" t="s">
        <v>69</v>
      </c>
      <c r="C52" s="13"/>
      <c r="D52" s="47">
        <f>SUBTOTAL(9,D50:D51)</f>
        <v>2500</v>
      </c>
      <c r="E52" s="47">
        <f>SUBTOTAL(9,E50:E51)</f>
        <v>2500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12582.472</v>
      </c>
      <c r="E54" s="49">
        <f>SUBTOTAL(9,E5:E52)</f>
        <v>12582.472</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2969.4</v>
      </c>
      <c r="F67" s="44">
        <f t="shared" ref="F67:H67" si="28">F68*F69</f>
        <v>0</v>
      </c>
      <c r="G67" s="44">
        <f t="shared" si="28"/>
        <v>0</v>
      </c>
      <c r="H67" s="44">
        <f t="shared" si="28"/>
        <v>0</v>
      </c>
    </row>
    <row r="68" spans="1:12" x14ac:dyDescent="0.25">
      <c r="A68" s="9"/>
      <c r="B68" s="9" t="s">
        <v>114</v>
      </c>
      <c r="C68" s="9" t="s">
        <v>113</v>
      </c>
      <c r="E68" s="44">
        <f>8*21</f>
        <v>168</v>
      </c>
      <c r="F68" s="44">
        <v>0</v>
      </c>
      <c r="G68" s="44">
        <v>0</v>
      </c>
      <c r="H68" s="44">
        <f>G68</f>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6813.0719999999992</v>
      </c>
      <c r="F71" s="44">
        <f t="shared" ref="F71:H71" si="29">F72*F73</f>
        <v>0</v>
      </c>
      <c r="G71" s="44">
        <f t="shared" si="29"/>
        <v>0</v>
      </c>
      <c r="H71" s="44">
        <f t="shared" si="29"/>
        <v>0</v>
      </c>
      <c r="I71" s="62"/>
      <c r="J71" s="6"/>
      <c r="K71" s="6"/>
      <c r="L71" s="6"/>
    </row>
    <row r="72" spans="1:12" s="7" customFormat="1" x14ac:dyDescent="0.25">
      <c r="A72" s="9"/>
      <c r="B72" s="9" t="s">
        <v>170</v>
      </c>
      <c r="C72" s="9" t="s">
        <v>113</v>
      </c>
      <c r="D72" s="44"/>
      <c r="E72" s="44">
        <f>2*21</f>
        <v>42</v>
      </c>
      <c r="F72" s="44">
        <v>0</v>
      </c>
      <c r="G72" s="44">
        <v>0</v>
      </c>
      <c r="H72" s="44">
        <v>0</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x14ac:dyDescent="0.25">
      <c r="A111" s="50"/>
      <c r="B111" s="50" t="s">
        <v>24</v>
      </c>
      <c r="C111" s="50"/>
      <c r="D111" s="52"/>
      <c r="E111" s="52">
        <f t="shared" ref="E111:H111" si="34">E112*E113</f>
        <v>300</v>
      </c>
      <c r="F111" s="52">
        <f t="shared" si="34"/>
        <v>0</v>
      </c>
      <c r="G111" s="52">
        <f t="shared" si="34"/>
        <v>0</v>
      </c>
      <c r="H111" s="52">
        <f t="shared" si="34"/>
        <v>0</v>
      </c>
    </row>
    <row r="112" spans="1:12" s="7" customFormat="1" x14ac:dyDescent="0.25">
      <c r="A112" s="5"/>
      <c r="B112" s="39" t="s">
        <v>53</v>
      </c>
      <c r="C112" s="5"/>
      <c r="D112" s="44"/>
      <c r="E112" s="44">
        <v>50</v>
      </c>
      <c r="F112" s="44">
        <v>0</v>
      </c>
      <c r="G112" s="44"/>
      <c r="H112" s="44"/>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E137" s="44">
        <f>'Rates and GI'!D46*0</f>
        <v>0</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2500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x14ac:dyDescent="0.25">
      <c r="B144" s="41" t="s">
        <v>148</v>
      </c>
      <c r="E144" s="44">
        <v>1</v>
      </c>
      <c r="F144" s="44">
        <v>0</v>
      </c>
      <c r="G144" s="44">
        <v>0</v>
      </c>
      <c r="H144" s="44">
        <v>0</v>
      </c>
    </row>
    <row r="145" spans="1:12" x14ac:dyDescent="0.25">
      <c r="B145" s="41" t="s">
        <v>149</v>
      </c>
      <c r="E145" s="44">
        <f>'Rates and GI'!$D$59</f>
        <v>1500</v>
      </c>
      <c r="F145" s="44">
        <f>'Rates and GI'!$D$59</f>
        <v>1500</v>
      </c>
      <c r="G145" s="44">
        <f>'Rates and GI'!$D$59</f>
        <v>1500</v>
      </c>
      <c r="H145" s="44">
        <f>'Rates and GI'!$D$59</f>
        <v>1500</v>
      </c>
    </row>
    <row r="146" spans="1:12" ht="27" x14ac:dyDescent="0.25">
      <c r="B146" s="63" t="s">
        <v>162</v>
      </c>
      <c r="E146" s="44">
        <v>5</v>
      </c>
      <c r="F146" s="44">
        <v>0</v>
      </c>
      <c r="G146" s="44">
        <v>0</v>
      </c>
      <c r="H146" s="44">
        <v>0</v>
      </c>
    </row>
    <row r="147" spans="1:12" ht="27"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hidden="1" x14ac:dyDescent="0.25"/>
    <row r="184" spans="1:12" x14ac:dyDescent="0.25">
      <c r="A184" s="228"/>
      <c r="B184" s="228"/>
      <c r="C184" s="228"/>
      <c r="D184" s="230"/>
      <c r="E184" s="230"/>
      <c r="F184" s="230"/>
      <c r="G184" s="230"/>
      <c r="H184" s="230"/>
    </row>
  </sheetData>
  <pageMargins left="0.7" right="0.7" top="0.75" bottom="0.75" header="0.3" footer="0.3"/>
  <pageSetup paperSize="9" scale="56" fitToHeight="0"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0"/>
  <sheetViews>
    <sheetView topLeftCell="A49" workbookViewId="0">
      <selection activeCell="B191" sqref="B191"/>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4"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47</v>
      </c>
      <c r="B1" s="126" t="s">
        <v>318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7" si="0">SUM(E5:H5)</f>
        <v>742.35</v>
      </c>
      <c r="E5" s="44">
        <f>E68</f>
        <v>742.35</v>
      </c>
      <c r="F5" s="44">
        <f t="shared" ref="F5:H5" si="1">F68</f>
        <v>0</v>
      </c>
      <c r="G5" s="44">
        <f t="shared" si="1"/>
        <v>0</v>
      </c>
      <c r="H5" s="44">
        <f t="shared" si="1"/>
        <v>0</v>
      </c>
    </row>
    <row r="6" spans="1:12" x14ac:dyDescent="0.25">
      <c r="B6" s="16" t="s">
        <v>168</v>
      </c>
      <c r="D6" s="44">
        <f t="shared" si="0"/>
        <v>0</v>
      </c>
      <c r="E6" s="44">
        <f>E72</f>
        <v>0</v>
      </c>
      <c r="F6" s="44">
        <f t="shared" ref="F6:H6" si="2">F72</f>
        <v>0</v>
      </c>
      <c r="G6" s="44">
        <f t="shared" si="2"/>
        <v>0</v>
      </c>
      <c r="H6" s="44">
        <f t="shared" si="2"/>
        <v>0</v>
      </c>
    </row>
    <row r="7" spans="1:12" x14ac:dyDescent="0.25">
      <c r="B7" s="16" t="s">
        <v>591</v>
      </c>
      <c r="D7" s="44">
        <f t="shared" si="0"/>
        <v>323594.85599999997</v>
      </c>
      <c r="E7" s="44">
        <f>E76</f>
        <v>79196</v>
      </c>
      <c r="F7" s="44">
        <f t="shared" ref="F7:H7" si="3">F76</f>
        <v>79196</v>
      </c>
      <c r="G7" s="44">
        <f t="shared" si="3"/>
        <v>82601.427999999985</v>
      </c>
      <c r="H7" s="44">
        <f t="shared" si="3"/>
        <v>82601.427999999985</v>
      </c>
    </row>
    <row r="8" spans="1:12" ht="14.25" thickBot="1" x14ac:dyDescent="0.3">
      <c r="A8" s="13"/>
      <c r="B8" s="13" t="s">
        <v>5</v>
      </c>
      <c r="C8" s="13"/>
      <c r="D8" s="47">
        <f>SUBTOTAL(9,D5:D7)</f>
        <v>324337.20599999995</v>
      </c>
      <c r="E8" s="47">
        <f t="shared" ref="E8:H8" si="4">SUBTOTAL(9,E5:E7)</f>
        <v>79938.350000000006</v>
      </c>
      <c r="F8" s="47">
        <f t="shared" si="4"/>
        <v>79196</v>
      </c>
      <c r="G8" s="47">
        <f t="shared" si="4"/>
        <v>82601.427999999985</v>
      </c>
      <c r="H8" s="47">
        <f t="shared" si="4"/>
        <v>82601.427999999985</v>
      </c>
    </row>
    <row r="9" spans="1:12" ht="5.25" customHeight="1" x14ac:dyDescent="0.25"/>
    <row r="10" spans="1:12" x14ac:dyDescent="0.25">
      <c r="A10" s="15"/>
      <c r="B10" s="15" t="s">
        <v>11</v>
      </c>
      <c r="C10" s="15"/>
      <c r="D10" s="53"/>
      <c r="E10" s="53"/>
      <c r="F10" s="53"/>
      <c r="G10" s="54"/>
      <c r="H10" s="54"/>
      <c r="I10" s="61"/>
      <c r="J10" s="12"/>
      <c r="K10" s="12"/>
      <c r="L10" s="12"/>
    </row>
    <row r="11" spans="1:12" x14ac:dyDescent="0.25">
      <c r="B11" s="16" t="s">
        <v>10</v>
      </c>
      <c r="D11" s="44">
        <f t="shared" ref="D11:D12" si="5">SUM(E11:H11)</f>
        <v>0</v>
      </c>
      <c r="E11" s="44">
        <f>E92</f>
        <v>0</v>
      </c>
      <c r="F11" s="44">
        <f t="shared" ref="F11:H11" si="6">F92</f>
        <v>0</v>
      </c>
      <c r="G11" s="44">
        <f t="shared" si="6"/>
        <v>0</v>
      </c>
      <c r="H11" s="44">
        <f t="shared" si="6"/>
        <v>0</v>
      </c>
    </row>
    <row r="12" spans="1:12" x14ac:dyDescent="0.25">
      <c r="B12" s="16" t="s">
        <v>115</v>
      </c>
      <c r="D12" s="44">
        <f t="shared" si="5"/>
        <v>0</v>
      </c>
      <c r="E12" s="44">
        <v>0</v>
      </c>
      <c r="F12" s="44">
        <v>0</v>
      </c>
      <c r="G12" s="44">
        <v>0</v>
      </c>
      <c r="H12" s="44">
        <v>0</v>
      </c>
    </row>
    <row r="13" spans="1:12" ht="14.25" thickBot="1" x14ac:dyDescent="0.3">
      <c r="A13" s="13"/>
      <c r="B13" s="13" t="s">
        <v>66</v>
      </c>
      <c r="C13" s="13"/>
      <c r="D13" s="47">
        <f>SUBTOTAL(9,D11:D12)</f>
        <v>0</v>
      </c>
      <c r="E13" s="47">
        <f t="shared" ref="E13:H13" si="7">SUBTOTAL(9,E11:E12)</f>
        <v>0</v>
      </c>
      <c r="F13" s="47">
        <f t="shared" si="7"/>
        <v>0</v>
      </c>
      <c r="G13" s="47">
        <f t="shared" si="7"/>
        <v>0</v>
      </c>
      <c r="H13" s="47">
        <f t="shared" si="7"/>
        <v>0</v>
      </c>
    </row>
    <row r="14" spans="1:12" ht="5.25" customHeight="1" x14ac:dyDescent="0.25"/>
    <row r="15" spans="1:12" x14ac:dyDescent="0.25">
      <c r="A15" s="15"/>
      <c r="B15" s="15" t="s">
        <v>12</v>
      </c>
      <c r="C15" s="15"/>
      <c r="D15" s="53"/>
      <c r="E15" s="53"/>
      <c r="F15" s="53"/>
      <c r="G15" s="54"/>
      <c r="H15" s="54"/>
      <c r="I15" s="61"/>
      <c r="J15" s="12"/>
      <c r="K15" s="12"/>
      <c r="L15" s="12"/>
    </row>
    <row r="16" spans="1:12" x14ac:dyDescent="0.25">
      <c r="B16" s="16" t="s">
        <v>169</v>
      </c>
      <c r="D16" s="44">
        <f t="shared" ref="D16" si="8">SUM(E16:H16)</f>
        <v>0</v>
      </c>
      <c r="E16" s="44">
        <f>E100</f>
        <v>0</v>
      </c>
      <c r="F16" s="44">
        <f t="shared" ref="F16:H16" si="9">F100</f>
        <v>0</v>
      </c>
      <c r="G16" s="44">
        <f t="shared" si="9"/>
        <v>0</v>
      </c>
      <c r="H16" s="44">
        <f t="shared" si="9"/>
        <v>0</v>
      </c>
    </row>
    <row r="17" spans="1:12" x14ac:dyDescent="0.25">
      <c r="B17" s="16" t="s">
        <v>71</v>
      </c>
    </row>
    <row r="18" spans="1:12" ht="14.25" thickBot="1" x14ac:dyDescent="0.3">
      <c r="A18" s="13"/>
      <c r="B18" s="13" t="s">
        <v>74</v>
      </c>
      <c r="C18" s="13"/>
      <c r="D18" s="47">
        <f>SUBTOTAL(9,D16:D17)</f>
        <v>0</v>
      </c>
      <c r="E18" s="47">
        <f t="shared" ref="E18:H18" si="10">SUBTOTAL(9,E16:E17)</f>
        <v>0</v>
      </c>
      <c r="F18" s="47">
        <f t="shared" si="10"/>
        <v>0</v>
      </c>
      <c r="G18" s="47">
        <f t="shared" si="10"/>
        <v>0</v>
      </c>
      <c r="H18" s="47">
        <f t="shared" si="10"/>
        <v>0</v>
      </c>
    </row>
    <row r="19" spans="1:12" ht="6" customHeight="1" x14ac:dyDescent="0.25"/>
    <row r="20" spans="1:12" x14ac:dyDescent="0.25">
      <c r="A20" s="15"/>
      <c r="B20" s="15" t="s">
        <v>138</v>
      </c>
      <c r="C20" s="15"/>
      <c r="D20" s="53"/>
      <c r="E20" s="53"/>
      <c r="F20" s="53"/>
      <c r="G20" s="54"/>
      <c r="H20" s="54"/>
      <c r="I20" s="61"/>
      <c r="J20" s="12"/>
      <c r="K20" s="12"/>
      <c r="L20" s="12"/>
    </row>
    <row r="21" spans="1:12" x14ac:dyDescent="0.25">
      <c r="B21" s="16" t="s">
        <v>130</v>
      </c>
      <c r="D21" s="44">
        <f t="shared" ref="D21" si="11">SUM(E21:H21)</f>
        <v>0</v>
      </c>
      <c r="E21" s="44">
        <f>E104</f>
        <v>0</v>
      </c>
      <c r="F21" s="44">
        <f t="shared" ref="F21:H21" si="12">F104</f>
        <v>0</v>
      </c>
      <c r="G21" s="44">
        <f t="shared" si="12"/>
        <v>0</v>
      </c>
      <c r="H21" s="44">
        <f t="shared" si="12"/>
        <v>0</v>
      </c>
    </row>
    <row r="22" spans="1:12" x14ac:dyDescent="0.25">
      <c r="B22" s="16" t="s">
        <v>139</v>
      </c>
      <c r="D22" s="44">
        <f t="shared" ref="D22" si="13">SUM(E22:H22)</f>
        <v>0</v>
      </c>
    </row>
    <row r="23" spans="1:12" ht="14.25" thickBot="1" x14ac:dyDescent="0.3">
      <c r="A23" s="13"/>
      <c r="B23" s="13" t="s">
        <v>140</v>
      </c>
      <c r="C23" s="13"/>
      <c r="D23" s="47">
        <f>SUBTOTAL(9,D21:D22)</f>
        <v>0</v>
      </c>
      <c r="E23" s="47">
        <f t="shared" ref="E23:H23" si="14">SUBTOTAL(9,E21:E22)</f>
        <v>0</v>
      </c>
      <c r="F23" s="47">
        <f t="shared" si="14"/>
        <v>0</v>
      </c>
      <c r="G23" s="47">
        <f t="shared" si="14"/>
        <v>0</v>
      </c>
      <c r="H23" s="47">
        <f t="shared" si="14"/>
        <v>0</v>
      </c>
    </row>
    <row r="24" spans="1:12" ht="5.25" customHeight="1" x14ac:dyDescent="0.25"/>
    <row r="25" spans="1:12" x14ac:dyDescent="0.25">
      <c r="A25" s="15"/>
      <c r="B25" s="15" t="s">
        <v>72</v>
      </c>
      <c r="C25" s="15"/>
      <c r="D25" s="53"/>
      <c r="E25" s="53"/>
      <c r="F25" s="53"/>
      <c r="G25" s="54"/>
      <c r="H25" s="54"/>
      <c r="I25" s="61"/>
      <c r="J25" s="12"/>
      <c r="K25" s="12"/>
      <c r="L25" s="12"/>
    </row>
    <row r="26" spans="1:12" x14ac:dyDescent="0.25">
      <c r="B26" s="16" t="s">
        <v>24</v>
      </c>
      <c r="D26" s="44">
        <f>SUM(E26:H26)</f>
        <v>0</v>
      </c>
      <c r="E26" s="44">
        <f>E112</f>
        <v>0</v>
      </c>
      <c r="F26" s="44">
        <f t="shared" ref="F26:H26" si="15">F112</f>
        <v>0</v>
      </c>
      <c r="G26" s="44">
        <f t="shared" si="15"/>
        <v>0</v>
      </c>
      <c r="H26" s="44">
        <f t="shared" si="15"/>
        <v>0</v>
      </c>
    </row>
    <row r="27" spans="1:12" x14ac:dyDescent="0.25">
      <c r="B27" s="16" t="s">
        <v>25</v>
      </c>
      <c r="D27" s="44">
        <f t="shared" ref="D27" si="16">SUM(E27:H27)</f>
        <v>0</v>
      </c>
      <c r="E27" s="44">
        <f>E139</f>
        <v>0</v>
      </c>
      <c r="F27" s="44">
        <f t="shared" ref="F27:H27" si="17">F139</f>
        <v>0</v>
      </c>
      <c r="G27" s="44">
        <f t="shared" si="17"/>
        <v>0</v>
      </c>
      <c r="H27" s="44">
        <f t="shared" si="17"/>
        <v>0</v>
      </c>
    </row>
    <row r="28" spans="1:12" x14ac:dyDescent="0.25">
      <c r="B28" s="16" t="s">
        <v>233</v>
      </c>
    </row>
    <row r="29" spans="1:12" ht="14.25" thickBot="1" x14ac:dyDescent="0.3">
      <c r="A29" s="13"/>
      <c r="B29" s="13" t="s">
        <v>73</v>
      </c>
      <c r="C29" s="13"/>
      <c r="D29" s="47">
        <f>SUBTOTAL(9,D26:D28)</f>
        <v>0</v>
      </c>
      <c r="E29" s="47">
        <f t="shared" ref="E29:H29" si="18">SUBTOTAL(9,E26:E28)</f>
        <v>0</v>
      </c>
      <c r="F29" s="47">
        <f t="shared" si="18"/>
        <v>0</v>
      </c>
      <c r="G29" s="47">
        <f t="shared" si="18"/>
        <v>0</v>
      </c>
      <c r="H29" s="47">
        <f t="shared" si="18"/>
        <v>0</v>
      </c>
    </row>
    <row r="30" spans="1:12" ht="6" customHeight="1" x14ac:dyDescent="0.25"/>
    <row r="31" spans="1:12" x14ac:dyDescent="0.25">
      <c r="A31" s="15"/>
      <c r="B31" s="15" t="s">
        <v>7</v>
      </c>
      <c r="C31" s="15"/>
      <c r="D31" s="53"/>
      <c r="E31" s="53"/>
      <c r="F31" s="53"/>
      <c r="G31" s="54"/>
      <c r="H31" s="54"/>
      <c r="I31" s="61"/>
      <c r="J31" s="12"/>
      <c r="K31" s="12"/>
      <c r="L31" s="12"/>
    </row>
    <row r="32" spans="1:12" x14ac:dyDescent="0.25">
      <c r="B32" s="16" t="s">
        <v>57</v>
      </c>
      <c r="D32" s="44">
        <f t="shared" ref="D32:D35" si="19">SUM(E32:H32)</f>
        <v>0</v>
      </c>
    </row>
    <row r="33" spans="1:12" x14ac:dyDescent="0.25">
      <c r="B33" s="16" t="s">
        <v>26</v>
      </c>
      <c r="D33" s="44">
        <f t="shared" si="19"/>
        <v>0</v>
      </c>
      <c r="E33" s="44">
        <f>E122</f>
        <v>0</v>
      </c>
      <c r="F33" s="44">
        <f t="shared" ref="F33:H33" si="20">F122</f>
        <v>0</v>
      </c>
      <c r="G33" s="44">
        <f t="shared" si="20"/>
        <v>0</v>
      </c>
      <c r="H33" s="44">
        <f t="shared" si="20"/>
        <v>0</v>
      </c>
    </row>
    <row r="34" spans="1:12" x14ac:dyDescent="0.25">
      <c r="B34" s="16" t="s">
        <v>8</v>
      </c>
      <c r="D34" s="44">
        <f t="shared" si="19"/>
        <v>0</v>
      </c>
    </row>
    <row r="35" spans="1:12" x14ac:dyDescent="0.25">
      <c r="B35" s="16" t="s">
        <v>9</v>
      </c>
      <c r="D35" s="44">
        <f t="shared" si="19"/>
        <v>0</v>
      </c>
    </row>
    <row r="36" spans="1:12" ht="14.25" thickBot="1" x14ac:dyDescent="0.3">
      <c r="A36" s="13"/>
      <c r="B36" s="13" t="s">
        <v>67</v>
      </c>
      <c r="C36" s="13"/>
      <c r="D36" s="47">
        <f>SUBTOTAL(9,D32:D35)</f>
        <v>0</v>
      </c>
      <c r="E36" s="47">
        <f t="shared" ref="E36:H36" si="21">SUBTOTAL(9,E32:E35)</f>
        <v>0</v>
      </c>
      <c r="F36" s="47">
        <f t="shared" si="21"/>
        <v>0</v>
      </c>
      <c r="G36" s="47">
        <f t="shared" si="21"/>
        <v>0</v>
      </c>
      <c r="H36" s="47">
        <f t="shared" si="21"/>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22">SUM(E39:H39)</f>
        <v>0</v>
      </c>
    </row>
    <row r="40" spans="1:12" x14ac:dyDescent="0.25">
      <c r="A40" s="2"/>
      <c r="B40" s="2" t="s">
        <v>18</v>
      </c>
      <c r="C40" s="2"/>
      <c r="D40" s="44">
        <f t="shared" si="22"/>
        <v>0</v>
      </c>
    </row>
    <row r="41" spans="1:12" x14ac:dyDescent="0.25">
      <c r="A41" s="2"/>
      <c r="B41" s="2" t="s">
        <v>19</v>
      </c>
      <c r="C41" s="2"/>
      <c r="D41" s="44">
        <f t="shared" si="22"/>
        <v>0</v>
      </c>
      <c r="E41" s="44">
        <f>E184</f>
        <v>0</v>
      </c>
      <c r="F41" s="44">
        <f t="shared" ref="F41:H41" si="23">F184</f>
        <v>0</v>
      </c>
      <c r="G41" s="44">
        <f t="shared" si="23"/>
        <v>0</v>
      </c>
      <c r="H41" s="44">
        <f t="shared" si="23"/>
        <v>0</v>
      </c>
    </row>
    <row r="42" spans="1:12" x14ac:dyDescent="0.25">
      <c r="A42" s="3"/>
      <c r="B42" s="3" t="s">
        <v>13</v>
      </c>
      <c r="C42" s="3"/>
      <c r="D42" s="44">
        <f t="shared" si="22"/>
        <v>0</v>
      </c>
    </row>
    <row r="43" spans="1:12" x14ac:dyDescent="0.25">
      <c r="A43" s="3"/>
      <c r="B43" s="3" t="s">
        <v>22</v>
      </c>
      <c r="C43" s="3"/>
      <c r="D43" s="44">
        <f t="shared" si="22"/>
        <v>0</v>
      </c>
    </row>
    <row r="44" spans="1:12" ht="14.25" thickBot="1" x14ac:dyDescent="0.3">
      <c r="A44" s="13"/>
      <c r="B44" s="13" t="s">
        <v>68</v>
      </c>
      <c r="C44" s="13"/>
      <c r="D44" s="47">
        <f>SUBTOTAL(9,D39:D43)</f>
        <v>0</v>
      </c>
      <c r="E44" s="47">
        <f t="shared" ref="E44:H44" si="24">SUBTOTAL(9,E39:E43)</f>
        <v>0</v>
      </c>
      <c r="F44" s="47">
        <f t="shared" si="24"/>
        <v>0</v>
      </c>
      <c r="G44" s="47">
        <f t="shared" si="24"/>
        <v>0</v>
      </c>
      <c r="H44" s="47">
        <f t="shared" si="24"/>
        <v>0</v>
      </c>
    </row>
    <row r="45" spans="1:12" ht="5.25" customHeight="1" x14ac:dyDescent="0.25">
      <c r="A45" s="3"/>
      <c r="B45" s="6"/>
      <c r="C45" s="3"/>
    </row>
    <row r="46" spans="1:12" x14ac:dyDescent="0.25">
      <c r="A46" s="15"/>
      <c r="B46" s="15" t="s">
        <v>252</v>
      </c>
      <c r="C46" s="135"/>
      <c r="D46" s="53"/>
      <c r="E46" s="53"/>
      <c r="F46" s="53"/>
      <c r="G46" s="54"/>
      <c r="H46" s="54"/>
      <c r="I46" s="12"/>
      <c r="J46" s="12"/>
      <c r="K46" s="12"/>
      <c r="L46" s="12"/>
    </row>
    <row r="47" spans="1:12" x14ac:dyDescent="0.25">
      <c r="A47" s="2"/>
      <c r="B47" s="2" t="s">
        <v>252</v>
      </c>
      <c r="C47" s="1"/>
      <c r="D47" s="44">
        <f t="shared" ref="D47" si="25">SUM(E47:H47)</f>
        <v>0</v>
      </c>
      <c r="E47" s="44">
        <f>E189</f>
        <v>0</v>
      </c>
      <c r="F47" s="44">
        <f t="shared" ref="F47:H47" si="26">F189</f>
        <v>0</v>
      </c>
      <c r="G47" s="44">
        <f t="shared" si="26"/>
        <v>0</v>
      </c>
      <c r="H47" s="44">
        <f t="shared" si="26"/>
        <v>0</v>
      </c>
      <c r="I47" s="6"/>
    </row>
    <row r="48" spans="1:12" ht="14.25" thickBot="1" x14ac:dyDescent="0.3">
      <c r="A48" s="13"/>
      <c r="B48" s="13" t="s">
        <v>256</v>
      </c>
      <c r="C48" s="136"/>
      <c r="D48" s="47">
        <f>SUBTOTAL(9,D47)</f>
        <v>0</v>
      </c>
      <c r="E48" s="47">
        <f t="shared" ref="E48:H48" si="27">SUBTOTAL(9,E47)</f>
        <v>0</v>
      </c>
      <c r="F48" s="47">
        <f t="shared" si="27"/>
        <v>0</v>
      </c>
      <c r="G48" s="47">
        <f t="shared" si="27"/>
        <v>0</v>
      </c>
      <c r="H48" s="47">
        <f t="shared" si="27"/>
        <v>0</v>
      </c>
      <c r="I48" s="6"/>
    </row>
    <row r="49" spans="1:12" ht="5.25" customHeight="1" x14ac:dyDescent="0.25">
      <c r="A49" s="3"/>
      <c r="B49" s="6"/>
      <c r="C49" s="3"/>
    </row>
    <row r="50" spans="1:12" x14ac:dyDescent="0.25">
      <c r="A50" s="15"/>
      <c r="B50" s="15" t="s">
        <v>20</v>
      </c>
      <c r="C50" s="15"/>
      <c r="D50" s="53"/>
      <c r="E50" s="53"/>
      <c r="F50" s="53"/>
      <c r="G50" s="54"/>
      <c r="H50" s="54"/>
      <c r="I50" s="61"/>
      <c r="J50" s="12"/>
      <c r="K50" s="12"/>
      <c r="L50" s="12"/>
    </row>
    <row r="51" spans="1:12" x14ac:dyDescent="0.25">
      <c r="A51" s="3"/>
      <c r="B51" s="3" t="s">
        <v>194</v>
      </c>
      <c r="C51" s="3"/>
      <c r="D51" s="44">
        <f t="shared" ref="D51:D52" si="28">SUM(E51:H51)</f>
        <v>0</v>
      </c>
      <c r="E51" s="44">
        <f>E158</f>
        <v>0</v>
      </c>
      <c r="F51" s="44">
        <f t="shared" ref="F51:H51" si="29">F158</f>
        <v>0</v>
      </c>
      <c r="G51" s="44">
        <f t="shared" si="29"/>
        <v>0</v>
      </c>
      <c r="H51" s="44">
        <f t="shared" si="29"/>
        <v>0</v>
      </c>
    </row>
    <row r="52" spans="1:12" x14ac:dyDescent="0.25">
      <c r="A52" s="3"/>
      <c r="B52" s="3" t="s">
        <v>21</v>
      </c>
      <c r="C52" s="3"/>
      <c r="D52" s="44">
        <f t="shared" si="28"/>
        <v>0</v>
      </c>
      <c r="E52" s="44">
        <f>E148</f>
        <v>0</v>
      </c>
      <c r="F52" s="44">
        <f t="shared" ref="F52:H52" si="30">F148</f>
        <v>0</v>
      </c>
      <c r="G52" s="44">
        <f t="shared" si="30"/>
        <v>0</v>
      </c>
      <c r="H52" s="44">
        <f t="shared" si="30"/>
        <v>0</v>
      </c>
    </row>
    <row r="53" spans="1:12" ht="14.25" thickBot="1" x14ac:dyDescent="0.3">
      <c r="A53" s="13"/>
      <c r="B53" s="13" t="s">
        <v>69</v>
      </c>
      <c r="C53" s="13"/>
      <c r="D53" s="47">
        <f>SUBTOTAL(9,D51:D52)</f>
        <v>0</v>
      </c>
      <c r="E53" s="47">
        <f>SUBTOTAL(9,E51:E52)</f>
        <v>0</v>
      </c>
      <c r="F53" s="47">
        <f>SUBTOTAL(9,F51:F52)</f>
        <v>0</v>
      </c>
      <c r="G53" s="47">
        <f>SUBTOTAL(9,G51:G52)</f>
        <v>0</v>
      </c>
      <c r="H53" s="47">
        <f>SUBTOTAL(9,H51:H52)</f>
        <v>0</v>
      </c>
    </row>
    <row r="54" spans="1:12" ht="5.25" customHeight="1" x14ac:dyDescent="0.25">
      <c r="A54" s="1"/>
      <c r="B54" s="1"/>
      <c r="C54" s="1"/>
    </row>
    <row r="55" spans="1:12" ht="14.25" thickBot="1" x14ac:dyDescent="0.3">
      <c r="A55" s="48"/>
      <c r="B55" s="48" t="s">
        <v>142</v>
      </c>
      <c r="C55" s="48"/>
      <c r="D55" s="49">
        <f>SUBTOTAL(9,D5:D53)</f>
        <v>324337.20599999995</v>
      </c>
      <c r="E55" s="49">
        <f>SUBTOTAL(9,E5:E53)</f>
        <v>79938.350000000006</v>
      </c>
      <c r="F55" s="49">
        <f>SUBTOTAL(9,F5:F53)</f>
        <v>79196</v>
      </c>
      <c r="G55" s="49">
        <f>SUBTOTAL(9,G5:G53)</f>
        <v>82601.427999999985</v>
      </c>
      <c r="H55" s="49">
        <f>SUBTOTAL(9,H5:H53)</f>
        <v>82601.427999999985</v>
      </c>
    </row>
    <row r="56" spans="1:12" ht="14.25" thickBot="1" x14ac:dyDescent="0.3">
      <c r="A56" s="1"/>
      <c r="B56" s="1"/>
      <c r="C56" s="1"/>
      <c r="D56" s="33"/>
      <c r="E56" s="33"/>
      <c r="F56" s="33"/>
      <c r="G56" s="28"/>
      <c r="H56" s="28"/>
      <c r="I56" s="6"/>
    </row>
    <row r="57" spans="1:12" ht="18" thickTop="1" x14ac:dyDescent="0.3">
      <c r="A57" s="120"/>
      <c r="B57" s="121" t="s">
        <v>27</v>
      </c>
      <c r="C57" s="121"/>
      <c r="D57" s="122"/>
      <c r="E57" s="122"/>
      <c r="F57" s="122"/>
      <c r="G57" s="122"/>
      <c r="H57" s="122"/>
      <c r="I57" s="6"/>
    </row>
    <row r="58" spans="1:12" ht="6.75" customHeight="1" x14ac:dyDescent="0.25">
      <c r="A58" s="1"/>
      <c r="B58" s="1"/>
      <c r="C58" s="1"/>
      <c r="D58" s="33"/>
      <c r="E58" s="33"/>
      <c r="F58" s="33"/>
      <c r="G58" s="28"/>
      <c r="H58" s="28"/>
      <c r="I58" s="6"/>
    </row>
    <row r="59" spans="1:12" s="14" customFormat="1" x14ac:dyDescent="0.25">
      <c r="A59" s="81"/>
      <c r="B59" s="81" t="s">
        <v>65</v>
      </c>
      <c r="C59" s="81" t="s">
        <v>64</v>
      </c>
      <c r="D59" s="82"/>
      <c r="E59" s="83">
        <f>start</f>
        <v>43831</v>
      </c>
      <c r="F59" s="83">
        <f>EOMONTH(E59,11)+1</f>
        <v>44197</v>
      </c>
      <c r="G59" s="83">
        <f>EOMONTH(F59,11)+1</f>
        <v>44562</v>
      </c>
      <c r="H59" s="83">
        <f>EOMONTH(G59,11)+1</f>
        <v>44927</v>
      </c>
    </row>
    <row r="60" spans="1:12" ht="6.75" customHeight="1" x14ac:dyDescent="0.25">
      <c r="D60" s="33"/>
      <c r="E60" s="33"/>
      <c r="F60" s="33"/>
      <c r="G60" s="28"/>
      <c r="H60" s="28"/>
      <c r="I60" s="6"/>
    </row>
    <row r="61" spans="1:12" x14ac:dyDescent="0.25">
      <c r="A61" s="50"/>
      <c r="B61" s="50" t="s">
        <v>0</v>
      </c>
      <c r="C61" s="50"/>
      <c r="D61" s="52"/>
      <c r="E61" s="52"/>
      <c r="F61" s="52"/>
      <c r="G61" s="52"/>
      <c r="H61" s="52"/>
    </row>
    <row r="62" spans="1:12" hidden="1" x14ac:dyDescent="0.25">
      <c r="B62" s="5" t="s">
        <v>2</v>
      </c>
      <c r="E62" s="44">
        <f>E63*E64*E65*E66</f>
        <v>0</v>
      </c>
      <c r="F62" s="45"/>
      <c r="G62" s="37"/>
      <c r="H62" s="37"/>
    </row>
    <row r="63" spans="1:12" hidden="1" x14ac:dyDescent="0.25">
      <c r="A63" s="9"/>
      <c r="B63" s="9" t="s">
        <v>36</v>
      </c>
      <c r="C63" s="9"/>
      <c r="E63" s="44">
        <v>0</v>
      </c>
    </row>
    <row r="64" spans="1:12" hidden="1" x14ac:dyDescent="0.25">
      <c r="A64" s="9"/>
      <c r="B64" s="9" t="s">
        <v>37</v>
      </c>
      <c r="C64" s="9"/>
      <c r="D64" s="45"/>
      <c r="E64" s="45">
        <v>0</v>
      </c>
    </row>
    <row r="65" spans="1:12" hidden="1" x14ac:dyDescent="0.25">
      <c r="A65" s="9"/>
      <c r="B65" s="9" t="s">
        <v>38</v>
      </c>
      <c r="C65" s="9"/>
      <c r="E65" s="44">
        <v>0</v>
      </c>
    </row>
    <row r="66" spans="1:12" hidden="1" x14ac:dyDescent="0.25">
      <c r="A66" s="9"/>
      <c r="B66" s="9" t="s">
        <v>39</v>
      </c>
      <c r="C66" s="9"/>
      <c r="E66" s="46">
        <v>0</v>
      </c>
    </row>
    <row r="67" spans="1:12" x14ac:dyDescent="0.25">
      <c r="A67" s="9"/>
      <c r="B67" s="9"/>
      <c r="C67" s="9"/>
    </row>
    <row r="68" spans="1:12" x14ac:dyDescent="0.25">
      <c r="B68" s="5" t="s">
        <v>23</v>
      </c>
      <c r="E68" s="44">
        <f>E69*E70</f>
        <v>742.35</v>
      </c>
      <c r="F68" s="44">
        <f t="shared" ref="F68:H68" si="31">F69*F70</f>
        <v>0</v>
      </c>
      <c r="G68" s="44">
        <f t="shared" si="31"/>
        <v>0</v>
      </c>
      <c r="H68" s="44">
        <f t="shared" si="31"/>
        <v>0</v>
      </c>
    </row>
    <row r="69" spans="1:12" x14ac:dyDescent="0.25">
      <c r="A69" s="9"/>
      <c r="B69" s="9" t="s">
        <v>114</v>
      </c>
      <c r="C69" s="9" t="s">
        <v>113</v>
      </c>
      <c r="E69" s="44">
        <f>2*21</f>
        <v>42</v>
      </c>
      <c r="F69" s="44">
        <v>0</v>
      </c>
      <c r="G69" s="44">
        <v>0</v>
      </c>
      <c r="H69" s="44">
        <f>G69</f>
        <v>0</v>
      </c>
    </row>
    <row r="70" spans="1:12" x14ac:dyDescent="0.25">
      <c r="A70" s="9"/>
      <c r="B70" s="9" t="s">
        <v>40</v>
      </c>
      <c r="C70" s="9"/>
      <c r="E70" s="44">
        <f>'Rates and GI'!D12</f>
        <v>17.675000000000001</v>
      </c>
      <c r="F70" s="44">
        <f>E70*(1+index)</f>
        <v>18.435025</v>
      </c>
      <c r="G70" s="44">
        <f>F70*(1+index)</f>
        <v>19.227731074999998</v>
      </c>
      <c r="H70" s="44">
        <f>G70*(1+index)</f>
        <v>20.054523511224996</v>
      </c>
    </row>
    <row r="72" spans="1:12" s="7" customFormat="1" hidden="1" x14ac:dyDescent="0.25">
      <c r="A72" s="5"/>
      <c r="B72" s="5" t="s">
        <v>168</v>
      </c>
      <c r="C72" s="5"/>
      <c r="D72" s="44"/>
      <c r="E72" s="44">
        <f>E73*E74</f>
        <v>0</v>
      </c>
      <c r="F72" s="44">
        <f t="shared" ref="F72:H72" si="32">F73*F74</f>
        <v>0</v>
      </c>
      <c r="G72" s="44">
        <f t="shared" si="32"/>
        <v>0</v>
      </c>
      <c r="H72" s="44">
        <f t="shared" si="32"/>
        <v>0</v>
      </c>
      <c r="I72" s="62"/>
      <c r="J72" s="6"/>
      <c r="K72" s="6"/>
      <c r="L72" s="6"/>
    </row>
    <row r="73" spans="1:12" s="7" customFormat="1" hidden="1" x14ac:dyDescent="0.25">
      <c r="A73" s="9"/>
      <c r="B73" s="9" t="s">
        <v>170</v>
      </c>
      <c r="C73" s="9" t="s">
        <v>113</v>
      </c>
      <c r="D73" s="44"/>
      <c r="E73" s="44">
        <v>0</v>
      </c>
      <c r="F73" s="44">
        <v>0</v>
      </c>
      <c r="G73" s="44">
        <v>0</v>
      </c>
      <c r="H73" s="44">
        <v>0</v>
      </c>
      <c r="I73" s="62"/>
      <c r="J73" s="6"/>
      <c r="K73" s="6"/>
      <c r="L73" s="6"/>
    </row>
    <row r="74" spans="1:12" s="7" customFormat="1" hidden="1" x14ac:dyDescent="0.25">
      <c r="A74" s="9"/>
      <c r="B74" s="9" t="s">
        <v>40</v>
      </c>
      <c r="C74" s="9"/>
      <c r="D74" s="44"/>
      <c r="E74" s="44">
        <f>'Rates and GI'!D13</f>
        <v>162.21599999999998</v>
      </c>
      <c r="F74" s="44">
        <f>E74*(1+index)</f>
        <v>169.19128799999996</v>
      </c>
      <c r="G74" s="44">
        <f>F74*(1+index)</f>
        <v>176.46651338399994</v>
      </c>
      <c r="H74" s="44">
        <f>G74*(1+index)</f>
        <v>184.05457345951191</v>
      </c>
      <c r="I74" s="62"/>
      <c r="J74" s="6"/>
      <c r="K74" s="6"/>
      <c r="L74" s="6"/>
    </row>
    <row r="75" spans="1:12" hidden="1" x14ac:dyDescent="0.25"/>
    <row r="76" spans="1:12" s="7" customFormat="1" x14ac:dyDescent="0.25">
      <c r="A76" s="5"/>
      <c r="B76" s="5" t="s">
        <v>586</v>
      </c>
      <c r="C76" s="5"/>
      <c r="D76" s="44"/>
      <c r="E76" s="44">
        <f>E77*E78+E79*E80</f>
        <v>79196</v>
      </c>
      <c r="F76" s="44">
        <f t="shared" ref="F76:H76" si="33">F77*F78+F79*F80</f>
        <v>79196</v>
      </c>
      <c r="G76" s="44">
        <f t="shared" si="33"/>
        <v>82601.427999999985</v>
      </c>
      <c r="H76" s="44">
        <f t="shared" si="33"/>
        <v>82601.427999999985</v>
      </c>
      <c r="I76" s="62"/>
      <c r="J76" s="6"/>
      <c r="K76" s="6"/>
      <c r="L76" s="6"/>
    </row>
    <row r="77" spans="1:12" s="7" customFormat="1" x14ac:dyDescent="0.25">
      <c r="A77" s="9"/>
      <c r="B77" s="9" t="s">
        <v>587</v>
      </c>
      <c r="C77" s="9"/>
      <c r="D77" s="44"/>
      <c r="E77" s="44">
        <v>13</v>
      </c>
      <c r="F77" s="44">
        <v>13</v>
      </c>
      <c r="G77" s="44">
        <v>13</v>
      </c>
      <c r="H77" s="44">
        <v>13</v>
      </c>
      <c r="I77" s="62"/>
      <c r="J77" s="6"/>
      <c r="K77" s="6"/>
      <c r="L77" s="6"/>
    </row>
    <row r="78" spans="1:12" s="7" customFormat="1" x14ac:dyDescent="0.25">
      <c r="A78" s="9"/>
      <c r="B78" s="9" t="s">
        <v>588</v>
      </c>
      <c r="C78" s="9"/>
      <c r="D78" s="44"/>
      <c r="E78" s="44">
        <v>3896</v>
      </c>
      <c r="F78" s="44">
        <f>E78</f>
        <v>3896</v>
      </c>
      <c r="G78" s="44">
        <f>F78*(1+index)</f>
        <v>4063.5279999999998</v>
      </c>
      <c r="H78" s="44">
        <f>G78</f>
        <v>4063.5279999999998</v>
      </c>
      <c r="I78" s="62"/>
      <c r="J78" s="6"/>
      <c r="K78" s="6"/>
      <c r="L78" s="6"/>
    </row>
    <row r="79" spans="1:12" s="7" customFormat="1" x14ac:dyDescent="0.25">
      <c r="A79" s="9"/>
      <c r="B79" s="9" t="s">
        <v>589</v>
      </c>
      <c r="C79" s="9"/>
      <c r="D79" s="44"/>
      <c r="E79" s="44">
        <v>12</v>
      </c>
      <c r="F79" s="44">
        <v>12</v>
      </c>
      <c r="G79" s="44">
        <v>12</v>
      </c>
      <c r="H79" s="44">
        <v>12</v>
      </c>
      <c r="I79" s="62"/>
      <c r="J79" s="6"/>
      <c r="K79" s="6"/>
      <c r="L79" s="6"/>
    </row>
    <row r="80" spans="1:12" s="7" customFormat="1" x14ac:dyDescent="0.25">
      <c r="A80" s="9"/>
      <c r="B80" s="9" t="s">
        <v>590</v>
      </c>
      <c r="C80" s="9"/>
      <c r="D80" s="44"/>
      <c r="E80" s="44">
        <v>2379</v>
      </c>
      <c r="F80" s="44">
        <f>E80</f>
        <v>2379</v>
      </c>
      <c r="G80" s="44">
        <f>F80*(1+index)</f>
        <v>2481.297</v>
      </c>
      <c r="H80" s="44">
        <f>G80</f>
        <v>2481.297</v>
      </c>
      <c r="I80" s="62"/>
      <c r="J80" s="6"/>
      <c r="K80" s="6"/>
      <c r="L80" s="6"/>
    </row>
    <row r="81" spans="1:12" hidden="1" x14ac:dyDescent="0.25"/>
    <row r="82" spans="1:12" s="7" customFormat="1" hidden="1" x14ac:dyDescent="0.25">
      <c r="A82" s="5"/>
      <c r="B82" s="5" t="s">
        <v>3</v>
      </c>
      <c r="C82" s="5"/>
      <c r="D82" s="44"/>
      <c r="E82" s="44"/>
      <c r="F82" s="44"/>
      <c r="G82" s="38"/>
      <c r="H82" s="38"/>
      <c r="I82" s="62"/>
      <c r="J82" s="6"/>
      <c r="K82" s="6"/>
      <c r="L82" s="6"/>
    </row>
    <row r="83" spans="1:12" s="7" customFormat="1" hidden="1" x14ac:dyDescent="0.25">
      <c r="A83" s="9"/>
      <c r="B83" s="9" t="s">
        <v>45</v>
      </c>
      <c r="C83" s="9"/>
      <c r="D83" s="44"/>
      <c r="E83" s="44">
        <v>0</v>
      </c>
      <c r="F83" s="44"/>
      <c r="G83" s="38"/>
      <c r="H83" s="38"/>
      <c r="I83" s="62"/>
      <c r="J83" s="6"/>
      <c r="K83" s="6"/>
      <c r="L83" s="6"/>
    </row>
    <row r="84" spans="1:12" s="7" customFormat="1" hidden="1" x14ac:dyDescent="0.25">
      <c r="A84" s="9"/>
      <c r="B84" s="9" t="s">
        <v>46</v>
      </c>
      <c r="C84" s="9"/>
      <c r="D84" s="44"/>
      <c r="E84" s="44">
        <v>0</v>
      </c>
      <c r="F84" s="44"/>
      <c r="G84" s="38"/>
      <c r="H84" s="38"/>
      <c r="I84" s="62"/>
      <c r="J84" s="6"/>
      <c r="K84" s="6"/>
      <c r="L84" s="6"/>
    </row>
    <row r="85" spans="1:12" hidden="1" x14ac:dyDescent="0.25"/>
    <row r="86" spans="1:12" s="7" customFormat="1" hidden="1" x14ac:dyDescent="0.25">
      <c r="A86" s="5"/>
      <c r="B86" s="5" t="s">
        <v>4</v>
      </c>
      <c r="C86" s="5"/>
      <c r="D86" s="44"/>
      <c r="E86" s="44"/>
      <c r="F86" s="44"/>
      <c r="G86" s="38"/>
      <c r="H86" s="38"/>
      <c r="I86" s="62"/>
      <c r="J86" s="6"/>
      <c r="K86" s="6"/>
      <c r="L86" s="6"/>
    </row>
    <row r="87" spans="1:12" s="7" customFormat="1" hidden="1" x14ac:dyDescent="0.25">
      <c r="A87" s="9"/>
      <c r="B87" s="9" t="s">
        <v>47</v>
      </c>
      <c r="C87" s="9"/>
      <c r="D87" s="44"/>
      <c r="E87" s="44">
        <v>0</v>
      </c>
      <c r="F87" s="44"/>
      <c r="G87" s="38"/>
      <c r="H87" s="38"/>
      <c r="I87" s="62"/>
      <c r="J87" s="6"/>
      <c r="K87" s="6"/>
      <c r="L87" s="6"/>
    </row>
    <row r="88" spans="1:12" s="7" customFormat="1" hidden="1" x14ac:dyDescent="0.25">
      <c r="A88" s="9"/>
      <c r="B88" s="9" t="s">
        <v>48</v>
      </c>
      <c r="C88" s="9"/>
      <c r="D88" s="44"/>
      <c r="E88" s="44">
        <v>0</v>
      </c>
      <c r="F88" s="44"/>
      <c r="G88" s="38"/>
      <c r="H88" s="38"/>
      <c r="I88" s="62"/>
      <c r="J88" s="6"/>
      <c r="K88" s="6"/>
      <c r="L88" s="6"/>
    </row>
    <row r="89" spans="1:12" hidden="1" x14ac:dyDescent="0.25"/>
    <row r="90" spans="1:12" s="7" customFormat="1" hidden="1" x14ac:dyDescent="0.25">
      <c r="A90" s="9"/>
      <c r="B90" s="9" t="s">
        <v>39</v>
      </c>
      <c r="C90" s="9"/>
      <c r="D90" s="44"/>
      <c r="E90" s="46"/>
      <c r="F90" s="44"/>
      <c r="G90" s="38"/>
      <c r="H90" s="38"/>
      <c r="I90" s="62"/>
      <c r="J90" s="6"/>
      <c r="K90" s="6"/>
      <c r="L90" s="6"/>
    </row>
    <row r="91" spans="1:12" x14ac:dyDescent="0.25">
      <c r="A91" s="228"/>
      <c r="B91" s="228"/>
      <c r="C91" s="228"/>
      <c r="D91" s="230"/>
      <c r="E91" s="230"/>
      <c r="F91" s="230"/>
      <c r="G91" s="230"/>
      <c r="H91" s="230"/>
    </row>
    <row r="92" spans="1:12" hidden="1" x14ac:dyDescent="0.25">
      <c r="A92" s="50"/>
      <c r="B92" s="50" t="s">
        <v>10</v>
      </c>
      <c r="C92" s="50"/>
      <c r="D92" s="52"/>
      <c r="E92" s="52">
        <f>E93*E94+E96*E97</f>
        <v>0</v>
      </c>
      <c r="F92" s="52">
        <f t="shared" ref="F92:H92" si="34">F93*F94+F96*F97</f>
        <v>0</v>
      </c>
      <c r="G92" s="52">
        <f t="shared" si="34"/>
        <v>0</v>
      </c>
      <c r="H92" s="52">
        <f t="shared" si="34"/>
        <v>0</v>
      </c>
    </row>
    <row r="93" spans="1:12" s="7" customFormat="1" hidden="1" x14ac:dyDescent="0.25">
      <c r="A93" s="5"/>
      <c r="B93" s="9" t="s">
        <v>49</v>
      </c>
      <c r="C93" s="5"/>
      <c r="D93" s="44"/>
      <c r="E93" s="44">
        <v>0</v>
      </c>
      <c r="F93" s="44">
        <v>0</v>
      </c>
      <c r="G93" s="44">
        <v>0</v>
      </c>
      <c r="H93" s="44">
        <v>0</v>
      </c>
      <c r="I93" s="62"/>
      <c r="J93" s="6"/>
      <c r="K93" s="6"/>
      <c r="L93" s="6"/>
    </row>
    <row r="94" spans="1:12" s="7" customFormat="1" hidden="1" x14ac:dyDescent="0.25">
      <c r="A94" s="5"/>
      <c r="B94" s="9" t="s">
        <v>50</v>
      </c>
      <c r="C94" s="5"/>
      <c r="D94" s="44"/>
      <c r="E94" s="44">
        <f>Trips!$B$10</f>
        <v>908.23176058823537</v>
      </c>
      <c r="F94" s="44">
        <f>Trips!$B$10</f>
        <v>908.23176058823537</v>
      </c>
      <c r="G94" s="44">
        <f>Trips!$B$10</f>
        <v>908.23176058823537</v>
      </c>
      <c r="H94" s="44">
        <f>Trips!$B$10</f>
        <v>908.23176058823537</v>
      </c>
      <c r="I94" s="62"/>
      <c r="J94" s="6"/>
      <c r="K94" s="6"/>
      <c r="L94" s="6"/>
    </row>
    <row r="95" spans="1:12" hidden="1" x14ac:dyDescent="0.25"/>
    <row r="96" spans="1:12" s="7" customFormat="1" hidden="1" x14ac:dyDescent="0.25">
      <c r="A96" s="5"/>
      <c r="B96" s="9" t="s">
        <v>51</v>
      </c>
      <c r="C96" s="5"/>
      <c r="D96" s="44"/>
      <c r="E96" s="44">
        <v>0</v>
      </c>
      <c r="F96" s="44">
        <v>0</v>
      </c>
      <c r="G96" s="44">
        <v>0</v>
      </c>
      <c r="H96" s="44">
        <f>G96</f>
        <v>0</v>
      </c>
      <c r="I96" s="62"/>
      <c r="J96" s="6"/>
      <c r="K96" s="6"/>
      <c r="L96" s="6"/>
    </row>
    <row r="97" spans="1:12" s="7" customFormat="1" hidden="1" x14ac:dyDescent="0.25">
      <c r="A97" s="5"/>
      <c r="B97" s="9" t="s">
        <v>52</v>
      </c>
      <c r="C97" s="5"/>
      <c r="D97" s="44"/>
      <c r="E97" s="44">
        <f>Trips!$B$5</f>
        <v>52</v>
      </c>
      <c r="F97" s="44">
        <f>Trips!$B$5</f>
        <v>52</v>
      </c>
      <c r="G97" s="44">
        <f>Trips!$B$5</f>
        <v>52</v>
      </c>
      <c r="H97" s="44">
        <f>Trips!$B$5</f>
        <v>52</v>
      </c>
      <c r="I97" s="62"/>
      <c r="J97" s="6"/>
      <c r="K97" s="6"/>
      <c r="L97" s="6"/>
    </row>
    <row r="98" spans="1:12" hidden="1" x14ac:dyDescent="0.25"/>
    <row r="99" spans="1:12" hidden="1" x14ac:dyDescent="0.25"/>
    <row r="100" spans="1:12" hidden="1" x14ac:dyDescent="0.25">
      <c r="A100" s="50"/>
      <c r="B100" s="50" t="s">
        <v>171</v>
      </c>
      <c r="C100" s="50"/>
      <c r="D100" s="52"/>
      <c r="E100" s="52">
        <f>E101*E102</f>
        <v>0</v>
      </c>
      <c r="F100" s="52">
        <f t="shared" ref="F100:H100" si="35">F101*F102</f>
        <v>0</v>
      </c>
      <c r="G100" s="52">
        <f t="shared" si="35"/>
        <v>0</v>
      </c>
      <c r="H100" s="52">
        <f t="shared" si="35"/>
        <v>0</v>
      </c>
    </row>
    <row r="101" spans="1:12" s="7" customFormat="1" hidden="1" x14ac:dyDescent="0.25">
      <c r="A101" s="10"/>
      <c r="B101" s="39" t="s">
        <v>144</v>
      </c>
      <c r="C101" s="10" t="s">
        <v>145</v>
      </c>
      <c r="D101" s="44"/>
      <c r="E101" s="44">
        <v>0</v>
      </c>
      <c r="F101" s="44">
        <v>0</v>
      </c>
      <c r="G101" s="44">
        <v>0</v>
      </c>
      <c r="H101" s="44">
        <v>0</v>
      </c>
      <c r="I101" s="62"/>
      <c r="J101" s="6"/>
      <c r="K101" s="6"/>
      <c r="L101" s="6"/>
    </row>
    <row r="102" spans="1:12" s="7" customFormat="1" hidden="1" x14ac:dyDescent="0.25">
      <c r="A102" s="5"/>
      <c r="B102" s="39" t="s">
        <v>141</v>
      </c>
      <c r="C102" s="5"/>
      <c r="D102" s="44"/>
      <c r="E102" s="44">
        <f>Trips!B41</f>
        <v>631.70365882352939</v>
      </c>
      <c r="F102" s="44">
        <f>E102*(1+index)</f>
        <v>658.86691615294114</v>
      </c>
      <c r="G102" s="44">
        <f>F102*(1+index)</f>
        <v>687.19819354751758</v>
      </c>
      <c r="H102" s="44">
        <f>G102*(1+index)</f>
        <v>716.7477158700608</v>
      </c>
      <c r="I102" s="62"/>
      <c r="J102" s="6"/>
      <c r="K102" s="6"/>
      <c r="L102" s="6"/>
    </row>
    <row r="103" spans="1:12" hidden="1" x14ac:dyDescent="0.25"/>
    <row r="104" spans="1:12" hidden="1" x14ac:dyDescent="0.25">
      <c r="A104" s="50"/>
      <c r="B104" s="50" t="s">
        <v>130</v>
      </c>
      <c r="C104" s="50"/>
      <c r="D104" s="52"/>
      <c r="E104" s="52">
        <f>E105*E106+E107*E108+E109*E110</f>
        <v>0</v>
      </c>
      <c r="F104" s="52">
        <f t="shared" ref="F104:H104" si="36">F105*F106+F107*F108+F109*F110</f>
        <v>0</v>
      </c>
      <c r="G104" s="52">
        <f t="shared" si="36"/>
        <v>0</v>
      </c>
      <c r="H104" s="52">
        <f t="shared" si="36"/>
        <v>0</v>
      </c>
    </row>
    <row r="105" spans="1:12" hidden="1" x14ac:dyDescent="0.25">
      <c r="B105" s="39" t="s">
        <v>131</v>
      </c>
      <c r="C105" s="5" t="s">
        <v>132</v>
      </c>
      <c r="E105" s="44">
        <f>Training!$C$33</f>
        <v>81.10799999999999</v>
      </c>
      <c r="F105" s="44">
        <f>E105*(1+index)</f>
        <v>84.595643999999979</v>
      </c>
      <c r="G105" s="44">
        <f>F105*(1+index)</f>
        <v>88.233256691999969</v>
      </c>
      <c r="H105" s="44">
        <f>G105*(1+index)</f>
        <v>92.027286729755957</v>
      </c>
    </row>
    <row r="106" spans="1:12" hidden="1" x14ac:dyDescent="0.25">
      <c r="B106" s="39" t="s">
        <v>133</v>
      </c>
      <c r="F106" s="44">
        <f>F93</f>
        <v>0</v>
      </c>
      <c r="G106" s="44">
        <f t="shared" ref="G106:H106" si="37">G93</f>
        <v>0</v>
      </c>
      <c r="H106" s="44">
        <f t="shared" si="37"/>
        <v>0</v>
      </c>
    </row>
    <row r="107" spans="1:12" hidden="1" x14ac:dyDescent="0.25">
      <c r="B107" s="39" t="s">
        <v>134</v>
      </c>
      <c r="E107" s="44">
        <f>Training!C23</f>
        <v>709.375</v>
      </c>
      <c r="F107" s="44">
        <f>E107*(1+index)</f>
        <v>739.87812499999995</v>
      </c>
      <c r="G107" s="44">
        <f>F107*(1+index)</f>
        <v>771.69288437499995</v>
      </c>
      <c r="H107" s="44">
        <f>G107*(1+index)</f>
        <v>804.87567840312488</v>
      </c>
    </row>
    <row r="108" spans="1:12" hidden="1" x14ac:dyDescent="0.25">
      <c r="B108" s="39" t="s">
        <v>135</v>
      </c>
      <c r="E108" s="44">
        <v>0</v>
      </c>
      <c r="F108" s="44">
        <v>0</v>
      </c>
      <c r="G108" s="44">
        <v>0</v>
      </c>
      <c r="H108" s="44">
        <v>0</v>
      </c>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hidden="1" x14ac:dyDescent="0.25">
      <c r="B111" s="39"/>
    </row>
    <row r="112" spans="1:12" hidden="1" x14ac:dyDescent="0.25">
      <c r="A112" s="50"/>
      <c r="B112" s="50" t="s">
        <v>24</v>
      </c>
      <c r="C112" s="50"/>
      <c r="D112" s="52"/>
      <c r="E112" s="52">
        <f t="shared" ref="E112:H112" si="38">E113*E114</f>
        <v>0</v>
      </c>
      <c r="F112" s="52">
        <f t="shared" si="38"/>
        <v>0</v>
      </c>
      <c r="G112" s="52">
        <f t="shared" si="38"/>
        <v>0</v>
      </c>
      <c r="H112" s="52">
        <f t="shared" si="38"/>
        <v>0</v>
      </c>
    </row>
    <row r="113" spans="1:12" s="7" customFormat="1" hidden="1" x14ac:dyDescent="0.25">
      <c r="A113" s="5"/>
      <c r="B113" s="39" t="s">
        <v>53</v>
      </c>
      <c r="C113" s="5"/>
      <c r="D113" s="44"/>
      <c r="E113" s="44">
        <v>0</v>
      </c>
      <c r="F113" s="44">
        <v>0</v>
      </c>
      <c r="G113" s="44"/>
      <c r="H113" s="44"/>
      <c r="I113" s="62"/>
      <c r="J113" s="6"/>
      <c r="K113" s="6"/>
      <c r="L113" s="6"/>
    </row>
    <row r="114" spans="1:12" s="7" customFormat="1" hidden="1" x14ac:dyDescent="0.25">
      <c r="A114" s="5"/>
      <c r="B114" s="39" t="s">
        <v>54</v>
      </c>
      <c r="C114" s="5"/>
      <c r="D114" s="44"/>
      <c r="E114" s="44">
        <f>'Rates and GI'!D25</f>
        <v>6</v>
      </c>
      <c r="F114" s="44">
        <f>E114*(1+index)</f>
        <v>6.2579999999999991</v>
      </c>
      <c r="G114" s="44">
        <f>F114*(1+index)</f>
        <v>6.5270939999999991</v>
      </c>
      <c r="H114" s="44">
        <f>G114*(1+index)</f>
        <v>6.8077590419999989</v>
      </c>
      <c r="I114" s="62"/>
      <c r="J114" s="6"/>
      <c r="K114" s="6"/>
      <c r="L114" s="6"/>
    </row>
    <row r="115" spans="1:12" hidden="1" x14ac:dyDescent="0.25"/>
    <row r="116" spans="1:12" hidden="1" x14ac:dyDescent="0.25">
      <c r="A116" s="50"/>
      <c r="B116" s="50" t="s">
        <v>7</v>
      </c>
      <c r="C116" s="50"/>
      <c r="D116" s="52"/>
      <c r="E116" s="52"/>
      <c r="F116" s="52"/>
      <c r="G116" s="52"/>
      <c r="H116" s="52"/>
    </row>
    <row r="117" spans="1:12" s="7" customFormat="1" hidden="1" x14ac:dyDescent="0.25">
      <c r="A117" s="5"/>
      <c r="B117" s="4" t="s">
        <v>57</v>
      </c>
      <c r="C117" s="5"/>
      <c r="D117" s="44"/>
      <c r="E117" s="46"/>
      <c r="F117" s="46"/>
      <c r="G117" s="105"/>
      <c r="H117" s="105"/>
      <c r="I117" s="62"/>
      <c r="J117" s="6"/>
      <c r="K117" s="6"/>
      <c r="L117" s="6"/>
    </row>
    <row r="118" spans="1:12" s="43" customFormat="1" hidden="1" x14ac:dyDescent="0.25">
      <c r="A118" s="40"/>
      <c r="B118" s="41" t="s">
        <v>58</v>
      </c>
      <c r="C118" s="40" t="s">
        <v>55</v>
      </c>
      <c r="D118" s="71"/>
      <c r="E118" s="71"/>
      <c r="F118" s="71"/>
      <c r="G118" s="72"/>
      <c r="H118" s="72"/>
      <c r="I118" s="75"/>
      <c r="J118" s="42"/>
      <c r="K118" s="42"/>
      <c r="L118" s="42"/>
    </row>
    <row r="119" spans="1:12" s="40" customFormat="1" hidden="1" x14ac:dyDescent="0.25">
      <c r="B119" s="41" t="s">
        <v>56</v>
      </c>
      <c r="D119" s="71"/>
      <c r="E119" s="71"/>
      <c r="F119" s="71"/>
      <c r="G119" s="72"/>
      <c r="H119" s="72"/>
      <c r="I119" s="75"/>
      <c r="J119" s="42"/>
      <c r="K119" s="42"/>
      <c r="L119" s="42"/>
    </row>
    <row r="120" spans="1:12" s="40" customFormat="1" hidden="1" x14ac:dyDescent="0.25">
      <c r="B120" s="41" t="s">
        <v>59</v>
      </c>
      <c r="D120" s="71"/>
      <c r="E120" s="71"/>
      <c r="F120" s="71"/>
      <c r="G120" s="72"/>
      <c r="H120" s="72"/>
      <c r="I120" s="75"/>
      <c r="J120" s="42"/>
      <c r="K120" s="42"/>
      <c r="L120" s="42"/>
    </row>
    <row r="121" spans="1:12" hidden="1" x14ac:dyDescent="0.25"/>
    <row r="122" spans="1:12" hidden="1" x14ac:dyDescent="0.25">
      <c r="A122" s="50"/>
      <c r="B122" s="50" t="s">
        <v>26</v>
      </c>
      <c r="C122" s="50"/>
      <c r="D122" s="52"/>
      <c r="E122" s="52">
        <f>E127+E130</f>
        <v>0</v>
      </c>
      <c r="F122" s="52">
        <f>F127+F130</f>
        <v>0</v>
      </c>
      <c r="G122" s="52">
        <f>G127+G130</f>
        <v>0</v>
      </c>
      <c r="H122" s="52">
        <f>H127+H130</f>
        <v>0</v>
      </c>
    </row>
    <row r="123" spans="1:12" s="5" customFormat="1" hidden="1" x14ac:dyDescent="0.25">
      <c r="B123" s="55" t="s">
        <v>60</v>
      </c>
      <c r="D123" s="44"/>
      <c r="E123" s="44"/>
      <c r="F123" s="44"/>
      <c r="G123" s="38"/>
      <c r="H123" s="38"/>
      <c r="I123" s="62"/>
      <c r="J123" s="6"/>
      <c r="K123" s="6"/>
      <c r="L123" s="6"/>
    </row>
    <row r="124" spans="1:12" s="5" customFormat="1" hidden="1" x14ac:dyDescent="0.25">
      <c r="B124" s="41" t="s">
        <v>147</v>
      </c>
      <c r="D124" s="44"/>
      <c r="E124" s="44"/>
      <c r="F124" s="44"/>
      <c r="G124" s="38"/>
      <c r="H124" s="38"/>
      <c r="I124" s="62"/>
      <c r="J124" s="6"/>
      <c r="K124" s="6"/>
      <c r="L124" s="6"/>
    </row>
    <row r="125" spans="1:12" s="5" customFormat="1" hidden="1" x14ac:dyDescent="0.25">
      <c r="B125" s="41" t="s">
        <v>146</v>
      </c>
      <c r="D125" s="44"/>
      <c r="E125" s="44"/>
      <c r="F125" s="44"/>
      <c r="G125" s="38"/>
      <c r="H125" s="38"/>
      <c r="I125" s="62"/>
      <c r="J125" s="6"/>
      <c r="K125" s="6"/>
      <c r="L125" s="6"/>
    </row>
    <row r="126" spans="1:12" s="5" customFormat="1" hidden="1" x14ac:dyDescent="0.25">
      <c r="B126" s="55" t="s">
        <v>123</v>
      </c>
      <c r="D126" s="44"/>
      <c r="E126" s="44"/>
      <c r="F126" s="44"/>
      <c r="G126" s="38"/>
      <c r="H126" s="38"/>
      <c r="I126" s="62"/>
      <c r="J126" s="6"/>
      <c r="K126" s="6"/>
      <c r="L126" s="6"/>
    </row>
    <row r="127" spans="1:12" s="5" customFormat="1" hidden="1" x14ac:dyDescent="0.25">
      <c r="D127" s="44"/>
      <c r="E127" s="44"/>
      <c r="F127" s="44"/>
      <c r="G127" s="44"/>
      <c r="H127" s="44"/>
      <c r="I127" s="62"/>
      <c r="J127" s="6"/>
      <c r="K127" s="6"/>
      <c r="L127" s="6"/>
    </row>
    <row r="128" spans="1:12" s="5" customFormat="1" hidden="1" x14ac:dyDescent="0.25">
      <c r="B128" s="41"/>
      <c r="D128" s="44"/>
      <c r="E128" s="44"/>
      <c r="F128" s="44"/>
      <c r="G128" s="44"/>
      <c r="H128" s="44"/>
      <c r="I128" s="62"/>
      <c r="J128" s="6"/>
      <c r="K128" s="6"/>
      <c r="L128" s="6"/>
    </row>
    <row r="129" spans="1:12" s="5" customFormat="1" hidden="1" x14ac:dyDescent="0.25">
      <c r="B129" s="41"/>
      <c r="D129" s="44"/>
      <c r="E129" s="44"/>
      <c r="F129" s="44"/>
      <c r="G129" s="38"/>
      <c r="H129" s="38"/>
      <c r="I129" s="62"/>
      <c r="J129" s="6"/>
      <c r="K129" s="6"/>
      <c r="L129" s="6"/>
    </row>
    <row r="130" spans="1:12" s="5" customFormat="1" hidden="1" x14ac:dyDescent="0.25">
      <c r="D130" s="44"/>
      <c r="E130" s="44"/>
      <c r="F130" s="44"/>
      <c r="G130" s="44"/>
      <c r="H130" s="44"/>
      <c r="I130" s="62"/>
      <c r="J130" s="6"/>
      <c r="K130" s="6"/>
      <c r="L130" s="6"/>
    </row>
    <row r="131" spans="1:12" s="5" customFormat="1" hidden="1" x14ac:dyDescent="0.25">
      <c r="B131" s="41"/>
      <c r="D131" s="44"/>
      <c r="E131" s="44"/>
      <c r="F131" s="44"/>
      <c r="G131" s="44"/>
      <c r="H131" s="44"/>
      <c r="I131" s="62"/>
      <c r="J131" s="6"/>
      <c r="K131" s="6"/>
      <c r="L131" s="6"/>
    </row>
    <row r="132" spans="1:12" s="5" customFormat="1" hidden="1" x14ac:dyDescent="0.25">
      <c r="B132" s="41"/>
      <c r="D132" s="44"/>
      <c r="E132" s="44"/>
      <c r="F132" s="44"/>
      <c r="G132" s="38"/>
      <c r="H132" s="38"/>
      <c r="I132" s="62"/>
      <c r="J132" s="6"/>
      <c r="K132" s="6"/>
      <c r="L132" s="6"/>
    </row>
    <row r="133" spans="1:12" s="5" customFormat="1" hidden="1" x14ac:dyDescent="0.25">
      <c r="B133" s="41"/>
      <c r="D133" s="44"/>
      <c r="E133" s="44"/>
      <c r="F133" s="44"/>
      <c r="G133" s="38"/>
      <c r="H133" s="38"/>
      <c r="I133" s="62"/>
      <c r="J133" s="6"/>
      <c r="K133" s="6"/>
      <c r="L133" s="6"/>
    </row>
    <row r="134" spans="1:12" s="5" customFormat="1" hidden="1" x14ac:dyDescent="0.25">
      <c r="B134" s="41"/>
      <c r="D134" s="44"/>
      <c r="E134" s="44"/>
      <c r="F134" s="44"/>
      <c r="G134" s="38"/>
      <c r="H134" s="38"/>
      <c r="I134" s="62"/>
      <c r="J134" s="6"/>
      <c r="K134" s="6"/>
      <c r="L134" s="6"/>
    </row>
    <row r="135" spans="1:12" hidden="1" x14ac:dyDescent="0.25">
      <c r="A135" s="50"/>
      <c r="B135" s="50" t="s">
        <v>8</v>
      </c>
      <c r="C135" s="50"/>
      <c r="D135" s="52"/>
      <c r="E135" s="52"/>
      <c r="F135" s="52"/>
      <c r="G135" s="52"/>
      <c r="H135" s="52"/>
    </row>
    <row r="136" spans="1:12" s="5" customFormat="1" hidden="1" x14ac:dyDescent="0.25">
      <c r="B136" s="41" t="s">
        <v>147</v>
      </c>
      <c r="D136" s="44"/>
      <c r="E136" s="44"/>
      <c r="F136" s="44"/>
      <c r="G136" s="38"/>
      <c r="H136" s="38"/>
      <c r="I136" s="62"/>
      <c r="J136" s="6"/>
      <c r="K136" s="6"/>
      <c r="L136" s="6"/>
    </row>
    <row r="137" spans="1:12" s="5" customFormat="1" hidden="1" x14ac:dyDescent="0.25">
      <c r="B137" s="41" t="s">
        <v>146</v>
      </c>
      <c r="D137" s="44"/>
      <c r="E137" s="44"/>
      <c r="F137" s="44"/>
      <c r="G137" s="38"/>
      <c r="H137" s="38"/>
      <c r="I137" s="62"/>
      <c r="J137" s="6"/>
      <c r="K137" s="6"/>
      <c r="L137" s="6"/>
    </row>
    <row r="138" spans="1:12" hidden="1" x14ac:dyDescent="0.25"/>
    <row r="139" spans="1:12" hidden="1" x14ac:dyDescent="0.25">
      <c r="A139" s="50"/>
      <c r="B139" s="50" t="s">
        <v>25</v>
      </c>
      <c r="C139" s="50"/>
      <c r="D139" s="52"/>
      <c r="E139" s="52">
        <f>E140+E143</f>
        <v>0</v>
      </c>
      <c r="F139" s="52">
        <f t="shared" ref="F139:H139" si="39">F140+F143</f>
        <v>0</v>
      </c>
      <c r="G139" s="52">
        <f t="shared" si="39"/>
        <v>0</v>
      </c>
      <c r="H139" s="52">
        <f t="shared" si="39"/>
        <v>0</v>
      </c>
    </row>
    <row r="140" spans="1:12" s="5" customFormat="1" hidden="1" x14ac:dyDescent="0.25">
      <c r="B140" s="5" t="s">
        <v>205</v>
      </c>
      <c r="D140" s="44"/>
      <c r="E140" s="44"/>
      <c r="F140" s="44">
        <v>0</v>
      </c>
      <c r="G140" s="38"/>
      <c r="H140" s="38"/>
      <c r="I140" s="62"/>
      <c r="J140" s="6"/>
      <c r="K140" s="6"/>
      <c r="L140" s="6"/>
    </row>
    <row r="141" spans="1:12" s="5" customFormat="1" hidden="1" x14ac:dyDescent="0.25">
      <c r="B141" s="41"/>
      <c r="D141" s="44"/>
      <c r="E141" s="44"/>
      <c r="F141" s="44"/>
      <c r="G141" s="38"/>
      <c r="H141" s="38"/>
      <c r="I141" s="62"/>
      <c r="J141" s="6"/>
      <c r="K141" s="6"/>
      <c r="L141" s="6"/>
    </row>
    <row r="142" spans="1:12" s="5" customFormat="1" hidden="1" x14ac:dyDescent="0.25">
      <c r="B142" s="41"/>
      <c r="D142" s="44"/>
      <c r="E142" s="44"/>
      <c r="F142" s="44"/>
      <c r="G142" s="38"/>
      <c r="H142" s="38"/>
      <c r="I142" s="62"/>
      <c r="J142" s="6"/>
      <c r="K142" s="6"/>
      <c r="L142" s="6"/>
    </row>
    <row r="143" spans="1:12" s="5" customFormat="1" hidden="1" x14ac:dyDescent="0.25">
      <c r="B143" s="5" t="s">
        <v>154</v>
      </c>
      <c r="D143" s="44"/>
      <c r="E143" s="44">
        <f>E144+E145*E146</f>
        <v>0</v>
      </c>
      <c r="F143" s="44">
        <f>F144+F145*F146</f>
        <v>0</v>
      </c>
      <c r="G143" s="44">
        <f t="shared" ref="G143:H143" si="40">G144+G145*G146</f>
        <v>0</v>
      </c>
      <c r="H143" s="44">
        <f t="shared" si="40"/>
        <v>0</v>
      </c>
      <c r="I143" s="73"/>
    </row>
    <row r="144" spans="1:12" hidden="1" x14ac:dyDescent="0.25">
      <c r="B144" s="41" t="s">
        <v>153</v>
      </c>
      <c r="E144" s="44">
        <f>'Rates and GI'!D46*0</f>
        <v>0</v>
      </c>
      <c r="F144" s="44">
        <f>'Rates and GI'!D46*0</f>
        <v>0</v>
      </c>
    </row>
    <row r="145" spans="1:12" hidden="1" x14ac:dyDescent="0.25">
      <c r="B145" s="41" t="s">
        <v>159</v>
      </c>
      <c r="E145" s="60">
        <f>'Rates and GI'!$D$48</f>
        <v>0.02</v>
      </c>
      <c r="F145" s="60">
        <f>'Rates and GI'!$D$48</f>
        <v>0.02</v>
      </c>
      <c r="G145" s="60">
        <f>'Rates and GI'!$D$48</f>
        <v>0.02</v>
      </c>
      <c r="H145" s="60">
        <f>'Rates and GI'!$D$48</f>
        <v>0.02</v>
      </c>
    </row>
    <row r="146" spans="1:12" hidden="1" x14ac:dyDescent="0.25">
      <c r="B146" s="41" t="s">
        <v>160</v>
      </c>
      <c r="E146" s="44">
        <v>0</v>
      </c>
      <c r="F146" s="44">
        <v>0</v>
      </c>
      <c r="G146" s="44">
        <v>0</v>
      </c>
      <c r="H146" s="44">
        <v>0</v>
      </c>
    </row>
    <row r="147" spans="1:12" s="5" customFormat="1" hidden="1" x14ac:dyDescent="0.25">
      <c r="B147" s="41"/>
      <c r="D147" s="44"/>
      <c r="E147" s="44"/>
      <c r="F147" s="44"/>
      <c r="G147" s="38"/>
      <c r="H147" s="38"/>
      <c r="I147" s="62"/>
      <c r="J147" s="6"/>
      <c r="K147" s="6"/>
      <c r="L147" s="6"/>
    </row>
    <row r="148" spans="1:12" hidden="1" x14ac:dyDescent="0.25">
      <c r="A148" s="50"/>
      <c r="B148" s="50" t="s">
        <v>21</v>
      </c>
      <c r="C148" s="50"/>
      <c r="D148" s="52"/>
      <c r="E148" s="52">
        <f>E149*E150+E151*E152++E153*E154+E155*E156</f>
        <v>0</v>
      </c>
      <c r="F148" s="52">
        <f t="shared" ref="F148:H148" si="41">F149*F150+F151*F152++F153*F154+F155*F156</f>
        <v>0</v>
      </c>
      <c r="G148" s="52">
        <f t="shared" si="41"/>
        <v>0</v>
      </c>
      <c r="H148" s="52">
        <f t="shared" si="41"/>
        <v>0</v>
      </c>
    </row>
    <row r="149" spans="1:12" hidden="1" x14ac:dyDescent="0.25">
      <c r="B149" s="41" t="s">
        <v>150</v>
      </c>
      <c r="G149" s="44">
        <v>0</v>
      </c>
      <c r="H149" s="44"/>
    </row>
    <row r="150" spans="1:12" hidden="1" x14ac:dyDescent="0.25">
      <c r="B150" s="41" t="s">
        <v>151</v>
      </c>
      <c r="E150" s="44">
        <f>'Rates and GI'!$D$58</f>
        <v>5000</v>
      </c>
      <c r="F150" s="44">
        <f>'Rates and GI'!$D$58</f>
        <v>5000</v>
      </c>
      <c r="G150" s="44">
        <f>'Rates and GI'!$D$58</f>
        <v>5000</v>
      </c>
      <c r="H150" s="44">
        <f>'Rates and GI'!$D$58</f>
        <v>5000</v>
      </c>
    </row>
    <row r="151" spans="1:12" hidden="1" x14ac:dyDescent="0.25">
      <c r="B151" s="41" t="s">
        <v>148</v>
      </c>
      <c r="E151" s="44">
        <v>0</v>
      </c>
      <c r="F151" s="44">
        <v>0</v>
      </c>
      <c r="G151" s="44">
        <v>0</v>
      </c>
      <c r="H151" s="44">
        <v>0</v>
      </c>
    </row>
    <row r="152" spans="1:12" hidden="1" x14ac:dyDescent="0.25">
      <c r="B152" s="41" t="s">
        <v>149</v>
      </c>
      <c r="E152" s="44">
        <f>'Rates and GI'!$D$59</f>
        <v>1500</v>
      </c>
      <c r="F152" s="44">
        <f>'Rates and GI'!$D$59</f>
        <v>1500</v>
      </c>
      <c r="G152" s="44">
        <f>'Rates and GI'!$D$59</f>
        <v>1500</v>
      </c>
      <c r="H152" s="44">
        <f>'Rates and GI'!$D$59</f>
        <v>1500</v>
      </c>
    </row>
    <row r="153" spans="1:12" ht="27" hidden="1" x14ac:dyDescent="0.25">
      <c r="B153" s="63" t="s">
        <v>162</v>
      </c>
      <c r="E153" s="44">
        <v>0</v>
      </c>
      <c r="F153" s="44">
        <v>0</v>
      </c>
      <c r="G153" s="44">
        <v>0</v>
      </c>
      <c r="H153" s="44">
        <v>0</v>
      </c>
    </row>
    <row r="154" spans="1:12" ht="27" hidden="1" x14ac:dyDescent="0.25">
      <c r="B154" s="63" t="s">
        <v>161</v>
      </c>
      <c r="E154" s="44">
        <f>'Rates and GI'!$D$60</f>
        <v>200</v>
      </c>
      <c r="F154" s="44">
        <f>'Rates and GI'!$D$60</f>
        <v>200</v>
      </c>
      <c r="G154" s="44">
        <f>'Rates and GI'!$D$60</f>
        <v>200</v>
      </c>
      <c r="H154" s="44">
        <f>'Rates and GI'!$D$60</f>
        <v>200</v>
      </c>
    </row>
    <row r="155" spans="1:12" s="5" customFormat="1" hidden="1" x14ac:dyDescent="0.25">
      <c r="B155" s="41" t="s">
        <v>217</v>
      </c>
      <c r="D155" s="44"/>
      <c r="E155" s="44">
        <v>0</v>
      </c>
      <c r="F155" s="44">
        <v>0</v>
      </c>
      <c r="G155" s="44">
        <v>0</v>
      </c>
      <c r="H155" s="44">
        <v>0</v>
      </c>
      <c r="I155" s="62"/>
      <c r="J155" s="6"/>
      <c r="K155" s="6"/>
      <c r="L155" s="6"/>
    </row>
    <row r="156" spans="1:12" s="5" customFormat="1" hidden="1" x14ac:dyDescent="0.25">
      <c r="B156" s="41" t="s">
        <v>214</v>
      </c>
      <c r="D156" s="44"/>
      <c r="E156" s="44">
        <f>'Rates and GI'!$D$61</f>
        <v>50</v>
      </c>
      <c r="F156" s="44">
        <f>'Rates and GI'!$D$61</f>
        <v>50</v>
      </c>
      <c r="G156" s="38">
        <f>'Rates and GI'!$D$61</f>
        <v>50</v>
      </c>
      <c r="H156" s="38">
        <f>'Rates and GI'!$D$61</f>
        <v>50</v>
      </c>
      <c r="I156" s="62"/>
      <c r="J156" s="6"/>
      <c r="K156" s="6"/>
      <c r="L156" s="6"/>
    </row>
    <row r="157" spans="1:12" hidden="1" x14ac:dyDescent="0.25">
      <c r="A157" s="50"/>
      <c r="B157" s="50"/>
      <c r="C157" s="50"/>
      <c r="D157" s="52"/>
      <c r="E157" s="52"/>
      <c r="F157" s="52"/>
      <c r="G157" s="52"/>
      <c r="H157" s="52"/>
    </row>
    <row r="158" spans="1:12" hidden="1" x14ac:dyDescent="0.25">
      <c r="A158" s="50"/>
      <c r="B158" s="50" t="s">
        <v>194</v>
      </c>
      <c r="C158" s="50"/>
      <c r="D158" s="52"/>
      <c r="E158" s="52">
        <f>E159+E162+E165+E174+E179</f>
        <v>0</v>
      </c>
      <c r="F158" s="52">
        <f t="shared" ref="F158:H158" si="42">F159+F162+F165+F174+F179</f>
        <v>0</v>
      </c>
      <c r="G158" s="52">
        <f t="shared" si="42"/>
        <v>0</v>
      </c>
      <c r="H158" s="52">
        <f t="shared" si="42"/>
        <v>0</v>
      </c>
    </row>
    <row r="159" spans="1:12" s="5" customFormat="1" hidden="1" x14ac:dyDescent="0.25">
      <c r="B159" s="5" t="s">
        <v>173</v>
      </c>
      <c r="D159" s="44"/>
      <c r="E159" s="44">
        <f>E160+E163*E164</f>
        <v>0</v>
      </c>
      <c r="F159" s="44">
        <f>F160+F163*F164</f>
        <v>0</v>
      </c>
      <c r="G159" s="44">
        <f>G160+G163*G164</f>
        <v>0</v>
      </c>
      <c r="H159" s="44">
        <f t="shared" ref="H159" si="43">H160+H163*H164</f>
        <v>0</v>
      </c>
      <c r="I159" s="73"/>
    </row>
    <row r="160" spans="1:12" hidden="1" x14ac:dyDescent="0.25">
      <c r="B160" s="41" t="s">
        <v>184</v>
      </c>
      <c r="F160" s="44">
        <f>('Rates and GI'!$D$45+'Rates and GI'!$D$49)*0</f>
        <v>0</v>
      </c>
      <c r="G160" s="44">
        <f>('Rates and GI'!$D$45+'Rates and GI'!$D$49)*0</f>
        <v>0</v>
      </c>
      <c r="H160" s="44"/>
    </row>
    <row r="161" spans="1:12" hidden="1" x14ac:dyDescent="0.25">
      <c r="B161" s="41" t="s">
        <v>187</v>
      </c>
      <c r="F161" s="44">
        <f>'Rates and GI'!$D$51*0</f>
        <v>0</v>
      </c>
      <c r="G161" s="44">
        <f>'Rates and GI'!$D$51*0</f>
        <v>0</v>
      </c>
      <c r="H161" s="44"/>
    </row>
    <row r="162" spans="1:12" hidden="1" x14ac:dyDescent="0.25">
      <c r="B162" s="5" t="s">
        <v>174</v>
      </c>
      <c r="E162" s="44">
        <f>E163*E164</f>
        <v>0</v>
      </c>
      <c r="F162" s="44">
        <f t="shared" ref="F162:H162" si="44">F163*F164</f>
        <v>0</v>
      </c>
      <c r="G162" s="44">
        <f t="shared" si="44"/>
        <v>0</v>
      </c>
      <c r="H162" s="44">
        <f t="shared" si="44"/>
        <v>0</v>
      </c>
    </row>
    <row r="163" spans="1:12" hidden="1" x14ac:dyDescent="0.25">
      <c r="B163" s="41" t="s">
        <v>164</v>
      </c>
      <c r="F163" s="44">
        <f>'Rates and GI'!$D$54</f>
        <v>24.066499999999998</v>
      </c>
      <c r="G163" s="44">
        <f>'Rates and GI'!$D$54</f>
        <v>24.066499999999998</v>
      </c>
      <c r="H163" s="44">
        <f>'Rates and GI'!$D$54</f>
        <v>24.066499999999998</v>
      </c>
    </row>
    <row r="164" spans="1:12" hidden="1" x14ac:dyDescent="0.25">
      <c r="B164" s="41" t="s">
        <v>163</v>
      </c>
      <c r="F164" s="44">
        <v>0</v>
      </c>
      <c r="G164" s="38">
        <v>0</v>
      </c>
      <c r="H164" s="38">
        <v>0</v>
      </c>
    </row>
    <row r="165" spans="1:12" hidden="1" x14ac:dyDescent="0.25">
      <c r="B165" s="5" t="s">
        <v>175</v>
      </c>
      <c r="E165" s="44">
        <f>E166+E170</f>
        <v>0</v>
      </c>
      <c r="F165" s="44">
        <f t="shared" ref="F165:H165" si="45">F166+F170</f>
        <v>0</v>
      </c>
      <c r="G165" s="44">
        <f t="shared" si="45"/>
        <v>0</v>
      </c>
      <c r="H165" s="44">
        <f t="shared" si="45"/>
        <v>0</v>
      </c>
    </row>
    <row r="166" spans="1:12" hidden="1" x14ac:dyDescent="0.25">
      <c r="B166" s="41" t="s">
        <v>189</v>
      </c>
      <c r="E166" s="44">
        <f>E167*E168</f>
        <v>0</v>
      </c>
      <c r="F166" s="44">
        <f t="shared" ref="F166:H166" si="46">F167*F168</f>
        <v>0</v>
      </c>
      <c r="G166" s="44">
        <f t="shared" si="46"/>
        <v>0</v>
      </c>
      <c r="H166" s="44">
        <f t="shared" si="46"/>
        <v>0</v>
      </c>
    </row>
    <row r="167" spans="1:12" hidden="1" x14ac:dyDescent="0.25">
      <c r="B167" s="41" t="s">
        <v>176</v>
      </c>
      <c r="C167" s="5" t="s">
        <v>177</v>
      </c>
      <c r="E167" s="44">
        <v>0</v>
      </c>
      <c r="F167" s="44">
        <v>0</v>
      </c>
      <c r="G167" s="38">
        <v>0</v>
      </c>
      <c r="H167" s="38">
        <v>0</v>
      </c>
    </row>
    <row r="168" spans="1:12" hidden="1" x14ac:dyDescent="0.25">
      <c r="B168" s="41" t="s">
        <v>178</v>
      </c>
      <c r="E168" s="44">
        <f>'Rates and GI'!$D$52</f>
        <v>150</v>
      </c>
      <c r="F168" s="44">
        <f>'Rates and GI'!$D$52</f>
        <v>150</v>
      </c>
      <c r="G168" s="44">
        <f>'Rates and GI'!$D$52</f>
        <v>150</v>
      </c>
      <c r="H168" s="44">
        <f>'Rates and GI'!$D$52</f>
        <v>150</v>
      </c>
    </row>
    <row r="169" spans="1:12" hidden="1" x14ac:dyDescent="0.25">
      <c r="B169" s="6"/>
    </row>
    <row r="170" spans="1:12" hidden="1" x14ac:dyDescent="0.25">
      <c r="B170" s="41" t="s">
        <v>190</v>
      </c>
      <c r="E170" s="44">
        <f>E171*E172</f>
        <v>0</v>
      </c>
      <c r="F170" s="44">
        <f t="shared" ref="F170:H170" si="47">F171*F172</f>
        <v>0</v>
      </c>
      <c r="G170" s="44">
        <f t="shared" si="47"/>
        <v>0</v>
      </c>
      <c r="H170" s="44">
        <f t="shared" si="47"/>
        <v>0</v>
      </c>
    </row>
    <row r="171" spans="1:12" hidden="1" x14ac:dyDescent="0.25">
      <c r="B171" s="41" t="s">
        <v>176</v>
      </c>
      <c r="C171" s="5" t="s">
        <v>177</v>
      </c>
      <c r="E171" s="44">
        <v>0</v>
      </c>
      <c r="F171" s="44">
        <v>0</v>
      </c>
      <c r="G171" s="38">
        <v>0</v>
      </c>
      <c r="H171" s="38">
        <v>0</v>
      </c>
    </row>
    <row r="172" spans="1:12" s="62" customFormat="1" hidden="1" x14ac:dyDescent="0.25">
      <c r="A172" s="5"/>
      <c r="B172" s="41" t="s">
        <v>178</v>
      </c>
      <c r="C172" s="5"/>
      <c r="D172" s="44"/>
      <c r="E172" s="44">
        <f>'Rates and GI'!$D$53</f>
        <v>20</v>
      </c>
      <c r="F172" s="44">
        <f>'Rates and GI'!$D$53</f>
        <v>20</v>
      </c>
      <c r="G172" s="44">
        <f>'Rates and GI'!$D$53</f>
        <v>20</v>
      </c>
      <c r="H172" s="44">
        <f>'Rates and GI'!$D$53</f>
        <v>20</v>
      </c>
      <c r="J172" s="6"/>
      <c r="K172" s="6"/>
      <c r="L172" s="6"/>
    </row>
    <row r="173" spans="1:12" s="62" customFormat="1" hidden="1" x14ac:dyDescent="0.25">
      <c r="A173" s="5"/>
      <c r="B173" s="6"/>
      <c r="C173" s="5"/>
      <c r="D173" s="44"/>
      <c r="E173" s="44"/>
      <c r="F173" s="44"/>
      <c r="G173" s="38"/>
      <c r="H173" s="38"/>
      <c r="J173" s="6"/>
      <c r="K173" s="6"/>
      <c r="L173" s="6"/>
    </row>
    <row r="174" spans="1:12" s="62" customFormat="1" hidden="1" x14ac:dyDescent="0.25">
      <c r="A174" s="5"/>
      <c r="B174" s="5" t="s">
        <v>179</v>
      </c>
      <c r="C174" s="5"/>
      <c r="D174" s="44"/>
      <c r="E174" s="44">
        <f>E175*E176*E177</f>
        <v>0</v>
      </c>
      <c r="F174" s="44">
        <f t="shared" ref="F174:H174" si="48">F175*F176*F177</f>
        <v>0</v>
      </c>
      <c r="G174" s="44">
        <f t="shared" si="48"/>
        <v>0</v>
      </c>
      <c r="H174" s="44">
        <f t="shared" si="48"/>
        <v>0</v>
      </c>
      <c r="J174" s="6"/>
      <c r="K174" s="6"/>
      <c r="L174" s="6"/>
    </row>
    <row r="175" spans="1:12" s="62" customFormat="1" hidden="1" x14ac:dyDescent="0.25">
      <c r="A175" s="5"/>
      <c r="B175" s="41" t="s">
        <v>191</v>
      </c>
      <c r="C175" s="5"/>
      <c r="D175" s="44"/>
      <c r="E175" s="44"/>
      <c r="F175" s="44">
        <f>'Rates and GI'!$D$55</f>
        <v>300</v>
      </c>
      <c r="G175" s="44">
        <f>'Rates and GI'!$D$55</f>
        <v>300</v>
      </c>
      <c r="H175" s="44">
        <f>'Rates and GI'!$D$55</f>
        <v>300</v>
      </c>
      <c r="J175" s="6"/>
      <c r="K175" s="6"/>
      <c r="L175" s="6"/>
    </row>
    <row r="176" spans="1:12" s="62" customFormat="1" hidden="1" x14ac:dyDescent="0.25">
      <c r="A176" s="5"/>
      <c r="B176" s="41" t="s">
        <v>192</v>
      </c>
      <c r="C176" s="5"/>
      <c r="D176" s="44"/>
      <c r="E176" s="44"/>
      <c r="F176" s="44">
        <v>3</v>
      </c>
      <c r="G176" s="44">
        <v>3</v>
      </c>
      <c r="H176" s="44">
        <v>3</v>
      </c>
      <c r="J176" s="6"/>
      <c r="K176" s="6"/>
      <c r="L176" s="6"/>
    </row>
    <row r="177" spans="1:12" s="62" customFormat="1" hidden="1" x14ac:dyDescent="0.25">
      <c r="A177" s="5"/>
      <c r="B177" s="41" t="s">
        <v>193</v>
      </c>
      <c r="C177" s="5"/>
      <c r="D177" s="44"/>
      <c r="E177" s="44"/>
      <c r="F177" s="44">
        <v>0</v>
      </c>
      <c r="G177" s="44">
        <v>0</v>
      </c>
      <c r="H177" s="44">
        <v>0</v>
      </c>
      <c r="J177" s="6"/>
      <c r="K177" s="6"/>
      <c r="L177" s="6"/>
    </row>
    <row r="178" spans="1:12" hidden="1" x14ac:dyDescent="0.25"/>
    <row r="179" spans="1:12" s="62" customFormat="1" hidden="1" x14ac:dyDescent="0.25">
      <c r="A179" s="5"/>
      <c r="B179" s="5" t="s">
        <v>172</v>
      </c>
      <c r="C179" s="5"/>
      <c r="D179" s="44"/>
      <c r="E179" s="44">
        <f>E180+E181*E182</f>
        <v>0</v>
      </c>
      <c r="F179" s="44">
        <f>F180+F181*F182</f>
        <v>0</v>
      </c>
      <c r="G179" s="44">
        <f>G180+G181*G182</f>
        <v>0</v>
      </c>
      <c r="H179" s="44">
        <f>H180+H181*H182</f>
        <v>0</v>
      </c>
      <c r="J179" s="6"/>
      <c r="K179" s="6"/>
      <c r="L179" s="6"/>
    </row>
    <row r="180" spans="1:12" s="62" customFormat="1" hidden="1" x14ac:dyDescent="0.25">
      <c r="A180" s="5"/>
      <c r="B180" s="41" t="s">
        <v>153</v>
      </c>
      <c r="C180" s="5"/>
      <c r="D180" s="44"/>
      <c r="E180" s="44"/>
      <c r="F180" s="44">
        <f>'Rates and GI'!D46*0</f>
        <v>0</v>
      </c>
      <c r="G180" s="38"/>
      <c r="H180" s="38"/>
      <c r="J180" s="6"/>
      <c r="K180" s="6"/>
      <c r="L180" s="6"/>
    </row>
    <row r="181" spans="1:12" s="62" customFormat="1" hidden="1" x14ac:dyDescent="0.25">
      <c r="A181" s="5"/>
      <c r="B181" s="41" t="s">
        <v>159</v>
      </c>
      <c r="C181" s="5"/>
      <c r="D181" s="44"/>
      <c r="E181" s="44"/>
      <c r="F181" s="65">
        <f>'Rates and GI'!$D$47</f>
        <v>0.05</v>
      </c>
      <c r="G181" s="65">
        <f>'Rates and GI'!$D$47</f>
        <v>0.05</v>
      </c>
      <c r="H181" s="65">
        <f>'Rates and GI'!$D$47</f>
        <v>0.05</v>
      </c>
      <c r="J181" s="6"/>
      <c r="K181" s="6"/>
      <c r="L181" s="6"/>
    </row>
    <row r="182" spans="1:12" s="62" customFormat="1" hidden="1" x14ac:dyDescent="0.25">
      <c r="A182" s="5"/>
      <c r="B182" s="41" t="s">
        <v>160</v>
      </c>
      <c r="C182" s="5"/>
      <c r="D182" s="44"/>
      <c r="E182" s="44"/>
      <c r="F182" s="44">
        <v>0</v>
      </c>
      <c r="G182" s="38">
        <v>0</v>
      </c>
      <c r="H182" s="38"/>
      <c r="J182" s="6"/>
      <c r="K182" s="6"/>
      <c r="L182" s="6"/>
    </row>
    <row r="183" spans="1:12" hidden="1" x14ac:dyDescent="0.25"/>
    <row r="184" spans="1:12" s="62" customFormat="1" hidden="1" x14ac:dyDescent="0.25">
      <c r="A184" s="50"/>
      <c r="B184" s="50" t="s">
        <v>19</v>
      </c>
      <c r="C184" s="50"/>
      <c r="D184" s="52"/>
      <c r="E184" s="52">
        <v>0</v>
      </c>
      <c r="F184" s="52">
        <v>0</v>
      </c>
      <c r="G184" s="52">
        <v>0</v>
      </c>
      <c r="H184" s="52">
        <v>0</v>
      </c>
      <c r="J184" s="6"/>
      <c r="K184" s="6"/>
      <c r="L184" s="6"/>
    </row>
    <row r="185" spans="1:12" hidden="1" x14ac:dyDescent="0.25"/>
    <row r="186" spans="1:12" ht="27" hidden="1" x14ac:dyDescent="0.25">
      <c r="A186" s="50"/>
      <c r="B186" s="132" t="s">
        <v>252</v>
      </c>
      <c r="C186" s="133"/>
      <c r="D186" s="51"/>
      <c r="E186" s="51"/>
      <c r="F186" s="51"/>
      <c r="G186" s="51"/>
      <c r="H186" s="51"/>
    </row>
    <row r="187" spans="1:12" hidden="1" x14ac:dyDescent="0.25">
      <c r="A187" s="10"/>
      <c r="B187" s="39" t="s">
        <v>253</v>
      </c>
      <c r="C187" s="134">
        <v>1</v>
      </c>
      <c r="D187" s="33"/>
      <c r="E187" s="44">
        <v>0</v>
      </c>
      <c r="F187" s="44">
        <v>0</v>
      </c>
      <c r="G187" s="44">
        <v>0</v>
      </c>
      <c r="H187" s="44">
        <v>0</v>
      </c>
    </row>
    <row r="188" spans="1:12" hidden="1" x14ac:dyDescent="0.25">
      <c r="B188" s="39" t="s">
        <v>254</v>
      </c>
      <c r="C188" s="33">
        <v>0</v>
      </c>
      <c r="D188" s="33"/>
      <c r="G188" s="44"/>
      <c r="H188" s="44"/>
    </row>
    <row r="189" spans="1:12" hidden="1" x14ac:dyDescent="0.25">
      <c r="B189" s="39" t="s">
        <v>255</v>
      </c>
      <c r="C189" s="73"/>
      <c r="D189" s="33"/>
      <c r="E189" s="44">
        <f>$C$188/$C$187*E187</f>
        <v>0</v>
      </c>
      <c r="F189" s="44">
        <f t="shared" ref="F189:H189" si="49">$C$188/$C$187*F187</f>
        <v>0</v>
      </c>
      <c r="G189" s="44">
        <f t="shared" si="49"/>
        <v>0</v>
      </c>
      <c r="H189" s="44">
        <f t="shared" si="49"/>
        <v>0</v>
      </c>
    </row>
    <row r="190" spans="1:12" hidden="1" x14ac:dyDescent="0.25"/>
  </sheetData>
  <pageMargins left="0.7" right="0.7" top="0.75" bottom="0.75" header="0.3" footer="0.3"/>
  <pageSetup paperSize="9" scale="55" fitToHeight="0"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52"/>
  <sheetViews>
    <sheetView topLeftCell="A193" workbookViewId="0">
      <selection activeCell="B256" sqref="B256"/>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48</v>
      </c>
      <c r="B1" s="126" t="s">
        <v>450</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371.17500000000001</v>
      </c>
      <c r="E5" s="44">
        <f>E69</f>
        <v>371.17500000000001</v>
      </c>
      <c r="F5" s="44">
        <f t="shared" ref="F5:H5" si="1">F69</f>
        <v>0</v>
      </c>
      <c r="G5" s="44">
        <f t="shared" si="1"/>
        <v>0</v>
      </c>
      <c r="H5" s="44">
        <f t="shared" si="1"/>
        <v>0</v>
      </c>
    </row>
    <row r="6" spans="1:12" x14ac:dyDescent="0.25">
      <c r="B6" s="16" t="s">
        <v>168</v>
      </c>
      <c r="D6" s="44">
        <f t="shared" si="0"/>
        <v>0</v>
      </c>
      <c r="E6" s="44">
        <f>E73</f>
        <v>0</v>
      </c>
      <c r="F6" s="44">
        <f t="shared" ref="F6:H6" si="2">F73</f>
        <v>0</v>
      </c>
      <c r="G6" s="44">
        <f t="shared" si="2"/>
        <v>0</v>
      </c>
      <c r="H6" s="44">
        <f t="shared" si="2"/>
        <v>0</v>
      </c>
    </row>
    <row r="7" spans="1:12" ht="14.25" thickBot="1" x14ac:dyDescent="0.3">
      <c r="A7" s="13"/>
      <c r="B7" s="13" t="s">
        <v>5</v>
      </c>
      <c r="C7" s="13"/>
      <c r="D7" s="47">
        <f>SUBTOTAL(9,D5:D6)</f>
        <v>371.17500000000001</v>
      </c>
      <c r="E7" s="47">
        <f>SUBTOTAL(9,E5:E6)</f>
        <v>371.17500000000001</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20800</v>
      </c>
      <c r="E10" s="44">
        <f>E93</f>
        <v>5200</v>
      </c>
      <c r="F10" s="44">
        <f t="shared" ref="F10:H10" si="4">F93</f>
        <v>5200</v>
      </c>
      <c r="G10" s="44">
        <f t="shared" si="4"/>
        <v>5200</v>
      </c>
      <c r="H10" s="44">
        <f t="shared" si="4"/>
        <v>5200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20800</v>
      </c>
      <c r="E12" s="47">
        <f t="shared" ref="E12:H12" si="5">SUBTOTAL(9,E10:E11)</f>
        <v>5200</v>
      </c>
      <c r="F12" s="47">
        <f t="shared" si="5"/>
        <v>5200</v>
      </c>
      <c r="G12" s="47">
        <f t="shared" si="5"/>
        <v>5200</v>
      </c>
      <c r="H12" s="47">
        <f t="shared" si="5"/>
        <v>5200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E101</f>
        <v>0</v>
      </c>
      <c r="F15" s="44">
        <f t="shared" ref="F15:H15" si="7">F101</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E105</f>
        <v>0</v>
      </c>
      <c r="F20" s="44">
        <f t="shared" ref="F20:H20" si="10">F105</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E113</f>
        <v>0</v>
      </c>
      <c r="F25" s="44">
        <f t="shared" ref="F25:H25" si="13">F113</f>
        <v>0</v>
      </c>
      <c r="G25" s="44">
        <f t="shared" si="13"/>
        <v>0</v>
      </c>
      <c r="H25" s="44">
        <f t="shared" si="13"/>
        <v>0</v>
      </c>
    </row>
    <row r="26" spans="1:12" x14ac:dyDescent="0.25">
      <c r="B26" s="16" t="s">
        <v>25</v>
      </c>
      <c r="D26" s="44">
        <f t="shared" ref="D26" si="14">SUM(E26:H26)</f>
        <v>166353.544773</v>
      </c>
      <c r="E26" s="44">
        <f>E192</f>
        <v>39000</v>
      </c>
      <c r="F26" s="44">
        <f t="shared" ref="F26:H26" si="15">F192</f>
        <v>40677</v>
      </c>
      <c r="G26" s="44">
        <f t="shared" si="15"/>
        <v>42426.110999999997</v>
      </c>
      <c r="H26" s="44">
        <f t="shared" si="15"/>
        <v>44250.43377299999</v>
      </c>
    </row>
    <row r="27" spans="1:12" x14ac:dyDescent="0.25">
      <c r="B27" s="16" t="s">
        <v>233</v>
      </c>
    </row>
    <row r="28" spans="1:12" ht="14.25" thickBot="1" x14ac:dyDescent="0.3">
      <c r="A28" s="13"/>
      <c r="B28" s="13" t="s">
        <v>73</v>
      </c>
      <c r="C28" s="13"/>
      <c r="D28" s="47">
        <f>SUBTOTAL(9,D25:D27)</f>
        <v>166353.544773</v>
      </c>
      <c r="E28" s="47">
        <f t="shared" ref="E28:H28" si="16">SUBTOTAL(9,E25:E27)</f>
        <v>39000</v>
      </c>
      <c r="F28" s="47">
        <f t="shared" si="16"/>
        <v>40677</v>
      </c>
      <c r="G28" s="47">
        <f t="shared" si="16"/>
        <v>42426.110999999997</v>
      </c>
      <c r="H28" s="47">
        <f t="shared" si="16"/>
        <v>44250.43377299999</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5" si="17">SUM(E31:H31)</f>
        <v>0</v>
      </c>
    </row>
    <row r="32" spans="1:12" x14ac:dyDescent="0.25">
      <c r="B32" s="16" t="s">
        <v>26</v>
      </c>
      <c r="D32" s="44">
        <f t="shared" si="17"/>
        <v>3921</v>
      </c>
      <c r="E32" s="44">
        <f>E127</f>
        <v>3921</v>
      </c>
      <c r="F32" s="44">
        <f t="shared" ref="F32:H32" si="18">F127</f>
        <v>0</v>
      </c>
      <c r="G32" s="44">
        <f t="shared" si="18"/>
        <v>0</v>
      </c>
      <c r="H32" s="44">
        <f t="shared" si="18"/>
        <v>0</v>
      </c>
    </row>
    <row r="33" spans="1:12" x14ac:dyDescent="0.25">
      <c r="B33" s="16" t="s">
        <v>8</v>
      </c>
      <c r="D33" s="44">
        <f t="shared" si="17"/>
        <v>19736.32</v>
      </c>
      <c r="E33" s="44">
        <f>E140</f>
        <v>19736.32</v>
      </c>
    </row>
    <row r="34" spans="1:12" x14ac:dyDescent="0.25">
      <c r="B34" s="16" t="s">
        <v>209</v>
      </c>
      <c r="D34" s="44">
        <f t="shared" si="17"/>
        <v>91000</v>
      </c>
      <c r="E34" s="44">
        <f>E164</f>
        <v>91000</v>
      </c>
      <c r="F34" s="44">
        <f t="shared" ref="F34:H34" si="19">F164</f>
        <v>0</v>
      </c>
      <c r="G34" s="44">
        <f t="shared" si="19"/>
        <v>0</v>
      </c>
      <c r="H34" s="44">
        <f t="shared" si="19"/>
        <v>0</v>
      </c>
    </row>
    <row r="35" spans="1:12" x14ac:dyDescent="0.25">
      <c r="B35" s="16" t="s">
        <v>9</v>
      </c>
      <c r="D35" s="44">
        <f t="shared" si="17"/>
        <v>0</v>
      </c>
    </row>
    <row r="36" spans="1:12" ht="14.25" thickBot="1" x14ac:dyDescent="0.3">
      <c r="A36" s="13"/>
      <c r="B36" s="13" t="s">
        <v>67</v>
      </c>
      <c r="C36" s="13"/>
      <c r="D36" s="47">
        <f>SUBTOTAL(9,D31:D35)</f>
        <v>114657.32</v>
      </c>
      <c r="E36" s="47">
        <f t="shared" ref="E36:H36" si="20">SUBTOTAL(9,E31:E35)</f>
        <v>114657.32</v>
      </c>
      <c r="F36" s="47">
        <f t="shared" si="20"/>
        <v>0</v>
      </c>
      <c r="G36" s="47">
        <f t="shared" si="20"/>
        <v>0</v>
      </c>
      <c r="H36" s="47">
        <f t="shared" si="20"/>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505</v>
      </c>
      <c r="C39" s="2"/>
      <c r="D39" s="44">
        <f t="shared" ref="D39:D43" si="21">SUM(E39:H39)</f>
        <v>65280</v>
      </c>
      <c r="E39" s="44">
        <f>E180</f>
        <v>16320</v>
      </c>
      <c r="F39" s="44">
        <f t="shared" ref="F39:H39" si="22">F180</f>
        <v>16320</v>
      </c>
      <c r="G39" s="44">
        <f t="shared" si="22"/>
        <v>16320</v>
      </c>
      <c r="H39" s="44">
        <f t="shared" si="22"/>
        <v>16320</v>
      </c>
    </row>
    <row r="40" spans="1:12" x14ac:dyDescent="0.25">
      <c r="A40" s="2"/>
      <c r="B40" s="2" t="s">
        <v>526</v>
      </c>
      <c r="C40" s="2"/>
      <c r="D40" s="44">
        <f t="shared" si="21"/>
        <v>11520</v>
      </c>
      <c r="E40" s="44">
        <f>E201</f>
        <v>2880</v>
      </c>
      <c r="F40" s="44">
        <f t="shared" ref="F40:H40" si="23">F201</f>
        <v>2880</v>
      </c>
      <c r="G40" s="44">
        <f t="shared" si="23"/>
        <v>2880</v>
      </c>
      <c r="H40" s="44">
        <f t="shared" si="23"/>
        <v>2880</v>
      </c>
    </row>
    <row r="41" spans="1:12" x14ac:dyDescent="0.25">
      <c r="A41" s="2"/>
      <c r="B41" s="2" t="s">
        <v>18</v>
      </c>
      <c r="C41" s="2"/>
      <c r="D41" s="44">
        <f t="shared" si="21"/>
        <v>0</v>
      </c>
    </row>
    <row r="42" spans="1:12" x14ac:dyDescent="0.25">
      <c r="A42" s="2"/>
      <c r="B42" s="2" t="s">
        <v>19</v>
      </c>
      <c r="C42" s="2"/>
      <c r="D42" s="44">
        <f t="shared" si="21"/>
        <v>0</v>
      </c>
      <c r="E42" s="44">
        <f>E242</f>
        <v>0</v>
      </c>
      <c r="F42" s="44">
        <f t="shared" ref="F42:H42" si="24">F242</f>
        <v>0</v>
      </c>
      <c r="G42" s="44">
        <f t="shared" si="24"/>
        <v>0</v>
      </c>
      <c r="H42" s="44">
        <f t="shared" si="24"/>
        <v>0</v>
      </c>
    </row>
    <row r="43" spans="1:12" x14ac:dyDescent="0.25">
      <c r="A43" s="3"/>
      <c r="B43" s="3" t="s">
        <v>516</v>
      </c>
      <c r="C43" s="3"/>
      <c r="D43" s="44">
        <f t="shared" si="21"/>
        <v>166353.544773</v>
      </c>
      <c r="E43" s="44">
        <f>E192</f>
        <v>39000</v>
      </c>
      <c r="F43" s="44">
        <f t="shared" ref="F43:H43" si="25">F192</f>
        <v>40677</v>
      </c>
      <c r="G43" s="44">
        <f t="shared" si="25"/>
        <v>42426.110999999997</v>
      </c>
      <c r="H43" s="44">
        <f t="shared" si="25"/>
        <v>44250.43377299999</v>
      </c>
    </row>
    <row r="44" spans="1:12" x14ac:dyDescent="0.25">
      <c r="A44" s="3"/>
      <c r="B44" s="3" t="s">
        <v>22</v>
      </c>
      <c r="C44" s="3"/>
      <c r="D44" s="44">
        <f>SUM(E44:H44)</f>
        <v>12615.920722062099</v>
      </c>
      <c r="E44" s="44">
        <f>E249+E197</f>
        <v>7450</v>
      </c>
      <c r="F44" s="44">
        <f>F249+F197</f>
        <v>1491.4899999999998</v>
      </c>
      <c r="G44" s="44">
        <f>G249+G197</f>
        <v>1711.1864769999997</v>
      </c>
      <c r="H44" s="44">
        <f>H249+H197</f>
        <v>1963.2442450620997</v>
      </c>
    </row>
    <row r="45" spans="1:12" ht="14.25" thickBot="1" x14ac:dyDescent="0.3">
      <c r="A45" s="13"/>
      <c r="B45" s="13" t="s">
        <v>68</v>
      </c>
      <c r="C45" s="13"/>
      <c r="D45" s="47">
        <f>SUBTOTAL(9,D39:D44)</f>
        <v>255769.46549506209</v>
      </c>
      <c r="E45" s="47">
        <f>SUBTOTAL(9,E39:E44)</f>
        <v>65650</v>
      </c>
      <c r="F45" s="47">
        <f>SUBTOTAL(9,F39:F44)</f>
        <v>61368.49</v>
      </c>
      <c r="G45" s="47">
        <f>SUBTOTAL(9,G39:G44)</f>
        <v>63337.297477</v>
      </c>
      <c r="H45" s="47">
        <f>SUBTOTAL(9,H39:H44)</f>
        <v>65413.678018062092</v>
      </c>
    </row>
    <row r="46" spans="1:12" ht="5.25" customHeight="1" x14ac:dyDescent="0.25">
      <c r="A46" s="3"/>
      <c r="B46" s="6"/>
      <c r="C46" s="3"/>
    </row>
    <row r="47" spans="1:12" x14ac:dyDescent="0.25">
      <c r="A47" s="15"/>
      <c r="B47" s="15" t="s">
        <v>252</v>
      </c>
      <c r="C47" s="135"/>
      <c r="D47" s="53"/>
      <c r="E47" s="53"/>
      <c r="F47" s="53"/>
      <c r="G47" s="54"/>
      <c r="H47" s="54"/>
      <c r="I47" s="12"/>
      <c r="J47" s="12"/>
      <c r="K47" s="12"/>
      <c r="L47" s="12"/>
    </row>
    <row r="48" spans="1:12" x14ac:dyDescent="0.25">
      <c r="A48" s="2"/>
      <c r="B48" s="2" t="s">
        <v>252</v>
      </c>
      <c r="C48" s="1"/>
      <c r="D48" s="44">
        <f t="shared" ref="D48" si="26">SUM(E48:H48)</f>
        <v>0</v>
      </c>
      <c r="E48" s="44">
        <f>E247</f>
        <v>0</v>
      </c>
      <c r="F48" s="44">
        <f t="shared" ref="F48:H48" si="27">F247</f>
        <v>0</v>
      </c>
      <c r="G48" s="44">
        <f t="shared" si="27"/>
        <v>0</v>
      </c>
      <c r="H48" s="44">
        <f t="shared" si="27"/>
        <v>0</v>
      </c>
      <c r="I48" s="6"/>
    </row>
    <row r="49" spans="1:12" ht="14.25" thickBot="1" x14ac:dyDescent="0.3">
      <c r="A49" s="13"/>
      <c r="B49" s="13" t="s">
        <v>256</v>
      </c>
      <c r="C49" s="136"/>
      <c r="D49" s="47">
        <f>SUBTOTAL(9,D48)</f>
        <v>0</v>
      </c>
      <c r="E49" s="47">
        <f t="shared" ref="E49:H49" si="28">SUBTOTAL(9,E48)</f>
        <v>0</v>
      </c>
      <c r="F49" s="47">
        <f t="shared" si="28"/>
        <v>0</v>
      </c>
      <c r="G49" s="47">
        <f t="shared" si="28"/>
        <v>0</v>
      </c>
      <c r="H49" s="47">
        <f t="shared" si="28"/>
        <v>0</v>
      </c>
      <c r="I49" s="6"/>
    </row>
    <row r="50" spans="1:12" ht="5.25" customHeight="1" x14ac:dyDescent="0.25">
      <c r="A50" s="3"/>
      <c r="B50" s="6"/>
      <c r="C50" s="3"/>
    </row>
    <row r="51" spans="1:12" x14ac:dyDescent="0.25">
      <c r="A51" s="15"/>
      <c r="B51" s="15" t="s">
        <v>20</v>
      </c>
      <c r="C51" s="15"/>
      <c r="D51" s="53"/>
      <c r="E51" s="53"/>
      <c r="F51" s="53"/>
      <c r="G51" s="54"/>
      <c r="H51" s="54"/>
      <c r="I51" s="61"/>
      <c r="J51" s="12"/>
      <c r="K51" s="12"/>
      <c r="L51" s="12"/>
    </row>
    <row r="52" spans="1:12" x14ac:dyDescent="0.25">
      <c r="A52" s="3"/>
      <c r="B52" s="3" t="s">
        <v>194</v>
      </c>
      <c r="C52" s="3"/>
      <c r="D52" s="44">
        <f t="shared" ref="D52:D53" si="29">SUM(E52:H52)</f>
        <v>0</v>
      </c>
      <c r="E52" s="44">
        <f>E216</f>
        <v>0</v>
      </c>
      <c r="F52" s="44">
        <f t="shared" ref="F52:H52" si="30">F216</f>
        <v>0</v>
      </c>
      <c r="G52" s="44">
        <f t="shared" si="30"/>
        <v>0</v>
      </c>
      <c r="H52" s="44">
        <f t="shared" si="30"/>
        <v>0</v>
      </c>
    </row>
    <row r="53" spans="1:12" x14ac:dyDescent="0.25">
      <c r="A53" s="3"/>
      <c r="B53" s="3" t="s">
        <v>21</v>
      </c>
      <c r="C53" s="3"/>
      <c r="D53" s="44">
        <f t="shared" si="29"/>
        <v>0</v>
      </c>
      <c r="E53" s="44">
        <f>E206</f>
        <v>0</v>
      </c>
      <c r="F53" s="44">
        <f t="shared" ref="F53:H53" si="31">F206</f>
        <v>0</v>
      </c>
      <c r="G53" s="44">
        <f t="shared" si="31"/>
        <v>0</v>
      </c>
      <c r="H53" s="44">
        <f t="shared" si="31"/>
        <v>0</v>
      </c>
    </row>
    <row r="54" spans="1:12" ht="14.25" thickBot="1" x14ac:dyDescent="0.3">
      <c r="A54" s="13"/>
      <c r="B54" s="13" t="s">
        <v>69</v>
      </c>
      <c r="C54" s="13"/>
      <c r="D54" s="47">
        <f>SUBTOTAL(9,D52:D53)</f>
        <v>0</v>
      </c>
      <c r="E54" s="47">
        <f>SUBTOTAL(9,E52:E53)</f>
        <v>0</v>
      </c>
      <c r="F54" s="47">
        <f>SUBTOTAL(9,F52:F53)</f>
        <v>0</v>
      </c>
      <c r="G54" s="47">
        <f>SUBTOTAL(9,G52:G53)</f>
        <v>0</v>
      </c>
      <c r="H54" s="47">
        <f>SUBTOTAL(9,H52:H53)</f>
        <v>0</v>
      </c>
    </row>
    <row r="55" spans="1:12" ht="5.25" customHeight="1" x14ac:dyDescent="0.25">
      <c r="A55" s="1"/>
      <c r="B55" s="1"/>
      <c r="C55" s="1"/>
    </row>
    <row r="56" spans="1:12" ht="14.25" thickBot="1" x14ac:dyDescent="0.3">
      <c r="A56" s="48"/>
      <c r="B56" s="48" t="s">
        <v>142</v>
      </c>
      <c r="C56" s="48"/>
      <c r="D56" s="49">
        <f>SUBTOTAL(9,D5:D54)</f>
        <v>557951.50526806212</v>
      </c>
      <c r="E56" s="49">
        <f>SUBTOTAL(9,E5:E54)</f>
        <v>224878.495</v>
      </c>
      <c r="F56" s="49">
        <f>SUBTOTAL(9,F5:F54)</f>
        <v>107245.49</v>
      </c>
      <c r="G56" s="49">
        <f>SUBTOTAL(9,G5:G54)</f>
        <v>110963.408477</v>
      </c>
      <c r="H56" s="49">
        <f>SUBTOTAL(9,H5:H54)</f>
        <v>114864.1117910621</v>
      </c>
    </row>
    <row r="57" spans="1:12" ht="14.25" thickBot="1" x14ac:dyDescent="0.3">
      <c r="A57" s="1"/>
      <c r="B57" s="1"/>
      <c r="C57" s="1"/>
      <c r="D57" s="33"/>
      <c r="E57" s="33"/>
      <c r="F57" s="33"/>
      <c r="G57" s="28"/>
      <c r="H57" s="28"/>
      <c r="I57" s="6"/>
    </row>
    <row r="58" spans="1:12" ht="18" thickTop="1" x14ac:dyDescent="0.3">
      <c r="A58" s="120"/>
      <c r="B58" s="121" t="s">
        <v>27</v>
      </c>
      <c r="C58" s="121"/>
      <c r="D58" s="122"/>
      <c r="E58" s="122"/>
      <c r="F58" s="122"/>
      <c r="G58" s="122"/>
      <c r="H58" s="122"/>
      <c r="I58" s="6"/>
    </row>
    <row r="59" spans="1:12" ht="6.75" customHeight="1" x14ac:dyDescent="0.25">
      <c r="A59" s="1"/>
      <c r="B59" s="1"/>
      <c r="C59" s="1"/>
      <c r="D59" s="33"/>
      <c r="E59" s="33"/>
      <c r="F59" s="33"/>
      <c r="G59" s="28"/>
      <c r="H59" s="28"/>
      <c r="I59" s="6"/>
    </row>
    <row r="60" spans="1:12" s="14" customFormat="1" x14ac:dyDescent="0.25">
      <c r="A60" s="81"/>
      <c r="B60" s="81" t="s">
        <v>65</v>
      </c>
      <c r="C60" s="81" t="s">
        <v>64</v>
      </c>
      <c r="D60" s="82"/>
      <c r="E60" s="83">
        <f>start</f>
        <v>43831</v>
      </c>
      <c r="F60" s="83">
        <f>EOMONTH(E60,11)+1</f>
        <v>44197</v>
      </c>
      <c r="G60" s="83">
        <f>EOMONTH(F60,11)+1</f>
        <v>44562</v>
      </c>
      <c r="H60" s="83">
        <f>EOMONTH(G60,11)+1</f>
        <v>44927</v>
      </c>
    </row>
    <row r="61" spans="1:12" ht="6.75" customHeight="1" x14ac:dyDescent="0.25">
      <c r="D61" s="33"/>
      <c r="E61" s="33"/>
      <c r="F61" s="33"/>
      <c r="G61" s="28"/>
      <c r="H61" s="28"/>
      <c r="I61" s="6"/>
    </row>
    <row r="62" spans="1:12" x14ac:dyDescent="0.25">
      <c r="A62" s="50"/>
      <c r="B62" s="50" t="s">
        <v>0</v>
      </c>
      <c r="C62" s="50"/>
      <c r="D62" s="52"/>
      <c r="E62" s="52"/>
      <c r="F62" s="52"/>
      <c r="G62" s="52"/>
      <c r="H62" s="52"/>
    </row>
    <row r="63" spans="1:12" hidden="1" x14ac:dyDescent="0.25">
      <c r="B63" s="5" t="s">
        <v>2</v>
      </c>
      <c r="E63" s="44">
        <f>E64*E65*E66*E67</f>
        <v>0</v>
      </c>
      <c r="F63" s="45"/>
      <c r="G63" s="37"/>
      <c r="H63" s="37"/>
    </row>
    <row r="64" spans="1:12" hidden="1" x14ac:dyDescent="0.25">
      <c r="A64" s="9"/>
      <c r="B64" s="9" t="s">
        <v>36</v>
      </c>
      <c r="C64" s="9"/>
      <c r="E64" s="44">
        <v>0</v>
      </c>
    </row>
    <row r="65" spans="1:12" hidden="1" x14ac:dyDescent="0.25">
      <c r="A65" s="9"/>
      <c r="B65" s="9" t="s">
        <v>37</v>
      </c>
      <c r="C65" s="9"/>
      <c r="D65" s="45"/>
      <c r="E65" s="45">
        <v>0</v>
      </c>
    </row>
    <row r="66" spans="1:12" hidden="1" x14ac:dyDescent="0.25">
      <c r="A66" s="9"/>
      <c r="B66" s="9" t="s">
        <v>38</v>
      </c>
      <c r="C66" s="9"/>
      <c r="E66" s="44">
        <v>0</v>
      </c>
    </row>
    <row r="67" spans="1:12" hidden="1" x14ac:dyDescent="0.25">
      <c r="A67" s="9"/>
      <c r="B67" s="9" t="s">
        <v>39</v>
      </c>
      <c r="C67" s="9"/>
      <c r="E67" s="46">
        <v>0</v>
      </c>
    </row>
    <row r="68" spans="1:12" x14ac:dyDescent="0.25">
      <c r="A68" s="9"/>
      <c r="B68" s="9"/>
      <c r="C68" s="9"/>
    </row>
    <row r="69" spans="1:12" x14ac:dyDescent="0.25">
      <c r="B69" s="5" t="s">
        <v>23</v>
      </c>
      <c r="E69" s="44">
        <f>E70*E71</f>
        <v>371.17500000000001</v>
      </c>
      <c r="F69" s="44">
        <f t="shared" ref="F69:H69" si="32">F70*F71</f>
        <v>0</v>
      </c>
      <c r="G69" s="44">
        <f t="shared" si="32"/>
        <v>0</v>
      </c>
      <c r="H69" s="44">
        <f t="shared" si="32"/>
        <v>0</v>
      </c>
    </row>
    <row r="70" spans="1:12" x14ac:dyDescent="0.25">
      <c r="A70" s="9"/>
      <c r="B70" s="9" t="s">
        <v>114</v>
      </c>
      <c r="C70" s="9" t="s">
        <v>113</v>
      </c>
      <c r="E70" s="44">
        <v>21</v>
      </c>
      <c r="F70" s="44">
        <v>0</v>
      </c>
      <c r="G70" s="44">
        <v>0</v>
      </c>
      <c r="H70" s="44">
        <f>G70</f>
        <v>0</v>
      </c>
    </row>
    <row r="71" spans="1:12" x14ac:dyDescent="0.25">
      <c r="A71" s="9"/>
      <c r="B71" s="9" t="s">
        <v>40</v>
      </c>
      <c r="C71" s="9"/>
      <c r="E71" s="44">
        <f>'Rates and GI'!D12</f>
        <v>17.675000000000001</v>
      </c>
      <c r="F71" s="44">
        <f>E71*(1+index)</f>
        <v>18.435025</v>
      </c>
      <c r="G71" s="44">
        <f>F71*(1+index)</f>
        <v>19.227731074999998</v>
      </c>
      <c r="H71" s="44">
        <f>G71*(1+index)</f>
        <v>20.054523511224996</v>
      </c>
    </row>
    <row r="72" spans="1:12" hidden="1" x14ac:dyDescent="0.25"/>
    <row r="73" spans="1:12" s="7" customFormat="1" hidden="1" x14ac:dyDescent="0.25">
      <c r="A73" s="5"/>
      <c r="B73" s="5" t="s">
        <v>168</v>
      </c>
      <c r="C73" s="5"/>
      <c r="D73" s="44"/>
      <c r="E73" s="44">
        <f>E74*E75</f>
        <v>0</v>
      </c>
      <c r="F73" s="44">
        <f t="shared" ref="F73:H73" si="33">F74*F75</f>
        <v>0</v>
      </c>
      <c r="G73" s="44">
        <f t="shared" si="33"/>
        <v>0</v>
      </c>
      <c r="H73" s="44">
        <f t="shared" si="33"/>
        <v>0</v>
      </c>
      <c r="I73" s="62"/>
      <c r="J73" s="6"/>
      <c r="K73" s="6"/>
      <c r="L73" s="6"/>
    </row>
    <row r="74" spans="1:12" s="7" customFormat="1" hidden="1" x14ac:dyDescent="0.25">
      <c r="A74" s="9"/>
      <c r="B74" s="9" t="s">
        <v>170</v>
      </c>
      <c r="C74" s="9" t="s">
        <v>113</v>
      </c>
      <c r="D74" s="44"/>
      <c r="E74" s="44">
        <v>0</v>
      </c>
      <c r="F74" s="44">
        <v>0</v>
      </c>
      <c r="G74" s="44">
        <v>0</v>
      </c>
      <c r="H74" s="44">
        <v>0</v>
      </c>
      <c r="I74" s="62"/>
      <c r="J74" s="6"/>
      <c r="K74" s="6"/>
      <c r="L74" s="6"/>
    </row>
    <row r="75" spans="1:12" s="7" customFormat="1" hidden="1" x14ac:dyDescent="0.25">
      <c r="A75" s="9"/>
      <c r="B75" s="9" t="s">
        <v>40</v>
      </c>
      <c r="C75" s="9"/>
      <c r="D75" s="44"/>
      <c r="E75" s="44">
        <f>'Rates and GI'!D13</f>
        <v>162.21599999999998</v>
      </c>
      <c r="F75" s="44">
        <f>E75*(1+index)</f>
        <v>169.19128799999996</v>
      </c>
      <c r="G75" s="44">
        <f>F75*(1+index)</f>
        <v>176.46651338399994</v>
      </c>
      <c r="H75" s="44">
        <f>G75*(1+index)</f>
        <v>184.05457345951191</v>
      </c>
      <c r="I75" s="62"/>
      <c r="J75" s="6"/>
      <c r="K75" s="6"/>
      <c r="L75" s="6"/>
    </row>
    <row r="76" spans="1:12" hidden="1" x14ac:dyDescent="0.25"/>
    <row r="77" spans="1:12" s="7" customFormat="1" hidden="1" x14ac:dyDescent="0.25">
      <c r="A77" s="5"/>
      <c r="B77" s="5" t="s">
        <v>1</v>
      </c>
      <c r="C77" s="5"/>
      <c r="D77" s="44"/>
      <c r="E77" s="44"/>
      <c r="F77" s="44"/>
      <c r="G77" s="38"/>
      <c r="H77" s="38"/>
      <c r="I77" s="62"/>
      <c r="J77" s="6"/>
      <c r="K77" s="6"/>
      <c r="L77" s="6"/>
    </row>
    <row r="78" spans="1:12" s="7" customFormat="1" hidden="1" x14ac:dyDescent="0.25">
      <c r="A78" s="9"/>
      <c r="B78" s="9" t="s">
        <v>41</v>
      </c>
      <c r="C78" s="9"/>
      <c r="D78" s="44"/>
      <c r="E78" s="44">
        <v>0</v>
      </c>
      <c r="F78" s="44"/>
      <c r="G78" s="38"/>
      <c r="H78" s="38"/>
      <c r="I78" s="62"/>
      <c r="J78" s="6"/>
      <c r="K78" s="6"/>
      <c r="L78" s="6"/>
    </row>
    <row r="79" spans="1:12" s="7" customFormat="1" hidden="1" x14ac:dyDescent="0.25">
      <c r="A79" s="9"/>
      <c r="B79" s="9" t="s">
        <v>42</v>
      </c>
      <c r="C79" s="9"/>
      <c r="D79" s="44"/>
      <c r="E79" s="44">
        <v>0</v>
      </c>
      <c r="F79" s="44"/>
      <c r="G79" s="38"/>
      <c r="H79" s="38"/>
      <c r="I79" s="62"/>
      <c r="J79" s="6"/>
      <c r="K79" s="6"/>
      <c r="L79" s="6"/>
    </row>
    <row r="80" spans="1:12" s="7" customFormat="1" hidden="1" x14ac:dyDescent="0.25">
      <c r="A80" s="9"/>
      <c r="B80" s="9" t="s">
        <v>43</v>
      </c>
      <c r="C80" s="9"/>
      <c r="D80" s="44"/>
      <c r="E80" s="44">
        <v>0</v>
      </c>
      <c r="F80" s="44"/>
      <c r="G80" s="38"/>
      <c r="H80" s="38"/>
      <c r="I80" s="62"/>
      <c r="J80" s="6"/>
      <c r="K80" s="6"/>
      <c r="L80" s="6"/>
    </row>
    <row r="81" spans="1:12" s="7" customFormat="1" hidden="1" x14ac:dyDescent="0.25">
      <c r="A81" s="9"/>
      <c r="B81" s="9" t="s">
        <v>44</v>
      </c>
      <c r="C81" s="9"/>
      <c r="D81" s="44"/>
      <c r="E81" s="44">
        <v>0</v>
      </c>
      <c r="F81" s="44"/>
      <c r="G81" s="38"/>
      <c r="H81" s="38"/>
      <c r="I81" s="62"/>
      <c r="J81" s="6"/>
      <c r="K81" s="6"/>
      <c r="L81" s="6"/>
    </row>
    <row r="82" spans="1:12" hidden="1" x14ac:dyDescent="0.25"/>
    <row r="83" spans="1:12" s="7" customFormat="1" hidden="1" x14ac:dyDescent="0.25">
      <c r="A83" s="5"/>
      <c r="B83" s="5" t="s">
        <v>3</v>
      </c>
      <c r="C83" s="5"/>
      <c r="D83" s="44"/>
      <c r="E83" s="44"/>
      <c r="F83" s="44"/>
      <c r="G83" s="38"/>
      <c r="H83" s="38"/>
      <c r="I83" s="62"/>
      <c r="J83" s="6"/>
      <c r="K83" s="6"/>
      <c r="L83" s="6"/>
    </row>
    <row r="84" spans="1:12" s="7" customFormat="1" hidden="1" x14ac:dyDescent="0.25">
      <c r="A84" s="9"/>
      <c r="B84" s="9" t="s">
        <v>45</v>
      </c>
      <c r="C84" s="9"/>
      <c r="D84" s="44"/>
      <c r="E84" s="44">
        <v>0</v>
      </c>
      <c r="F84" s="44"/>
      <c r="G84" s="38"/>
      <c r="H84" s="38"/>
      <c r="I84" s="62"/>
      <c r="J84" s="6"/>
      <c r="K84" s="6"/>
      <c r="L84" s="6"/>
    </row>
    <row r="85" spans="1:12" s="7" customFormat="1" hidden="1" x14ac:dyDescent="0.25">
      <c r="A85" s="9"/>
      <c r="B85" s="9" t="s">
        <v>46</v>
      </c>
      <c r="C85" s="9"/>
      <c r="D85" s="44"/>
      <c r="E85" s="44">
        <v>0</v>
      </c>
      <c r="F85" s="44"/>
      <c r="G85" s="38"/>
      <c r="H85" s="38"/>
      <c r="I85" s="62"/>
      <c r="J85" s="6"/>
      <c r="K85" s="6"/>
      <c r="L85" s="6"/>
    </row>
    <row r="86" spans="1:12" hidden="1" x14ac:dyDescent="0.25"/>
    <row r="87" spans="1:12" s="7" customFormat="1" hidden="1" x14ac:dyDescent="0.25">
      <c r="A87" s="5"/>
      <c r="B87" s="5" t="s">
        <v>4</v>
      </c>
      <c r="C87" s="5"/>
      <c r="D87" s="44"/>
      <c r="E87" s="44"/>
      <c r="F87" s="44"/>
      <c r="G87" s="38"/>
      <c r="H87" s="38"/>
      <c r="I87" s="62"/>
      <c r="J87" s="6"/>
      <c r="K87" s="6"/>
      <c r="L87" s="6"/>
    </row>
    <row r="88" spans="1:12" s="7" customFormat="1" hidden="1" x14ac:dyDescent="0.25">
      <c r="A88" s="9"/>
      <c r="B88" s="9" t="s">
        <v>47</v>
      </c>
      <c r="C88" s="9"/>
      <c r="D88" s="44"/>
      <c r="E88" s="44">
        <v>0</v>
      </c>
      <c r="F88" s="44"/>
      <c r="G88" s="38"/>
      <c r="H88" s="38"/>
      <c r="I88" s="62"/>
      <c r="J88" s="6"/>
      <c r="K88" s="6"/>
      <c r="L88" s="6"/>
    </row>
    <row r="89" spans="1:12" s="7" customFormat="1" hidden="1" x14ac:dyDescent="0.25">
      <c r="A89" s="9"/>
      <c r="B89" s="9" t="s">
        <v>48</v>
      </c>
      <c r="C89" s="9"/>
      <c r="D89" s="44"/>
      <c r="E89" s="44">
        <v>0</v>
      </c>
      <c r="F89" s="44"/>
      <c r="G89" s="38"/>
      <c r="H89" s="38"/>
      <c r="I89" s="62"/>
      <c r="J89" s="6"/>
      <c r="K89" s="6"/>
      <c r="L89" s="6"/>
    </row>
    <row r="90" spans="1:12" hidden="1" x14ac:dyDescent="0.25"/>
    <row r="91" spans="1:12" s="7" customFormat="1" hidden="1" x14ac:dyDescent="0.25">
      <c r="A91" s="9"/>
      <c r="B91" s="9" t="s">
        <v>39</v>
      </c>
      <c r="C91" s="9"/>
      <c r="D91" s="44"/>
      <c r="E91" s="46"/>
      <c r="F91" s="44"/>
      <c r="G91" s="38"/>
      <c r="H91" s="38"/>
      <c r="I91" s="62"/>
      <c r="J91" s="6"/>
      <c r="K91" s="6"/>
      <c r="L91" s="6"/>
    </row>
    <row r="93" spans="1:12" x14ac:dyDescent="0.25">
      <c r="A93" s="50"/>
      <c r="B93" s="50" t="s">
        <v>10</v>
      </c>
      <c r="C93" s="50"/>
      <c r="D93" s="52"/>
      <c r="E93" s="52">
        <f>E94*E95+E97*E98</f>
        <v>5200</v>
      </c>
      <c r="F93" s="52">
        <f t="shared" ref="F93:H93" si="34">F94*F95+F97*F98</f>
        <v>5200</v>
      </c>
      <c r="G93" s="52">
        <f t="shared" si="34"/>
        <v>5200</v>
      </c>
      <c r="H93" s="52">
        <f t="shared" si="34"/>
        <v>5200</v>
      </c>
    </row>
    <row r="94" spans="1:12" s="7" customFormat="1" hidden="1" x14ac:dyDescent="0.25">
      <c r="A94" s="5"/>
      <c r="B94" s="9" t="s">
        <v>49</v>
      </c>
      <c r="C94" s="5"/>
      <c r="D94" s="44"/>
      <c r="E94" s="44">
        <v>0</v>
      </c>
      <c r="F94" s="44">
        <v>0</v>
      </c>
      <c r="G94" s="44">
        <v>0</v>
      </c>
      <c r="H94" s="44">
        <v>0</v>
      </c>
      <c r="I94" s="62"/>
      <c r="J94" s="6"/>
      <c r="K94" s="6"/>
      <c r="L94" s="6"/>
    </row>
    <row r="95" spans="1:12" s="7" customFormat="1" hidden="1" x14ac:dyDescent="0.25">
      <c r="A95" s="5"/>
      <c r="B95" s="9" t="s">
        <v>50</v>
      </c>
      <c r="C95" s="5"/>
      <c r="D95" s="44"/>
      <c r="E95" s="44">
        <f>Trips!$B$10</f>
        <v>908.23176058823537</v>
      </c>
      <c r="F95" s="44">
        <f>Trips!$B$10</f>
        <v>908.23176058823537</v>
      </c>
      <c r="G95" s="44">
        <f>Trips!$B$10</f>
        <v>908.23176058823537</v>
      </c>
      <c r="H95" s="44">
        <f>Trips!$B$10</f>
        <v>908.23176058823537</v>
      </c>
      <c r="I95" s="62"/>
      <c r="J95" s="6"/>
      <c r="K95" s="6"/>
      <c r="L95" s="6"/>
    </row>
    <row r="96" spans="1:12" hidden="1" x14ac:dyDescent="0.25"/>
    <row r="97" spans="1:12" s="7" customFormat="1" x14ac:dyDescent="0.25">
      <c r="A97" s="5"/>
      <c r="B97" s="9" t="s">
        <v>51</v>
      </c>
      <c r="C97" s="5"/>
      <c r="D97" s="44"/>
      <c r="E97" s="44">
        <v>100</v>
      </c>
      <c r="F97" s="44">
        <v>100</v>
      </c>
      <c r="G97" s="44">
        <v>100</v>
      </c>
      <c r="H97" s="44">
        <v>100</v>
      </c>
      <c r="I97" s="62"/>
      <c r="J97" s="6"/>
      <c r="K97" s="6"/>
      <c r="L97" s="6"/>
    </row>
    <row r="98" spans="1:12" s="7" customFormat="1" x14ac:dyDescent="0.25">
      <c r="A98" s="5"/>
      <c r="B98" s="9" t="s">
        <v>52</v>
      </c>
      <c r="C98" s="5"/>
      <c r="D98" s="44"/>
      <c r="E98" s="44">
        <f>Trips!$B$5</f>
        <v>52</v>
      </c>
      <c r="F98" s="44">
        <f>Trips!$B$5</f>
        <v>52</v>
      </c>
      <c r="G98" s="44">
        <f>Trips!$B$5</f>
        <v>52</v>
      </c>
      <c r="H98" s="44">
        <f>Trips!$B$5</f>
        <v>52</v>
      </c>
      <c r="I98" s="62"/>
      <c r="J98" s="6"/>
      <c r="K98" s="6"/>
      <c r="L98" s="6"/>
    </row>
    <row r="99" spans="1:12" hidden="1" x14ac:dyDescent="0.25"/>
    <row r="101" spans="1:12" hidden="1" x14ac:dyDescent="0.25">
      <c r="A101" s="50"/>
      <c r="B101" s="50" t="s">
        <v>171</v>
      </c>
      <c r="C101" s="50"/>
      <c r="D101" s="52"/>
      <c r="E101" s="52">
        <f>E102*E103</f>
        <v>0</v>
      </c>
      <c r="F101" s="52">
        <f t="shared" ref="F101:H101" si="35">F102*F103</f>
        <v>0</v>
      </c>
      <c r="G101" s="52">
        <f t="shared" si="35"/>
        <v>0</v>
      </c>
      <c r="H101" s="52">
        <f t="shared" si="35"/>
        <v>0</v>
      </c>
    </row>
    <row r="102" spans="1:12" s="7" customFormat="1" hidden="1" x14ac:dyDescent="0.25">
      <c r="A102" s="10"/>
      <c r="B102" s="39" t="s">
        <v>144</v>
      </c>
      <c r="C102" s="10" t="s">
        <v>145</v>
      </c>
      <c r="D102" s="44"/>
      <c r="E102" s="44">
        <v>0</v>
      </c>
      <c r="F102" s="44">
        <v>0</v>
      </c>
      <c r="G102" s="44">
        <v>0</v>
      </c>
      <c r="H102" s="44">
        <v>0</v>
      </c>
      <c r="I102" s="62"/>
      <c r="J102" s="6"/>
      <c r="K102" s="6"/>
      <c r="L102" s="6"/>
    </row>
    <row r="103" spans="1:12" s="7" customFormat="1" hidden="1" x14ac:dyDescent="0.25">
      <c r="A103" s="5"/>
      <c r="B103" s="39" t="s">
        <v>141</v>
      </c>
      <c r="C103" s="5"/>
      <c r="D103" s="44"/>
      <c r="E103" s="44">
        <f>Trips!B41</f>
        <v>631.70365882352939</v>
      </c>
      <c r="F103" s="44">
        <f>E103*(1+index)</f>
        <v>658.86691615294114</v>
      </c>
      <c r="G103" s="44">
        <f>F103*(1+index)</f>
        <v>687.19819354751758</v>
      </c>
      <c r="H103" s="44">
        <f>G103*(1+index)</f>
        <v>716.7477158700608</v>
      </c>
      <c r="I103" s="62"/>
      <c r="J103" s="6"/>
      <c r="K103" s="6"/>
      <c r="L103" s="6"/>
    </row>
    <row r="104" spans="1:12" hidden="1" x14ac:dyDescent="0.25"/>
    <row r="105" spans="1:12" hidden="1" x14ac:dyDescent="0.25">
      <c r="A105" s="50"/>
      <c r="B105" s="50" t="s">
        <v>130</v>
      </c>
      <c r="C105" s="50"/>
      <c r="D105" s="52"/>
      <c r="E105" s="52">
        <f>E106*E107+E108*E109+E110*E111</f>
        <v>0</v>
      </c>
      <c r="F105" s="52">
        <f t="shared" ref="F105:H105" si="36">F106*F107+F108*F109+F110*F111</f>
        <v>0</v>
      </c>
      <c r="G105" s="52">
        <f t="shared" si="36"/>
        <v>0</v>
      </c>
      <c r="H105" s="52">
        <f t="shared" si="36"/>
        <v>0</v>
      </c>
    </row>
    <row r="106" spans="1:12" hidden="1" x14ac:dyDescent="0.25">
      <c r="B106" s="39" t="s">
        <v>131</v>
      </c>
      <c r="C106" s="5" t="s">
        <v>132</v>
      </c>
      <c r="E106" s="44">
        <f>Training!$C$33</f>
        <v>81.10799999999999</v>
      </c>
      <c r="F106" s="44">
        <f>E106*(1+index)</f>
        <v>84.595643999999979</v>
      </c>
      <c r="G106" s="44">
        <f>F106*(1+index)</f>
        <v>88.233256691999969</v>
      </c>
      <c r="H106" s="44">
        <f>G106*(1+index)</f>
        <v>92.027286729755957</v>
      </c>
    </row>
    <row r="107" spans="1:12" hidden="1" x14ac:dyDescent="0.25">
      <c r="B107" s="39" t="s">
        <v>133</v>
      </c>
      <c r="F107" s="44">
        <f>F94</f>
        <v>0</v>
      </c>
      <c r="G107" s="44">
        <f t="shared" ref="G107:H107" si="37">G94</f>
        <v>0</v>
      </c>
      <c r="H107" s="44">
        <f t="shared" si="37"/>
        <v>0</v>
      </c>
    </row>
    <row r="108" spans="1:12" hidden="1" x14ac:dyDescent="0.25">
      <c r="B108" s="39" t="s">
        <v>134</v>
      </c>
      <c r="E108" s="44">
        <f>Training!C23</f>
        <v>709.375</v>
      </c>
      <c r="F108" s="44">
        <f>E108*(1+index)</f>
        <v>739.87812499999995</v>
      </c>
      <c r="G108" s="44">
        <f>F108*(1+index)</f>
        <v>771.69288437499995</v>
      </c>
      <c r="H108" s="44">
        <f>G108*(1+index)</f>
        <v>804.87567840312488</v>
      </c>
    </row>
    <row r="109" spans="1:12" hidden="1" x14ac:dyDescent="0.25">
      <c r="B109" s="39" t="s">
        <v>135</v>
      </c>
      <c r="E109" s="44">
        <v>0</v>
      </c>
      <c r="F109" s="44">
        <v>0</v>
      </c>
      <c r="G109" s="33">
        <v>0</v>
      </c>
      <c r="H109" s="33">
        <v>0</v>
      </c>
    </row>
    <row r="110" spans="1:12" hidden="1" x14ac:dyDescent="0.25">
      <c r="B110" s="39" t="s">
        <v>203</v>
      </c>
      <c r="C110" s="5" t="s">
        <v>137</v>
      </c>
      <c r="G110" s="44"/>
      <c r="H110" s="44"/>
    </row>
    <row r="111" spans="1:12" hidden="1" x14ac:dyDescent="0.25">
      <c r="B111" s="39" t="s">
        <v>133</v>
      </c>
      <c r="E111" s="44">
        <v>0</v>
      </c>
      <c r="F111" s="44">
        <v>0</v>
      </c>
      <c r="G111" s="44">
        <v>0</v>
      </c>
      <c r="H111" s="44">
        <v>0</v>
      </c>
    </row>
    <row r="112" spans="1:12" hidden="1" x14ac:dyDescent="0.25">
      <c r="B112" s="39"/>
    </row>
    <row r="113" spans="1:12" hidden="1" x14ac:dyDescent="0.25">
      <c r="A113" s="50"/>
      <c r="B113" s="50" t="s">
        <v>24</v>
      </c>
      <c r="C113" s="50"/>
      <c r="D113" s="52"/>
      <c r="E113" s="52">
        <f t="shared" ref="E113:H113" si="38">E114*E115</f>
        <v>0</v>
      </c>
      <c r="F113" s="52">
        <f t="shared" si="38"/>
        <v>0</v>
      </c>
      <c r="G113" s="52">
        <f t="shared" si="38"/>
        <v>0</v>
      </c>
      <c r="H113" s="52">
        <f t="shared" si="38"/>
        <v>0</v>
      </c>
    </row>
    <row r="114" spans="1:12" s="7" customFormat="1" hidden="1" x14ac:dyDescent="0.25">
      <c r="A114" s="5"/>
      <c r="B114" s="39" t="s">
        <v>53</v>
      </c>
      <c r="C114" s="5"/>
      <c r="D114" s="44"/>
      <c r="E114" s="44">
        <v>0</v>
      </c>
      <c r="F114" s="44">
        <v>0</v>
      </c>
      <c r="G114" s="44"/>
      <c r="H114" s="44"/>
      <c r="I114" s="62"/>
      <c r="J114" s="6"/>
      <c r="K114" s="6"/>
      <c r="L114" s="6"/>
    </row>
    <row r="115" spans="1:12" s="7" customFormat="1" hidden="1" x14ac:dyDescent="0.25">
      <c r="A115" s="5"/>
      <c r="B115" s="39" t="s">
        <v>54</v>
      </c>
      <c r="C115" s="5"/>
      <c r="D115" s="44"/>
      <c r="E115" s="44">
        <f>'Rates and GI'!D25</f>
        <v>6</v>
      </c>
      <c r="F115" s="44">
        <f>E115*(1+index)</f>
        <v>6.2579999999999991</v>
      </c>
      <c r="G115" s="44">
        <f>F115*(1+index)</f>
        <v>6.5270939999999991</v>
      </c>
      <c r="H115" s="44">
        <f>G115*(1+index)</f>
        <v>6.8077590419999989</v>
      </c>
      <c r="I115" s="62"/>
      <c r="J115" s="6"/>
      <c r="K115" s="6"/>
      <c r="L115" s="6"/>
    </row>
    <row r="116" spans="1:12" hidden="1" x14ac:dyDescent="0.25"/>
    <row r="117" spans="1:12" hidden="1" x14ac:dyDescent="0.25">
      <c r="A117" s="50"/>
      <c r="B117" s="50" t="s">
        <v>7</v>
      </c>
      <c r="C117" s="50"/>
      <c r="D117" s="52"/>
      <c r="E117" s="52"/>
      <c r="F117" s="52"/>
      <c r="G117" s="52"/>
      <c r="H117" s="52"/>
    </row>
    <row r="118" spans="1:12" s="7" customFormat="1" hidden="1" x14ac:dyDescent="0.25">
      <c r="A118" s="5"/>
      <c r="B118" s="4" t="s">
        <v>57</v>
      </c>
      <c r="C118" s="5"/>
      <c r="D118" s="44"/>
      <c r="E118" s="46"/>
      <c r="F118" s="46"/>
      <c r="G118" s="105"/>
      <c r="H118" s="105"/>
      <c r="I118" s="62"/>
      <c r="J118" s="6"/>
      <c r="K118" s="6"/>
      <c r="L118" s="6"/>
    </row>
    <row r="119" spans="1:12" s="43" customFormat="1" hidden="1" x14ac:dyDescent="0.25">
      <c r="A119" s="40"/>
      <c r="B119" s="41" t="s">
        <v>58</v>
      </c>
      <c r="C119" s="40" t="s">
        <v>55</v>
      </c>
      <c r="D119" s="71"/>
      <c r="E119" s="71"/>
      <c r="F119" s="71"/>
      <c r="G119" s="72"/>
      <c r="H119" s="72"/>
      <c r="I119" s="75"/>
      <c r="J119" s="42"/>
      <c r="K119" s="42"/>
      <c r="L119" s="42"/>
    </row>
    <row r="120" spans="1:12" s="40" customFormat="1" hidden="1" x14ac:dyDescent="0.25">
      <c r="B120" s="41" t="s">
        <v>56</v>
      </c>
      <c r="D120" s="71"/>
      <c r="E120" s="71"/>
      <c r="F120" s="71"/>
      <c r="G120" s="72"/>
      <c r="H120" s="72"/>
      <c r="I120" s="75"/>
      <c r="J120" s="42"/>
      <c r="K120" s="42"/>
      <c r="L120" s="42"/>
    </row>
    <row r="121" spans="1:12" s="40" customFormat="1" hidden="1" x14ac:dyDescent="0.25">
      <c r="B121" s="41" t="s">
        <v>59</v>
      </c>
      <c r="D121" s="71"/>
      <c r="E121" s="71"/>
      <c r="F121" s="71"/>
      <c r="G121" s="72"/>
      <c r="H121" s="72"/>
      <c r="I121" s="75"/>
      <c r="J121" s="42"/>
      <c r="K121" s="42"/>
      <c r="L121" s="42"/>
    </row>
    <row r="122" spans="1:12" hidden="1" x14ac:dyDescent="0.25"/>
    <row r="123" spans="1:12" x14ac:dyDescent="0.25">
      <c r="A123" s="50"/>
      <c r="B123" s="50" t="s">
        <v>26</v>
      </c>
      <c r="C123" s="50"/>
      <c r="D123" s="52"/>
      <c r="E123" s="52"/>
      <c r="F123" s="52"/>
      <c r="G123" s="52"/>
      <c r="H123" s="52"/>
    </row>
    <row r="124" spans="1:12" s="5" customFormat="1" hidden="1" x14ac:dyDescent="0.25">
      <c r="B124" s="55" t="s">
        <v>60</v>
      </c>
      <c r="D124" s="44"/>
      <c r="E124" s="44"/>
      <c r="F124" s="44"/>
      <c r="G124" s="38"/>
      <c r="H124" s="38"/>
      <c r="I124" s="62"/>
      <c r="J124" s="6"/>
      <c r="K124" s="6"/>
      <c r="L124" s="6"/>
    </row>
    <row r="125" spans="1:12" s="5" customFormat="1" hidden="1" x14ac:dyDescent="0.25">
      <c r="B125" s="41" t="s">
        <v>147</v>
      </c>
      <c r="D125" s="44"/>
      <c r="E125" s="44"/>
      <c r="F125" s="44"/>
      <c r="G125" s="38"/>
      <c r="H125" s="38"/>
      <c r="I125" s="62"/>
      <c r="J125" s="6"/>
      <c r="K125" s="6"/>
      <c r="L125" s="6"/>
    </row>
    <row r="126" spans="1:12" s="5" customFormat="1" hidden="1" x14ac:dyDescent="0.25">
      <c r="B126" s="41" t="s">
        <v>146</v>
      </c>
      <c r="D126" s="44"/>
      <c r="E126" s="44"/>
      <c r="F126" s="44"/>
      <c r="G126" s="38"/>
      <c r="H126" s="38"/>
      <c r="I126" s="62"/>
      <c r="J126" s="6"/>
      <c r="K126" s="6"/>
      <c r="L126" s="6"/>
    </row>
    <row r="127" spans="1:12" s="5" customFormat="1" x14ac:dyDescent="0.25">
      <c r="B127" s="5" t="s">
        <v>123</v>
      </c>
      <c r="D127" s="44"/>
      <c r="E127" s="44">
        <f>E129+E132+E135</f>
        <v>3921</v>
      </c>
      <c r="F127" s="44"/>
      <c r="G127" s="38"/>
      <c r="H127" s="38"/>
      <c r="I127" s="62"/>
      <c r="J127" s="6"/>
      <c r="K127" s="6"/>
      <c r="L127" s="6"/>
    </row>
    <row r="128" spans="1:12" s="5" customFormat="1" x14ac:dyDescent="0.25">
      <c r="I128" s="62"/>
      <c r="J128" s="6"/>
      <c r="K128" s="6"/>
      <c r="L128" s="6"/>
    </row>
    <row r="129" spans="2:12" s="5" customFormat="1" x14ac:dyDescent="0.25">
      <c r="B129" s="5" t="s">
        <v>518</v>
      </c>
      <c r="E129" s="44">
        <f>E130*E131</f>
        <v>3120</v>
      </c>
      <c r="F129" s="44"/>
      <c r="G129" s="44"/>
      <c r="H129" s="44"/>
      <c r="I129" s="62"/>
      <c r="J129" s="6"/>
      <c r="K129" s="6"/>
      <c r="L129" s="6"/>
    </row>
    <row r="130" spans="2:12" s="5" customFormat="1" x14ac:dyDescent="0.25">
      <c r="B130" s="41" t="s">
        <v>147</v>
      </c>
      <c r="D130" s="44"/>
      <c r="E130" s="44">
        <v>104</v>
      </c>
      <c r="F130" s="44"/>
      <c r="G130" s="44"/>
      <c r="H130" s="44"/>
      <c r="I130" s="62"/>
      <c r="J130" s="6"/>
      <c r="K130" s="6"/>
      <c r="L130" s="6"/>
    </row>
    <row r="131" spans="2:12" s="5" customFormat="1" x14ac:dyDescent="0.25">
      <c r="B131" s="41" t="s">
        <v>146</v>
      </c>
      <c r="D131" s="44"/>
      <c r="E131" s="44">
        <v>30</v>
      </c>
      <c r="F131" s="44"/>
      <c r="G131" s="38"/>
      <c r="H131" s="38"/>
      <c r="I131" s="62"/>
      <c r="J131" s="6"/>
      <c r="K131" s="6"/>
      <c r="L131" s="6"/>
    </row>
    <row r="132" spans="2:12" s="5" customFormat="1" x14ac:dyDescent="0.25">
      <c r="B132" s="5" t="s">
        <v>519</v>
      </c>
      <c r="E132" s="44">
        <f>E133*E134</f>
        <v>225</v>
      </c>
      <c r="F132" s="44"/>
      <c r="G132" s="44"/>
      <c r="H132" s="44"/>
      <c r="I132" s="62"/>
      <c r="J132" s="6"/>
      <c r="K132" s="6"/>
      <c r="L132" s="6"/>
    </row>
    <row r="133" spans="2:12" s="5" customFormat="1" x14ac:dyDescent="0.25">
      <c r="B133" s="41" t="s">
        <v>147</v>
      </c>
      <c r="D133" s="44"/>
      <c r="E133" s="44">
        <v>7.5</v>
      </c>
      <c r="F133" s="44"/>
      <c r="G133" s="44"/>
      <c r="H133" s="44"/>
      <c r="I133" s="62"/>
      <c r="J133" s="6"/>
      <c r="K133" s="6"/>
      <c r="L133" s="6"/>
    </row>
    <row r="134" spans="2:12" s="5" customFormat="1" x14ac:dyDescent="0.25">
      <c r="B134" s="41" t="s">
        <v>146</v>
      </c>
      <c r="D134" s="44"/>
      <c r="E134" s="44">
        <v>30</v>
      </c>
      <c r="F134" s="44"/>
      <c r="G134" s="38"/>
      <c r="H134" s="38"/>
      <c r="I134" s="62"/>
      <c r="J134" s="6"/>
      <c r="K134" s="6"/>
      <c r="L134" s="6"/>
    </row>
    <row r="135" spans="2:12" s="5" customFormat="1" x14ac:dyDescent="0.25">
      <c r="B135" s="5" t="s">
        <v>517</v>
      </c>
      <c r="E135" s="44">
        <f>E136*E137</f>
        <v>576</v>
      </c>
      <c r="F135" s="44"/>
      <c r="G135" s="44"/>
      <c r="H135" s="44"/>
      <c r="I135" s="62"/>
      <c r="J135" s="6"/>
      <c r="K135" s="6"/>
      <c r="L135" s="6"/>
    </row>
    <row r="136" spans="2:12" s="5" customFormat="1" x14ac:dyDescent="0.25">
      <c r="B136" s="41" t="s">
        <v>147</v>
      </c>
      <c r="D136" s="44"/>
      <c r="E136" s="44">
        <v>576</v>
      </c>
      <c r="F136" s="44"/>
      <c r="G136" s="44"/>
      <c r="H136" s="44"/>
      <c r="I136" s="62"/>
      <c r="J136" s="6"/>
      <c r="K136" s="6"/>
      <c r="L136" s="6"/>
    </row>
    <row r="137" spans="2:12" s="5" customFormat="1" x14ac:dyDescent="0.25">
      <c r="B137" s="41" t="s">
        <v>146</v>
      </c>
      <c r="D137" s="44"/>
      <c r="E137" s="44">
        <v>1</v>
      </c>
      <c r="F137" s="44"/>
      <c r="G137" s="38"/>
      <c r="H137" s="38"/>
      <c r="I137" s="62"/>
      <c r="J137" s="6"/>
      <c r="K137" s="6"/>
      <c r="L137" s="6"/>
    </row>
    <row r="138" spans="2:12" s="5" customFormat="1" x14ac:dyDescent="0.25">
      <c r="B138" s="41"/>
      <c r="D138" s="44"/>
      <c r="E138" s="44"/>
      <c r="F138" s="44"/>
      <c r="G138" s="38"/>
      <c r="H138" s="38"/>
      <c r="I138" s="62"/>
      <c r="J138" s="6"/>
      <c r="K138" s="6"/>
      <c r="L138" s="6"/>
    </row>
    <row r="139" spans="2:12" s="5" customFormat="1" x14ac:dyDescent="0.25">
      <c r="B139" s="41"/>
      <c r="D139" s="44"/>
      <c r="E139" s="44"/>
      <c r="F139" s="44"/>
      <c r="G139" s="38"/>
      <c r="H139" s="38"/>
      <c r="I139" s="62"/>
      <c r="J139" s="6"/>
      <c r="K139" s="6"/>
      <c r="L139" s="6"/>
    </row>
    <row r="140" spans="2:12" s="5" customFormat="1" x14ac:dyDescent="0.25">
      <c r="B140" s="5" t="s">
        <v>8</v>
      </c>
      <c r="D140" s="44"/>
      <c r="E140" s="44">
        <f>E141+E145</f>
        <v>19736.32</v>
      </c>
      <c r="F140" s="44"/>
      <c r="G140" s="38"/>
      <c r="H140" s="38"/>
      <c r="I140" s="62"/>
      <c r="J140" s="6"/>
      <c r="K140" s="6"/>
      <c r="L140" s="6"/>
    </row>
    <row r="141" spans="2:12" s="5" customFormat="1" x14ac:dyDescent="0.25">
      <c r="B141" s="5" t="s">
        <v>522</v>
      </c>
      <c r="D141" s="44"/>
      <c r="E141" s="44">
        <f>E142*E143</f>
        <v>3400</v>
      </c>
      <c r="F141" s="44"/>
      <c r="G141" s="38"/>
      <c r="H141" s="38"/>
      <c r="I141" s="62"/>
      <c r="J141" s="6"/>
      <c r="K141" s="6"/>
      <c r="L141" s="6"/>
    </row>
    <row r="142" spans="2:12" s="5" customFormat="1" x14ac:dyDescent="0.25">
      <c r="B142" s="41" t="s">
        <v>147</v>
      </c>
      <c r="D142" s="44"/>
      <c r="E142" s="44">
        <v>85</v>
      </c>
      <c r="F142" s="44"/>
      <c r="G142" s="38"/>
      <c r="H142" s="38"/>
      <c r="I142" s="62"/>
      <c r="J142" s="6"/>
      <c r="K142" s="6"/>
      <c r="L142" s="6"/>
    </row>
    <row r="143" spans="2:12" s="5" customFormat="1" x14ac:dyDescent="0.25">
      <c r="B143" s="41" t="s">
        <v>146</v>
      </c>
      <c r="D143" s="44"/>
      <c r="E143" s="44">
        <v>40</v>
      </c>
      <c r="F143" s="44"/>
      <c r="G143" s="38"/>
      <c r="H143" s="38"/>
      <c r="I143" s="62"/>
      <c r="J143" s="6"/>
      <c r="K143" s="6"/>
      <c r="L143" s="6"/>
    </row>
    <row r="144" spans="2:12" s="5" customFormat="1" x14ac:dyDescent="0.25">
      <c r="B144" s="73" t="s">
        <v>520</v>
      </c>
      <c r="D144" s="44"/>
      <c r="E144" s="44"/>
      <c r="F144" s="44"/>
      <c r="G144" s="38"/>
      <c r="H144" s="38"/>
      <c r="I144" s="62"/>
      <c r="J144" s="6"/>
      <c r="K144" s="6"/>
      <c r="L144" s="6"/>
    </row>
    <row r="145" spans="2:12" s="5" customFormat="1" x14ac:dyDescent="0.25">
      <c r="B145" s="1" t="s">
        <v>558</v>
      </c>
      <c r="D145" s="44"/>
      <c r="E145" s="44">
        <f>(E146+E147)*E148</f>
        <v>16336.320000000002</v>
      </c>
      <c r="F145" s="44"/>
      <c r="G145" s="38"/>
      <c r="H145" s="38"/>
      <c r="I145" s="62"/>
      <c r="J145" s="6"/>
      <c r="K145" s="6"/>
      <c r="L145" s="6"/>
    </row>
    <row r="146" spans="2:12" s="5" customFormat="1" x14ac:dyDescent="0.25">
      <c r="B146" s="41" t="s">
        <v>538</v>
      </c>
      <c r="D146" s="44"/>
      <c r="E146" s="44">
        <f>SUM(E161:H161)/15</f>
        <v>24.752000000000002</v>
      </c>
      <c r="F146" s="44"/>
      <c r="G146" s="38"/>
      <c r="H146" s="38"/>
      <c r="I146" s="62"/>
      <c r="J146" s="6"/>
      <c r="K146" s="6"/>
      <c r="L146" s="6"/>
    </row>
    <row r="147" spans="2:12" s="5" customFormat="1" x14ac:dyDescent="0.25">
      <c r="B147" s="41" t="s">
        <v>539</v>
      </c>
      <c r="D147" s="44"/>
      <c r="E147" s="44">
        <f>E146</f>
        <v>24.752000000000002</v>
      </c>
      <c r="F147" s="44"/>
      <c r="G147" s="38"/>
      <c r="H147" s="38"/>
      <c r="I147" s="62"/>
      <c r="J147" s="6"/>
      <c r="K147" s="6"/>
      <c r="L147" s="6"/>
    </row>
    <row r="148" spans="2:12" s="5" customFormat="1" x14ac:dyDescent="0.25">
      <c r="B148" s="41" t="s">
        <v>540</v>
      </c>
      <c r="C148" s="5" t="s">
        <v>55</v>
      </c>
      <c r="D148" s="44"/>
      <c r="E148" s="44">
        <f>165*2</f>
        <v>330</v>
      </c>
      <c r="F148" s="44"/>
      <c r="G148" s="38"/>
      <c r="H148" s="38"/>
      <c r="I148" s="62"/>
      <c r="J148" s="6"/>
      <c r="K148" s="6"/>
      <c r="L148" s="6"/>
    </row>
    <row r="149" spans="2:12" s="5" customFormat="1" x14ac:dyDescent="0.25">
      <c r="B149" s="41"/>
      <c r="D149" s="44"/>
      <c r="E149" s="44"/>
      <c r="F149" s="44"/>
      <c r="G149" s="38"/>
      <c r="H149" s="38"/>
      <c r="I149" s="62"/>
      <c r="J149" s="6"/>
      <c r="K149" s="6"/>
      <c r="L149" s="6"/>
    </row>
    <row r="150" spans="2:12" s="5" customFormat="1" hidden="1" x14ac:dyDescent="0.25">
      <c r="B150" s="41"/>
      <c r="D150" s="44"/>
      <c r="E150" s="44"/>
      <c r="F150" s="44"/>
      <c r="G150" s="38"/>
      <c r="H150" s="38"/>
      <c r="I150" s="62"/>
      <c r="J150" s="6"/>
      <c r="K150" s="6"/>
      <c r="L150" s="6"/>
    </row>
    <row r="151" spans="2:12" s="5" customFormat="1" hidden="1" x14ac:dyDescent="0.25">
      <c r="B151" s="41"/>
      <c r="D151" s="44"/>
      <c r="E151" s="44"/>
      <c r="F151" s="44"/>
      <c r="G151" s="38"/>
      <c r="H151" s="38"/>
      <c r="I151" s="62"/>
      <c r="J151" s="6"/>
      <c r="K151" s="6"/>
      <c r="L151" s="6"/>
    </row>
    <row r="152" spans="2:12" s="5" customFormat="1" x14ac:dyDescent="0.25">
      <c r="B152" s="5" t="s">
        <v>528</v>
      </c>
      <c r="D152" s="44"/>
      <c r="E152" s="44"/>
      <c r="F152" s="44"/>
      <c r="G152" s="38"/>
      <c r="H152" s="38"/>
      <c r="I152" s="62"/>
      <c r="J152" s="6"/>
      <c r="K152" s="6"/>
      <c r="L152" s="6"/>
    </row>
    <row r="153" spans="2:12" s="5" customFormat="1" x14ac:dyDescent="0.25">
      <c r="B153" s="5" t="s">
        <v>529</v>
      </c>
      <c r="C153" s="5" t="s">
        <v>82</v>
      </c>
      <c r="D153" s="44"/>
      <c r="E153" s="44">
        <f>E154*E155</f>
        <v>100000</v>
      </c>
      <c r="F153" s="44">
        <f t="shared" ref="F153:H153" si="39">F154*F155</f>
        <v>110000</v>
      </c>
      <c r="G153" s="44">
        <f t="shared" si="39"/>
        <v>121000</v>
      </c>
      <c r="H153" s="44">
        <f t="shared" si="39"/>
        <v>133100</v>
      </c>
      <c r="I153" s="62"/>
      <c r="J153" s="6"/>
      <c r="K153" s="6"/>
      <c r="L153" s="6"/>
    </row>
    <row r="154" spans="2:12" s="5" customFormat="1" x14ac:dyDescent="0.25">
      <c r="B154" s="41" t="s">
        <v>530</v>
      </c>
      <c r="C154" s="5" t="s">
        <v>82</v>
      </c>
      <c r="D154" s="44"/>
      <c r="E154" s="44">
        <v>50</v>
      </c>
      <c r="F154" s="44">
        <v>50</v>
      </c>
      <c r="G154" s="44">
        <v>50</v>
      </c>
      <c r="H154" s="44">
        <v>50</v>
      </c>
      <c r="I154" s="62"/>
      <c r="J154" s="6"/>
      <c r="K154" s="6"/>
      <c r="L154" s="6"/>
    </row>
    <row r="155" spans="2:12" s="5" customFormat="1" x14ac:dyDescent="0.25">
      <c r="B155" s="41" t="s">
        <v>531</v>
      </c>
      <c r="D155" s="44"/>
      <c r="E155" s="44">
        <v>2000</v>
      </c>
      <c r="F155" s="44">
        <f>E155*1.1</f>
        <v>2200</v>
      </c>
      <c r="G155" s="44">
        <f t="shared" ref="G155:H155" si="40">F155*1.1</f>
        <v>2420</v>
      </c>
      <c r="H155" s="44">
        <f t="shared" si="40"/>
        <v>2662</v>
      </c>
      <c r="I155" s="62"/>
      <c r="J155" s="6"/>
      <c r="K155" s="6"/>
      <c r="L155" s="6"/>
    </row>
    <row r="156" spans="2:12" s="5" customFormat="1" x14ac:dyDescent="0.25">
      <c r="B156" s="5" t="s">
        <v>532</v>
      </c>
      <c r="D156" s="44"/>
      <c r="E156" s="44">
        <f>E153</f>
        <v>100000</v>
      </c>
      <c r="F156" s="44">
        <f t="shared" ref="F156:H156" si="41">F153</f>
        <v>110000</v>
      </c>
      <c r="G156" s="44">
        <f t="shared" si="41"/>
        <v>121000</v>
      </c>
      <c r="H156" s="44">
        <f t="shared" si="41"/>
        <v>133100</v>
      </c>
      <c r="I156" s="62"/>
      <c r="J156" s="6"/>
      <c r="K156" s="6"/>
      <c r="L156" s="6"/>
    </row>
    <row r="157" spans="2:12" s="5" customFormat="1" x14ac:dyDescent="0.25">
      <c r="B157" s="41" t="s">
        <v>533</v>
      </c>
      <c r="C157" s="5" t="s">
        <v>534</v>
      </c>
      <c r="D157" s="44"/>
      <c r="E157" s="44">
        <v>80</v>
      </c>
      <c r="F157" s="44">
        <v>80</v>
      </c>
      <c r="G157" s="44">
        <v>80</v>
      </c>
      <c r="H157" s="44">
        <v>80</v>
      </c>
      <c r="I157" s="62"/>
      <c r="J157" s="6"/>
      <c r="K157" s="6"/>
      <c r="L157" s="6"/>
    </row>
    <row r="158" spans="2:12" s="5" customFormat="1" x14ac:dyDescent="0.25">
      <c r="B158" s="41" t="s">
        <v>536</v>
      </c>
      <c r="C158" s="5" t="s">
        <v>535</v>
      </c>
      <c r="D158" s="44"/>
      <c r="E158" s="44">
        <f>(E153+E156)/500*2.5</f>
        <v>1000</v>
      </c>
      <c r="F158" s="44">
        <f t="shared" ref="F158:H158" si="42">(F153+F156)/500*2.5</f>
        <v>1100</v>
      </c>
      <c r="G158" s="44">
        <f t="shared" si="42"/>
        <v>1210</v>
      </c>
      <c r="H158" s="44">
        <f t="shared" si="42"/>
        <v>1331</v>
      </c>
      <c r="I158" s="62"/>
      <c r="J158" s="6"/>
      <c r="K158" s="6"/>
      <c r="L158" s="6"/>
    </row>
    <row r="159" spans="2:12" s="5" customFormat="1" x14ac:dyDescent="0.25">
      <c r="B159" s="41"/>
      <c r="D159" s="44"/>
      <c r="E159" s="44"/>
      <c r="F159" s="44"/>
      <c r="G159" s="44"/>
      <c r="H159" s="44"/>
      <c r="I159" s="62"/>
      <c r="J159" s="6"/>
      <c r="K159" s="6"/>
      <c r="L159" s="6"/>
    </row>
    <row r="160" spans="2:12" s="5" customFormat="1" x14ac:dyDescent="0.25">
      <c r="B160" s="41" t="s">
        <v>541</v>
      </c>
      <c r="C160" s="5" t="s">
        <v>82</v>
      </c>
      <c r="D160" s="44"/>
      <c r="E160" s="44">
        <v>2500</v>
      </c>
      <c r="F160" s="44">
        <v>2500</v>
      </c>
      <c r="G160" s="44">
        <v>2500</v>
      </c>
      <c r="H160" s="44">
        <v>2500</v>
      </c>
      <c r="I160" s="62"/>
      <c r="J160" s="6"/>
      <c r="K160" s="6"/>
      <c r="L160" s="6"/>
    </row>
    <row r="161" spans="1:12" s="5" customFormat="1" x14ac:dyDescent="0.25">
      <c r="B161" s="41" t="s">
        <v>537</v>
      </c>
      <c r="D161" s="44"/>
      <c r="E161" s="44">
        <f>(E153+E156)/E160</f>
        <v>80</v>
      </c>
      <c r="F161" s="44">
        <f>(F153+F156)/F160</f>
        <v>88</v>
      </c>
      <c r="G161" s="44">
        <f>(G153+G156)/G160</f>
        <v>96.8</v>
      </c>
      <c r="H161" s="44">
        <f>(H153+H156)/H160</f>
        <v>106.48</v>
      </c>
      <c r="I161" s="62"/>
      <c r="J161" s="6"/>
      <c r="K161" s="6"/>
      <c r="L161" s="6"/>
    </row>
    <row r="162" spans="1:12" s="5" customFormat="1" x14ac:dyDescent="0.25">
      <c r="B162" s="41" t="s">
        <v>557</v>
      </c>
      <c r="C162" s="5" t="s">
        <v>535</v>
      </c>
      <c r="D162" s="44"/>
      <c r="E162" s="44">
        <v>12.5</v>
      </c>
      <c r="F162" s="44">
        <v>12.5</v>
      </c>
      <c r="G162" s="44">
        <v>12.5</v>
      </c>
      <c r="H162" s="44">
        <v>12.5</v>
      </c>
      <c r="I162" s="62"/>
      <c r="J162" s="6"/>
      <c r="K162" s="6"/>
      <c r="L162" s="6"/>
    </row>
    <row r="164" spans="1:12" x14ac:dyDescent="0.25">
      <c r="A164" s="50"/>
      <c r="B164" s="166" t="s">
        <v>209</v>
      </c>
      <c r="C164" s="133"/>
      <c r="D164" s="52"/>
      <c r="E164" s="52">
        <f>E165*E166</f>
        <v>91000</v>
      </c>
      <c r="F164" s="52">
        <f t="shared" ref="F164:H164" si="43">F165*F166</f>
        <v>0</v>
      </c>
      <c r="G164" s="52">
        <f t="shared" si="43"/>
        <v>0</v>
      </c>
      <c r="H164" s="52">
        <f t="shared" si="43"/>
        <v>0</v>
      </c>
      <c r="I164" s="6"/>
    </row>
    <row r="165" spans="1:12" s="5" customFormat="1" x14ac:dyDescent="0.25">
      <c r="B165" s="41" t="s">
        <v>147</v>
      </c>
      <c r="C165" s="73"/>
      <c r="D165" s="44"/>
      <c r="E165" s="44">
        <f>'Rates and GI'!D37</f>
        <v>7000</v>
      </c>
      <c r="F165" s="44">
        <f>E165</f>
        <v>7000</v>
      </c>
      <c r="G165" s="44">
        <f t="shared" ref="G165:H165" si="44">F165</f>
        <v>7000</v>
      </c>
      <c r="H165" s="44">
        <f t="shared" si="44"/>
        <v>7000</v>
      </c>
      <c r="I165" s="6"/>
      <c r="J165" s="6"/>
      <c r="K165" s="6"/>
      <c r="L165" s="6"/>
    </row>
    <row r="166" spans="1:12" s="5" customFormat="1" x14ac:dyDescent="0.25">
      <c r="B166" s="41" t="s">
        <v>274</v>
      </c>
      <c r="C166" s="73"/>
      <c r="D166" s="44"/>
      <c r="E166" s="44">
        <v>13</v>
      </c>
      <c r="F166" s="44">
        <v>0</v>
      </c>
      <c r="G166" s="44">
        <v>0</v>
      </c>
      <c r="H166" s="44"/>
      <c r="I166" s="6"/>
      <c r="J166" s="6"/>
      <c r="K166" s="6"/>
      <c r="L166" s="6"/>
    </row>
    <row r="167" spans="1:12" x14ac:dyDescent="0.25">
      <c r="B167" s="77"/>
      <c r="C167" s="77"/>
      <c r="D167" s="33"/>
      <c r="E167" s="33"/>
      <c r="F167" s="33"/>
      <c r="G167" s="28"/>
      <c r="H167" s="28"/>
      <c r="I167" s="6"/>
    </row>
    <row r="168" spans="1:12" hidden="1" x14ac:dyDescent="0.25">
      <c r="A168" s="50"/>
      <c r="B168" s="145" t="s">
        <v>25</v>
      </c>
      <c r="C168" s="145"/>
      <c r="D168" s="51"/>
      <c r="E168" s="51"/>
      <c r="F168" s="51"/>
      <c r="G168" s="51"/>
      <c r="H168" s="51"/>
      <c r="I168" s="6"/>
    </row>
    <row r="169" spans="1:12" s="5" customFormat="1" hidden="1" x14ac:dyDescent="0.25">
      <c r="B169" s="175" t="s">
        <v>62</v>
      </c>
      <c r="C169" s="77"/>
      <c r="D169" s="33"/>
      <c r="E169" s="33"/>
      <c r="F169" s="33"/>
      <c r="G169" s="28"/>
      <c r="H169" s="28"/>
      <c r="I169" s="6"/>
      <c r="J169" s="6"/>
      <c r="K169" s="6"/>
      <c r="L169" s="6"/>
    </row>
    <row r="170" spans="1:12" s="5" customFormat="1" hidden="1" x14ac:dyDescent="0.25">
      <c r="B170" s="175" t="s">
        <v>61</v>
      </c>
      <c r="C170" s="77"/>
      <c r="D170" s="33"/>
      <c r="E170" s="33"/>
      <c r="F170" s="33"/>
      <c r="G170" s="28"/>
      <c r="H170" s="28"/>
      <c r="I170" s="6"/>
      <c r="J170" s="6"/>
      <c r="K170" s="6"/>
      <c r="L170" s="6"/>
    </row>
    <row r="171" spans="1:12" s="5" customFormat="1" hidden="1" x14ac:dyDescent="0.25">
      <c r="B171" s="175" t="s">
        <v>63</v>
      </c>
      <c r="C171" s="77"/>
      <c r="D171" s="33"/>
      <c r="E171" s="33"/>
      <c r="F171" s="33"/>
      <c r="G171" s="28"/>
      <c r="H171" s="28"/>
      <c r="I171" s="6"/>
      <c r="J171" s="6"/>
      <c r="K171" s="6"/>
      <c r="L171" s="6"/>
    </row>
    <row r="172" spans="1:12" s="5" customFormat="1" hidden="1" x14ac:dyDescent="0.25">
      <c r="B172" s="77" t="s">
        <v>154</v>
      </c>
      <c r="C172" s="77"/>
      <c r="D172" s="33"/>
      <c r="E172" s="33">
        <f>E173+E174*E175</f>
        <v>0</v>
      </c>
      <c r="F172" s="33" t="e">
        <f t="shared" ref="F172:H172" si="45">F173+F174*F175</f>
        <v>#REF!</v>
      </c>
      <c r="G172" s="33">
        <f t="shared" si="45"/>
        <v>0</v>
      </c>
      <c r="H172" s="33">
        <f t="shared" si="45"/>
        <v>0</v>
      </c>
    </row>
    <row r="173" spans="1:12" hidden="1" x14ac:dyDescent="0.25">
      <c r="B173" s="175" t="s">
        <v>196</v>
      </c>
      <c r="C173" s="77"/>
      <c r="D173" s="33"/>
      <c r="E173" s="33"/>
      <c r="F173" s="33" t="e">
        <f>'Rates and GI'!#REF!*0</f>
        <v>#REF!</v>
      </c>
      <c r="G173" s="28"/>
      <c r="H173" s="28"/>
      <c r="I173" s="6"/>
    </row>
    <row r="174" spans="1:12" hidden="1" x14ac:dyDescent="0.25">
      <c r="B174" s="175" t="s">
        <v>159</v>
      </c>
      <c r="C174" s="77"/>
      <c r="D174" s="33"/>
      <c r="E174" s="64">
        <f>'Rates and GI'!$D$48</f>
        <v>0.02</v>
      </c>
      <c r="F174" s="64">
        <f>'Rates and GI'!$D$48</f>
        <v>0.02</v>
      </c>
      <c r="G174" s="64">
        <f>'Rates and GI'!$D$48</f>
        <v>0.02</v>
      </c>
      <c r="H174" s="64">
        <f>'Rates and GI'!$D$48</f>
        <v>0.02</v>
      </c>
      <c r="I174" s="6"/>
    </row>
    <row r="175" spans="1:12" hidden="1" x14ac:dyDescent="0.25">
      <c r="B175" s="175" t="s">
        <v>160</v>
      </c>
      <c r="C175" s="77"/>
      <c r="D175" s="33"/>
      <c r="E175" s="33">
        <v>0</v>
      </c>
      <c r="F175" s="33">
        <v>0</v>
      </c>
      <c r="G175" s="33">
        <v>0</v>
      </c>
      <c r="H175" s="33">
        <v>0</v>
      </c>
      <c r="I175" s="6"/>
    </row>
    <row r="176" spans="1:12" s="5" customFormat="1" hidden="1" x14ac:dyDescent="0.25">
      <c r="B176" s="175"/>
      <c r="C176" s="77"/>
      <c r="D176" s="33"/>
      <c r="E176" s="33"/>
      <c r="F176" s="33"/>
      <c r="G176" s="28"/>
      <c r="H176" s="28"/>
      <c r="I176" s="6"/>
      <c r="J176" s="6"/>
      <c r="K176" s="6"/>
      <c r="L176" s="6"/>
    </row>
    <row r="177" spans="1:12" x14ac:dyDescent="0.25">
      <c r="A177" s="50"/>
      <c r="B177" s="133" t="s">
        <v>199</v>
      </c>
      <c r="C177" s="145"/>
      <c r="D177" s="51"/>
      <c r="E177" s="51"/>
      <c r="F177" s="51"/>
      <c r="G177" s="51"/>
      <c r="H177" s="51"/>
    </row>
    <row r="178" spans="1:12" x14ac:dyDescent="0.25">
      <c r="B178" s="73" t="s">
        <v>204</v>
      </c>
      <c r="C178" s="77"/>
      <c r="D178" s="33"/>
      <c r="E178" s="33"/>
      <c r="F178" s="33"/>
      <c r="G178" s="33"/>
      <c r="H178" s="33"/>
    </row>
    <row r="179" spans="1:12" x14ac:dyDescent="0.25">
      <c r="B179" s="77"/>
      <c r="C179" s="77"/>
      <c r="D179" s="33"/>
      <c r="E179" s="33"/>
      <c r="F179" s="33"/>
      <c r="G179" s="33"/>
      <c r="H179" s="33"/>
    </row>
    <row r="180" spans="1:12" x14ac:dyDescent="0.25">
      <c r="B180" s="73" t="s">
        <v>505</v>
      </c>
      <c r="C180" s="77"/>
      <c r="D180" s="33"/>
      <c r="E180" s="44">
        <f>E182+E187</f>
        <v>16320</v>
      </c>
      <c r="F180" s="44">
        <f>F182+F187</f>
        <v>16320</v>
      </c>
      <c r="G180" s="44">
        <f>G182+G187</f>
        <v>16320</v>
      </c>
      <c r="H180" s="44">
        <f>H182+H187</f>
        <v>16320</v>
      </c>
    </row>
    <row r="181" spans="1:12" x14ac:dyDescent="0.25">
      <c r="B181" s="73"/>
      <c r="C181" s="77"/>
      <c r="D181" s="33"/>
      <c r="G181" s="44"/>
      <c r="H181" s="44"/>
    </row>
    <row r="182" spans="1:12" x14ac:dyDescent="0.25">
      <c r="B182" s="73" t="s">
        <v>507</v>
      </c>
      <c r="C182" s="77"/>
      <c r="D182" s="33"/>
      <c r="E182" s="44">
        <f>E183*E184*E185</f>
        <v>8400</v>
      </c>
      <c r="F182" s="44">
        <f t="shared" ref="F182:H182" si="46">F183*F184*F185</f>
        <v>8400</v>
      </c>
      <c r="G182" s="44">
        <f t="shared" si="46"/>
        <v>8400</v>
      </c>
      <c r="H182" s="44">
        <f t="shared" si="46"/>
        <v>8400</v>
      </c>
    </row>
    <row r="183" spans="1:12" x14ac:dyDescent="0.25">
      <c r="B183" s="41" t="s">
        <v>510</v>
      </c>
      <c r="C183" s="73" t="s">
        <v>512</v>
      </c>
      <c r="D183" s="33"/>
      <c r="E183" s="44">
        <v>70</v>
      </c>
      <c r="F183" s="44">
        <v>70</v>
      </c>
      <c r="G183" s="44">
        <v>70</v>
      </c>
      <c r="H183" s="44">
        <v>70</v>
      </c>
    </row>
    <row r="184" spans="1:12" x14ac:dyDescent="0.25">
      <c r="B184" s="41" t="s">
        <v>506</v>
      </c>
      <c r="C184" s="77"/>
      <c r="D184" s="33"/>
      <c r="E184" s="44">
        <v>10</v>
      </c>
      <c r="F184" s="44">
        <v>10</v>
      </c>
      <c r="G184" s="44">
        <v>10</v>
      </c>
      <c r="H184" s="44">
        <v>10</v>
      </c>
    </row>
    <row r="185" spans="1:12" x14ac:dyDescent="0.25">
      <c r="B185" s="41" t="s">
        <v>39</v>
      </c>
      <c r="C185" s="77"/>
      <c r="D185" s="33"/>
      <c r="E185" s="44">
        <v>12</v>
      </c>
      <c r="F185" s="44">
        <v>12</v>
      </c>
      <c r="G185" s="44">
        <v>12</v>
      </c>
      <c r="H185" s="44">
        <v>12</v>
      </c>
    </row>
    <row r="186" spans="1:12" x14ac:dyDescent="0.25">
      <c r="B186" s="41"/>
      <c r="C186" s="77"/>
      <c r="D186" s="33"/>
      <c r="G186" s="44"/>
      <c r="H186" s="44"/>
    </row>
    <row r="187" spans="1:12" x14ac:dyDescent="0.25">
      <c r="B187" s="73" t="s">
        <v>509</v>
      </c>
      <c r="C187" s="77"/>
      <c r="D187" s="33"/>
      <c r="E187" s="44">
        <f>E188*E189*E190</f>
        <v>7920</v>
      </c>
      <c r="F187" s="44">
        <f t="shared" ref="F187:H187" si="47">F188*F189*F190</f>
        <v>7920</v>
      </c>
      <c r="G187" s="44">
        <f t="shared" si="47"/>
        <v>7920</v>
      </c>
      <c r="H187" s="44">
        <f t="shared" si="47"/>
        <v>7920</v>
      </c>
    </row>
    <row r="188" spans="1:12" x14ac:dyDescent="0.25">
      <c r="B188" s="41" t="s">
        <v>508</v>
      </c>
      <c r="C188" s="73" t="s">
        <v>513</v>
      </c>
      <c r="D188" s="33"/>
      <c r="E188" s="44">
        <v>30</v>
      </c>
      <c r="F188" s="44">
        <v>30</v>
      </c>
      <c r="G188" s="44">
        <v>30</v>
      </c>
      <c r="H188" s="44">
        <v>30</v>
      </c>
    </row>
    <row r="189" spans="1:12" x14ac:dyDescent="0.25">
      <c r="B189" s="41" t="s">
        <v>511</v>
      </c>
      <c r="C189" s="77"/>
      <c r="D189" s="33"/>
      <c r="E189" s="44">
        <f>32-E184</f>
        <v>22</v>
      </c>
      <c r="F189" s="44">
        <f t="shared" ref="F189:H189" si="48">32-F184</f>
        <v>22</v>
      </c>
      <c r="G189" s="44">
        <f t="shared" si="48"/>
        <v>22</v>
      </c>
      <c r="H189" s="44">
        <f t="shared" si="48"/>
        <v>22</v>
      </c>
    </row>
    <row r="190" spans="1:12" x14ac:dyDescent="0.25">
      <c r="B190" s="41" t="s">
        <v>39</v>
      </c>
      <c r="C190" s="77"/>
      <c r="D190" s="33"/>
      <c r="E190" s="44">
        <v>12</v>
      </c>
      <c r="F190" s="44">
        <v>12</v>
      </c>
      <c r="G190" s="44">
        <v>12</v>
      </c>
      <c r="H190" s="44">
        <v>12</v>
      </c>
    </row>
    <row r="191" spans="1:12" s="5" customFormat="1" x14ac:dyDescent="0.25">
      <c r="B191" s="175"/>
      <c r="C191" s="77"/>
      <c r="D191" s="33"/>
      <c r="E191" s="33"/>
      <c r="F191" s="33"/>
      <c r="G191" s="28"/>
      <c r="H191" s="28"/>
      <c r="I191" s="6"/>
      <c r="J191" s="6"/>
      <c r="K191" s="6"/>
      <c r="L191" s="6"/>
    </row>
    <row r="192" spans="1:12" s="5" customFormat="1" x14ac:dyDescent="0.25">
      <c r="B192" s="73" t="s">
        <v>515</v>
      </c>
      <c r="C192" s="73"/>
      <c r="D192" s="44"/>
      <c r="E192" s="44">
        <f>E193*E194</f>
        <v>39000</v>
      </c>
      <c r="F192" s="44">
        <f t="shared" ref="F192:H192" si="49">F193*F194</f>
        <v>40677</v>
      </c>
      <c r="G192" s="44">
        <f t="shared" si="49"/>
        <v>42426.110999999997</v>
      </c>
      <c r="H192" s="44">
        <f t="shared" si="49"/>
        <v>44250.43377299999</v>
      </c>
      <c r="I192" s="6"/>
      <c r="J192" s="6"/>
      <c r="K192" s="6"/>
      <c r="L192" s="6"/>
    </row>
    <row r="193" spans="1:12" s="5" customFormat="1" x14ac:dyDescent="0.25">
      <c r="B193" s="41" t="s">
        <v>514</v>
      </c>
      <c r="C193" s="142"/>
      <c r="D193" s="44"/>
      <c r="E193" s="44">
        <f>'Rates and GI'!$D$40</f>
        <v>3000</v>
      </c>
      <c r="F193" s="44">
        <f>E193*(1+index)</f>
        <v>3129</v>
      </c>
      <c r="G193" s="44">
        <f>F193*(1+index)</f>
        <v>3263.5469999999996</v>
      </c>
      <c r="H193" s="44">
        <f>G193*(1+index)</f>
        <v>3403.8795209999994</v>
      </c>
      <c r="I193" s="6"/>
      <c r="J193" s="6"/>
      <c r="K193" s="6"/>
      <c r="L193" s="6"/>
    </row>
    <row r="194" spans="1:12" s="5" customFormat="1" x14ac:dyDescent="0.25">
      <c r="B194" s="41" t="s">
        <v>197</v>
      </c>
      <c r="C194" s="73"/>
      <c r="D194" s="44"/>
      <c r="E194" s="44">
        <v>13</v>
      </c>
      <c r="F194" s="44">
        <v>13</v>
      </c>
      <c r="G194" s="44">
        <v>13</v>
      </c>
      <c r="H194" s="44">
        <v>13</v>
      </c>
      <c r="I194" s="6"/>
      <c r="J194" s="6"/>
      <c r="K194" s="6"/>
      <c r="L194" s="6"/>
    </row>
    <row r="195" spans="1:12" s="5" customFormat="1" x14ac:dyDescent="0.25">
      <c r="B195" s="41"/>
      <c r="C195" s="73"/>
      <c r="D195" s="44"/>
      <c r="E195" s="44"/>
      <c r="F195" s="44"/>
      <c r="G195" s="44"/>
      <c r="H195" s="44"/>
      <c r="I195" s="6"/>
      <c r="J195" s="6"/>
      <c r="K195" s="6"/>
      <c r="L195" s="6"/>
    </row>
    <row r="196" spans="1:12" s="5" customFormat="1" x14ac:dyDescent="0.25">
      <c r="B196" s="73" t="s">
        <v>542</v>
      </c>
      <c r="C196" s="73"/>
      <c r="D196" s="44"/>
      <c r="E196" s="44"/>
      <c r="F196" s="44"/>
      <c r="G196" s="44"/>
      <c r="H196" s="44"/>
      <c r="I196" s="6"/>
      <c r="J196" s="6"/>
      <c r="K196" s="6"/>
      <c r="L196" s="6"/>
    </row>
    <row r="197" spans="1:12" s="5" customFormat="1" x14ac:dyDescent="0.25">
      <c r="B197" s="73" t="s">
        <v>543</v>
      </c>
      <c r="C197" s="73"/>
      <c r="D197" s="44"/>
      <c r="E197" s="44">
        <f>E198*E199</f>
        <v>1300</v>
      </c>
      <c r="F197" s="44">
        <f t="shared" ref="F197:H197" si="50">F198*F199</f>
        <v>1491.4899999999998</v>
      </c>
      <c r="G197" s="44">
        <f t="shared" si="50"/>
        <v>1711.1864769999997</v>
      </c>
      <c r="H197" s="44">
        <f t="shared" si="50"/>
        <v>1963.2442450620997</v>
      </c>
      <c r="I197" s="6"/>
      <c r="J197" s="6"/>
      <c r="K197" s="6"/>
      <c r="L197" s="6"/>
    </row>
    <row r="198" spans="1:12" s="5" customFormat="1" x14ac:dyDescent="0.25">
      <c r="B198" s="41" t="s">
        <v>560</v>
      </c>
      <c r="C198" s="73" t="s">
        <v>559</v>
      </c>
      <c r="D198" s="44"/>
      <c r="E198" s="44">
        <f>(E153+E156)/200</f>
        <v>1000</v>
      </c>
      <c r="F198" s="44">
        <f>(F153+F156)/200</f>
        <v>1100</v>
      </c>
      <c r="G198" s="44">
        <f>(G153+G156)/200</f>
        <v>1210</v>
      </c>
      <c r="H198" s="44">
        <f>(H153+H156)/200</f>
        <v>1331</v>
      </c>
      <c r="I198" s="6"/>
      <c r="J198" s="6"/>
      <c r="K198" s="6"/>
      <c r="L198" s="6"/>
    </row>
    <row r="199" spans="1:12" s="5" customFormat="1" x14ac:dyDescent="0.25">
      <c r="B199" s="41" t="s">
        <v>544</v>
      </c>
      <c r="C199" s="73"/>
      <c r="D199" s="44"/>
      <c r="E199" s="65">
        <v>1.3</v>
      </c>
      <c r="F199" s="65">
        <f>E199*(1+index)</f>
        <v>1.3558999999999999</v>
      </c>
      <c r="G199" s="65">
        <f>F199*(1+index)</f>
        <v>1.4142036999999998</v>
      </c>
      <c r="H199" s="65">
        <f>G199*(1+index)</f>
        <v>1.4750144590999998</v>
      </c>
      <c r="I199" s="6"/>
      <c r="J199" s="6"/>
      <c r="K199" s="6"/>
      <c r="L199" s="6"/>
    </row>
    <row r="200" spans="1:12" s="5" customFormat="1" x14ac:dyDescent="0.25">
      <c r="B200" s="175"/>
      <c r="C200" s="77"/>
      <c r="D200" s="33"/>
      <c r="E200" s="33"/>
      <c r="F200" s="33"/>
      <c r="G200" s="28"/>
      <c r="H200" s="28"/>
      <c r="I200" s="6"/>
      <c r="J200" s="6"/>
      <c r="K200" s="6"/>
      <c r="L200" s="6"/>
    </row>
    <row r="201" spans="1:12" s="35" customFormat="1" x14ac:dyDescent="0.25">
      <c r="A201" s="145"/>
      <c r="B201" s="177" t="s">
        <v>524</v>
      </c>
      <c r="C201" s="133"/>
      <c r="D201" s="52"/>
      <c r="E201" s="52">
        <f>E202*E203*E204</f>
        <v>2880</v>
      </c>
      <c r="F201" s="52">
        <f t="shared" ref="F201:H201" si="51">F202*F203*F204</f>
        <v>2880</v>
      </c>
      <c r="G201" s="52">
        <f t="shared" si="51"/>
        <v>2880</v>
      </c>
      <c r="H201" s="52">
        <f t="shared" si="51"/>
        <v>2880</v>
      </c>
    </row>
    <row r="202" spans="1:12" s="35" customFormat="1" x14ac:dyDescent="0.25">
      <c r="A202" s="77"/>
      <c r="B202" s="144" t="s">
        <v>525</v>
      </c>
      <c r="C202" s="73"/>
      <c r="D202" s="44"/>
      <c r="E202" s="44">
        <v>32</v>
      </c>
      <c r="F202" s="44">
        <v>32</v>
      </c>
      <c r="G202" s="44">
        <v>32</v>
      </c>
      <c r="H202" s="44">
        <v>32</v>
      </c>
    </row>
    <row r="203" spans="1:12" s="35" customFormat="1" x14ac:dyDescent="0.25">
      <c r="A203" s="176"/>
      <c r="B203" s="144" t="s">
        <v>39</v>
      </c>
      <c r="C203" s="134"/>
      <c r="D203" s="44"/>
      <c r="E203" s="44">
        <v>12</v>
      </c>
      <c r="F203" s="44">
        <v>12</v>
      </c>
      <c r="G203" s="44">
        <v>12</v>
      </c>
      <c r="H203" s="44">
        <v>12</v>
      </c>
    </row>
    <row r="204" spans="1:12" s="35" customFormat="1" x14ac:dyDescent="0.25">
      <c r="A204" s="77"/>
      <c r="B204" s="144" t="s">
        <v>523</v>
      </c>
      <c r="C204" s="44"/>
      <c r="D204" s="44"/>
      <c r="E204" s="44">
        <v>7.5</v>
      </c>
      <c r="F204" s="44">
        <v>7.5</v>
      </c>
      <c r="G204" s="44">
        <v>7.5</v>
      </c>
      <c r="H204" s="44">
        <v>7.5</v>
      </c>
    </row>
    <row r="205" spans="1:12" s="5" customFormat="1" x14ac:dyDescent="0.25">
      <c r="B205" s="175"/>
      <c r="C205" s="77"/>
      <c r="D205" s="33"/>
      <c r="E205" s="33"/>
      <c r="F205" s="33"/>
      <c r="G205" s="28"/>
      <c r="H205" s="28"/>
      <c r="I205" s="62"/>
      <c r="J205" s="6"/>
      <c r="K205" s="6"/>
      <c r="L205" s="6"/>
    </row>
    <row r="206" spans="1:12" hidden="1" x14ac:dyDescent="0.25">
      <c r="A206" s="50"/>
      <c r="B206" s="50" t="s">
        <v>21</v>
      </c>
      <c r="C206" s="50"/>
      <c r="D206" s="52"/>
      <c r="E206" s="52">
        <f>E207*E208+E209*E210++E211*E212+E213*E214</f>
        <v>0</v>
      </c>
      <c r="F206" s="52">
        <f t="shared" ref="F206:H206" si="52">F207*F208+F209*F210++F211*F212+F213*F214</f>
        <v>0</v>
      </c>
      <c r="G206" s="52">
        <f t="shared" si="52"/>
        <v>0</v>
      </c>
      <c r="H206" s="52">
        <f t="shared" si="52"/>
        <v>0</v>
      </c>
    </row>
    <row r="207" spans="1:12" hidden="1" x14ac:dyDescent="0.25">
      <c r="B207" s="41" t="s">
        <v>150</v>
      </c>
      <c r="G207" s="44">
        <v>0</v>
      </c>
      <c r="H207" s="44"/>
    </row>
    <row r="208" spans="1:12" hidden="1" x14ac:dyDescent="0.25">
      <c r="B208" s="41" t="s">
        <v>151</v>
      </c>
      <c r="E208" s="44">
        <f>'Rates and GI'!$D$58</f>
        <v>5000</v>
      </c>
      <c r="F208" s="44">
        <f>'Rates and GI'!$D$58</f>
        <v>5000</v>
      </c>
      <c r="G208" s="44">
        <f>'Rates and GI'!$D$58</f>
        <v>5000</v>
      </c>
      <c r="H208" s="44">
        <f>'Rates and GI'!$D$58</f>
        <v>5000</v>
      </c>
    </row>
    <row r="209" spans="1:12" hidden="1" x14ac:dyDescent="0.25">
      <c r="B209" s="41" t="s">
        <v>148</v>
      </c>
      <c r="E209" s="44">
        <v>0</v>
      </c>
      <c r="F209" s="44">
        <v>0</v>
      </c>
      <c r="G209" s="44">
        <v>0</v>
      </c>
      <c r="H209" s="44">
        <v>0</v>
      </c>
    </row>
    <row r="210" spans="1:12" hidden="1" x14ac:dyDescent="0.25">
      <c r="B210" s="41" t="s">
        <v>149</v>
      </c>
      <c r="E210" s="44">
        <f>'Rates and GI'!$D$59</f>
        <v>1500</v>
      </c>
      <c r="F210" s="44">
        <f>'Rates and GI'!$D$59</f>
        <v>1500</v>
      </c>
      <c r="G210" s="44">
        <f>'Rates and GI'!$D$59</f>
        <v>1500</v>
      </c>
      <c r="H210" s="44">
        <f>'Rates and GI'!$D$59</f>
        <v>1500</v>
      </c>
    </row>
    <row r="211" spans="1:12" ht="27" hidden="1" x14ac:dyDescent="0.25">
      <c r="B211" s="63" t="s">
        <v>162</v>
      </c>
      <c r="E211" s="44">
        <v>0</v>
      </c>
      <c r="F211" s="44">
        <v>0</v>
      </c>
      <c r="G211" s="44">
        <v>0</v>
      </c>
      <c r="H211" s="44">
        <v>0</v>
      </c>
    </row>
    <row r="212" spans="1:12" ht="27" hidden="1" x14ac:dyDescent="0.25">
      <c r="B212" s="63" t="s">
        <v>161</v>
      </c>
      <c r="E212" s="44">
        <f>'Rates and GI'!$D$60</f>
        <v>200</v>
      </c>
      <c r="F212" s="44">
        <f>'Rates and GI'!$D$60</f>
        <v>200</v>
      </c>
      <c r="G212" s="44">
        <f>'Rates and GI'!$D$60</f>
        <v>200</v>
      </c>
      <c r="H212" s="44">
        <f>'Rates and GI'!$D$60</f>
        <v>200</v>
      </c>
    </row>
    <row r="213" spans="1:12" s="5" customFormat="1" hidden="1" x14ac:dyDescent="0.25">
      <c r="B213" s="41" t="s">
        <v>217</v>
      </c>
      <c r="D213" s="44"/>
      <c r="E213" s="44">
        <v>0</v>
      </c>
      <c r="F213" s="44">
        <v>0</v>
      </c>
      <c r="G213" s="44">
        <v>0</v>
      </c>
      <c r="H213" s="44">
        <v>0</v>
      </c>
      <c r="I213" s="62"/>
      <c r="J213" s="6"/>
      <c r="K213" s="6"/>
      <c r="L213" s="6"/>
    </row>
    <row r="214" spans="1:12" s="5" customFormat="1" hidden="1" x14ac:dyDescent="0.25">
      <c r="B214" s="41" t="s">
        <v>214</v>
      </c>
      <c r="D214" s="44"/>
      <c r="E214" s="44">
        <f>'Rates and GI'!$D$61</f>
        <v>50</v>
      </c>
      <c r="F214" s="44">
        <f>'Rates and GI'!$D$61</f>
        <v>50</v>
      </c>
      <c r="G214" s="38">
        <f>'Rates and GI'!$D$61</f>
        <v>50</v>
      </c>
      <c r="H214" s="38">
        <f>'Rates and GI'!$D$61</f>
        <v>50</v>
      </c>
      <c r="I214" s="62"/>
      <c r="J214" s="6"/>
      <c r="K214" s="6"/>
      <c r="L214" s="6"/>
    </row>
    <row r="215" spans="1:12" hidden="1" x14ac:dyDescent="0.25">
      <c r="A215" s="50"/>
      <c r="B215" s="50"/>
      <c r="C215" s="50"/>
      <c r="D215" s="52"/>
      <c r="E215" s="52"/>
      <c r="F215" s="52"/>
      <c r="G215" s="52"/>
      <c r="H215" s="52"/>
    </row>
    <row r="216" spans="1:12" hidden="1" x14ac:dyDescent="0.25">
      <c r="A216" s="50"/>
      <c r="B216" s="50" t="s">
        <v>194</v>
      </c>
      <c r="C216" s="50"/>
      <c r="D216" s="52"/>
      <c r="E216" s="52">
        <f>E217+E220+E223+E232+E237</f>
        <v>0</v>
      </c>
      <c r="F216" s="52">
        <f t="shared" ref="F216:H216" si="53">F217+F220+F223+F232+F237</f>
        <v>0</v>
      </c>
      <c r="G216" s="52">
        <f t="shared" si="53"/>
        <v>0</v>
      </c>
      <c r="H216" s="52">
        <f t="shared" si="53"/>
        <v>0</v>
      </c>
    </row>
    <row r="217" spans="1:12" s="5" customFormat="1" hidden="1" x14ac:dyDescent="0.25">
      <c r="B217" s="5" t="s">
        <v>173</v>
      </c>
      <c r="D217" s="44"/>
      <c r="E217" s="44">
        <f>E218+E221*E222</f>
        <v>0</v>
      </c>
      <c r="F217" s="44">
        <f>F218+F221*F222</f>
        <v>0</v>
      </c>
      <c r="G217" s="44">
        <f>G218+G221*G222</f>
        <v>0</v>
      </c>
      <c r="H217" s="44">
        <f t="shared" ref="H217" si="54">H218+H221*H222</f>
        <v>0</v>
      </c>
      <c r="I217" s="73"/>
    </row>
    <row r="218" spans="1:12" hidden="1" x14ac:dyDescent="0.25">
      <c r="B218" s="41" t="s">
        <v>184</v>
      </c>
      <c r="F218" s="44">
        <f>('Rates and GI'!$D$45+'Rates and GI'!$D$49)*0</f>
        <v>0</v>
      </c>
      <c r="G218" s="44">
        <f>('Rates and GI'!$D$45+'Rates and GI'!$D$49)*0</f>
        <v>0</v>
      </c>
      <c r="H218" s="44"/>
    </row>
    <row r="219" spans="1:12" hidden="1" x14ac:dyDescent="0.25">
      <c r="B219" s="41" t="s">
        <v>187</v>
      </c>
      <c r="F219" s="44">
        <f>'Rates and GI'!$D$51*0</f>
        <v>0</v>
      </c>
      <c r="G219" s="44">
        <f>'Rates and GI'!$D$51*0</f>
        <v>0</v>
      </c>
      <c r="H219" s="44"/>
    </row>
    <row r="220" spans="1:12" hidden="1" x14ac:dyDescent="0.25">
      <c r="B220" s="5" t="s">
        <v>174</v>
      </c>
      <c r="E220" s="44">
        <f>E221*E222</f>
        <v>0</v>
      </c>
      <c r="F220" s="44">
        <f t="shared" ref="F220:H220" si="55">F221*F222</f>
        <v>0</v>
      </c>
      <c r="G220" s="44">
        <f t="shared" si="55"/>
        <v>0</v>
      </c>
      <c r="H220" s="44">
        <f t="shared" si="55"/>
        <v>0</v>
      </c>
    </row>
    <row r="221" spans="1:12" hidden="1" x14ac:dyDescent="0.25">
      <c r="B221" s="41" t="s">
        <v>164</v>
      </c>
      <c r="F221" s="44">
        <f>'Rates and GI'!$D$54</f>
        <v>24.066499999999998</v>
      </c>
      <c r="G221" s="44">
        <f>'Rates and GI'!$D$54</f>
        <v>24.066499999999998</v>
      </c>
      <c r="H221" s="44">
        <f>'Rates and GI'!$D$54</f>
        <v>24.066499999999998</v>
      </c>
    </row>
    <row r="222" spans="1:12" hidden="1" x14ac:dyDescent="0.25">
      <c r="B222" s="41" t="s">
        <v>163</v>
      </c>
      <c r="F222" s="44">
        <v>0</v>
      </c>
      <c r="G222" s="38">
        <v>0</v>
      </c>
      <c r="H222" s="38">
        <v>0</v>
      </c>
    </row>
    <row r="223" spans="1:12" hidden="1" x14ac:dyDescent="0.25">
      <c r="B223" s="5" t="s">
        <v>175</v>
      </c>
      <c r="E223" s="44">
        <f>E224+E228</f>
        <v>0</v>
      </c>
      <c r="F223" s="44">
        <f t="shared" ref="F223:H223" si="56">F224+F228</f>
        <v>0</v>
      </c>
      <c r="G223" s="44">
        <f t="shared" si="56"/>
        <v>0</v>
      </c>
      <c r="H223" s="44">
        <f t="shared" si="56"/>
        <v>0</v>
      </c>
    </row>
    <row r="224" spans="1:12" hidden="1" x14ac:dyDescent="0.25">
      <c r="B224" s="41" t="s">
        <v>189</v>
      </c>
      <c r="E224" s="44">
        <f>E225*E226</f>
        <v>0</v>
      </c>
      <c r="F224" s="44">
        <f t="shared" ref="F224:H224" si="57">F225*F226</f>
        <v>0</v>
      </c>
      <c r="G224" s="44">
        <f t="shared" si="57"/>
        <v>0</v>
      </c>
      <c r="H224" s="44">
        <f t="shared" si="57"/>
        <v>0</v>
      </c>
    </row>
    <row r="225" spans="1:12" hidden="1" x14ac:dyDescent="0.25">
      <c r="B225" s="41" t="s">
        <v>176</v>
      </c>
      <c r="C225" s="5" t="s">
        <v>177</v>
      </c>
      <c r="E225" s="44">
        <v>0</v>
      </c>
      <c r="F225" s="44">
        <v>0</v>
      </c>
      <c r="G225" s="38">
        <v>0</v>
      </c>
      <c r="H225" s="38">
        <v>0</v>
      </c>
    </row>
    <row r="226" spans="1:12" hidden="1" x14ac:dyDescent="0.25">
      <c r="B226" s="41" t="s">
        <v>178</v>
      </c>
      <c r="E226" s="44">
        <f>'Rates and GI'!$D$52</f>
        <v>150</v>
      </c>
      <c r="F226" s="44">
        <f>'Rates and GI'!$D$52</f>
        <v>150</v>
      </c>
      <c r="G226" s="44">
        <f>'Rates and GI'!$D$52</f>
        <v>150</v>
      </c>
      <c r="H226" s="44">
        <f>'Rates and GI'!$D$52</f>
        <v>150</v>
      </c>
    </row>
    <row r="227" spans="1:12" hidden="1" x14ac:dyDescent="0.25">
      <c r="B227" s="6"/>
    </row>
    <row r="228" spans="1:12" hidden="1" x14ac:dyDescent="0.25">
      <c r="B228" s="41" t="s">
        <v>190</v>
      </c>
      <c r="E228" s="44">
        <f>E229*E230</f>
        <v>0</v>
      </c>
      <c r="F228" s="44">
        <f t="shared" ref="F228:H228" si="58">F229*F230</f>
        <v>0</v>
      </c>
      <c r="G228" s="44">
        <f t="shared" si="58"/>
        <v>0</v>
      </c>
      <c r="H228" s="44">
        <f t="shared" si="58"/>
        <v>0</v>
      </c>
    </row>
    <row r="229" spans="1:12" hidden="1" x14ac:dyDescent="0.25">
      <c r="B229" s="41" t="s">
        <v>176</v>
      </c>
      <c r="C229" s="5" t="s">
        <v>177</v>
      </c>
      <c r="E229" s="44">
        <v>0</v>
      </c>
      <c r="F229" s="44">
        <v>0</v>
      </c>
      <c r="G229" s="38">
        <v>0</v>
      </c>
      <c r="H229" s="38">
        <v>0</v>
      </c>
    </row>
    <row r="230" spans="1:12" s="62" customFormat="1" hidden="1" x14ac:dyDescent="0.25">
      <c r="A230" s="5"/>
      <c r="B230" s="41" t="s">
        <v>178</v>
      </c>
      <c r="C230" s="5"/>
      <c r="D230" s="44"/>
      <c r="E230" s="44">
        <f>'Rates and GI'!$D$53</f>
        <v>20</v>
      </c>
      <c r="F230" s="44">
        <f>'Rates and GI'!$D$53</f>
        <v>20</v>
      </c>
      <c r="G230" s="44">
        <f>'Rates and GI'!$D$53</f>
        <v>20</v>
      </c>
      <c r="H230" s="44">
        <f>'Rates and GI'!$D$53</f>
        <v>20</v>
      </c>
      <c r="J230" s="6"/>
      <c r="K230" s="6"/>
      <c r="L230" s="6"/>
    </row>
    <row r="231" spans="1:12" s="62" customFormat="1" hidden="1" x14ac:dyDescent="0.25">
      <c r="A231" s="5"/>
      <c r="B231" s="6"/>
      <c r="C231" s="5"/>
      <c r="D231" s="44"/>
      <c r="E231" s="44"/>
      <c r="F231" s="44"/>
      <c r="G231" s="38"/>
      <c r="H231" s="38"/>
      <c r="J231" s="6"/>
      <c r="K231" s="6"/>
      <c r="L231" s="6"/>
    </row>
    <row r="232" spans="1:12" s="62" customFormat="1" hidden="1" x14ac:dyDescent="0.25">
      <c r="A232" s="5"/>
      <c r="B232" s="5" t="s">
        <v>179</v>
      </c>
      <c r="C232" s="5"/>
      <c r="D232" s="44"/>
      <c r="E232" s="44">
        <f>E233*E234*E235</f>
        <v>0</v>
      </c>
      <c r="F232" s="44">
        <f t="shared" ref="F232:H232" si="59">F233*F234*F235</f>
        <v>0</v>
      </c>
      <c r="G232" s="44">
        <f t="shared" si="59"/>
        <v>0</v>
      </c>
      <c r="H232" s="44">
        <f t="shared" si="59"/>
        <v>0</v>
      </c>
      <c r="J232" s="6"/>
      <c r="K232" s="6"/>
      <c r="L232" s="6"/>
    </row>
    <row r="233" spans="1:12" s="62" customFormat="1" hidden="1" x14ac:dyDescent="0.25">
      <c r="A233" s="5"/>
      <c r="B233" s="41" t="s">
        <v>191</v>
      </c>
      <c r="C233" s="5"/>
      <c r="D233" s="44"/>
      <c r="E233" s="44"/>
      <c r="F233" s="44">
        <f>'Rates and GI'!$D$55</f>
        <v>300</v>
      </c>
      <c r="G233" s="44">
        <f>'Rates and GI'!$D$55</f>
        <v>300</v>
      </c>
      <c r="H233" s="44">
        <f>'Rates and GI'!$D$55</f>
        <v>300</v>
      </c>
      <c r="J233" s="6"/>
      <c r="K233" s="6"/>
      <c r="L233" s="6"/>
    </row>
    <row r="234" spans="1:12" s="62" customFormat="1" hidden="1" x14ac:dyDescent="0.25">
      <c r="A234" s="5"/>
      <c r="B234" s="41" t="s">
        <v>192</v>
      </c>
      <c r="C234" s="5"/>
      <c r="D234" s="44"/>
      <c r="E234" s="44"/>
      <c r="F234" s="44">
        <v>3</v>
      </c>
      <c r="G234" s="44">
        <v>3</v>
      </c>
      <c r="H234" s="44">
        <v>3</v>
      </c>
      <c r="J234" s="6"/>
      <c r="K234" s="6"/>
      <c r="L234" s="6"/>
    </row>
    <row r="235" spans="1:12" s="62" customFormat="1" hidden="1" x14ac:dyDescent="0.25">
      <c r="A235" s="5"/>
      <c r="B235" s="41" t="s">
        <v>193</v>
      </c>
      <c r="C235" s="5"/>
      <c r="D235" s="44"/>
      <c r="E235" s="44"/>
      <c r="F235" s="44">
        <v>0</v>
      </c>
      <c r="G235" s="44">
        <v>0</v>
      </c>
      <c r="H235" s="44">
        <v>0</v>
      </c>
      <c r="J235" s="6"/>
      <c r="K235" s="6"/>
      <c r="L235" s="6"/>
    </row>
    <row r="236" spans="1:12" hidden="1" x14ac:dyDescent="0.25"/>
    <row r="237" spans="1:12" s="62" customFormat="1" hidden="1" x14ac:dyDescent="0.25">
      <c r="A237" s="5"/>
      <c r="B237" s="5" t="s">
        <v>172</v>
      </c>
      <c r="C237" s="5"/>
      <c r="D237" s="44"/>
      <c r="E237" s="44">
        <f>E238+E239*E240</f>
        <v>0</v>
      </c>
      <c r="F237" s="44">
        <f>F238+F239*F240</f>
        <v>0</v>
      </c>
      <c r="G237" s="44">
        <f>G238+G239*G240</f>
        <v>0</v>
      </c>
      <c r="H237" s="44">
        <f>H238+H239*H240</f>
        <v>0</v>
      </c>
      <c r="J237" s="6"/>
      <c r="K237" s="6"/>
      <c r="L237" s="6"/>
    </row>
    <row r="238" spans="1:12" s="62" customFormat="1" hidden="1" x14ac:dyDescent="0.25">
      <c r="A238" s="5"/>
      <c r="B238" s="41" t="s">
        <v>153</v>
      </c>
      <c r="C238" s="5"/>
      <c r="D238" s="44"/>
      <c r="E238" s="44"/>
      <c r="F238" s="44">
        <f>'Rates and GI'!D46*0</f>
        <v>0</v>
      </c>
      <c r="G238" s="38"/>
      <c r="H238" s="38"/>
      <c r="J238" s="6"/>
      <c r="K238" s="6"/>
      <c r="L238" s="6"/>
    </row>
    <row r="239" spans="1:12" s="62" customFormat="1" hidden="1" x14ac:dyDescent="0.25">
      <c r="A239" s="5"/>
      <c r="B239" s="41" t="s">
        <v>159</v>
      </c>
      <c r="C239" s="5"/>
      <c r="D239" s="44"/>
      <c r="E239" s="44"/>
      <c r="F239" s="65">
        <f>'Rates and GI'!$D$47</f>
        <v>0.05</v>
      </c>
      <c r="G239" s="65">
        <f>'Rates and GI'!$D$47</f>
        <v>0.05</v>
      </c>
      <c r="H239" s="65">
        <f>'Rates and GI'!$D$47</f>
        <v>0.05</v>
      </c>
      <c r="J239" s="6"/>
      <c r="K239" s="6"/>
      <c r="L239" s="6"/>
    </row>
    <row r="240" spans="1:12" s="62" customFormat="1" hidden="1" x14ac:dyDescent="0.25">
      <c r="A240" s="5"/>
      <c r="B240" s="41" t="s">
        <v>160</v>
      </c>
      <c r="C240" s="5"/>
      <c r="D240" s="44"/>
      <c r="E240" s="44"/>
      <c r="F240" s="44">
        <v>0</v>
      </c>
      <c r="G240" s="38">
        <v>0</v>
      </c>
      <c r="H240" s="38"/>
      <c r="J240" s="6"/>
      <c r="K240" s="6"/>
      <c r="L240" s="6"/>
    </row>
    <row r="241" spans="1:12" hidden="1" x14ac:dyDescent="0.25"/>
    <row r="242" spans="1:12" s="62" customFormat="1" hidden="1" x14ac:dyDescent="0.25">
      <c r="A242" s="50"/>
      <c r="B242" s="50" t="s">
        <v>19</v>
      </c>
      <c r="C242" s="50"/>
      <c r="D242" s="52"/>
      <c r="E242" s="52">
        <v>0</v>
      </c>
      <c r="F242" s="52">
        <v>0</v>
      </c>
      <c r="G242" s="52">
        <v>0</v>
      </c>
      <c r="H242" s="52">
        <v>0</v>
      </c>
      <c r="J242" s="6"/>
      <c r="K242" s="6"/>
      <c r="L242" s="6"/>
    </row>
    <row r="243" spans="1:12" hidden="1" x14ac:dyDescent="0.25"/>
    <row r="244" spans="1:12" ht="27" hidden="1" x14ac:dyDescent="0.25">
      <c r="A244" s="50"/>
      <c r="B244" s="132" t="s">
        <v>252</v>
      </c>
      <c r="C244" s="133"/>
      <c r="D244" s="51"/>
      <c r="E244" s="51"/>
      <c r="F244" s="51"/>
      <c r="G244" s="51"/>
      <c r="H244" s="51"/>
    </row>
    <row r="245" spans="1:12" hidden="1" x14ac:dyDescent="0.25">
      <c r="A245" s="10"/>
      <c r="B245" s="39" t="s">
        <v>253</v>
      </c>
      <c r="C245" s="134">
        <v>1</v>
      </c>
      <c r="D245" s="33"/>
      <c r="E245" s="44">
        <v>0</v>
      </c>
      <c r="F245" s="44">
        <v>0</v>
      </c>
      <c r="G245" s="44">
        <v>0</v>
      </c>
      <c r="H245" s="44">
        <v>0</v>
      </c>
    </row>
    <row r="246" spans="1:12" hidden="1" x14ac:dyDescent="0.25">
      <c r="B246" s="39" t="s">
        <v>254</v>
      </c>
      <c r="C246" s="33">
        <v>0</v>
      </c>
      <c r="D246" s="33"/>
      <c r="G246" s="44"/>
      <c r="H246" s="44"/>
    </row>
    <row r="247" spans="1:12" hidden="1" x14ac:dyDescent="0.25">
      <c r="B247" s="39" t="s">
        <v>255</v>
      </c>
      <c r="C247" s="73"/>
      <c r="D247" s="33"/>
      <c r="E247" s="44">
        <f>$C$246/$C$245*E245</f>
        <v>0</v>
      </c>
      <c r="F247" s="44">
        <f t="shared" ref="F247:H247" si="60">$C$246/$C$245*F245</f>
        <v>0</v>
      </c>
      <c r="G247" s="44">
        <f t="shared" si="60"/>
        <v>0</v>
      </c>
      <c r="H247" s="44">
        <f t="shared" si="60"/>
        <v>0</v>
      </c>
    </row>
    <row r="248" spans="1:12" hidden="1" x14ac:dyDescent="0.25"/>
    <row r="249" spans="1:12" x14ac:dyDescent="0.25">
      <c r="A249" s="50"/>
      <c r="B249" s="132" t="s">
        <v>527</v>
      </c>
      <c r="C249" s="133"/>
      <c r="D249" s="51"/>
      <c r="E249" s="52">
        <f>E250*E251</f>
        <v>6150</v>
      </c>
      <c r="F249" s="51"/>
      <c r="G249" s="51"/>
      <c r="H249" s="51"/>
    </row>
    <row r="250" spans="1:12" x14ac:dyDescent="0.25">
      <c r="B250" s="41" t="s">
        <v>277</v>
      </c>
      <c r="E250" s="44">
        <v>75</v>
      </c>
    </row>
    <row r="251" spans="1:12" x14ac:dyDescent="0.25">
      <c r="B251" s="41" t="s">
        <v>274</v>
      </c>
      <c r="E251" s="44">
        <v>82</v>
      </c>
    </row>
    <row r="252" spans="1:12" x14ac:dyDescent="0.25">
      <c r="A252" s="228"/>
      <c r="B252" s="228"/>
      <c r="C252" s="228"/>
      <c r="D252" s="230"/>
      <c r="E252" s="230"/>
      <c r="F252" s="230"/>
      <c r="G252" s="230"/>
      <c r="H252" s="230"/>
    </row>
  </sheetData>
  <pageMargins left="0.7" right="0.7" top="0.75" bottom="0.75" header="0.3" footer="0.3"/>
  <pageSetup paperSize="9" scale="56" fitToHeight="0"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45" workbookViewId="0">
      <selection activeCell="B190" sqref="B19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49</v>
      </c>
      <c r="B1" s="126" t="s">
        <v>316</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2598.2249999999999</v>
      </c>
      <c r="E5" s="44">
        <f>E67</f>
        <v>2598.2249999999999</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2598.2249999999999</v>
      </c>
      <c r="E7" s="47">
        <f>SUBTOTAL(9,E5:E6)</f>
        <v>2598.2249999999999</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428</v>
      </c>
      <c r="E26" s="44">
        <f>E132</f>
        <v>428</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428</v>
      </c>
      <c r="E28" s="47">
        <f t="shared" ref="E28:H28" si="16">SUBTOTAL(9,E25:E27)</f>
        <v>428</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0</v>
      </c>
      <c r="E51" s="44">
        <f>E141</f>
        <v>0</v>
      </c>
      <c r="F51" s="44">
        <f t="shared" ref="F51:H51" si="27">F141</f>
        <v>0</v>
      </c>
      <c r="G51" s="44">
        <f t="shared" si="27"/>
        <v>0</v>
      </c>
      <c r="H51" s="44">
        <f t="shared" si="27"/>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3026.2249999999999</v>
      </c>
      <c r="E54" s="49">
        <f>SUBTOTAL(9,E5:E52)</f>
        <v>3026.2249999999999</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x14ac:dyDescent="0.25">
      <c r="B67" s="5" t="s">
        <v>23</v>
      </c>
      <c r="E67" s="44">
        <f>E68*E69</f>
        <v>2598.2249999999999</v>
      </c>
      <c r="F67" s="44">
        <f t="shared" ref="F67:H67" si="28">F68*F69</f>
        <v>0</v>
      </c>
      <c r="G67" s="44">
        <f t="shared" si="28"/>
        <v>0</v>
      </c>
      <c r="H67" s="44">
        <f t="shared" si="28"/>
        <v>0</v>
      </c>
    </row>
    <row r="68" spans="1:12" x14ac:dyDescent="0.25">
      <c r="A68" s="9"/>
      <c r="B68" s="9" t="s">
        <v>114</v>
      </c>
      <c r="C68" s="9" t="s">
        <v>113</v>
      </c>
      <c r="E68" s="44">
        <f>7*21</f>
        <v>147</v>
      </c>
      <c r="F68" s="44">
        <v>0</v>
      </c>
      <c r="G68" s="44">
        <v>0</v>
      </c>
      <c r="H68" s="44">
        <f>G68</f>
        <v>0</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34">E112*E113</f>
        <v>0</v>
      </c>
      <c r="F111" s="52">
        <f t="shared" si="34"/>
        <v>0</v>
      </c>
      <c r="G111" s="52">
        <f t="shared" si="34"/>
        <v>0</v>
      </c>
      <c r="H111" s="52">
        <f t="shared" si="34"/>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x14ac:dyDescent="0.25">
      <c r="A132" s="50"/>
      <c r="B132" s="50" t="s">
        <v>25</v>
      </c>
      <c r="C132" s="50"/>
      <c r="D132" s="52"/>
      <c r="E132" s="52">
        <f>E133+E136</f>
        <v>428</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x14ac:dyDescent="0.25">
      <c r="B136" s="5" t="s">
        <v>154</v>
      </c>
      <c r="D136" s="44"/>
      <c r="E136" s="44">
        <f>E137+E138*E139</f>
        <v>428</v>
      </c>
      <c r="F136" s="44">
        <f>F137+F138*F139</f>
        <v>0</v>
      </c>
      <c r="G136" s="44">
        <f t="shared" ref="G136:H136" si="36">G137+G138*G139</f>
        <v>0</v>
      </c>
      <c r="H136" s="44">
        <f t="shared" si="36"/>
        <v>0</v>
      </c>
      <c r="I136" s="73"/>
    </row>
    <row r="137" spans="1:12" x14ac:dyDescent="0.25">
      <c r="B137" s="41" t="s">
        <v>153</v>
      </c>
      <c r="E137" s="44">
        <f>'Rates and GI'!D46*2</f>
        <v>300</v>
      </c>
      <c r="F137" s="44">
        <f>'Rates and GI'!D46*0</f>
        <v>0</v>
      </c>
    </row>
    <row r="138" spans="1:12" x14ac:dyDescent="0.25">
      <c r="B138" s="41" t="s">
        <v>159</v>
      </c>
      <c r="E138" s="60">
        <f>'Rates and GI'!$D$48</f>
        <v>0.02</v>
      </c>
      <c r="F138" s="60">
        <f>'Rates and GI'!$D$48</f>
        <v>0.02</v>
      </c>
      <c r="G138" s="60">
        <f>'Rates and GI'!$D$48</f>
        <v>0.02</v>
      </c>
      <c r="H138" s="60">
        <f>'Rates and GI'!$D$48</f>
        <v>0.02</v>
      </c>
    </row>
    <row r="139" spans="1:12" x14ac:dyDescent="0.25">
      <c r="B139" s="41" t="s">
        <v>160</v>
      </c>
      <c r="E139" s="44">
        <f>(108+20)*50</f>
        <v>6400</v>
      </c>
      <c r="F139" s="44">
        <v>0</v>
      </c>
      <c r="G139" s="44">
        <v>0</v>
      </c>
      <c r="H139" s="44">
        <v>0</v>
      </c>
    </row>
    <row r="140" spans="1:12" s="5" customFormat="1" x14ac:dyDescent="0.25">
      <c r="A140" s="228"/>
      <c r="B140" s="231"/>
      <c r="C140" s="228"/>
      <c r="D140" s="230"/>
      <c r="E140" s="230"/>
      <c r="F140" s="230"/>
      <c r="G140" s="230"/>
      <c r="H140" s="230"/>
      <c r="I140" s="62"/>
      <c r="J140" s="6"/>
      <c r="K140" s="6"/>
      <c r="L140" s="6"/>
    </row>
    <row r="141" spans="1:12" hidden="1" x14ac:dyDescent="0.25">
      <c r="A141" s="50"/>
      <c r="B141" s="50" t="s">
        <v>21</v>
      </c>
      <c r="C141" s="50"/>
      <c r="D141" s="52"/>
      <c r="E141" s="52">
        <f>E142*E143+E144*E145++E146*E147+E148*E149</f>
        <v>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hidden="1" x14ac:dyDescent="0.25"/>
  </sheetData>
  <pageMargins left="0.7" right="0.7" top="0.75" bottom="0.75" header="0.3" footer="0.3"/>
  <pageSetup paperSize="9" scale="56" fitToHeight="0"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4"/>
  <sheetViews>
    <sheetView topLeftCell="A52" zoomScaleNormal="100" workbookViewId="0">
      <selection activeCell="D239" sqref="D239"/>
    </sheetView>
  </sheetViews>
  <sheetFormatPr defaultRowHeight="13.5" x14ac:dyDescent="0.25"/>
  <cols>
    <col min="1" max="1" width="5.5703125" style="5" customWidth="1"/>
    <col min="2" max="2" width="81.42578125" style="5" customWidth="1"/>
    <col min="3" max="3" width="15.7109375" style="5" customWidth="1"/>
    <col min="4" max="4" width="14.7109375" style="44" customWidth="1"/>
    <col min="5" max="5" width="12.5703125" style="44" bestFit="1" customWidth="1"/>
    <col min="6" max="6" width="11.5703125" style="44" bestFit="1" customWidth="1"/>
    <col min="7" max="7" width="11.42578125" style="38" bestFit="1" customWidth="1"/>
    <col min="8" max="8" width="10.28515625" style="38" bestFit="1" customWidth="1"/>
    <col min="9" max="9" width="9.140625" style="62"/>
    <col min="10" max="16384" width="9.140625" style="6"/>
  </cols>
  <sheetData>
    <row r="1" spans="1:12" s="86" customFormat="1" ht="17.25" x14ac:dyDescent="0.3">
      <c r="A1" s="123">
        <v>50</v>
      </c>
      <c r="B1" s="126" t="s">
        <v>494</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E72</f>
        <v>0</v>
      </c>
      <c r="F5" s="44">
        <f t="shared" ref="F5:H5" si="1">F72</f>
        <v>0</v>
      </c>
      <c r="G5" s="44">
        <f t="shared" si="1"/>
        <v>0</v>
      </c>
      <c r="H5" s="44">
        <f t="shared" si="1"/>
        <v>0</v>
      </c>
    </row>
    <row r="6" spans="1:12" x14ac:dyDescent="0.25">
      <c r="B6" s="16" t="s">
        <v>168</v>
      </c>
      <c r="D6" s="44">
        <f t="shared" si="0"/>
        <v>0</v>
      </c>
      <c r="E6" s="44">
        <f>E76</f>
        <v>0</v>
      </c>
      <c r="F6" s="44">
        <f t="shared" ref="F6:H6" si="2">F76</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E96</f>
        <v>0</v>
      </c>
      <c r="F10" s="44">
        <f t="shared" ref="F10:H10" si="4">F96</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E104</f>
        <v>0</v>
      </c>
      <c r="F15" s="44">
        <f t="shared" ref="F15:H15" si="7">F104</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E108</f>
        <v>0</v>
      </c>
      <c r="F20" s="44">
        <f t="shared" ref="F20:H20" si="10">F108</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E116</f>
        <v>0</v>
      </c>
      <c r="F25" s="44">
        <f t="shared" ref="F25:H25" si="13">F116</f>
        <v>0</v>
      </c>
      <c r="G25" s="44">
        <f t="shared" si="13"/>
        <v>0</v>
      </c>
      <c r="H25" s="44">
        <f t="shared" si="13"/>
        <v>0</v>
      </c>
    </row>
    <row r="26" spans="1:12" x14ac:dyDescent="0.25">
      <c r="B26" s="16" t="s">
        <v>25</v>
      </c>
      <c r="D26" s="44">
        <f t="shared" ref="D26" si="14">SUM(E26:H26)</f>
        <v>0</v>
      </c>
      <c r="E26" s="44">
        <f>E160</f>
        <v>0</v>
      </c>
      <c r="F26" s="44">
        <f t="shared" ref="F26:H26" si="15">F160</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5" si="17">SUM(E31:H31)</f>
        <v>0</v>
      </c>
    </row>
    <row r="32" spans="1:12" x14ac:dyDescent="0.25">
      <c r="B32" s="172" t="s">
        <v>377</v>
      </c>
      <c r="D32" s="44">
        <f t="shared" si="17"/>
        <v>0</v>
      </c>
      <c r="E32" s="44">
        <f>E122</f>
        <v>0</v>
      </c>
    </row>
    <row r="33" spans="1:12" x14ac:dyDescent="0.25">
      <c r="B33" s="16" t="s">
        <v>26</v>
      </c>
      <c r="D33" s="44">
        <f t="shared" si="17"/>
        <v>44447.183999999994</v>
      </c>
      <c r="E33" s="44">
        <f>E129</f>
        <v>44447.183999999994</v>
      </c>
      <c r="F33" s="44">
        <f t="shared" ref="F33:H33" si="18">F129</f>
        <v>0</v>
      </c>
      <c r="G33" s="44">
        <f t="shared" si="18"/>
        <v>0</v>
      </c>
      <c r="H33" s="44">
        <f t="shared" si="18"/>
        <v>0</v>
      </c>
    </row>
    <row r="34" spans="1:12" x14ac:dyDescent="0.25">
      <c r="B34" s="16" t="s">
        <v>477</v>
      </c>
      <c r="D34" s="44">
        <f t="shared" si="17"/>
        <v>0</v>
      </c>
      <c r="E34" s="44">
        <f>E149</f>
        <v>0</v>
      </c>
      <c r="F34" s="44">
        <f t="shared" ref="F34:H34" si="19">F149</f>
        <v>0</v>
      </c>
      <c r="G34" s="44">
        <f t="shared" si="19"/>
        <v>0</v>
      </c>
      <c r="H34" s="44">
        <f t="shared" si="19"/>
        <v>0</v>
      </c>
    </row>
    <row r="35" spans="1:12" x14ac:dyDescent="0.25">
      <c r="B35" s="16" t="s">
        <v>9</v>
      </c>
      <c r="D35" s="44">
        <f t="shared" si="17"/>
        <v>0</v>
      </c>
    </row>
    <row r="36" spans="1:12" ht="14.25" thickBot="1" x14ac:dyDescent="0.3">
      <c r="A36" s="13"/>
      <c r="B36" s="13" t="s">
        <v>67</v>
      </c>
      <c r="C36" s="13"/>
      <c r="D36" s="47">
        <f>SUBTOTAL(9,D31:D35)</f>
        <v>44447.183999999994</v>
      </c>
      <c r="E36" s="47">
        <f>SUBTOTAL(9,E31:E35)</f>
        <v>44447.183999999994</v>
      </c>
      <c r="F36" s="47">
        <f t="shared" ref="F36:H36" si="20">SUBTOTAL(9,F31:F35)</f>
        <v>0</v>
      </c>
      <c r="G36" s="47">
        <f t="shared" si="20"/>
        <v>0</v>
      </c>
      <c r="H36" s="47">
        <f t="shared" si="20"/>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21">SUM(E39:H39)</f>
        <v>0</v>
      </c>
    </row>
    <row r="40" spans="1:12" x14ac:dyDescent="0.25">
      <c r="A40" s="2"/>
      <c r="B40" s="2" t="s">
        <v>18</v>
      </c>
      <c r="C40" s="2"/>
      <c r="D40" s="44">
        <f t="shared" si="21"/>
        <v>0</v>
      </c>
    </row>
    <row r="41" spans="1:12" x14ac:dyDescent="0.25">
      <c r="A41" s="2"/>
      <c r="B41" s="2" t="s">
        <v>19</v>
      </c>
      <c r="C41" s="2"/>
      <c r="D41" s="44">
        <f t="shared" si="21"/>
        <v>0</v>
      </c>
      <c r="E41" s="44">
        <f>E205</f>
        <v>0</v>
      </c>
      <c r="F41" s="44">
        <f t="shared" ref="F41:H41" si="22">F205</f>
        <v>0</v>
      </c>
      <c r="G41" s="44">
        <f t="shared" si="22"/>
        <v>0</v>
      </c>
      <c r="H41" s="44">
        <f t="shared" si="22"/>
        <v>0</v>
      </c>
    </row>
    <row r="42" spans="1:12" x14ac:dyDescent="0.25">
      <c r="A42" s="3"/>
      <c r="B42" s="3" t="s">
        <v>13</v>
      </c>
      <c r="C42" s="3"/>
      <c r="D42" s="44">
        <f t="shared" si="21"/>
        <v>0</v>
      </c>
    </row>
    <row r="43" spans="1:12" x14ac:dyDescent="0.25">
      <c r="A43" s="3"/>
      <c r="B43" s="3" t="s">
        <v>22</v>
      </c>
      <c r="C43" s="3"/>
      <c r="D43" s="44">
        <f t="shared" si="21"/>
        <v>0</v>
      </c>
    </row>
    <row r="44" spans="1:12" ht="14.25" thickBot="1" x14ac:dyDescent="0.3">
      <c r="A44" s="13"/>
      <c r="B44" s="13" t="s">
        <v>68</v>
      </c>
      <c r="C44" s="13"/>
      <c r="D44" s="47">
        <f>SUBTOTAL(9,D39:D43)</f>
        <v>0</v>
      </c>
      <c r="E44" s="47">
        <f t="shared" ref="E44:H44" si="23">SUBTOTAL(9,E39:E43)</f>
        <v>0</v>
      </c>
      <c r="F44" s="47">
        <f t="shared" si="23"/>
        <v>0</v>
      </c>
      <c r="G44" s="47">
        <f t="shared" si="23"/>
        <v>0</v>
      </c>
      <c r="H44" s="47">
        <f t="shared" si="23"/>
        <v>0</v>
      </c>
    </row>
    <row r="45" spans="1:12" ht="5.25" customHeight="1" x14ac:dyDescent="0.25">
      <c r="A45" s="3"/>
      <c r="B45" s="6"/>
      <c r="C45" s="3"/>
    </row>
    <row r="46" spans="1:12" x14ac:dyDescent="0.25">
      <c r="A46" s="15"/>
      <c r="B46" s="15" t="s">
        <v>472</v>
      </c>
      <c r="C46" s="15"/>
      <c r="D46" s="53"/>
      <c r="E46" s="53"/>
      <c r="F46" s="53"/>
      <c r="G46" s="54"/>
      <c r="H46" s="54"/>
      <c r="I46" s="61"/>
      <c r="J46" s="12"/>
      <c r="K46" s="12"/>
      <c r="L46" s="12"/>
    </row>
    <row r="47" spans="1:12" x14ac:dyDescent="0.25">
      <c r="A47" s="3"/>
      <c r="B47" s="3" t="s">
        <v>472</v>
      </c>
      <c r="C47" s="3"/>
      <c r="D47" s="44">
        <f t="shared" ref="D47" si="24">SUM(E47:H47)</f>
        <v>0</v>
      </c>
      <c r="E47" s="44">
        <f>E156</f>
        <v>0</v>
      </c>
      <c r="F47" s="44">
        <f t="shared" ref="F47:H47" si="25">F156</f>
        <v>0</v>
      </c>
      <c r="G47" s="44">
        <f t="shared" si="25"/>
        <v>0</v>
      </c>
      <c r="H47" s="44">
        <f t="shared" si="25"/>
        <v>0</v>
      </c>
    </row>
    <row r="48" spans="1:12" ht="14.25" thickBot="1" x14ac:dyDescent="0.3">
      <c r="A48" s="13"/>
      <c r="B48" s="13" t="s">
        <v>473</v>
      </c>
      <c r="C48" s="13"/>
      <c r="D48" s="47">
        <f>SUBTOTAL(9,D47:D47)</f>
        <v>0</v>
      </c>
      <c r="E48" s="47">
        <f>SUBTOTAL(9,E47:E47)</f>
        <v>0</v>
      </c>
      <c r="F48" s="47">
        <f>SUBTOTAL(9,F47:F47)</f>
        <v>0</v>
      </c>
      <c r="G48" s="47">
        <f>SUBTOTAL(9,G47:G47)</f>
        <v>0</v>
      </c>
      <c r="H48" s="47">
        <f>SUBTOTAL(9,H47:H47)</f>
        <v>0</v>
      </c>
    </row>
    <row r="49" spans="1:12" ht="7.5" customHeight="1" x14ac:dyDescent="0.25">
      <c r="A49" s="167"/>
      <c r="B49" s="167"/>
      <c r="C49" s="167"/>
      <c r="D49" s="151"/>
      <c r="E49" s="151"/>
      <c r="F49" s="151"/>
      <c r="G49" s="151"/>
      <c r="H49" s="151"/>
    </row>
    <row r="50" spans="1:12" x14ac:dyDescent="0.25">
      <c r="A50" s="15"/>
      <c r="B50" s="15" t="s">
        <v>252</v>
      </c>
      <c r="C50" s="135"/>
      <c r="D50" s="53"/>
      <c r="E50" s="53"/>
      <c r="F50" s="53"/>
      <c r="G50" s="54"/>
      <c r="H50" s="54"/>
      <c r="I50" s="12"/>
      <c r="J50" s="12"/>
      <c r="K50" s="12"/>
      <c r="L50" s="12"/>
    </row>
    <row r="51" spans="1:12" ht="27" x14ac:dyDescent="0.25">
      <c r="A51" s="2"/>
      <c r="B51" s="25" t="s">
        <v>252</v>
      </c>
      <c r="C51" s="1"/>
      <c r="D51" s="44">
        <f t="shared" ref="D51" si="26">SUM(E51:H51)</f>
        <v>101925.72</v>
      </c>
      <c r="E51" s="44">
        <f>E224</f>
        <v>67950.48</v>
      </c>
      <c r="F51" s="44">
        <f t="shared" ref="F51:H51" si="27">F224</f>
        <v>33975.24</v>
      </c>
      <c r="G51" s="44">
        <f t="shared" si="27"/>
        <v>0</v>
      </c>
      <c r="H51" s="44">
        <f t="shared" si="27"/>
        <v>0</v>
      </c>
      <c r="I51" s="6"/>
    </row>
    <row r="52" spans="1:12" ht="14.25" thickBot="1" x14ac:dyDescent="0.3">
      <c r="A52" s="13"/>
      <c r="B52" s="13" t="s">
        <v>256</v>
      </c>
      <c r="C52" s="136"/>
      <c r="D52" s="47">
        <f>SUBTOTAL(9,D51:D51)</f>
        <v>101925.72</v>
      </c>
      <c r="E52" s="47">
        <f>SUBTOTAL(9,E51:E51)</f>
        <v>67950.48</v>
      </c>
      <c r="F52" s="47">
        <f>SUBTOTAL(9,F51:F51)</f>
        <v>33975.24</v>
      </c>
      <c r="G52" s="47">
        <f>SUBTOTAL(9,G51:G51)</f>
        <v>0</v>
      </c>
      <c r="H52" s="47">
        <f>SUBTOTAL(9,H51:H51)</f>
        <v>0</v>
      </c>
      <c r="I52" s="6"/>
    </row>
    <row r="53" spans="1:12" ht="5.25" customHeight="1" x14ac:dyDescent="0.25">
      <c r="A53" s="3"/>
      <c r="B53" s="6"/>
      <c r="C53" s="3"/>
    </row>
    <row r="54" spans="1:12" x14ac:dyDescent="0.25">
      <c r="A54" s="15"/>
      <c r="B54" s="15" t="s">
        <v>20</v>
      </c>
      <c r="C54" s="15"/>
      <c r="D54" s="53"/>
      <c r="E54" s="53"/>
      <c r="F54" s="53"/>
      <c r="G54" s="54"/>
      <c r="H54" s="54"/>
      <c r="I54" s="61"/>
      <c r="J54" s="12"/>
      <c r="K54" s="12"/>
      <c r="L54" s="12"/>
    </row>
    <row r="55" spans="1:12" x14ac:dyDescent="0.25">
      <c r="A55" s="3"/>
      <c r="B55" s="3" t="s">
        <v>194</v>
      </c>
      <c r="C55" s="3"/>
      <c r="D55" s="44">
        <f t="shared" ref="D55:D56" si="28">SUM(E55:H55)</f>
        <v>0</v>
      </c>
      <c r="E55" s="44">
        <f>E179</f>
        <v>0</v>
      </c>
      <c r="F55" s="44">
        <f t="shared" ref="F55:H55" si="29">F179</f>
        <v>0</v>
      </c>
      <c r="G55" s="44">
        <f t="shared" si="29"/>
        <v>0</v>
      </c>
      <c r="H55" s="44">
        <f t="shared" si="29"/>
        <v>0</v>
      </c>
    </row>
    <row r="56" spans="1:12" x14ac:dyDescent="0.25">
      <c r="A56" s="3"/>
      <c r="B56" s="3" t="s">
        <v>21</v>
      </c>
      <c r="C56" s="3"/>
      <c r="D56" s="44">
        <f t="shared" si="28"/>
        <v>0</v>
      </c>
      <c r="E56" s="44">
        <f>E169</f>
        <v>0</v>
      </c>
      <c r="F56" s="44">
        <f t="shared" ref="F56:H56" si="30">F169</f>
        <v>0</v>
      </c>
      <c r="G56" s="44">
        <f t="shared" si="30"/>
        <v>0</v>
      </c>
      <c r="H56" s="44">
        <f t="shared" si="30"/>
        <v>0</v>
      </c>
    </row>
    <row r="57" spans="1:12" ht="14.25" thickBot="1" x14ac:dyDescent="0.3">
      <c r="A57" s="13"/>
      <c r="B57" s="13" t="s">
        <v>69</v>
      </c>
      <c r="C57" s="13"/>
      <c r="D57" s="47">
        <f>SUBTOTAL(9,D55:D56)</f>
        <v>0</v>
      </c>
      <c r="E57" s="47">
        <f>SUBTOTAL(9,E55:E56)</f>
        <v>0</v>
      </c>
      <c r="F57" s="47">
        <f>SUBTOTAL(9,F55:F56)</f>
        <v>0</v>
      </c>
      <c r="G57" s="47">
        <f>SUBTOTAL(9,G55:G56)</f>
        <v>0</v>
      </c>
      <c r="H57" s="47">
        <f>SUBTOTAL(9,H55:H56)</f>
        <v>0</v>
      </c>
    </row>
    <row r="58" spans="1:12" ht="5.25" customHeight="1" x14ac:dyDescent="0.25">
      <c r="A58" s="1"/>
      <c r="B58" s="1"/>
      <c r="C58" s="1"/>
    </row>
    <row r="59" spans="1:12" ht="14.25" thickBot="1" x14ac:dyDescent="0.3">
      <c r="A59" s="48"/>
      <c r="B59" s="48" t="s">
        <v>142</v>
      </c>
      <c r="C59" s="48"/>
      <c r="D59" s="49">
        <f>SUBTOTAL(9,D5:D57)</f>
        <v>146372.90399999998</v>
      </c>
      <c r="E59" s="49">
        <f>SUBTOTAL(9,E5:E57)</f>
        <v>112397.66399999999</v>
      </c>
      <c r="F59" s="49">
        <f>SUBTOTAL(9,F5:F57)</f>
        <v>33975.24</v>
      </c>
      <c r="G59" s="49">
        <f>SUBTOTAL(9,G5:G57)</f>
        <v>0</v>
      </c>
      <c r="H59" s="49">
        <f>SUBTOTAL(9,H5:H57)</f>
        <v>0</v>
      </c>
    </row>
    <row r="60" spans="1:12" ht="14.25" thickBot="1" x14ac:dyDescent="0.3">
      <c r="A60" s="1"/>
      <c r="B60" s="1"/>
      <c r="C60" s="1"/>
      <c r="D60" s="33"/>
      <c r="E60" s="33"/>
      <c r="F60" s="33"/>
      <c r="G60" s="28"/>
      <c r="H60" s="28"/>
      <c r="I60" s="6"/>
    </row>
    <row r="61" spans="1:12" ht="18" thickTop="1" x14ac:dyDescent="0.3">
      <c r="A61" s="120"/>
      <c r="B61" s="121" t="s">
        <v>27</v>
      </c>
      <c r="C61" s="121"/>
      <c r="D61" s="122"/>
      <c r="E61" s="122"/>
      <c r="F61" s="122"/>
      <c r="G61" s="122"/>
      <c r="H61" s="122"/>
      <c r="I61" s="6"/>
    </row>
    <row r="62" spans="1:12" ht="6.75" customHeight="1" x14ac:dyDescent="0.25">
      <c r="A62" s="1"/>
      <c r="B62" s="1"/>
      <c r="C62" s="1"/>
      <c r="D62" s="33"/>
      <c r="E62" s="33"/>
      <c r="F62" s="33"/>
      <c r="G62" s="28"/>
      <c r="H62" s="28"/>
      <c r="I62" s="6"/>
    </row>
    <row r="63" spans="1:12" s="14" customFormat="1" x14ac:dyDescent="0.25">
      <c r="A63" s="81"/>
      <c r="B63" s="81" t="s">
        <v>65</v>
      </c>
      <c r="C63" s="81" t="s">
        <v>64</v>
      </c>
      <c r="D63" s="82"/>
      <c r="E63" s="83">
        <f>start</f>
        <v>43831</v>
      </c>
      <c r="F63" s="83">
        <f>EOMONTH(E63,11)+1</f>
        <v>44197</v>
      </c>
      <c r="G63" s="83">
        <f>EOMONTH(F63,11)+1</f>
        <v>44562</v>
      </c>
      <c r="H63" s="83">
        <f>EOMONTH(G63,11)+1</f>
        <v>44927</v>
      </c>
    </row>
    <row r="64" spans="1:12" ht="6.75" customHeight="1" x14ac:dyDescent="0.25">
      <c r="D64" s="33"/>
      <c r="E64" s="33"/>
      <c r="F64" s="33"/>
      <c r="G64" s="28"/>
      <c r="H64" s="28"/>
      <c r="I64" s="6"/>
    </row>
    <row r="65" spans="1:12" hidden="1" x14ac:dyDescent="0.25">
      <c r="A65" s="50"/>
      <c r="B65" s="50" t="s">
        <v>0</v>
      </c>
      <c r="C65" s="50"/>
      <c r="D65" s="52"/>
      <c r="E65" s="52"/>
      <c r="F65" s="52"/>
      <c r="G65" s="52"/>
      <c r="H65" s="52"/>
    </row>
    <row r="66" spans="1:12" hidden="1" x14ac:dyDescent="0.25">
      <c r="B66" s="5" t="s">
        <v>2</v>
      </c>
      <c r="E66" s="44">
        <f>E67*E68*E69*E70</f>
        <v>0</v>
      </c>
      <c r="F66" s="45"/>
      <c r="G66" s="37"/>
      <c r="H66" s="37"/>
    </row>
    <row r="67" spans="1:12" hidden="1" x14ac:dyDescent="0.25">
      <c r="A67" s="9"/>
      <c r="B67" s="9" t="s">
        <v>36</v>
      </c>
      <c r="C67" s="9"/>
      <c r="E67" s="44">
        <v>0</v>
      </c>
    </row>
    <row r="68" spans="1:12" hidden="1" x14ac:dyDescent="0.25">
      <c r="A68" s="9"/>
      <c r="B68" s="9" t="s">
        <v>37</v>
      </c>
      <c r="C68" s="9"/>
      <c r="D68" s="45"/>
      <c r="E68" s="45">
        <v>0</v>
      </c>
    </row>
    <row r="69" spans="1:12" hidden="1" x14ac:dyDescent="0.25">
      <c r="A69" s="9"/>
      <c r="B69" s="9" t="s">
        <v>38</v>
      </c>
      <c r="C69" s="9"/>
      <c r="E69" s="44">
        <v>0</v>
      </c>
    </row>
    <row r="70" spans="1:12" hidden="1" x14ac:dyDescent="0.25">
      <c r="A70" s="9"/>
      <c r="B70" s="9" t="s">
        <v>39</v>
      </c>
      <c r="C70" s="9"/>
      <c r="E70" s="46">
        <v>0</v>
      </c>
    </row>
    <row r="71" spans="1:12" hidden="1" x14ac:dyDescent="0.25">
      <c r="A71" s="9"/>
      <c r="B71" s="9"/>
      <c r="C71" s="9"/>
    </row>
    <row r="72" spans="1:12" hidden="1" x14ac:dyDescent="0.25">
      <c r="B72" s="5" t="s">
        <v>23</v>
      </c>
      <c r="E72" s="44">
        <f>E73*E74</f>
        <v>0</v>
      </c>
      <c r="F72" s="44">
        <f t="shared" ref="F72:H72" si="31">F73*F74</f>
        <v>0</v>
      </c>
      <c r="G72" s="44">
        <f t="shared" si="31"/>
        <v>0</v>
      </c>
      <c r="H72" s="44">
        <f t="shared" si="31"/>
        <v>0</v>
      </c>
    </row>
    <row r="73" spans="1:12" hidden="1" x14ac:dyDescent="0.25">
      <c r="A73" s="9"/>
      <c r="B73" s="9" t="s">
        <v>114</v>
      </c>
      <c r="C73" s="9" t="s">
        <v>113</v>
      </c>
      <c r="E73" s="44">
        <v>0</v>
      </c>
      <c r="F73" s="44">
        <v>0</v>
      </c>
      <c r="G73" s="44">
        <v>0</v>
      </c>
      <c r="H73" s="44">
        <v>0</v>
      </c>
    </row>
    <row r="74" spans="1:12" hidden="1" x14ac:dyDescent="0.25">
      <c r="A74" s="9"/>
      <c r="B74" s="9" t="s">
        <v>40</v>
      </c>
      <c r="C74" s="9"/>
      <c r="E74" s="44">
        <f>'Rates and GI'!D12</f>
        <v>17.675000000000001</v>
      </c>
      <c r="F74" s="44">
        <f>E74*(1+index)</f>
        <v>18.435025</v>
      </c>
      <c r="G74" s="44">
        <f>F74*(1+index)</f>
        <v>19.227731074999998</v>
      </c>
      <c r="H74" s="44">
        <f>G74*(1+index)</f>
        <v>20.054523511224996</v>
      </c>
    </row>
    <row r="75" spans="1:12" hidden="1" x14ac:dyDescent="0.25"/>
    <row r="76" spans="1:12" s="7" customFormat="1" hidden="1" x14ac:dyDescent="0.25">
      <c r="A76" s="5"/>
      <c r="B76" s="5" t="s">
        <v>168</v>
      </c>
      <c r="C76" s="5"/>
      <c r="D76" s="44"/>
      <c r="E76" s="44">
        <f>E77*E78</f>
        <v>0</v>
      </c>
      <c r="F76" s="44">
        <f t="shared" ref="F76:H76" si="32">F77*F78</f>
        <v>0</v>
      </c>
      <c r="G76" s="44">
        <f t="shared" si="32"/>
        <v>0</v>
      </c>
      <c r="H76" s="44">
        <f t="shared" si="32"/>
        <v>0</v>
      </c>
      <c r="I76" s="62"/>
      <c r="J76" s="6"/>
      <c r="K76" s="6"/>
      <c r="L76" s="6"/>
    </row>
    <row r="77" spans="1:12" s="7" customFormat="1" hidden="1" x14ac:dyDescent="0.25">
      <c r="A77" s="9"/>
      <c r="B77" s="9" t="s">
        <v>170</v>
      </c>
      <c r="C77" s="9" t="s">
        <v>113</v>
      </c>
      <c r="D77" s="44"/>
      <c r="E77" s="44">
        <v>0</v>
      </c>
      <c r="F77" s="44">
        <v>0</v>
      </c>
      <c r="G77" s="44">
        <v>0</v>
      </c>
      <c r="H77" s="44">
        <v>0</v>
      </c>
      <c r="I77" s="62"/>
      <c r="J77" s="6"/>
      <c r="K77" s="6"/>
      <c r="L77" s="6"/>
    </row>
    <row r="78" spans="1:12" s="7" customFormat="1" hidden="1" x14ac:dyDescent="0.25">
      <c r="A78" s="9"/>
      <c r="B78" s="9" t="s">
        <v>40</v>
      </c>
      <c r="C78" s="9"/>
      <c r="D78" s="44"/>
      <c r="E78" s="44">
        <f>'Rates and GI'!D13</f>
        <v>162.21599999999998</v>
      </c>
      <c r="F78" s="44">
        <f>E78*(1+index)</f>
        <v>169.19128799999996</v>
      </c>
      <c r="G78" s="44">
        <f>F78*(1+index)</f>
        <v>176.46651338399994</v>
      </c>
      <c r="H78" s="44">
        <f>G78*(1+index)</f>
        <v>184.05457345951191</v>
      </c>
      <c r="I78" s="62"/>
      <c r="J78" s="6"/>
      <c r="K78" s="6"/>
      <c r="L78" s="6"/>
    </row>
    <row r="79" spans="1:12" hidden="1" x14ac:dyDescent="0.25"/>
    <row r="80" spans="1:12" s="7" customFormat="1" hidden="1" x14ac:dyDescent="0.25">
      <c r="A80" s="5"/>
      <c r="B80" s="5" t="s">
        <v>1</v>
      </c>
      <c r="C80" s="5"/>
      <c r="D80" s="44"/>
      <c r="E80" s="44"/>
      <c r="F80" s="44"/>
      <c r="G80" s="38"/>
      <c r="H80" s="38"/>
      <c r="I80" s="62"/>
      <c r="J80" s="6"/>
      <c r="K80" s="6"/>
      <c r="L80" s="6"/>
    </row>
    <row r="81" spans="1:12" s="7" customFormat="1" hidden="1" x14ac:dyDescent="0.25">
      <c r="A81" s="9"/>
      <c r="B81" s="9" t="s">
        <v>41</v>
      </c>
      <c r="C81" s="9"/>
      <c r="D81" s="44"/>
      <c r="E81" s="44">
        <v>0</v>
      </c>
      <c r="F81" s="44"/>
      <c r="G81" s="38"/>
      <c r="H81" s="38"/>
      <c r="I81" s="62"/>
      <c r="J81" s="6"/>
      <c r="K81" s="6"/>
      <c r="L81" s="6"/>
    </row>
    <row r="82" spans="1:12" s="7" customFormat="1" hidden="1" x14ac:dyDescent="0.25">
      <c r="A82" s="9"/>
      <c r="B82" s="9" t="s">
        <v>42</v>
      </c>
      <c r="C82" s="9"/>
      <c r="D82" s="44"/>
      <c r="E82" s="44">
        <v>0</v>
      </c>
      <c r="F82" s="44"/>
      <c r="G82" s="38"/>
      <c r="H82" s="38"/>
      <c r="I82" s="62"/>
      <c r="J82" s="6"/>
      <c r="K82" s="6"/>
      <c r="L82" s="6"/>
    </row>
    <row r="83" spans="1:12" s="7" customFormat="1" hidden="1" x14ac:dyDescent="0.25">
      <c r="A83" s="9"/>
      <c r="B83" s="9" t="s">
        <v>43</v>
      </c>
      <c r="C83" s="9"/>
      <c r="D83" s="44"/>
      <c r="E83" s="44">
        <v>0</v>
      </c>
      <c r="F83" s="44"/>
      <c r="G83" s="38"/>
      <c r="H83" s="38"/>
      <c r="I83" s="62"/>
      <c r="J83" s="6"/>
      <c r="K83" s="6"/>
      <c r="L83" s="6"/>
    </row>
    <row r="84" spans="1:12" s="7" customFormat="1" hidden="1" x14ac:dyDescent="0.25">
      <c r="A84" s="9"/>
      <c r="B84" s="9" t="s">
        <v>44</v>
      </c>
      <c r="C84" s="9"/>
      <c r="D84" s="44"/>
      <c r="E84" s="44">
        <v>0</v>
      </c>
      <c r="F84" s="44"/>
      <c r="G84" s="38"/>
      <c r="H84" s="38"/>
      <c r="I84" s="62"/>
      <c r="J84" s="6"/>
      <c r="K84" s="6"/>
      <c r="L84" s="6"/>
    </row>
    <row r="85" spans="1:12" hidden="1" x14ac:dyDescent="0.25"/>
    <row r="86" spans="1:12" s="7" customFormat="1" hidden="1" x14ac:dyDescent="0.25">
      <c r="A86" s="5"/>
      <c r="B86" s="5" t="s">
        <v>3</v>
      </c>
      <c r="C86" s="5"/>
      <c r="D86" s="44"/>
      <c r="E86" s="44"/>
      <c r="F86" s="44"/>
      <c r="G86" s="38"/>
      <c r="H86" s="38"/>
      <c r="I86" s="62"/>
      <c r="J86" s="6"/>
      <c r="K86" s="6"/>
      <c r="L86" s="6"/>
    </row>
    <row r="87" spans="1:12" s="7" customFormat="1" hidden="1" x14ac:dyDescent="0.25">
      <c r="A87" s="9"/>
      <c r="B87" s="9" t="s">
        <v>45</v>
      </c>
      <c r="C87" s="9"/>
      <c r="D87" s="44"/>
      <c r="E87" s="44">
        <v>0</v>
      </c>
      <c r="F87" s="44"/>
      <c r="G87" s="38"/>
      <c r="H87" s="38"/>
      <c r="I87" s="62"/>
      <c r="J87" s="6"/>
      <c r="K87" s="6"/>
      <c r="L87" s="6"/>
    </row>
    <row r="88" spans="1:12" s="7" customFormat="1" hidden="1" x14ac:dyDescent="0.25">
      <c r="A88" s="9"/>
      <c r="B88" s="9" t="s">
        <v>46</v>
      </c>
      <c r="C88" s="9"/>
      <c r="D88" s="44"/>
      <c r="E88" s="44">
        <v>0</v>
      </c>
      <c r="F88" s="44"/>
      <c r="G88" s="38"/>
      <c r="H88" s="38"/>
      <c r="I88" s="62"/>
      <c r="J88" s="6"/>
      <c r="K88" s="6"/>
      <c r="L88" s="6"/>
    </row>
    <row r="89" spans="1:12" hidden="1" x14ac:dyDescent="0.25"/>
    <row r="90" spans="1:12" s="7" customFormat="1" hidden="1" x14ac:dyDescent="0.25">
      <c r="A90" s="5"/>
      <c r="B90" s="5" t="s">
        <v>4</v>
      </c>
      <c r="C90" s="5"/>
      <c r="D90" s="44"/>
      <c r="E90" s="44"/>
      <c r="F90" s="44"/>
      <c r="G90" s="38"/>
      <c r="H90" s="38"/>
      <c r="I90" s="62"/>
      <c r="J90" s="6"/>
      <c r="K90" s="6"/>
      <c r="L90" s="6"/>
    </row>
    <row r="91" spans="1:12" s="7" customFormat="1" hidden="1" x14ac:dyDescent="0.25">
      <c r="A91" s="9"/>
      <c r="B91" s="9" t="s">
        <v>47</v>
      </c>
      <c r="C91" s="9"/>
      <c r="D91" s="44"/>
      <c r="E91" s="44">
        <v>0</v>
      </c>
      <c r="F91" s="44"/>
      <c r="G91" s="38"/>
      <c r="H91" s="38"/>
      <c r="I91" s="62"/>
      <c r="J91" s="6"/>
      <c r="K91" s="6"/>
      <c r="L91" s="6"/>
    </row>
    <row r="92" spans="1:12" s="7" customFormat="1" hidden="1" x14ac:dyDescent="0.25">
      <c r="A92" s="9"/>
      <c r="B92" s="9" t="s">
        <v>48</v>
      </c>
      <c r="C92" s="9"/>
      <c r="D92" s="44"/>
      <c r="E92" s="44">
        <v>0</v>
      </c>
      <c r="F92" s="44"/>
      <c r="G92" s="38"/>
      <c r="H92" s="38"/>
      <c r="I92" s="62"/>
      <c r="J92" s="6"/>
      <c r="K92" s="6"/>
      <c r="L92" s="6"/>
    </row>
    <row r="93" spans="1:12" hidden="1" x14ac:dyDescent="0.25"/>
    <row r="94" spans="1:12" s="7" customFormat="1" hidden="1" x14ac:dyDescent="0.25">
      <c r="A94" s="9"/>
      <c r="B94" s="9" t="s">
        <v>39</v>
      </c>
      <c r="C94" s="9"/>
      <c r="D94" s="44"/>
      <c r="E94" s="46"/>
      <c r="F94" s="44"/>
      <c r="G94" s="38"/>
      <c r="H94" s="38"/>
      <c r="I94" s="62"/>
      <c r="J94" s="6"/>
      <c r="K94" s="6"/>
      <c r="L94" s="6"/>
    </row>
    <row r="95" spans="1:12" hidden="1" x14ac:dyDescent="0.25"/>
    <row r="96" spans="1:12" hidden="1" x14ac:dyDescent="0.25">
      <c r="A96" s="50"/>
      <c r="B96" s="50" t="s">
        <v>10</v>
      </c>
      <c r="C96" s="50"/>
      <c r="D96" s="52"/>
      <c r="E96" s="52">
        <f>E97*E98+E100*E101</f>
        <v>0</v>
      </c>
      <c r="F96" s="52">
        <f t="shared" ref="F96:H96" si="33">F97*F98+F100*F101</f>
        <v>0</v>
      </c>
      <c r="G96" s="52">
        <f t="shared" si="33"/>
        <v>0</v>
      </c>
      <c r="H96" s="52">
        <f t="shared" si="33"/>
        <v>0</v>
      </c>
    </row>
    <row r="97" spans="1:12" s="7" customFormat="1" hidden="1" x14ac:dyDescent="0.25">
      <c r="A97" s="5"/>
      <c r="B97" s="9" t="s">
        <v>49</v>
      </c>
      <c r="C97" s="5"/>
      <c r="D97" s="44"/>
      <c r="E97" s="44">
        <v>0</v>
      </c>
      <c r="F97" s="44">
        <v>0</v>
      </c>
      <c r="G97" s="44">
        <v>0</v>
      </c>
      <c r="H97" s="44">
        <v>0</v>
      </c>
      <c r="I97" s="62"/>
      <c r="J97" s="6"/>
      <c r="K97" s="6"/>
      <c r="L97" s="6"/>
    </row>
    <row r="98" spans="1:12" s="7" customFormat="1" hidden="1" x14ac:dyDescent="0.25">
      <c r="A98" s="5"/>
      <c r="B98" s="9" t="s">
        <v>50</v>
      </c>
      <c r="C98" s="5"/>
      <c r="D98" s="44"/>
      <c r="E98" s="44">
        <f>Trips!$B$10</f>
        <v>908.23176058823537</v>
      </c>
      <c r="F98" s="44">
        <f>Trips!$B$10</f>
        <v>908.23176058823537</v>
      </c>
      <c r="G98" s="44">
        <f>Trips!$B$10</f>
        <v>908.23176058823537</v>
      </c>
      <c r="H98" s="44">
        <f>Trips!$B$10</f>
        <v>908.23176058823537</v>
      </c>
      <c r="I98" s="62"/>
      <c r="J98" s="6"/>
      <c r="K98" s="6"/>
      <c r="L98" s="6"/>
    </row>
    <row r="99" spans="1:12" hidden="1" x14ac:dyDescent="0.25"/>
    <row r="100" spans="1:12" s="7" customFormat="1" hidden="1" x14ac:dyDescent="0.25">
      <c r="A100" s="5"/>
      <c r="B100" s="9" t="s">
        <v>51</v>
      </c>
      <c r="C100" s="5"/>
      <c r="D100" s="44"/>
      <c r="E100" s="44">
        <v>0</v>
      </c>
      <c r="F100" s="44">
        <v>0</v>
      </c>
      <c r="G100" s="44">
        <v>0</v>
      </c>
      <c r="H100" s="44">
        <f>G100</f>
        <v>0</v>
      </c>
      <c r="I100" s="62"/>
      <c r="J100" s="6"/>
      <c r="K100" s="6"/>
      <c r="L100" s="6"/>
    </row>
    <row r="101" spans="1:12" s="7" customFormat="1" hidden="1" x14ac:dyDescent="0.25">
      <c r="A101" s="5"/>
      <c r="B101" s="9" t="s">
        <v>52</v>
      </c>
      <c r="C101" s="5"/>
      <c r="D101" s="44"/>
      <c r="E101" s="44">
        <f>Trips!$B$5</f>
        <v>52</v>
      </c>
      <c r="F101" s="44">
        <f>Trips!$B$5</f>
        <v>52</v>
      </c>
      <c r="G101" s="44">
        <f>Trips!$B$5</f>
        <v>52</v>
      </c>
      <c r="H101" s="44">
        <f>Trips!$B$5</f>
        <v>52</v>
      </c>
      <c r="I101" s="62"/>
      <c r="J101" s="6"/>
      <c r="K101" s="6"/>
      <c r="L101" s="6"/>
    </row>
    <row r="102" spans="1:12" hidden="1" x14ac:dyDescent="0.25"/>
    <row r="103" spans="1:12" hidden="1" x14ac:dyDescent="0.25"/>
    <row r="104" spans="1:12" hidden="1" x14ac:dyDescent="0.25">
      <c r="A104" s="50"/>
      <c r="B104" s="50" t="s">
        <v>171</v>
      </c>
      <c r="C104" s="50"/>
      <c r="D104" s="52"/>
      <c r="E104" s="52">
        <f>E105*E106</f>
        <v>0</v>
      </c>
      <c r="F104" s="52">
        <f t="shared" ref="F104:H104" si="34">F105*F106</f>
        <v>0</v>
      </c>
      <c r="G104" s="52">
        <f t="shared" si="34"/>
        <v>0</v>
      </c>
      <c r="H104" s="52">
        <f t="shared" si="34"/>
        <v>0</v>
      </c>
    </row>
    <row r="105" spans="1:12" s="7" customFormat="1" hidden="1" x14ac:dyDescent="0.25">
      <c r="A105" s="10"/>
      <c r="B105" s="39" t="s">
        <v>144</v>
      </c>
      <c r="C105" s="10" t="s">
        <v>145</v>
      </c>
      <c r="D105" s="44"/>
      <c r="E105" s="44">
        <v>0</v>
      </c>
      <c r="F105" s="44">
        <v>0</v>
      </c>
      <c r="G105" s="44">
        <v>0</v>
      </c>
      <c r="H105" s="44">
        <v>0</v>
      </c>
      <c r="I105" s="62"/>
      <c r="J105" s="6"/>
      <c r="K105" s="6"/>
      <c r="L105" s="6"/>
    </row>
    <row r="106" spans="1:12" s="7" customFormat="1" hidden="1" x14ac:dyDescent="0.25">
      <c r="A106" s="5"/>
      <c r="B106" s="39" t="s">
        <v>141</v>
      </c>
      <c r="C106" s="5"/>
      <c r="D106" s="44"/>
      <c r="E106" s="44">
        <f>Trips!B41</f>
        <v>631.70365882352939</v>
      </c>
      <c r="F106" s="44">
        <f>E106*(1+index)</f>
        <v>658.86691615294114</v>
      </c>
      <c r="G106" s="44">
        <f>F106*(1+index)</f>
        <v>687.19819354751758</v>
      </c>
      <c r="H106" s="44">
        <f>G106*(1+index)</f>
        <v>716.7477158700608</v>
      </c>
      <c r="I106" s="62"/>
      <c r="J106" s="6"/>
      <c r="K106" s="6"/>
      <c r="L106" s="6"/>
    </row>
    <row r="107" spans="1:12" hidden="1" x14ac:dyDescent="0.25"/>
    <row r="108" spans="1:12" hidden="1" x14ac:dyDescent="0.25">
      <c r="A108" s="50"/>
      <c r="B108" s="50" t="s">
        <v>130</v>
      </c>
      <c r="C108" s="50"/>
      <c r="D108" s="52"/>
      <c r="E108" s="52">
        <f>E109*E110+E111*E112+E113*E114</f>
        <v>0</v>
      </c>
      <c r="F108" s="52">
        <f t="shared" ref="F108:H108" si="35">F109*F110+F111*F112+F113*F114</f>
        <v>0</v>
      </c>
      <c r="G108" s="52">
        <f t="shared" si="35"/>
        <v>0</v>
      </c>
      <c r="H108" s="52">
        <f t="shared" si="35"/>
        <v>0</v>
      </c>
    </row>
    <row r="109" spans="1:12" hidden="1" x14ac:dyDescent="0.25">
      <c r="B109" s="39" t="s">
        <v>131</v>
      </c>
      <c r="C109" s="5" t="s">
        <v>132</v>
      </c>
      <c r="E109" s="44">
        <f>Training!$C$33</f>
        <v>81.10799999999999</v>
      </c>
      <c r="F109" s="44">
        <f>E109*(1+index)</f>
        <v>84.595643999999979</v>
      </c>
      <c r="G109" s="44">
        <f>F109*(1+index)</f>
        <v>88.233256691999969</v>
      </c>
      <c r="H109" s="44">
        <f>G109*(1+index)</f>
        <v>92.027286729755957</v>
      </c>
    </row>
    <row r="110" spans="1:12" hidden="1" x14ac:dyDescent="0.25">
      <c r="B110" s="39" t="s">
        <v>133</v>
      </c>
      <c r="F110" s="44">
        <v>0</v>
      </c>
      <c r="G110" s="44">
        <v>0</v>
      </c>
      <c r="H110" s="44">
        <f t="shared" ref="H110" si="36">H97</f>
        <v>0</v>
      </c>
    </row>
    <row r="111" spans="1:12" hidden="1" x14ac:dyDescent="0.25">
      <c r="B111" s="39" t="s">
        <v>134</v>
      </c>
      <c r="E111" s="44">
        <f>Training!C23*2</f>
        <v>1418.75</v>
      </c>
      <c r="F111" s="44">
        <f>E111*(1+index)</f>
        <v>1479.7562499999999</v>
      </c>
      <c r="G111" s="44">
        <f>F111*(1+index)</f>
        <v>1543.3857687499999</v>
      </c>
      <c r="H111" s="44">
        <f>G111*(1+index)</f>
        <v>1609.7513568062498</v>
      </c>
    </row>
    <row r="112" spans="1:12" hidden="1" x14ac:dyDescent="0.25">
      <c r="B112" s="39" t="s">
        <v>135</v>
      </c>
      <c r="C112" s="5" t="s">
        <v>471</v>
      </c>
      <c r="E112" s="44">
        <v>0</v>
      </c>
      <c r="F112" s="44">
        <v>0</v>
      </c>
      <c r="G112" s="33">
        <v>0</v>
      </c>
      <c r="H112" s="33">
        <v>0</v>
      </c>
    </row>
    <row r="113" spans="1:12" hidden="1" x14ac:dyDescent="0.25">
      <c r="B113" s="39" t="s">
        <v>203</v>
      </c>
      <c r="C113" s="5" t="s">
        <v>137</v>
      </c>
      <c r="G113" s="44"/>
      <c r="H113" s="44"/>
    </row>
    <row r="114" spans="1:12" hidden="1" x14ac:dyDescent="0.25">
      <c r="B114" s="39" t="s">
        <v>133</v>
      </c>
      <c r="E114" s="44">
        <v>0</v>
      </c>
      <c r="F114" s="44">
        <v>0</v>
      </c>
      <c r="G114" s="44">
        <v>0</v>
      </c>
      <c r="H114" s="44">
        <v>0</v>
      </c>
    </row>
    <row r="115" spans="1:12" hidden="1" x14ac:dyDescent="0.25">
      <c r="B115" s="39"/>
    </row>
    <row r="116" spans="1:12" hidden="1" x14ac:dyDescent="0.25">
      <c r="A116" s="50"/>
      <c r="B116" s="50" t="s">
        <v>24</v>
      </c>
      <c r="C116" s="50"/>
      <c r="D116" s="52"/>
      <c r="E116" s="52">
        <f t="shared" ref="E116:H116" si="37">E117*E118</f>
        <v>0</v>
      </c>
      <c r="F116" s="52">
        <f t="shared" si="37"/>
        <v>0</v>
      </c>
      <c r="G116" s="52">
        <f t="shared" si="37"/>
        <v>0</v>
      </c>
      <c r="H116" s="52">
        <f t="shared" si="37"/>
        <v>0</v>
      </c>
    </row>
    <row r="117" spans="1:12" s="7" customFormat="1" hidden="1" x14ac:dyDescent="0.25">
      <c r="A117" s="5"/>
      <c r="B117" s="39" t="s">
        <v>53</v>
      </c>
      <c r="C117" s="5"/>
      <c r="D117" s="44"/>
      <c r="E117" s="44">
        <v>0</v>
      </c>
      <c r="F117" s="44">
        <v>0</v>
      </c>
      <c r="G117" s="44"/>
      <c r="H117" s="44"/>
      <c r="I117" s="62"/>
      <c r="J117" s="6"/>
      <c r="K117" s="6"/>
      <c r="L117" s="6"/>
    </row>
    <row r="118" spans="1:12" s="7" customFormat="1" hidden="1" x14ac:dyDescent="0.25">
      <c r="A118" s="5"/>
      <c r="B118" s="39" t="s">
        <v>54</v>
      </c>
      <c r="C118" s="5"/>
      <c r="D118" s="44"/>
      <c r="E118" s="44">
        <f>'Rates and GI'!D25</f>
        <v>6</v>
      </c>
      <c r="F118" s="44">
        <f>E118*(1+index)</f>
        <v>6.2579999999999991</v>
      </c>
      <c r="G118" s="44">
        <f>F118*(1+index)</f>
        <v>6.5270939999999991</v>
      </c>
      <c r="H118" s="44">
        <f>G118*(1+index)</f>
        <v>6.8077590419999989</v>
      </c>
      <c r="I118" s="62"/>
      <c r="J118" s="6"/>
      <c r="K118" s="6"/>
      <c r="L118" s="6"/>
    </row>
    <row r="119" spans="1:12" hidden="1" x14ac:dyDescent="0.25"/>
    <row r="120" spans="1:12" hidden="1" x14ac:dyDescent="0.25">
      <c r="A120" s="50"/>
      <c r="B120" s="50" t="s">
        <v>7</v>
      </c>
      <c r="C120" s="50"/>
      <c r="D120" s="52"/>
      <c r="E120" s="52"/>
      <c r="F120" s="52"/>
      <c r="G120" s="52"/>
      <c r="H120" s="52"/>
    </row>
    <row r="121" spans="1:12" s="7" customFormat="1" hidden="1" x14ac:dyDescent="0.25">
      <c r="A121" s="5"/>
      <c r="B121" s="158" t="s">
        <v>57</v>
      </c>
      <c r="C121" s="5"/>
      <c r="D121" s="44"/>
      <c r="E121" s="46"/>
      <c r="F121" s="46"/>
      <c r="G121" s="105"/>
      <c r="H121" s="105"/>
      <c r="I121" s="62"/>
      <c r="J121" s="6"/>
      <c r="K121" s="6"/>
      <c r="L121" s="6"/>
    </row>
    <row r="122" spans="1:12" s="7" customFormat="1" hidden="1" x14ac:dyDescent="0.25">
      <c r="A122" s="5"/>
      <c r="B122" s="158" t="s">
        <v>377</v>
      </c>
      <c r="C122" s="5"/>
      <c r="D122" s="44"/>
      <c r="E122" s="46">
        <v>0</v>
      </c>
      <c r="F122" s="46"/>
      <c r="G122" s="105"/>
      <c r="H122" s="105"/>
      <c r="I122" s="62"/>
      <c r="J122" s="6"/>
      <c r="K122" s="6"/>
      <c r="L122" s="6"/>
    </row>
    <row r="123" spans="1:12" s="7" customFormat="1" hidden="1" x14ac:dyDescent="0.25">
      <c r="A123" s="5"/>
      <c r="B123" s="4"/>
      <c r="C123" s="5"/>
      <c r="D123" s="44"/>
      <c r="E123" s="46"/>
      <c r="F123" s="46"/>
      <c r="G123" s="105"/>
      <c r="H123" s="105"/>
      <c r="I123" s="62"/>
      <c r="J123" s="6"/>
      <c r="K123" s="6"/>
      <c r="L123" s="6"/>
    </row>
    <row r="124" spans="1:12" s="7" customFormat="1" hidden="1" x14ac:dyDescent="0.25">
      <c r="A124" s="5"/>
      <c r="B124" s="4"/>
      <c r="C124" s="5"/>
      <c r="D124" s="44"/>
      <c r="E124" s="46"/>
      <c r="F124" s="46"/>
      <c r="G124" s="105"/>
      <c r="H124" s="105"/>
      <c r="I124" s="62"/>
      <c r="J124" s="6"/>
      <c r="K124" s="6"/>
      <c r="L124" s="6"/>
    </row>
    <row r="125" spans="1:12" s="43" customFormat="1" hidden="1" x14ac:dyDescent="0.25">
      <c r="A125" s="40"/>
      <c r="B125" s="41" t="s">
        <v>58</v>
      </c>
      <c r="C125" s="40" t="s">
        <v>55</v>
      </c>
      <c r="D125" s="71"/>
      <c r="E125" s="71"/>
      <c r="F125" s="71"/>
      <c r="G125" s="72"/>
      <c r="H125" s="72"/>
      <c r="I125" s="75"/>
      <c r="J125" s="42"/>
      <c r="K125" s="42"/>
      <c r="L125" s="42"/>
    </row>
    <row r="126" spans="1:12" s="40" customFormat="1" hidden="1" x14ac:dyDescent="0.25">
      <c r="B126" s="41" t="s">
        <v>56</v>
      </c>
      <c r="D126" s="71"/>
      <c r="E126" s="71"/>
      <c r="F126" s="71"/>
      <c r="G126" s="72"/>
      <c r="H126" s="72"/>
      <c r="I126" s="75"/>
      <c r="J126" s="42"/>
      <c r="K126" s="42"/>
      <c r="L126" s="42"/>
    </row>
    <row r="127" spans="1:12" s="40" customFormat="1" hidden="1" x14ac:dyDescent="0.25">
      <c r="B127" s="41" t="s">
        <v>59</v>
      </c>
      <c r="D127" s="71"/>
      <c r="E127" s="71"/>
      <c r="F127" s="71"/>
      <c r="G127" s="72"/>
      <c r="H127" s="72"/>
      <c r="I127" s="75"/>
      <c r="J127" s="42"/>
      <c r="K127" s="42"/>
      <c r="L127" s="42"/>
    </row>
    <row r="128" spans="1:12" hidden="1" x14ac:dyDescent="0.25"/>
    <row r="129" spans="1:12" x14ac:dyDescent="0.25">
      <c r="A129" s="50"/>
      <c r="B129" s="50" t="s">
        <v>26</v>
      </c>
      <c r="C129" s="50"/>
      <c r="D129" s="52"/>
      <c r="E129" s="52">
        <f>E130</f>
        <v>44447.183999999994</v>
      </c>
      <c r="F129" s="52">
        <f t="shared" ref="F129:H129" si="38">F130</f>
        <v>0</v>
      </c>
      <c r="G129" s="52">
        <f t="shared" si="38"/>
        <v>0</v>
      </c>
      <c r="H129" s="52">
        <f t="shared" si="38"/>
        <v>0</v>
      </c>
    </row>
    <row r="130" spans="1:12" ht="27" x14ac:dyDescent="0.25">
      <c r="B130" s="161" t="s">
        <v>501</v>
      </c>
      <c r="E130" s="44">
        <f>E131+E134+E137+E140+E143+E144</f>
        <v>44447.183999999994</v>
      </c>
      <c r="G130" s="44"/>
      <c r="H130" s="44"/>
    </row>
    <row r="131" spans="1:12" s="5" customFormat="1" x14ac:dyDescent="0.25">
      <c r="B131" s="1" t="s">
        <v>495</v>
      </c>
      <c r="D131" s="44"/>
      <c r="E131" s="44">
        <f>E132*E133</f>
        <v>8110.7999999999993</v>
      </c>
      <c r="F131" s="44"/>
      <c r="G131" s="38"/>
      <c r="H131" s="38"/>
      <c r="I131" s="62"/>
      <c r="J131" s="6"/>
      <c r="K131" s="6"/>
      <c r="L131" s="6"/>
    </row>
    <row r="132" spans="1:12" s="5" customFormat="1" x14ac:dyDescent="0.25">
      <c r="B132" s="41" t="s">
        <v>371</v>
      </c>
      <c r="D132" s="44"/>
      <c r="E132" s="44">
        <v>1</v>
      </c>
      <c r="F132" s="44"/>
      <c r="G132" s="38"/>
      <c r="H132" s="38"/>
      <c r="I132" s="62"/>
      <c r="J132" s="6"/>
      <c r="K132" s="6"/>
      <c r="L132" s="6"/>
    </row>
    <row r="133" spans="1:12" s="5" customFormat="1" x14ac:dyDescent="0.25">
      <c r="B133" s="41" t="s">
        <v>277</v>
      </c>
      <c r="D133" s="44"/>
      <c r="E133" s="44">
        <f>15000*eur</f>
        <v>8110.7999999999993</v>
      </c>
      <c r="F133" s="44"/>
      <c r="G133" s="38"/>
      <c r="H133" s="38"/>
      <c r="I133" s="62"/>
      <c r="J133" s="6"/>
      <c r="K133" s="6"/>
      <c r="L133" s="6"/>
    </row>
    <row r="134" spans="1:12" s="5" customFormat="1" x14ac:dyDescent="0.25">
      <c r="B134" s="1" t="s">
        <v>496</v>
      </c>
      <c r="D134" s="44"/>
      <c r="E134" s="44">
        <f>E135*E136</f>
        <v>6488.6399999999994</v>
      </c>
      <c r="F134" s="44"/>
      <c r="G134" s="38"/>
      <c r="H134" s="38"/>
      <c r="I134" s="62"/>
      <c r="J134" s="6"/>
      <c r="K134" s="6"/>
      <c r="L134" s="6"/>
    </row>
    <row r="135" spans="1:12" s="5" customFormat="1" x14ac:dyDescent="0.25">
      <c r="B135" s="41" t="s">
        <v>371</v>
      </c>
      <c r="D135" s="44"/>
      <c r="E135" s="44">
        <v>1</v>
      </c>
      <c r="F135" s="44"/>
      <c r="G135" s="38"/>
      <c r="H135" s="38"/>
      <c r="I135" s="62"/>
      <c r="J135" s="6"/>
      <c r="K135" s="6"/>
      <c r="L135" s="6"/>
    </row>
    <row r="136" spans="1:12" s="5" customFormat="1" x14ac:dyDescent="0.25">
      <c r="B136" s="41" t="s">
        <v>277</v>
      </c>
      <c r="D136" s="44"/>
      <c r="E136" s="5">
        <f>12000*eur</f>
        <v>6488.6399999999994</v>
      </c>
      <c r="F136" s="44"/>
      <c r="G136" s="38"/>
      <c r="H136" s="38"/>
      <c r="I136" s="62"/>
      <c r="J136" s="6"/>
      <c r="K136" s="6"/>
      <c r="L136" s="6"/>
    </row>
    <row r="137" spans="1:12" s="5" customFormat="1" x14ac:dyDescent="0.25">
      <c r="B137" s="1" t="s">
        <v>497</v>
      </c>
      <c r="D137" s="44"/>
      <c r="E137" s="44">
        <f>E138*E139</f>
        <v>17303.039999999997</v>
      </c>
      <c r="F137" s="44"/>
      <c r="G137" s="44"/>
      <c r="H137" s="44"/>
      <c r="I137" s="62"/>
      <c r="J137" s="6"/>
      <c r="K137" s="6"/>
      <c r="L137" s="6"/>
    </row>
    <row r="138" spans="1:12" s="5" customFormat="1" x14ac:dyDescent="0.25">
      <c r="B138" s="41" t="s">
        <v>371</v>
      </c>
      <c r="D138" s="44"/>
      <c r="E138" s="44">
        <v>40</v>
      </c>
      <c r="F138" s="44"/>
      <c r="G138" s="44"/>
      <c r="H138" s="44"/>
      <c r="I138" s="62"/>
      <c r="J138" s="6"/>
      <c r="K138" s="6"/>
      <c r="L138" s="6"/>
    </row>
    <row r="139" spans="1:12" s="5" customFormat="1" x14ac:dyDescent="0.25">
      <c r="B139" s="41" t="s">
        <v>277</v>
      </c>
      <c r="D139" s="44"/>
      <c r="E139" s="44">
        <f>800*eur</f>
        <v>432.57599999999996</v>
      </c>
      <c r="F139" s="44"/>
      <c r="G139" s="44"/>
      <c r="H139" s="44"/>
      <c r="I139" s="62"/>
      <c r="J139" s="6"/>
      <c r="K139" s="6"/>
      <c r="L139" s="6"/>
    </row>
    <row r="140" spans="1:12" s="5" customFormat="1" x14ac:dyDescent="0.25">
      <c r="B140" s="1" t="s">
        <v>498</v>
      </c>
      <c r="D140" s="44"/>
      <c r="E140" s="44">
        <f>E141*E142</f>
        <v>8110.7999999999993</v>
      </c>
      <c r="F140" s="44"/>
      <c r="G140" s="44"/>
      <c r="H140" s="44"/>
      <c r="I140" s="62"/>
      <c r="J140" s="6"/>
      <c r="K140" s="6"/>
      <c r="L140" s="6"/>
    </row>
    <row r="141" spans="1:12" s="5" customFormat="1" x14ac:dyDescent="0.25">
      <c r="B141" s="41" t="s">
        <v>371</v>
      </c>
      <c r="D141" s="44"/>
      <c r="E141" s="44">
        <v>1</v>
      </c>
      <c r="F141" s="44"/>
      <c r="G141" s="44"/>
      <c r="H141" s="44"/>
      <c r="I141" s="62"/>
      <c r="J141" s="6"/>
      <c r="K141" s="6"/>
      <c r="L141" s="6"/>
    </row>
    <row r="142" spans="1:12" s="5" customFormat="1" x14ac:dyDescent="0.25">
      <c r="B142" s="41" t="s">
        <v>277</v>
      </c>
      <c r="D142" s="44"/>
      <c r="E142" s="44">
        <f>15000*eur</f>
        <v>8110.7999999999993</v>
      </c>
      <c r="F142" s="44"/>
      <c r="G142" s="44"/>
      <c r="H142" s="44"/>
      <c r="I142" s="62"/>
      <c r="J142" s="6"/>
      <c r="K142" s="6"/>
      <c r="L142" s="6"/>
    </row>
    <row r="143" spans="1:12" s="5" customFormat="1" x14ac:dyDescent="0.25">
      <c r="B143" s="1" t="s">
        <v>499</v>
      </c>
      <c r="D143" s="44"/>
      <c r="E143" s="44">
        <f>3200*eur</f>
        <v>1730.3039999999999</v>
      </c>
      <c r="F143" s="44"/>
      <c r="G143" s="44"/>
      <c r="H143" s="44"/>
      <c r="I143" s="62"/>
      <c r="J143" s="6"/>
      <c r="K143" s="6"/>
      <c r="L143" s="6"/>
    </row>
    <row r="144" spans="1:12" s="5" customFormat="1" x14ac:dyDescent="0.25">
      <c r="B144" s="1" t="s">
        <v>500</v>
      </c>
      <c r="D144" s="44"/>
      <c r="E144" s="44">
        <f>E145*E146</f>
        <v>2703.6</v>
      </c>
      <c r="F144" s="44"/>
      <c r="G144" s="44"/>
      <c r="H144" s="44"/>
      <c r="I144" s="62"/>
      <c r="J144" s="6"/>
      <c r="K144" s="6"/>
      <c r="L144" s="6"/>
    </row>
    <row r="145" spans="1:12" s="5" customFormat="1" x14ac:dyDescent="0.25">
      <c r="B145" s="41" t="s">
        <v>371</v>
      </c>
      <c r="D145" s="44"/>
      <c r="E145" s="44">
        <v>1</v>
      </c>
      <c r="F145" s="44"/>
      <c r="G145" s="44"/>
      <c r="H145" s="44"/>
      <c r="I145" s="62"/>
      <c r="J145" s="6"/>
      <c r="K145" s="6"/>
      <c r="L145" s="6"/>
    </row>
    <row r="146" spans="1:12" s="5" customFormat="1" x14ac:dyDescent="0.25">
      <c r="B146" s="41" t="s">
        <v>277</v>
      </c>
      <c r="D146" s="44"/>
      <c r="E146" s="44">
        <f>5000*eur</f>
        <v>2703.6</v>
      </c>
      <c r="F146" s="44"/>
      <c r="G146" s="44"/>
      <c r="H146" s="44"/>
      <c r="I146" s="62"/>
      <c r="J146" s="6"/>
      <c r="K146" s="6"/>
      <c r="L146" s="6"/>
    </row>
    <row r="147" spans="1:12" s="5" customFormat="1" hidden="1" x14ac:dyDescent="0.25">
      <c r="B147" s="1"/>
      <c r="D147" s="44"/>
      <c r="E147" s="44"/>
      <c r="F147" s="44"/>
      <c r="G147" s="44"/>
      <c r="H147" s="44"/>
      <c r="I147" s="62"/>
      <c r="J147" s="6"/>
      <c r="K147" s="6"/>
      <c r="L147" s="6"/>
    </row>
    <row r="148" spans="1:12" s="5" customFormat="1" x14ac:dyDescent="0.25">
      <c r="B148" s="41"/>
      <c r="D148" s="44"/>
      <c r="E148" s="44"/>
      <c r="F148" s="44"/>
      <c r="G148" s="44"/>
      <c r="H148" s="44"/>
      <c r="I148" s="62"/>
      <c r="J148" s="6"/>
      <c r="K148" s="6"/>
      <c r="L148" s="6"/>
    </row>
    <row r="149" spans="1:12" hidden="1" x14ac:dyDescent="0.25">
      <c r="A149" s="50"/>
      <c r="B149" s="50" t="s">
        <v>8</v>
      </c>
      <c r="C149" s="50"/>
      <c r="D149" s="52"/>
      <c r="E149" s="52">
        <f>E150</f>
        <v>0</v>
      </c>
      <c r="F149" s="52">
        <f t="shared" ref="F149:H149" si="39">F150</f>
        <v>0</v>
      </c>
      <c r="G149" s="52">
        <f t="shared" si="39"/>
        <v>0</v>
      </c>
      <c r="H149" s="52">
        <f t="shared" si="39"/>
        <v>0</v>
      </c>
    </row>
    <row r="150" spans="1:12" hidden="1" x14ac:dyDescent="0.25">
      <c r="B150" s="66" t="s">
        <v>376</v>
      </c>
      <c r="E150" s="44">
        <v>0</v>
      </c>
      <c r="G150" s="44"/>
      <c r="H150" s="44"/>
    </row>
    <row r="151" spans="1:12" s="5" customFormat="1" hidden="1" x14ac:dyDescent="0.25">
      <c r="B151" s="41" t="s">
        <v>147</v>
      </c>
      <c r="D151" s="44"/>
      <c r="E151" s="44"/>
      <c r="F151" s="44"/>
      <c r="G151" s="38"/>
      <c r="H151" s="38"/>
      <c r="I151" s="62"/>
      <c r="J151" s="6"/>
      <c r="K151" s="6"/>
      <c r="L151" s="6"/>
    </row>
    <row r="152" spans="1:12" s="5" customFormat="1" hidden="1" x14ac:dyDescent="0.25">
      <c r="B152" s="41" t="s">
        <v>146</v>
      </c>
      <c r="D152" s="44"/>
      <c r="E152" s="44"/>
      <c r="F152" s="44"/>
      <c r="G152" s="38"/>
      <c r="H152" s="38"/>
      <c r="I152" s="62"/>
      <c r="J152" s="6"/>
      <c r="K152" s="6"/>
      <c r="L152" s="6"/>
    </row>
    <row r="153" spans="1:12" s="5" customFormat="1" ht="40.5" hidden="1" x14ac:dyDescent="0.25">
      <c r="B153" s="63" t="s">
        <v>476</v>
      </c>
      <c r="D153" s="44"/>
      <c r="E153" s="44"/>
      <c r="F153" s="44"/>
      <c r="G153" s="38"/>
      <c r="H153" s="38"/>
      <c r="I153" s="62"/>
      <c r="J153" s="6"/>
      <c r="K153" s="6"/>
      <c r="L153" s="6"/>
    </row>
    <row r="154" spans="1:12" hidden="1" x14ac:dyDescent="0.25">
      <c r="B154" s="66"/>
    </row>
    <row r="155" spans="1:12" hidden="1" x14ac:dyDescent="0.25">
      <c r="B155" s="66"/>
    </row>
    <row r="156" spans="1:12" hidden="1" x14ac:dyDescent="0.25">
      <c r="A156" s="50"/>
      <c r="B156" s="50" t="s">
        <v>474</v>
      </c>
      <c r="C156" s="50"/>
      <c r="D156" s="52"/>
      <c r="E156" s="52">
        <f>E157*E158</f>
        <v>0</v>
      </c>
      <c r="F156" s="52">
        <f t="shared" ref="F156:H156" si="40">F157*F158</f>
        <v>0</v>
      </c>
      <c r="G156" s="52">
        <f t="shared" si="40"/>
        <v>0</v>
      </c>
      <c r="H156" s="52">
        <f t="shared" si="40"/>
        <v>0</v>
      </c>
    </row>
    <row r="157" spans="1:12" hidden="1" x14ac:dyDescent="0.25">
      <c r="B157" s="41" t="s">
        <v>475</v>
      </c>
      <c r="E157" s="44">
        <v>0</v>
      </c>
      <c r="F157" s="44">
        <v>0</v>
      </c>
      <c r="G157" s="44">
        <v>0</v>
      </c>
      <c r="H157" s="44">
        <v>0</v>
      </c>
    </row>
    <row r="158" spans="1:12" hidden="1" x14ac:dyDescent="0.25">
      <c r="B158" s="41" t="s">
        <v>39</v>
      </c>
      <c r="E158" s="44">
        <v>7</v>
      </c>
      <c r="F158" s="44">
        <v>12</v>
      </c>
      <c r="G158" s="44">
        <v>12</v>
      </c>
      <c r="H158" s="44">
        <v>12</v>
      </c>
    </row>
    <row r="159" spans="1:12" hidden="1" x14ac:dyDescent="0.25">
      <c r="B159" s="66"/>
    </row>
    <row r="160" spans="1:12" hidden="1" x14ac:dyDescent="0.25">
      <c r="A160" s="50"/>
      <c r="B160" s="50" t="s">
        <v>25</v>
      </c>
      <c r="C160" s="50"/>
      <c r="D160" s="52"/>
      <c r="E160" s="52">
        <f>E161+E164</f>
        <v>0</v>
      </c>
      <c r="F160" s="52">
        <f t="shared" ref="F160:H160" si="41">F161+F164</f>
        <v>0</v>
      </c>
      <c r="G160" s="52">
        <f t="shared" si="41"/>
        <v>0</v>
      </c>
      <c r="H160" s="52">
        <f t="shared" si="41"/>
        <v>0</v>
      </c>
    </row>
    <row r="161" spans="1:12" s="5" customFormat="1" hidden="1" x14ac:dyDescent="0.25">
      <c r="B161" s="5" t="s">
        <v>205</v>
      </c>
      <c r="D161" s="44"/>
      <c r="E161" s="44"/>
      <c r="F161" s="44">
        <v>0</v>
      </c>
      <c r="G161" s="38"/>
      <c r="H161" s="38"/>
      <c r="I161" s="62"/>
      <c r="J161" s="6"/>
      <c r="K161" s="6"/>
      <c r="L161" s="6"/>
    </row>
    <row r="162" spans="1:12" s="5" customFormat="1" hidden="1" x14ac:dyDescent="0.25">
      <c r="B162" s="41"/>
      <c r="D162" s="44"/>
      <c r="E162" s="44"/>
      <c r="F162" s="44"/>
      <c r="G162" s="38"/>
      <c r="H162" s="38"/>
      <c r="I162" s="62"/>
      <c r="J162" s="6"/>
      <c r="K162" s="6"/>
      <c r="L162" s="6"/>
    </row>
    <row r="163" spans="1:12" s="5" customFormat="1" hidden="1" x14ac:dyDescent="0.25">
      <c r="B163" s="41"/>
      <c r="D163" s="44"/>
      <c r="E163" s="44"/>
      <c r="F163" s="44"/>
      <c r="G163" s="38"/>
      <c r="H163" s="38"/>
      <c r="I163" s="62"/>
      <c r="J163" s="6"/>
      <c r="K163" s="6"/>
      <c r="L163" s="6"/>
    </row>
    <row r="164" spans="1:12" s="5" customFormat="1" hidden="1" x14ac:dyDescent="0.25">
      <c r="B164" s="5" t="s">
        <v>154</v>
      </c>
      <c r="D164" s="44"/>
      <c r="E164" s="44">
        <f>E165+E166*E167</f>
        <v>0</v>
      </c>
      <c r="F164" s="44">
        <f>F165+F166*F167</f>
        <v>0</v>
      </c>
      <c r="G164" s="44">
        <f t="shared" ref="G164:H164" si="42">G165+G166*G167</f>
        <v>0</v>
      </c>
      <c r="H164" s="44">
        <f t="shared" si="42"/>
        <v>0</v>
      </c>
      <c r="I164" s="73"/>
    </row>
    <row r="165" spans="1:12" hidden="1" x14ac:dyDescent="0.25">
      <c r="B165" s="41" t="s">
        <v>153</v>
      </c>
      <c r="F165" s="44">
        <f>'Rates and GI'!D46*0</f>
        <v>0</v>
      </c>
    </row>
    <row r="166" spans="1:12" hidden="1" x14ac:dyDescent="0.25">
      <c r="B166" s="41" t="s">
        <v>159</v>
      </c>
      <c r="E166" s="60">
        <f>'Rates and GI'!$D$48</f>
        <v>0.02</v>
      </c>
      <c r="F166" s="60">
        <f>'Rates and GI'!$D$48</f>
        <v>0.02</v>
      </c>
      <c r="G166" s="60">
        <f>'Rates and GI'!$D$48</f>
        <v>0.02</v>
      </c>
      <c r="H166" s="60">
        <f>'Rates and GI'!$D$48</f>
        <v>0.02</v>
      </c>
    </row>
    <row r="167" spans="1:12" hidden="1" x14ac:dyDescent="0.25">
      <c r="B167" s="41" t="s">
        <v>160</v>
      </c>
      <c r="E167" s="44">
        <v>0</v>
      </c>
      <c r="F167" s="44">
        <v>0</v>
      </c>
      <c r="G167" s="44">
        <v>0</v>
      </c>
      <c r="H167" s="44">
        <v>0</v>
      </c>
    </row>
    <row r="168" spans="1:12" s="5" customFormat="1" hidden="1" x14ac:dyDescent="0.25">
      <c r="B168" s="41"/>
      <c r="D168" s="44"/>
      <c r="E168" s="44"/>
      <c r="F168" s="44"/>
      <c r="G168" s="38"/>
      <c r="H168" s="38"/>
      <c r="I168" s="62"/>
      <c r="J168" s="6"/>
      <c r="K168" s="6"/>
      <c r="L168" s="6"/>
    </row>
    <row r="169" spans="1:12" hidden="1" x14ac:dyDescent="0.25">
      <c r="A169" s="50"/>
      <c r="B169" s="50" t="s">
        <v>21</v>
      </c>
      <c r="C169" s="50"/>
      <c r="D169" s="52"/>
      <c r="E169" s="52">
        <f>E170*E171+E172*E173++E174*E175+E176*E177</f>
        <v>0</v>
      </c>
      <c r="F169" s="52">
        <f t="shared" ref="F169:H169" si="43">F170*F171+F172*F173++F174*F175+F176*F177</f>
        <v>0</v>
      </c>
      <c r="G169" s="52">
        <f t="shared" si="43"/>
        <v>0</v>
      </c>
      <c r="H169" s="52">
        <f t="shared" si="43"/>
        <v>0</v>
      </c>
    </row>
    <row r="170" spans="1:12" hidden="1" x14ac:dyDescent="0.25">
      <c r="B170" s="41" t="s">
        <v>150</v>
      </c>
      <c r="G170" s="44">
        <v>0</v>
      </c>
      <c r="H170" s="44"/>
    </row>
    <row r="171" spans="1:12" hidden="1" x14ac:dyDescent="0.25">
      <c r="B171" s="41" t="s">
        <v>151</v>
      </c>
      <c r="E171" s="44">
        <f>'Rates and GI'!$D$58</f>
        <v>5000</v>
      </c>
      <c r="F171" s="44">
        <f>'Rates and GI'!$D$58</f>
        <v>5000</v>
      </c>
      <c r="G171" s="44">
        <f>'Rates and GI'!$D$58</f>
        <v>5000</v>
      </c>
      <c r="H171" s="44">
        <f>'Rates and GI'!$D$58</f>
        <v>5000</v>
      </c>
    </row>
    <row r="172" spans="1:12" hidden="1" x14ac:dyDescent="0.25">
      <c r="B172" s="41" t="s">
        <v>148</v>
      </c>
      <c r="E172" s="44">
        <v>0</v>
      </c>
      <c r="F172" s="44">
        <v>0</v>
      </c>
      <c r="G172" s="44">
        <v>0</v>
      </c>
      <c r="H172" s="44">
        <v>0</v>
      </c>
    </row>
    <row r="173" spans="1:12" hidden="1" x14ac:dyDescent="0.25">
      <c r="B173" s="41" t="s">
        <v>149</v>
      </c>
      <c r="E173" s="44">
        <f>'Rates and GI'!$D$59</f>
        <v>1500</v>
      </c>
      <c r="F173" s="44">
        <f>'Rates and GI'!$D$59</f>
        <v>1500</v>
      </c>
      <c r="G173" s="44">
        <f>'Rates and GI'!$D$59</f>
        <v>1500</v>
      </c>
      <c r="H173" s="44">
        <f>'Rates and GI'!$D$59</f>
        <v>1500</v>
      </c>
    </row>
    <row r="174" spans="1:12" ht="27" hidden="1" x14ac:dyDescent="0.25">
      <c r="B174" s="63" t="s">
        <v>162</v>
      </c>
      <c r="E174" s="44">
        <v>0</v>
      </c>
      <c r="F174" s="44">
        <v>0</v>
      </c>
      <c r="G174" s="44">
        <v>0</v>
      </c>
      <c r="H174" s="44">
        <v>0</v>
      </c>
    </row>
    <row r="175" spans="1:12" ht="27" hidden="1" x14ac:dyDescent="0.25">
      <c r="B175" s="63" t="s">
        <v>161</v>
      </c>
      <c r="E175" s="44">
        <f>'Rates and GI'!$D$60</f>
        <v>200</v>
      </c>
      <c r="F175" s="44">
        <f>'Rates and GI'!$D$60</f>
        <v>200</v>
      </c>
      <c r="G175" s="44">
        <f>'Rates and GI'!$D$60</f>
        <v>200</v>
      </c>
      <c r="H175" s="44">
        <f>'Rates and GI'!$D$60</f>
        <v>200</v>
      </c>
    </row>
    <row r="176" spans="1:12" s="5" customFormat="1" hidden="1" x14ac:dyDescent="0.25">
      <c r="B176" s="41" t="s">
        <v>217</v>
      </c>
      <c r="D176" s="44"/>
      <c r="E176" s="44">
        <v>0</v>
      </c>
      <c r="F176" s="44">
        <v>0</v>
      </c>
      <c r="G176" s="44">
        <v>0</v>
      </c>
      <c r="H176" s="44">
        <v>0</v>
      </c>
      <c r="I176" s="62"/>
      <c r="J176" s="6"/>
      <c r="K176" s="6"/>
      <c r="L176" s="6"/>
    </row>
    <row r="177" spans="1:12" s="5" customFormat="1" hidden="1" x14ac:dyDescent="0.25">
      <c r="B177" s="41" t="s">
        <v>214</v>
      </c>
      <c r="D177" s="44"/>
      <c r="E177" s="44">
        <f>'Rates and GI'!$D$61</f>
        <v>50</v>
      </c>
      <c r="F177" s="44">
        <f>'Rates and GI'!$D$61</f>
        <v>50</v>
      </c>
      <c r="G177" s="38">
        <f>'Rates and GI'!$D$61</f>
        <v>50</v>
      </c>
      <c r="H177" s="38">
        <f>'Rates and GI'!$D$61</f>
        <v>50</v>
      </c>
      <c r="I177" s="62"/>
      <c r="J177" s="6"/>
      <c r="K177" s="6"/>
      <c r="L177" s="6"/>
    </row>
    <row r="178" spans="1:12" hidden="1" x14ac:dyDescent="0.25">
      <c r="A178" s="50"/>
      <c r="B178" s="50"/>
      <c r="C178" s="50"/>
      <c r="D178" s="52"/>
      <c r="E178" s="52"/>
      <c r="F178" s="52"/>
      <c r="G178" s="52"/>
      <c r="H178" s="52"/>
    </row>
    <row r="179" spans="1:12" hidden="1" x14ac:dyDescent="0.25">
      <c r="A179" s="50"/>
      <c r="B179" s="50" t="s">
        <v>194</v>
      </c>
      <c r="C179" s="50"/>
      <c r="D179" s="52"/>
      <c r="E179" s="52">
        <f>E180+E183+E186+E195+E200</f>
        <v>0</v>
      </c>
      <c r="F179" s="52">
        <f t="shared" ref="F179:H179" si="44">F180+F183+F186+F195+F200</f>
        <v>0</v>
      </c>
      <c r="G179" s="52">
        <f t="shared" si="44"/>
        <v>0</v>
      </c>
      <c r="H179" s="52">
        <f t="shared" si="44"/>
        <v>0</v>
      </c>
    </row>
    <row r="180" spans="1:12" s="5" customFormat="1" hidden="1" x14ac:dyDescent="0.25">
      <c r="B180" s="5" t="s">
        <v>173</v>
      </c>
      <c r="D180" s="44"/>
      <c r="E180" s="44">
        <f>E181+E184*E185</f>
        <v>0</v>
      </c>
      <c r="F180" s="44">
        <f>F181+F184*F185</f>
        <v>0</v>
      </c>
      <c r="G180" s="44">
        <f>G181+G184*G185</f>
        <v>0</v>
      </c>
      <c r="H180" s="44">
        <f t="shared" ref="H180" si="45">H181+H184*H185</f>
        <v>0</v>
      </c>
      <c r="I180" s="73"/>
    </row>
    <row r="181" spans="1:12" hidden="1" x14ac:dyDescent="0.25">
      <c r="B181" s="41" t="s">
        <v>184</v>
      </c>
      <c r="F181" s="44">
        <f>('Rates and GI'!$D$45+'Rates and GI'!$D$49)*0</f>
        <v>0</v>
      </c>
      <c r="G181" s="44">
        <f>('Rates and GI'!$D$45+'Rates and GI'!$D$49)*0</f>
        <v>0</v>
      </c>
      <c r="H181" s="44"/>
    </row>
    <row r="182" spans="1:12" hidden="1" x14ac:dyDescent="0.25">
      <c r="B182" s="41" t="s">
        <v>187</v>
      </c>
      <c r="F182" s="44">
        <f>'Rates and GI'!$D$51*0</f>
        <v>0</v>
      </c>
      <c r="G182" s="44">
        <f>'Rates and GI'!$D$51*0</f>
        <v>0</v>
      </c>
      <c r="H182" s="44"/>
    </row>
    <row r="183" spans="1:12" hidden="1" x14ac:dyDescent="0.25">
      <c r="B183" s="5" t="s">
        <v>174</v>
      </c>
      <c r="E183" s="44">
        <f>E184*E185</f>
        <v>0</v>
      </c>
      <c r="F183" s="44">
        <f t="shared" ref="F183:H183" si="46">F184*F185</f>
        <v>0</v>
      </c>
      <c r="G183" s="44">
        <f t="shared" si="46"/>
        <v>0</v>
      </c>
      <c r="H183" s="44">
        <f t="shared" si="46"/>
        <v>0</v>
      </c>
    </row>
    <row r="184" spans="1:12" hidden="1" x14ac:dyDescent="0.25">
      <c r="B184" s="41" t="s">
        <v>164</v>
      </c>
      <c r="F184" s="44">
        <f>'Rates and GI'!$D$54</f>
        <v>24.066499999999998</v>
      </c>
      <c r="G184" s="44">
        <f>'Rates and GI'!$D$54</f>
        <v>24.066499999999998</v>
      </c>
      <c r="H184" s="44">
        <f>'Rates and GI'!$D$54</f>
        <v>24.066499999999998</v>
      </c>
    </row>
    <row r="185" spans="1:12" hidden="1" x14ac:dyDescent="0.25">
      <c r="B185" s="41" t="s">
        <v>163</v>
      </c>
      <c r="F185" s="44">
        <v>0</v>
      </c>
      <c r="G185" s="38">
        <v>0</v>
      </c>
      <c r="H185" s="38">
        <v>0</v>
      </c>
    </row>
    <row r="186" spans="1:12" hidden="1" x14ac:dyDescent="0.25">
      <c r="B186" s="5" t="s">
        <v>175</v>
      </c>
      <c r="E186" s="44">
        <f>E187+E191</f>
        <v>0</v>
      </c>
      <c r="F186" s="44">
        <f t="shared" ref="F186:H186" si="47">F187+F191</f>
        <v>0</v>
      </c>
      <c r="G186" s="44">
        <f t="shared" si="47"/>
        <v>0</v>
      </c>
      <c r="H186" s="44">
        <f t="shared" si="47"/>
        <v>0</v>
      </c>
    </row>
    <row r="187" spans="1:12" hidden="1" x14ac:dyDescent="0.25">
      <c r="B187" s="41" t="s">
        <v>189</v>
      </c>
      <c r="E187" s="44">
        <f>E188*E189</f>
        <v>0</v>
      </c>
      <c r="F187" s="44">
        <f t="shared" ref="F187:H187" si="48">F188*F189</f>
        <v>0</v>
      </c>
      <c r="G187" s="44">
        <f t="shared" si="48"/>
        <v>0</v>
      </c>
      <c r="H187" s="44">
        <f t="shared" si="48"/>
        <v>0</v>
      </c>
    </row>
    <row r="188" spans="1:12" hidden="1" x14ac:dyDescent="0.25">
      <c r="B188" s="41" t="s">
        <v>176</v>
      </c>
      <c r="C188" s="5" t="s">
        <v>177</v>
      </c>
      <c r="E188" s="44">
        <v>0</v>
      </c>
      <c r="F188" s="44">
        <v>0</v>
      </c>
      <c r="G188" s="38">
        <v>0</v>
      </c>
      <c r="H188" s="38">
        <v>0</v>
      </c>
    </row>
    <row r="189" spans="1:12" hidden="1" x14ac:dyDescent="0.25">
      <c r="B189" s="41" t="s">
        <v>178</v>
      </c>
      <c r="E189" s="44">
        <f>'Rates and GI'!$D$52</f>
        <v>150</v>
      </c>
      <c r="F189" s="44">
        <f>'Rates and GI'!$D$52</f>
        <v>150</v>
      </c>
      <c r="G189" s="44">
        <f>'Rates and GI'!$D$52</f>
        <v>150</v>
      </c>
      <c r="H189" s="44">
        <f>'Rates and GI'!$D$52</f>
        <v>150</v>
      </c>
    </row>
    <row r="190" spans="1:12" hidden="1" x14ac:dyDescent="0.25">
      <c r="B190" s="6"/>
    </row>
    <row r="191" spans="1:12" hidden="1" x14ac:dyDescent="0.25">
      <c r="B191" s="41" t="s">
        <v>190</v>
      </c>
      <c r="E191" s="44">
        <f>E192*E193</f>
        <v>0</v>
      </c>
      <c r="F191" s="44">
        <f t="shared" ref="F191:H191" si="49">F192*F193</f>
        <v>0</v>
      </c>
      <c r="G191" s="44">
        <f t="shared" si="49"/>
        <v>0</v>
      </c>
      <c r="H191" s="44">
        <f t="shared" si="49"/>
        <v>0</v>
      </c>
    </row>
    <row r="192" spans="1:12" hidden="1" x14ac:dyDescent="0.25">
      <c r="B192" s="41" t="s">
        <v>176</v>
      </c>
      <c r="C192" s="5" t="s">
        <v>177</v>
      </c>
      <c r="E192" s="44">
        <v>0</v>
      </c>
      <c r="F192" s="44">
        <v>0</v>
      </c>
      <c r="G192" s="38">
        <v>0</v>
      </c>
      <c r="H192" s="38">
        <v>0</v>
      </c>
    </row>
    <row r="193" spans="1:12" s="62" customFormat="1" hidden="1" x14ac:dyDescent="0.25">
      <c r="A193" s="5"/>
      <c r="B193" s="41" t="s">
        <v>178</v>
      </c>
      <c r="C193" s="5"/>
      <c r="D193" s="44"/>
      <c r="E193" s="44">
        <f>'Rates and GI'!$D$53</f>
        <v>20</v>
      </c>
      <c r="F193" s="44">
        <f>'Rates and GI'!$D$53</f>
        <v>20</v>
      </c>
      <c r="G193" s="44">
        <f>'Rates and GI'!$D$53</f>
        <v>20</v>
      </c>
      <c r="H193" s="44">
        <f>'Rates and GI'!$D$53</f>
        <v>20</v>
      </c>
      <c r="J193" s="6"/>
      <c r="K193" s="6"/>
      <c r="L193" s="6"/>
    </row>
    <row r="194" spans="1:12" s="62" customFormat="1" hidden="1" x14ac:dyDescent="0.25">
      <c r="A194" s="5"/>
      <c r="B194" s="6"/>
      <c r="C194" s="5"/>
      <c r="D194" s="44"/>
      <c r="E194" s="44"/>
      <c r="F194" s="44"/>
      <c r="G194" s="38"/>
      <c r="H194" s="38"/>
      <c r="J194" s="6"/>
      <c r="K194" s="6"/>
      <c r="L194" s="6"/>
    </row>
    <row r="195" spans="1:12" s="62" customFormat="1" hidden="1" x14ac:dyDescent="0.25">
      <c r="A195" s="5"/>
      <c r="B195" s="5" t="s">
        <v>179</v>
      </c>
      <c r="C195" s="5"/>
      <c r="D195" s="44"/>
      <c r="E195" s="44">
        <f>E196*E197*E198</f>
        <v>0</v>
      </c>
      <c r="F195" s="44">
        <f t="shared" ref="F195:H195" si="50">F196*F197*F198</f>
        <v>0</v>
      </c>
      <c r="G195" s="44">
        <f t="shared" si="50"/>
        <v>0</v>
      </c>
      <c r="H195" s="44">
        <f t="shared" si="50"/>
        <v>0</v>
      </c>
      <c r="J195" s="6"/>
      <c r="K195" s="6"/>
      <c r="L195" s="6"/>
    </row>
    <row r="196" spans="1:12" s="62" customFormat="1" hidden="1" x14ac:dyDescent="0.25">
      <c r="A196" s="5"/>
      <c r="B196" s="41" t="s">
        <v>191</v>
      </c>
      <c r="C196" s="5"/>
      <c r="D196" s="44"/>
      <c r="E196" s="44"/>
      <c r="F196" s="44">
        <f>'Rates and GI'!$D$55</f>
        <v>300</v>
      </c>
      <c r="G196" s="44">
        <f>'Rates and GI'!$D$55</f>
        <v>300</v>
      </c>
      <c r="H196" s="44">
        <f>'Rates and GI'!$D$55</f>
        <v>300</v>
      </c>
      <c r="J196" s="6"/>
      <c r="K196" s="6"/>
      <c r="L196" s="6"/>
    </row>
    <row r="197" spans="1:12" s="62" customFormat="1" hidden="1" x14ac:dyDescent="0.25">
      <c r="A197" s="5"/>
      <c r="B197" s="41" t="s">
        <v>192</v>
      </c>
      <c r="C197" s="5"/>
      <c r="D197" s="44"/>
      <c r="E197" s="44"/>
      <c r="F197" s="44">
        <v>3</v>
      </c>
      <c r="G197" s="44">
        <v>3</v>
      </c>
      <c r="H197" s="44">
        <v>3</v>
      </c>
      <c r="J197" s="6"/>
      <c r="K197" s="6"/>
      <c r="L197" s="6"/>
    </row>
    <row r="198" spans="1:12" s="62" customFormat="1" hidden="1" x14ac:dyDescent="0.25">
      <c r="A198" s="5"/>
      <c r="B198" s="41" t="s">
        <v>193</v>
      </c>
      <c r="C198" s="5"/>
      <c r="D198" s="44"/>
      <c r="E198" s="44"/>
      <c r="F198" s="44">
        <v>0</v>
      </c>
      <c r="G198" s="44">
        <v>0</v>
      </c>
      <c r="H198" s="44">
        <v>0</v>
      </c>
      <c r="J198" s="6"/>
      <c r="K198" s="6"/>
      <c r="L198" s="6"/>
    </row>
    <row r="199" spans="1:12" hidden="1" x14ac:dyDescent="0.25"/>
    <row r="200" spans="1:12" s="62" customFormat="1" hidden="1" x14ac:dyDescent="0.25">
      <c r="A200" s="5"/>
      <c r="B200" s="5" t="s">
        <v>172</v>
      </c>
      <c r="C200" s="5"/>
      <c r="D200" s="44"/>
      <c r="E200" s="44">
        <f>E201+E202*E203</f>
        <v>0</v>
      </c>
      <c r="F200" s="44">
        <f>F201+F202*F203</f>
        <v>0</v>
      </c>
      <c r="G200" s="44">
        <f>G201+G202*G203</f>
        <v>0</v>
      </c>
      <c r="H200" s="44">
        <f>H201+H202*H203</f>
        <v>0</v>
      </c>
      <c r="J200" s="6"/>
      <c r="K200" s="6"/>
      <c r="L200" s="6"/>
    </row>
    <row r="201" spans="1:12" s="62" customFormat="1" hidden="1" x14ac:dyDescent="0.25">
      <c r="A201" s="5"/>
      <c r="B201" s="41" t="s">
        <v>153</v>
      </c>
      <c r="C201" s="5"/>
      <c r="D201" s="44"/>
      <c r="E201" s="44"/>
      <c r="F201" s="44">
        <f>'Rates and GI'!D46*0</f>
        <v>0</v>
      </c>
      <c r="G201" s="38"/>
      <c r="H201" s="38"/>
      <c r="J201" s="6"/>
      <c r="K201" s="6"/>
      <c r="L201" s="6"/>
    </row>
    <row r="202" spans="1:12" s="62" customFormat="1" hidden="1" x14ac:dyDescent="0.25">
      <c r="A202" s="5"/>
      <c r="B202" s="41" t="s">
        <v>159</v>
      </c>
      <c r="C202" s="5"/>
      <c r="D202" s="44"/>
      <c r="E202" s="44"/>
      <c r="F202" s="65">
        <f>'Rates and GI'!$D$47</f>
        <v>0.05</v>
      </c>
      <c r="G202" s="65">
        <f>'Rates and GI'!$D$47</f>
        <v>0.05</v>
      </c>
      <c r="H202" s="65">
        <f>'Rates and GI'!$D$47</f>
        <v>0.05</v>
      </c>
      <c r="J202" s="6"/>
      <c r="K202" s="6"/>
      <c r="L202" s="6"/>
    </row>
    <row r="203" spans="1:12" s="62" customFormat="1" hidden="1" x14ac:dyDescent="0.25">
      <c r="A203" s="5"/>
      <c r="B203" s="41" t="s">
        <v>160</v>
      </c>
      <c r="C203" s="5"/>
      <c r="D203" s="44"/>
      <c r="E203" s="44"/>
      <c r="F203" s="44">
        <v>0</v>
      </c>
      <c r="G203" s="38">
        <v>0</v>
      </c>
      <c r="H203" s="38"/>
      <c r="J203" s="6"/>
      <c r="K203" s="6"/>
      <c r="L203" s="6"/>
    </row>
    <row r="204" spans="1:12" hidden="1" x14ac:dyDescent="0.25"/>
    <row r="205" spans="1:12" s="62" customFormat="1" hidden="1" x14ac:dyDescent="0.25">
      <c r="A205" s="50"/>
      <c r="B205" s="50" t="s">
        <v>19</v>
      </c>
      <c r="C205" s="50"/>
      <c r="D205" s="52"/>
      <c r="E205" s="52">
        <v>0</v>
      </c>
      <c r="F205" s="52">
        <v>0</v>
      </c>
      <c r="G205" s="52">
        <v>0</v>
      </c>
      <c r="H205" s="52">
        <v>0</v>
      </c>
      <c r="J205" s="6"/>
      <c r="K205" s="6"/>
      <c r="L205" s="6"/>
    </row>
    <row r="206" spans="1:12" hidden="1" x14ac:dyDescent="0.25"/>
    <row r="207" spans="1:12" ht="27" hidden="1" x14ac:dyDescent="0.25">
      <c r="A207" s="50"/>
      <c r="B207" s="132" t="s">
        <v>252</v>
      </c>
      <c r="C207" s="133"/>
      <c r="D207" s="51"/>
      <c r="E207" s="52">
        <f>E211+E215+E219</f>
        <v>0</v>
      </c>
      <c r="F207" s="52">
        <f t="shared" ref="F207:H207" si="51">F211+F215+F219</f>
        <v>0</v>
      </c>
      <c r="G207" s="52">
        <f t="shared" si="51"/>
        <v>0</v>
      </c>
      <c r="H207" s="52">
        <f t="shared" si="51"/>
        <v>0</v>
      </c>
    </row>
    <row r="208" spans="1:12" hidden="1" x14ac:dyDescent="0.25">
      <c r="B208" s="142" t="s">
        <v>268</v>
      </c>
      <c r="C208" s="73"/>
      <c r="D208" s="33"/>
      <c r="E208" s="33"/>
      <c r="F208" s="33"/>
      <c r="G208" s="33"/>
      <c r="H208" s="33"/>
    </row>
    <row r="209" spans="1:12" hidden="1" x14ac:dyDescent="0.25">
      <c r="A209" s="10"/>
      <c r="B209" s="39" t="s">
        <v>253</v>
      </c>
      <c r="C209" s="134">
        <v>3</v>
      </c>
      <c r="D209" s="33"/>
      <c r="E209" s="44">
        <v>3</v>
      </c>
      <c r="F209" s="44">
        <v>0</v>
      </c>
      <c r="G209" s="44">
        <v>0</v>
      </c>
      <c r="H209" s="44">
        <v>0</v>
      </c>
    </row>
    <row r="210" spans="1:12" hidden="1" x14ac:dyDescent="0.25">
      <c r="B210" s="39" t="s">
        <v>254</v>
      </c>
      <c r="C210" s="46">
        <v>0</v>
      </c>
      <c r="D210" s="33"/>
      <c r="G210" s="44"/>
      <c r="H210" s="44"/>
    </row>
    <row r="211" spans="1:12" hidden="1" x14ac:dyDescent="0.25">
      <c r="B211" s="39" t="s">
        <v>255</v>
      </c>
      <c r="C211" s="77"/>
      <c r="D211" s="33"/>
      <c r="E211" s="44">
        <f>$C$210/$C$209*E209</f>
        <v>0</v>
      </c>
      <c r="F211" s="44">
        <f>$C$210/$C$209*F209</f>
        <v>0</v>
      </c>
      <c r="G211" s="44">
        <f>$C$210/$C$209*G209</f>
        <v>0</v>
      </c>
      <c r="H211" s="44">
        <f>$C$210/$C$209*H209</f>
        <v>0</v>
      </c>
    </row>
    <row r="212" spans="1:12" ht="27" hidden="1" x14ac:dyDescent="0.25">
      <c r="B212" s="143" t="s">
        <v>269</v>
      </c>
      <c r="C212" s="77"/>
    </row>
    <row r="213" spans="1:12" hidden="1" x14ac:dyDescent="0.25">
      <c r="B213" s="39" t="s">
        <v>253</v>
      </c>
      <c r="C213" s="134">
        <v>2</v>
      </c>
      <c r="D213" s="33"/>
      <c r="E213" s="44">
        <v>2</v>
      </c>
      <c r="F213" s="44">
        <v>0</v>
      </c>
      <c r="G213" s="44">
        <v>0</v>
      </c>
      <c r="H213" s="44">
        <v>0</v>
      </c>
    </row>
    <row r="214" spans="1:12" hidden="1" x14ac:dyDescent="0.25">
      <c r="B214" s="39" t="s">
        <v>254</v>
      </c>
      <c r="C214" s="169"/>
      <c r="D214" s="33"/>
      <c r="G214" s="44"/>
      <c r="H214" s="44"/>
    </row>
    <row r="215" spans="1:12" hidden="1" x14ac:dyDescent="0.25">
      <c r="B215" s="39" t="s">
        <v>255</v>
      </c>
      <c r="C215" s="77"/>
      <c r="D215" s="33"/>
      <c r="E215" s="44">
        <f>$C$214/$C$213*E213</f>
        <v>0</v>
      </c>
      <c r="F215" s="33">
        <f>$C$214/$C$213*F213</f>
        <v>0</v>
      </c>
      <c r="G215" s="44">
        <f>$C$214/$C$213*G213</f>
        <v>0</v>
      </c>
      <c r="H215" s="44">
        <f>$C$214/$C$213*H213</f>
        <v>0</v>
      </c>
    </row>
    <row r="216" spans="1:12" ht="27" hidden="1" x14ac:dyDescent="0.25">
      <c r="B216" s="143" t="s">
        <v>271</v>
      </c>
      <c r="C216" s="77"/>
    </row>
    <row r="217" spans="1:12" hidden="1" x14ac:dyDescent="0.25">
      <c r="B217" s="39" t="s">
        <v>253</v>
      </c>
      <c r="C217" s="141">
        <v>18</v>
      </c>
      <c r="D217" s="33"/>
      <c r="E217" s="44">
        <v>6</v>
      </c>
      <c r="F217" s="44">
        <v>12</v>
      </c>
      <c r="G217" s="44">
        <v>0</v>
      </c>
      <c r="H217" s="44">
        <v>0</v>
      </c>
    </row>
    <row r="218" spans="1:12" hidden="1" x14ac:dyDescent="0.25">
      <c r="B218" s="39" t="s">
        <v>254</v>
      </c>
      <c r="C218" s="169">
        <v>0</v>
      </c>
      <c r="D218" s="33"/>
      <c r="G218" s="44"/>
      <c r="H218" s="44"/>
    </row>
    <row r="219" spans="1:12" hidden="1" x14ac:dyDescent="0.25">
      <c r="B219" s="39" t="s">
        <v>255</v>
      </c>
      <c r="C219" s="77"/>
      <c r="D219" s="33"/>
      <c r="E219" s="44">
        <f>$C$218/$C$217*E217</f>
        <v>0</v>
      </c>
      <c r="F219" s="44">
        <f>$C$218/$C$217*F217</f>
        <v>0</v>
      </c>
      <c r="G219" s="44">
        <f>$C$218/$C$217*G217</f>
        <v>0</v>
      </c>
      <c r="H219" s="44">
        <f>$C$218/$C$217*H217</f>
        <v>0</v>
      </c>
    </row>
    <row r="220" spans="1:12" s="62" customFormat="1" hidden="1" x14ac:dyDescent="0.25">
      <c r="A220" s="5"/>
      <c r="B220" s="5"/>
      <c r="C220" s="5"/>
      <c r="D220" s="44"/>
      <c r="E220" s="44"/>
      <c r="F220" s="44"/>
      <c r="G220" s="44"/>
      <c r="H220" s="44"/>
      <c r="J220" s="6"/>
      <c r="K220" s="6"/>
      <c r="L220" s="6"/>
    </row>
    <row r="221" spans="1:12" s="62" customFormat="1" hidden="1" x14ac:dyDescent="0.25">
      <c r="A221" s="5"/>
      <c r="B221" s="5"/>
      <c r="C221" s="5"/>
      <c r="D221" s="44"/>
      <c r="E221" s="44"/>
      <c r="F221" s="44"/>
      <c r="G221" s="44"/>
      <c r="H221" s="44"/>
      <c r="J221" s="6"/>
      <c r="K221" s="6"/>
      <c r="L221" s="6"/>
    </row>
    <row r="222" spans="1:12" s="62" customFormat="1" hidden="1" x14ac:dyDescent="0.25">
      <c r="A222" s="5"/>
      <c r="B222" s="5"/>
      <c r="C222" s="5"/>
      <c r="D222" s="44"/>
      <c r="E222" s="44"/>
      <c r="F222" s="44"/>
      <c r="G222" s="44"/>
      <c r="H222" s="44"/>
      <c r="J222" s="6"/>
      <c r="K222" s="6"/>
      <c r="L222" s="6"/>
    </row>
    <row r="223" spans="1:12" s="62" customFormat="1" hidden="1" x14ac:dyDescent="0.25">
      <c r="A223" s="5"/>
      <c r="B223" s="5"/>
      <c r="C223" s="5"/>
      <c r="D223" s="44"/>
      <c r="E223" s="44"/>
      <c r="F223" s="44"/>
      <c r="G223" s="44"/>
      <c r="H223" s="44"/>
      <c r="J223" s="6"/>
      <c r="K223" s="6"/>
      <c r="L223" s="6"/>
    </row>
    <row r="224" spans="1:12" s="62" customFormat="1" ht="29.25" customHeight="1" x14ac:dyDescent="0.25">
      <c r="A224" s="50"/>
      <c r="B224" s="138" t="s">
        <v>265</v>
      </c>
      <c r="C224" s="50"/>
      <c r="D224" s="52"/>
      <c r="E224" s="52">
        <f>E228+E232</f>
        <v>67950.48</v>
      </c>
      <c r="F224" s="52">
        <f t="shared" ref="F224:H224" si="52">F228+F232</f>
        <v>33975.24</v>
      </c>
      <c r="G224" s="52">
        <f t="shared" si="52"/>
        <v>0</v>
      </c>
      <c r="H224" s="52">
        <f t="shared" si="52"/>
        <v>0</v>
      </c>
      <c r="J224" s="6"/>
      <c r="K224" s="6"/>
      <c r="L224" s="6"/>
    </row>
    <row r="225" spans="1:12" s="62" customFormat="1" ht="29.25" customHeight="1" x14ac:dyDescent="0.25">
      <c r="A225" s="5"/>
      <c r="B225" s="174" t="s">
        <v>502</v>
      </c>
      <c r="C225" s="5"/>
      <c r="D225" s="44"/>
      <c r="E225" s="44"/>
      <c r="F225" s="44"/>
      <c r="G225" s="44"/>
      <c r="H225" s="44"/>
      <c r="J225" s="6"/>
      <c r="K225" s="6"/>
      <c r="L225" s="6"/>
    </row>
    <row r="226" spans="1:12" x14ac:dyDescent="0.25">
      <c r="B226" s="144" t="s">
        <v>253</v>
      </c>
      <c r="C226" s="134">
        <v>18</v>
      </c>
      <c r="E226" s="44">
        <v>12</v>
      </c>
      <c r="F226" s="44">
        <v>6</v>
      </c>
      <c r="G226" s="44">
        <v>0</v>
      </c>
      <c r="H226" s="44">
        <v>0</v>
      </c>
    </row>
    <row r="227" spans="1:12" x14ac:dyDescent="0.25">
      <c r="B227" s="144" t="s">
        <v>254</v>
      </c>
      <c r="C227" s="44">
        <f>188500*eur</f>
        <v>101925.72</v>
      </c>
      <c r="G227" s="44"/>
      <c r="H227" s="44"/>
    </row>
    <row r="228" spans="1:12" x14ac:dyDescent="0.25">
      <c r="B228" s="144" t="s">
        <v>255</v>
      </c>
      <c r="C228" s="73"/>
      <c r="E228" s="44">
        <f>$C$227/$C$226*E226</f>
        <v>67950.48</v>
      </c>
      <c r="F228" s="44">
        <f t="shared" ref="F228:H228" si="53">$C$227/$C$226*F226</f>
        <v>33975.24</v>
      </c>
      <c r="G228" s="44">
        <f t="shared" si="53"/>
        <v>0</v>
      </c>
      <c r="H228" s="44">
        <f t="shared" si="53"/>
        <v>0</v>
      </c>
    </row>
    <row r="229" spans="1:12" s="62" customFormat="1" hidden="1" x14ac:dyDescent="0.25">
      <c r="A229" s="5"/>
      <c r="B229" s="142"/>
      <c r="C229" s="73"/>
      <c r="D229" s="44"/>
      <c r="E229" s="44"/>
      <c r="F229" s="44"/>
      <c r="G229" s="38"/>
      <c r="H229" s="38"/>
      <c r="J229" s="6"/>
      <c r="K229" s="6"/>
      <c r="L229" s="6"/>
    </row>
    <row r="230" spans="1:12" s="62" customFormat="1" hidden="1" x14ac:dyDescent="0.25">
      <c r="A230" s="5"/>
      <c r="B230" s="144" t="s">
        <v>253</v>
      </c>
      <c r="C230" s="134">
        <v>1</v>
      </c>
      <c r="D230" s="44"/>
      <c r="E230" s="44">
        <v>0</v>
      </c>
      <c r="F230" s="44">
        <v>0</v>
      </c>
      <c r="G230" s="44">
        <v>0</v>
      </c>
      <c r="H230" s="44">
        <v>0</v>
      </c>
      <c r="J230" s="6"/>
      <c r="K230" s="6"/>
      <c r="L230" s="6"/>
    </row>
    <row r="231" spans="1:12" s="62" customFormat="1" hidden="1" x14ac:dyDescent="0.25">
      <c r="A231" s="5"/>
      <c r="B231" s="144" t="s">
        <v>254</v>
      </c>
      <c r="C231" s="44">
        <v>0</v>
      </c>
      <c r="D231" s="44"/>
      <c r="E231" s="44"/>
      <c r="F231" s="44"/>
      <c r="G231" s="44"/>
      <c r="H231" s="44"/>
      <c r="J231" s="6"/>
      <c r="K231" s="6"/>
      <c r="L231" s="6"/>
    </row>
    <row r="232" spans="1:12" s="62" customFormat="1" hidden="1" x14ac:dyDescent="0.25">
      <c r="A232" s="5"/>
      <c r="B232" s="144" t="s">
        <v>255</v>
      </c>
      <c r="C232" s="73"/>
      <c r="D232" s="44"/>
      <c r="E232" s="44">
        <f>$C$231/$C$230*E230</f>
        <v>0</v>
      </c>
      <c r="F232" s="44">
        <f t="shared" ref="F232:H232" si="54">$C$231/$C$230*F230</f>
        <v>0</v>
      </c>
      <c r="G232" s="44">
        <f t="shared" si="54"/>
        <v>0</v>
      </c>
      <c r="H232" s="44">
        <f t="shared" si="54"/>
        <v>0</v>
      </c>
      <c r="J232" s="6"/>
      <c r="K232" s="6"/>
      <c r="L232" s="6"/>
    </row>
    <row r="233" spans="1:12" s="62" customFormat="1" hidden="1" x14ac:dyDescent="0.25">
      <c r="A233" s="5"/>
      <c r="B233" s="73"/>
      <c r="C233" s="73"/>
      <c r="D233" s="44"/>
      <c r="E233" s="44"/>
      <c r="F233" s="44"/>
      <c r="G233" s="38"/>
      <c r="H233" s="38"/>
      <c r="J233" s="6"/>
      <c r="K233" s="6"/>
      <c r="L233" s="6"/>
    </row>
    <row r="234" spans="1:12" s="62" customFormat="1" x14ac:dyDescent="0.25">
      <c r="A234" s="228"/>
      <c r="B234" s="240"/>
      <c r="C234" s="240"/>
      <c r="D234" s="230"/>
      <c r="E234" s="230"/>
      <c r="F234" s="230"/>
      <c r="G234" s="230"/>
      <c r="H234" s="230"/>
      <c r="J234" s="6"/>
      <c r="K234" s="6"/>
      <c r="L234" s="6"/>
    </row>
  </sheetData>
  <pageMargins left="0.7" right="0.7" top="0.75" bottom="0.75" header="0.3" footer="0.3"/>
  <pageSetup paperSize="9" scale="54" fitToHeight="0"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7"/>
  <sheetViews>
    <sheetView topLeftCell="A136" workbookViewId="0">
      <selection activeCell="B215" sqref="B215"/>
    </sheetView>
  </sheetViews>
  <sheetFormatPr defaultRowHeight="13.5" x14ac:dyDescent="0.25"/>
  <cols>
    <col min="1" max="1" width="5.5703125" style="5" customWidth="1"/>
    <col min="2" max="2" width="79.85546875" style="5" customWidth="1"/>
    <col min="3" max="3" width="18.8554687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51</v>
      </c>
      <c r="B1" s="126" t="s">
        <v>451</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7" si="0">SUM(E5:H5)</f>
        <v>0</v>
      </c>
      <c r="E5" s="44">
        <f>E72</f>
        <v>0</v>
      </c>
      <c r="F5" s="44">
        <f t="shared" ref="F5:H5" si="1">F72</f>
        <v>0</v>
      </c>
      <c r="G5" s="44">
        <f t="shared" si="1"/>
        <v>0</v>
      </c>
      <c r="H5" s="44">
        <f t="shared" si="1"/>
        <v>0</v>
      </c>
    </row>
    <row r="6" spans="1:12" x14ac:dyDescent="0.25">
      <c r="B6" s="16" t="s">
        <v>168</v>
      </c>
      <c r="D6" s="44">
        <f t="shared" si="0"/>
        <v>0</v>
      </c>
      <c r="E6" s="44">
        <f>E76</f>
        <v>0</v>
      </c>
      <c r="F6" s="44">
        <f t="shared" ref="F6:H6" si="2">F76</f>
        <v>0</v>
      </c>
      <c r="G6" s="44">
        <f t="shared" si="2"/>
        <v>0</v>
      </c>
      <c r="H6" s="44">
        <f t="shared" si="2"/>
        <v>0</v>
      </c>
    </row>
    <row r="7" spans="1:12" x14ac:dyDescent="0.25">
      <c r="B7" s="16" t="s">
        <v>467</v>
      </c>
      <c r="D7" s="44">
        <f t="shared" si="0"/>
        <v>67150.4778114324</v>
      </c>
      <c r="E7" s="44">
        <f>E81</f>
        <v>8916.6</v>
      </c>
      <c r="F7" s="44">
        <f t="shared" ref="F7:H7" si="3">F81</f>
        <v>18600.027600000001</v>
      </c>
      <c r="G7" s="44">
        <f t="shared" si="3"/>
        <v>19399.828786800001</v>
      </c>
      <c r="H7" s="44">
        <f t="shared" si="3"/>
        <v>20234.021424632399</v>
      </c>
    </row>
    <row r="8" spans="1:12" ht="14.25" thickBot="1" x14ac:dyDescent="0.3">
      <c r="A8" s="13"/>
      <c r="B8" s="13" t="s">
        <v>5</v>
      </c>
      <c r="C8" s="13"/>
      <c r="D8" s="47">
        <f>SUBTOTAL(9,D5:D7)</f>
        <v>67150.4778114324</v>
      </c>
      <c r="E8" s="47">
        <f t="shared" ref="E8:H8" si="4">SUBTOTAL(9,E5:E7)</f>
        <v>8916.6</v>
      </c>
      <c r="F8" s="47">
        <f t="shared" si="4"/>
        <v>18600.027600000001</v>
      </c>
      <c r="G8" s="47">
        <f t="shared" si="4"/>
        <v>19399.828786800001</v>
      </c>
      <c r="H8" s="47">
        <f t="shared" si="4"/>
        <v>20234.021424632399</v>
      </c>
    </row>
    <row r="9" spans="1:12" ht="5.25" customHeight="1" x14ac:dyDescent="0.25"/>
    <row r="10" spans="1:12" x14ac:dyDescent="0.25">
      <c r="A10" s="15"/>
      <c r="B10" s="15" t="s">
        <v>11</v>
      </c>
      <c r="C10" s="15"/>
      <c r="D10" s="53"/>
      <c r="E10" s="53"/>
      <c r="F10" s="53"/>
      <c r="G10" s="54"/>
      <c r="H10" s="54"/>
      <c r="I10" s="61"/>
      <c r="J10" s="12"/>
      <c r="K10" s="12"/>
      <c r="L10" s="12"/>
    </row>
    <row r="11" spans="1:12" x14ac:dyDescent="0.25">
      <c r="B11" s="16" t="s">
        <v>10</v>
      </c>
      <c r="D11" s="44">
        <f t="shared" ref="D11:D12" si="5">SUM(E11:H11)</f>
        <v>0</v>
      </c>
      <c r="E11" s="44">
        <f>E86</f>
        <v>0</v>
      </c>
      <c r="F11" s="44">
        <f t="shared" ref="F11:H11" si="6">F86</f>
        <v>0</v>
      </c>
      <c r="G11" s="44">
        <f t="shared" si="6"/>
        <v>0</v>
      </c>
      <c r="H11" s="44">
        <f t="shared" si="6"/>
        <v>0</v>
      </c>
    </row>
    <row r="12" spans="1:12" x14ac:dyDescent="0.25">
      <c r="B12" s="16" t="s">
        <v>115</v>
      </c>
      <c r="D12" s="44">
        <f t="shared" si="5"/>
        <v>0</v>
      </c>
      <c r="E12" s="44">
        <v>0</v>
      </c>
      <c r="F12" s="44">
        <v>0</v>
      </c>
      <c r="G12" s="44">
        <v>0</v>
      </c>
      <c r="H12" s="44">
        <v>0</v>
      </c>
    </row>
    <row r="13" spans="1:12" ht="14.25" thickBot="1" x14ac:dyDescent="0.3">
      <c r="A13" s="13"/>
      <c r="B13" s="13" t="s">
        <v>66</v>
      </c>
      <c r="C13" s="13"/>
      <c r="D13" s="47">
        <f>SUBTOTAL(9,D11:D12)</f>
        <v>0</v>
      </c>
      <c r="E13" s="47">
        <f t="shared" ref="E13:H13" si="7">SUBTOTAL(9,E11:E12)</f>
        <v>0</v>
      </c>
      <c r="F13" s="47">
        <f t="shared" si="7"/>
        <v>0</v>
      </c>
      <c r="G13" s="47">
        <f t="shared" si="7"/>
        <v>0</v>
      </c>
      <c r="H13" s="47">
        <f t="shared" si="7"/>
        <v>0</v>
      </c>
    </row>
    <row r="14" spans="1:12" ht="5.25" customHeight="1" x14ac:dyDescent="0.25"/>
    <row r="15" spans="1:12" x14ac:dyDescent="0.25">
      <c r="A15" s="15"/>
      <c r="B15" s="15" t="s">
        <v>12</v>
      </c>
      <c r="C15" s="15"/>
      <c r="D15" s="53"/>
      <c r="E15" s="53"/>
      <c r="F15" s="53"/>
      <c r="G15" s="54"/>
      <c r="H15" s="54"/>
      <c r="I15" s="61"/>
      <c r="J15" s="12"/>
      <c r="K15" s="12"/>
      <c r="L15" s="12"/>
    </row>
    <row r="16" spans="1:12" x14ac:dyDescent="0.25">
      <c r="B16" s="16" t="s">
        <v>169</v>
      </c>
      <c r="D16" s="44">
        <f t="shared" ref="D16" si="8">SUM(E16:H16)</f>
        <v>0</v>
      </c>
      <c r="E16" s="44">
        <f>E94</f>
        <v>0</v>
      </c>
      <c r="F16" s="44">
        <f t="shared" ref="F16:H16" si="9">F94</f>
        <v>0</v>
      </c>
      <c r="G16" s="44">
        <f t="shared" si="9"/>
        <v>0</v>
      </c>
      <c r="H16" s="44">
        <f t="shared" si="9"/>
        <v>0</v>
      </c>
    </row>
    <row r="17" spans="1:12" x14ac:dyDescent="0.25">
      <c r="B17" s="16" t="s">
        <v>71</v>
      </c>
    </row>
    <row r="18" spans="1:12" ht="14.25" thickBot="1" x14ac:dyDescent="0.3">
      <c r="A18" s="13"/>
      <c r="B18" s="13" t="s">
        <v>74</v>
      </c>
      <c r="C18" s="13"/>
      <c r="D18" s="47">
        <f>SUBTOTAL(9,D16:D17)</f>
        <v>0</v>
      </c>
      <c r="E18" s="47">
        <f t="shared" ref="E18:H18" si="10">SUBTOTAL(9,E16:E17)</f>
        <v>0</v>
      </c>
      <c r="F18" s="47">
        <f t="shared" si="10"/>
        <v>0</v>
      </c>
      <c r="G18" s="47">
        <f t="shared" si="10"/>
        <v>0</v>
      </c>
      <c r="H18" s="47">
        <f t="shared" si="10"/>
        <v>0</v>
      </c>
    </row>
    <row r="19" spans="1:12" ht="6" customHeight="1" x14ac:dyDescent="0.25"/>
    <row r="20" spans="1:12" x14ac:dyDescent="0.25">
      <c r="A20" s="15"/>
      <c r="B20" s="15" t="s">
        <v>138</v>
      </c>
      <c r="C20" s="15"/>
      <c r="D20" s="53"/>
      <c r="E20" s="53"/>
      <c r="F20" s="53"/>
      <c r="G20" s="54"/>
      <c r="H20" s="54"/>
      <c r="I20" s="61"/>
      <c r="J20" s="12"/>
      <c r="K20" s="12"/>
      <c r="L20" s="12"/>
    </row>
    <row r="21" spans="1:12" x14ac:dyDescent="0.25">
      <c r="B21" s="16" t="s">
        <v>130</v>
      </c>
      <c r="D21" s="44">
        <f t="shared" ref="D21" si="11">SUM(E21:H21)</f>
        <v>39469.486002225</v>
      </c>
      <c r="E21" s="44">
        <f>E98</f>
        <v>12059.375</v>
      </c>
      <c r="F21" s="44">
        <f t="shared" ref="F21:H21" si="12">F98</f>
        <v>14797.562499999998</v>
      </c>
      <c r="G21" s="44">
        <f t="shared" si="12"/>
        <v>6173.5430749999996</v>
      </c>
      <c r="H21" s="44">
        <f t="shared" si="12"/>
        <v>6439.0054272249981</v>
      </c>
    </row>
    <row r="22" spans="1:12" x14ac:dyDescent="0.25">
      <c r="B22" s="16" t="s">
        <v>139</v>
      </c>
      <c r="D22" s="44">
        <f t="shared" ref="D22" si="13">SUM(E22:H22)</f>
        <v>0</v>
      </c>
    </row>
    <row r="23" spans="1:12" ht="14.25" thickBot="1" x14ac:dyDescent="0.3">
      <c r="A23" s="13"/>
      <c r="B23" s="13" t="s">
        <v>140</v>
      </c>
      <c r="C23" s="13"/>
      <c r="D23" s="47">
        <f>SUBTOTAL(9,D21:D22)</f>
        <v>39469.486002225</v>
      </c>
      <c r="E23" s="47">
        <f t="shared" ref="E23:H23" si="14">SUBTOTAL(9,E21:E22)</f>
        <v>12059.375</v>
      </c>
      <c r="F23" s="47">
        <f t="shared" si="14"/>
        <v>14797.562499999998</v>
      </c>
      <c r="G23" s="47">
        <f t="shared" si="14"/>
        <v>6173.5430749999996</v>
      </c>
      <c r="H23" s="47">
        <f t="shared" si="14"/>
        <v>6439.0054272249981</v>
      </c>
    </row>
    <row r="24" spans="1:12" ht="5.25" customHeight="1" x14ac:dyDescent="0.25"/>
    <row r="25" spans="1:12" x14ac:dyDescent="0.25">
      <c r="A25" s="15"/>
      <c r="B25" s="15" t="s">
        <v>72</v>
      </c>
      <c r="C25" s="15"/>
      <c r="D25" s="53"/>
      <c r="E25" s="53"/>
      <c r="F25" s="53"/>
      <c r="G25" s="54"/>
      <c r="H25" s="54"/>
      <c r="I25" s="61"/>
      <c r="J25" s="12"/>
      <c r="K25" s="12"/>
      <c r="L25" s="12"/>
    </row>
    <row r="26" spans="1:12" x14ac:dyDescent="0.25">
      <c r="B26" s="16" t="s">
        <v>24</v>
      </c>
      <c r="D26" s="44">
        <f>SUM(E26:H26)</f>
        <v>0</v>
      </c>
      <c r="E26" s="44">
        <f>E111</f>
        <v>0</v>
      </c>
      <c r="F26" s="44">
        <f t="shared" ref="F26:H26" si="15">F111</f>
        <v>0</v>
      </c>
      <c r="G26" s="44">
        <f t="shared" si="15"/>
        <v>0</v>
      </c>
      <c r="H26" s="44">
        <f t="shared" si="15"/>
        <v>0</v>
      </c>
    </row>
    <row r="27" spans="1:12" x14ac:dyDescent="0.25">
      <c r="B27" s="16" t="s">
        <v>25</v>
      </c>
      <c r="D27" s="44">
        <f t="shared" ref="D27" si="16">SUM(E27:H27)</f>
        <v>0</v>
      </c>
      <c r="E27" s="44">
        <f>E156</f>
        <v>0</v>
      </c>
      <c r="F27" s="44">
        <f t="shared" ref="F27:H27" si="17">F156</f>
        <v>0</v>
      </c>
      <c r="G27" s="44">
        <f t="shared" si="17"/>
        <v>0</v>
      </c>
      <c r="H27" s="44">
        <f t="shared" si="17"/>
        <v>0</v>
      </c>
    </row>
    <row r="28" spans="1:12" x14ac:dyDescent="0.25">
      <c r="B28" s="16" t="s">
        <v>233</v>
      </c>
    </row>
    <row r="29" spans="1:12" ht="14.25" thickBot="1" x14ac:dyDescent="0.3">
      <c r="A29" s="13"/>
      <c r="B29" s="13" t="s">
        <v>73</v>
      </c>
      <c r="C29" s="13"/>
      <c r="D29" s="47">
        <f>SUBTOTAL(9,D26:D28)</f>
        <v>0</v>
      </c>
      <c r="E29" s="47">
        <f t="shared" ref="E29:H29" si="18">SUBTOTAL(9,E26:E28)</f>
        <v>0</v>
      </c>
      <c r="F29" s="47">
        <f t="shared" si="18"/>
        <v>0</v>
      </c>
      <c r="G29" s="47">
        <f t="shared" si="18"/>
        <v>0</v>
      </c>
      <c r="H29" s="47">
        <f t="shared" si="18"/>
        <v>0</v>
      </c>
    </row>
    <row r="30" spans="1:12" ht="6" customHeight="1" x14ac:dyDescent="0.25"/>
    <row r="31" spans="1:12" x14ac:dyDescent="0.25">
      <c r="A31" s="15"/>
      <c r="B31" s="15" t="s">
        <v>7</v>
      </c>
      <c r="C31" s="15"/>
      <c r="D31" s="53"/>
      <c r="E31" s="53"/>
      <c r="F31" s="53"/>
      <c r="G31" s="54"/>
      <c r="H31" s="54"/>
      <c r="I31" s="61"/>
      <c r="J31" s="12"/>
      <c r="K31" s="12"/>
      <c r="L31" s="12"/>
    </row>
    <row r="32" spans="1:12" x14ac:dyDescent="0.25">
      <c r="B32" s="16" t="s">
        <v>57</v>
      </c>
      <c r="D32" s="44">
        <f t="shared" ref="D32:D35" si="19">SUM(E32:H32)</f>
        <v>0</v>
      </c>
    </row>
    <row r="33" spans="1:12" ht="27" x14ac:dyDescent="0.25">
      <c r="B33" s="171" t="s">
        <v>462</v>
      </c>
      <c r="D33" s="44">
        <f t="shared" si="19"/>
        <v>310000</v>
      </c>
      <c r="E33" s="44">
        <f>E126</f>
        <v>310000</v>
      </c>
      <c r="F33" s="44">
        <f t="shared" ref="F33:H33" si="20">F126</f>
        <v>0</v>
      </c>
      <c r="G33" s="44">
        <f t="shared" si="20"/>
        <v>0</v>
      </c>
      <c r="H33" s="44">
        <f t="shared" si="20"/>
        <v>0</v>
      </c>
    </row>
    <row r="34" spans="1:12" x14ac:dyDescent="0.25">
      <c r="B34" s="16" t="s">
        <v>8</v>
      </c>
      <c r="D34" s="44">
        <f t="shared" si="19"/>
        <v>0</v>
      </c>
    </row>
    <row r="35" spans="1:12" x14ac:dyDescent="0.25">
      <c r="B35" s="16" t="s">
        <v>9</v>
      </c>
      <c r="D35" s="44">
        <f t="shared" si="19"/>
        <v>0</v>
      </c>
    </row>
    <row r="36" spans="1:12" ht="14.25" thickBot="1" x14ac:dyDescent="0.3">
      <c r="A36" s="13"/>
      <c r="B36" s="13" t="s">
        <v>67</v>
      </c>
      <c r="C36" s="13"/>
      <c r="D36" s="47">
        <f>SUBTOTAL(9,D32:D35)</f>
        <v>310000</v>
      </c>
      <c r="E36" s="47">
        <f t="shared" ref="E36:H36" si="21">SUBTOTAL(9,E32:E35)</f>
        <v>310000</v>
      </c>
      <c r="F36" s="47">
        <f t="shared" si="21"/>
        <v>0</v>
      </c>
      <c r="G36" s="47">
        <f t="shared" si="21"/>
        <v>0</v>
      </c>
      <c r="H36" s="47">
        <f t="shared" si="21"/>
        <v>0</v>
      </c>
    </row>
    <row r="37" spans="1:12" ht="5.25" customHeight="1" x14ac:dyDescent="0.25"/>
    <row r="38" spans="1:12" x14ac:dyDescent="0.25">
      <c r="A38" s="15"/>
      <c r="B38" s="15" t="s">
        <v>16</v>
      </c>
      <c r="C38" s="15"/>
      <c r="D38" s="53"/>
      <c r="E38" s="53"/>
      <c r="F38" s="53"/>
      <c r="G38" s="54"/>
      <c r="H38" s="54"/>
      <c r="I38" s="61"/>
      <c r="J38" s="12"/>
      <c r="K38" s="12"/>
      <c r="L38" s="12"/>
    </row>
    <row r="39" spans="1:12" x14ac:dyDescent="0.25">
      <c r="A39" s="2"/>
      <c r="B39" s="2" t="s">
        <v>17</v>
      </c>
      <c r="C39" s="2"/>
      <c r="D39" s="44">
        <f t="shared" ref="D39:D43" si="22">SUM(E39:H39)</f>
        <v>0</v>
      </c>
    </row>
    <row r="40" spans="1:12" x14ac:dyDescent="0.25">
      <c r="A40" s="2"/>
      <c r="B40" s="2" t="s">
        <v>18</v>
      </c>
      <c r="C40" s="2"/>
      <c r="D40" s="44">
        <f t="shared" si="22"/>
        <v>0</v>
      </c>
    </row>
    <row r="41" spans="1:12" x14ac:dyDescent="0.25">
      <c r="A41" s="2"/>
      <c r="B41" s="2" t="s">
        <v>19</v>
      </c>
      <c r="C41" s="2"/>
      <c r="D41" s="44">
        <f t="shared" si="22"/>
        <v>0</v>
      </c>
      <c r="E41" s="44">
        <f>E201</f>
        <v>0</v>
      </c>
      <c r="F41" s="44">
        <f t="shared" ref="F41:H41" si="23">F201</f>
        <v>0</v>
      </c>
      <c r="G41" s="44">
        <f t="shared" si="23"/>
        <v>0</v>
      </c>
      <c r="H41" s="44">
        <f t="shared" si="23"/>
        <v>0</v>
      </c>
    </row>
    <row r="42" spans="1:12" x14ac:dyDescent="0.25">
      <c r="A42" s="3"/>
      <c r="B42" s="3" t="s">
        <v>13</v>
      </c>
      <c r="C42" s="3"/>
      <c r="D42" s="44">
        <f t="shared" si="22"/>
        <v>0</v>
      </c>
    </row>
    <row r="43" spans="1:12" x14ac:dyDescent="0.25">
      <c r="A43" s="3"/>
      <c r="B43" s="3" t="s">
        <v>22</v>
      </c>
      <c r="C43" s="3"/>
      <c r="D43" s="44">
        <f t="shared" si="22"/>
        <v>0</v>
      </c>
    </row>
    <row r="44" spans="1:12" ht="14.25" thickBot="1" x14ac:dyDescent="0.3">
      <c r="A44" s="13"/>
      <c r="B44" s="13" t="s">
        <v>68</v>
      </c>
      <c r="C44" s="13"/>
      <c r="D44" s="47">
        <f>SUBTOTAL(9,D39:D43)</f>
        <v>0</v>
      </c>
      <c r="E44" s="47">
        <f t="shared" ref="E44:H44" si="24">SUBTOTAL(9,E39:E43)</f>
        <v>0</v>
      </c>
      <c r="F44" s="47">
        <f t="shared" si="24"/>
        <v>0</v>
      </c>
      <c r="G44" s="47">
        <f t="shared" si="24"/>
        <v>0</v>
      </c>
      <c r="H44" s="47">
        <f t="shared" si="24"/>
        <v>0</v>
      </c>
    </row>
    <row r="45" spans="1:12" ht="5.25" customHeight="1" x14ac:dyDescent="0.25">
      <c r="A45" s="3"/>
      <c r="B45" s="6"/>
      <c r="C45" s="3"/>
    </row>
    <row r="46" spans="1:12" x14ac:dyDescent="0.25">
      <c r="A46" s="15"/>
      <c r="B46" s="15" t="str">
        <f>B144</f>
        <v xml:space="preserve"> 500 շահառու սպասարկող էլեկտրոնային հսկողության համակարգի սպասարկման ծախսեր</v>
      </c>
      <c r="C46" s="135"/>
      <c r="D46" s="53"/>
      <c r="E46" s="53"/>
      <c r="F46" s="53"/>
      <c r="G46" s="54"/>
      <c r="H46" s="54"/>
      <c r="I46" s="12"/>
      <c r="J46" s="12"/>
      <c r="K46" s="12"/>
      <c r="L46" s="12"/>
    </row>
    <row r="47" spans="1:12" x14ac:dyDescent="0.25">
      <c r="A47" s="2"/>
      <c r="B47" s="2" t="s">
        <v>465</v>
      </c>
      <c r="C47" s="1"/>
      <c r="D47" s="44">
        <f t="shared" ref="D47" si="25">SUM(E47:H47)</f>
        <v>62160</v>
      </c>
      <c r="E47" s="44">
        <f>E144</f>
        <v>8880</v>
      </c>
      <c r="F47" s="44">
        <f t="shared" ref="F47:H47" si="26">F144</f>
        <v>17760</v>
      </c>
      <c r="G47" s="44">
        <f t="shared" si="26"/>
        <v>17760</v>
      </c>
      <c r="H47" s="44">
        <f t="shared" si="26"/>
        <v>17760</v>
      </c>
      <c r="I47" s="6"/>
    </row>
    <row r="48" spans="1:12" ht="14.25" thickBot="1" x14ac:dyDescent="0.3">
      <c r="A48" s="13"/>
      <c r="B48" s="13" t="s">
        <v>466</v>
      </c>
      <c r="C48" s="136"/>
      <c r="D48" s="47">
        <f>SUBTOTAL(9,D47)</f>
        <v>62160</v>
      </c>
      <c r="E48" s="47">
        <f t="shared" ref="E48:H48" si="27">SUBTOTAL(9,E47)</f>
        <v>8880</v>
      </c>
      <c r="F48" s="47">
        <f t="shared" si="27"/>
        <v>17760</v>
      </c>
      <c r="G48" s="47">
        <f t="shared" si="27"/>
        <v>17760</v>
      </c>
      <c r="H48" s="47">
        <f t="shared" si="27"/>
        <v>17760</v>
      </c>
      <c r="I48" s="6"/>
    </row>
    <row r="49" spans="1:12" ht="5.25" customHeight="1" x14ac:dyDescent="0.25">
      <c r="A49" s="167"/>
      <c r="B49" s="167"/>
      <c r="C49" s="168"/>
      <c r="D49" s="151"/>
      <c r="E49" s="151"/>
      <c r="F49" s="151"/>
      <c r="G49" s="151"/>
      <c r="H49" s="151"/>
      <c r="I49" s="6"/>
    </row>
    <row r="50" spans="1:12" x14ac:dyDescent="0.25">
      <c r="A50" s="15"/>
      <c r="B50" s="15" t="s">
        <v>252</v>
      </c>
      <c r="C50" s="135"/>
      <c r="D50" s="53"/>
      <c r="E50" s="53"/>
      <c r="F50" s="53"/>
      <c r="G50" s="54"/>
      <c r="H50" s="54"/>
      <c r="I50" s="12"/>
      <c r="J50" s="12"/>
      <c r="K50" s="12"/>
      <c r="L50" s="12"/>
    </row>
    <row r="51" spans="1:12" x14ac:dyDescent="0.25">
      <c r="A51" s="2"/>
      <c r="B51" s="2" t="s">
        <v>252</v>
      </c>
      <c r="C51" s="1"/>
      <c r="D51" s="44">
        <f t="shared" ref="D51" si="28">SUM(E51:H51)</f>
        <v>0</v>
      </c>
      <c r="E51" s="44">
        <f>E206</f>
        <v>0</v>
      </c>
      <c r="F51" s="44">
        <f t="shared" ref="F51:H51" si="29">F206</f>
        <v>0</v>
      </c>
      <c r="G51" s="44">
        <f t="shared" si="29"/>
        <v>0</v>
      </c>
      <c r="H51" s="44">
        <f t="shared" si="29"/>
        <v>0</v>
      </c>
      <c r="I51" s="6"/>
    </row>
    <row r="52" spans="1:12" ht="14.25" thickBot="1" x14ac:dyDescent="0.3">
      <c r="A52" s="13"/>
      <c r="B52" s="13" t="s">
        <v>256</v>
      </c>
      <c r="C52" s="136"/>
      <c r="D52" s="47">
        <f>SUBTOTAL(9,D51)</f>
        <v>0</v>
      </c>
      <c r="E52" s="47">
        <f t="shared" ref="E52:H52" si="30">SUBTOTAL(9,E51)</f>
        <v>0</v>
      </c>
      <c r="F52" s="47">
        <f t="shared" si="30"/>
        <v>0</v>
      </c>
      <c r="G52" s="47">
        <f t="shared" si="30"/>
        <v>0</v>
      </c>
      <c r="H52" s="47">
        <f t="shared" si="30"/>
        <v>0</v>
      </c>
      <c r="I52" s="6"/>
    </row>
    <row r="53" spans="1:12" ht="5.25" customHeight="1" x14ac:dyDescent="0.25">
      <c r="A53" s="3"/>
      <c r="B53" s="6"/>
      <c r="C53" s="3"/>
    </row>
    <row r="54" spans="1:12" x14ac:dyDescent="0.25">
      <c r="A54" s="15"/>
      <c r="B54" s="15" t="s">
        <v>20</v>
      </c>
      <c r="C54" s="15"/>
      <c r="D54" s="53"/>
      <c r="E54" s="53"/>
      <c r="F54" s="53"/>
      <c r="G54" s="54"/>
      <c r="H54" s="54"/>
      <c r="I54" s="61"/>
      <c r="J54" s="12"/>
      <c r="K54" s="12"/>
      <c r="L54" s="12"/>
    </row>
    <row r="55" spans="1:12" x14ac:dyDescent="0.25">
      <c r="A55" s="3"/>
      <c r="B55" s="3" t="s">
        <v>194</v>
      </c>
      <c r="C55" s="3"/>
      <c r="D55" s="44">
        <f t="shared" ref="D55:D56" si="31">SUM(E55:H55)</f>
        <v>0</v>
      </c>
      <c r="E55" s="44">
        <f>E175</f>
        <v>0</v>
      </c>
      <c r="F55" s="44">
        <f t="shared" ref="F55:H55" si="32">F175</f>
        <v>0</v>
      </c>
      <c r="G55" s="44">
        <f t="shared" si="32"/>
        <v>0</v>
      </c>
      <c r="H55" s="44">
        <f t="shared" si="32"/>
        <v>0</v>
      </c>
    </row>
    <row r="56" spans="1:12" x14ac:dyDescent="0.25">
      <c r="A56" s="3"/>
      <c r="B56" s="3" t="s">
        <v>21</v>
      </c>
      <c r="C56" s="3"/>
      <c r="D56" s="44">
        <f t="shared" si="31"/>
        <v>0</v>
      </c>
      <c r="E56" s="44">
        <f>E165</f>
        <v>0</v>
      </c>
      <c r="F56" s="44">
        <f t="shared" ref="F56:H56" si="33">F165</f>
        <v>0</v>
      </c>
      <c r="G56" s="44">
        <f t="shared" si="33"/>
        <v>0</v>
      </c>
      <c r="H56" s="44">
        <f t="shared" si="33"/>
        <v>0</v>
      </c>
    </row>
    <row r="57" spans="1:12" ht="14.25" thickBot="1" x14ac:dyDescent="0.3">
      <c r="A57" s="13"/>
      <c r="B57" s="13" t="s">
        <v>69</v>
      </c>
      <c r="C57" s="13"/>
      <c r="D57" s="47">
        <f>SUBTOTAL(9,D55:D56)</f>
        <v>0</v>
      </c>
      <c r="E57" s="47">
        <f>SUBTOTAL(9,E55:E56)</f>
        <v>0</v>
      </c>
      <c r="F57" s="47">
        <f>SUBTOTAL(9,F55:F56)</f>
        <v>0</v>
      </c>
      <c r="G57" s="47">
        <f>SUBTOTAL(9,G55:G56)</f>
        <v>0</v>
      </c>
      <c r="H57" s="47">
        <f>SUBTOTAL(9,H55:H56)</f>
        <v>0</v>
      </c>
    </row>
    <row r="58" spans="1:12" ht="5.25" customHeight="1" x14ac:dyDescent="0.25">
      <c r="A58" s="1"/>
      <c r="B58" s="1"/>
      <c r="C58" s="1"/>
    </row>
    <row r="59" spans="1:12" ht="14.25" thickBot="1" x14ac:dyDescent="0.3">
      <c r="A59" s="48"/>
      <c r="B59" s="48" t="s">
        <v>142</v>
      </c>
      <c r="C59" s="48"/>
      <c r="D59" s="49">
        <f>SUBTOTAL(9,D5:D57)</f>
        <v>478779.96381365741</v>
      </c>
      <c r="E59" s="49">
        <f>SUBTOTAL(9,E5:E57)</f>
        <v>339855.97499999998</v>
      </c>
      <c r="F59" s="49">
        <f>SUBTOTAL(9,F5:F57)</f>
        <v>51157.590100000001</v>
      </c>
      <c r="G59" s="49">
        <f>SUBTOTAL(9,G5:G57)</f>
        <v>43333.371861799998</v>
      </c>
      <c r="H59" s="49">
        <f>SUBTOTAL(9,H5:H57)</f>
        <v>44433.026851857401</v>
      </c>
    </row>
    <row r="60" spans="1:12" ht="14.25" thickBot="1" x14ac:dyDescent="0.3">
      <c r="A60" s="1"/>
      <c r="B60" s="1"/>
      <c r="C60" s="1"/>
      <c r="D60" s="33"/>
      <c r="E60" s="33"/>
      <c r="F60" s="33"/>
      <c r="G60" s="28"/>
      <c r="H60" s="28"/>
      <c r="I60" s="6"/>
    </row>
    <row r="61" spans="1:12" ht="18" thickTop="1" x14ac:dyDescent="0.3">
      <c r="A61" s="120"/>
      <c r="B61" s="121" t="s">
        <v>27</v>
      </c>
      <c r="C61" s="121"/>
      <c r="D61" s="122"/>
      <c r="E61" s="122"/>
      <c r="F61" s="122"/>
      <c r="G61" s="122"/>
      <c r="H61" s="122"/>
      <c r="I61" s="6"/>
    </row>
    <row r="62" spans="1:12" ht="6.75" customHeight="1" x14ac:dyDescent="0.25">
      <c r="A62" s="1"/>
      <c r="B62" s="1"/>
      <c r="C62" s="1"/>
      <c r="D62" s="33"/>
      <c r="E62" s="33"/>
      <c r="F62" s="33"/>
      <c r="G62" s="28"/>
      <c r="H62" s="28"/>
      <c r="I62" s="6"/>
    </row>
    <row r="63" spans="1:12" s="14" customFormat="1" x14ac:dyDescent="0.25">
      <c r="A63" s="81"/>
      <c r="B63" s="81" t="s">
        <v>65</v>
      </c>
      <c r="C63" s="81" t="s">
        <v>64</v>
      </c>
      <c r="D63" s="82"/>
      <c r="E63" s="83">
        <f>start</f>
        <v>43831</v>
      </c>
      <c r="F63" s="83">
        <f>EOMONTH(E63,11)+1</f>
        <v>44197</v>
      </c>
      <c r="G63" s="83">
        <f>EOMONTH(F63,11)+1</f>
        <v>44562</v>
      </c>
      <c r="H63" s="83">
        <f>EOMONTH(G63,11)+1</f>
        <v>44927</v>
      </c>
    </row>
    <row r="64" spans="1:12" ht="6.75" customHeight="1" x14ac:dyDescent="0.25">
      <c r="D64" s="33"/>
      <c r="E64" s="33"/>
      <c r="F64" s="33"/>
      <c r="G64" s="28"/>
      <c r="H64" s="28"/>
      <c r="I64" s="6"/>
    </row>
    <row r="65" spans="1:12" x14ac:dyDescent="0.25">
      <c r="A65" s="50"/>
      <c r="B65" s="50" t="s">
        <v>0</v>
      </c>
      <c r="C65" s="50"/>
      <c r="D65" s="52"/>
      <c r="E65" s="52"/>
      <c r="F65" s="52"/>
      <c r="G65" s="52"/>
      <c r="H65" s="52"/>
    </row>
    <row r="66" spans="1:12" hidden="1" x14ac:dyDescent="0.25">
      <c r="B66" s="5" t="s">
        <v>2</v>
      </c>
      <c r="E66" s="44">
        <f>E67*E68*E69*E70</f>
        <v>0</v>
      </c>
      <c r="F66" s="45"/>
      <c r="G66" s="37"/>
      <c r="H66" s="37"/>
    </row>
    <row r="67" spans="1:12" hidden="1" x14ac:dyDescent="0.25">
      <c r="A67" s="9"/>
      <c r="B67" s="9" t="s">
        <v>36</v>
      </c>
      <c r="C67" s="9"/>
      <c r="E67" s="44">
        <v>0</v>
      </c>
    </row>
    <row r="68" spans="1:12" hidden="1" x14ac:dyDescent="0.25">
      <c r="A68" s="9"/>
      <c r="B68" s="9" t="s">
        <v>37</v>
      </c>
      <c r="C68" s="9"/>
      <c r="D68" s="45"/>
      <c r="E68" s="45">
        <v>0</v>
      </c>
    </row>
    <row r="69" spans="1:12" hidden="1" x14ac:dyDescent="0.25">
      <c r="A69" s="9"/>
      <c r="B69" s="9" t="s">
        <v>38</v>
      </c>
      <c r="C69" s="9"/>
      <c r="E69" s="44">
        <v>0</v>
      </c>
    </row>
    <row r="70" spans="1:12" hidden="1" x14ac:dyDescent="0.25">
      <c r="A70" s="9"/>
      <c r="B70" s="9" t="s">
        <v>39</v>
      </c>
      <c r="C70" s="9"/>
      <c r="E70" s="46">
        <v>0</v>
      </c>
    </row>
    <row r="71" spans="1:12" x14ac:dyDescent="0.25">
      <c r="A71" s="9"/>
      <c r="B71" s="9"/>
      <c r="C71" s="9"/>
    </row>
    <row r="72" spans="1:12" hidden="1" x14ac:dyDescent="0.25">
      <c r="B72" s="5" t="s">
        <v>23</v>
      </c>
      <c r="E72" s="44">
        <f>E73*E74</f>
        <v>0</v>
      </c>
      <c r="F72" s="44">
        <f t="shared" ref="F72:H72" si="34">F73*F74</f>
        <v>0</v>
      </c>
      <c r="G72" s="44">
        <f t="shared" si="34"/>
        <v>0</v>
      </c>
      <c r="H72" s="44">
        <f t="shared" si="34"/>
        <v>0</v>
      </c>
    </row>
    <row r="73" spans="1:12" hidden="1" x14ac:dyDescent="0.25">
      <c r="A73" s="9"/>
      <c r="B73" s="9" t="s">
        <v>114</v>
      </c>
      <c r="C73" s="9" t="s">
        <v>113</v>
      </c>
      <c r="E73" s="44">
        <v>0</v>
      </c>
      <c r="F73" s="44">
        <v>0</v>
      </c>
      <c r="G73" s="44">
        <v>0</v>
      </c>
      <c r="H73" s="44">
        <f>G73</f>
        <v>0</v>
      </c>
    </row>
    <row r="74" spans="1:12" hidden="1" x14ac:dyDescent="0.25">
      <c r="A74" s="9"/>
      <c r="B74" s="9" t="s">
        <v>40</v>
      </c>
      <c r="C74" s="9"/>
      <c r="E74" s="44">
        <f>'Rates and GI'!D12</f>
        <v>17.675000000000001</v>
      </c>
      <c r="F74" s="44">
        <f>E74*(1+index)</f>
        <v>18.435025</v>
      </c>
      <c r="G74" s="44">
        <f>F74*(1+index)</f>
        <v>19.227731074999998</v>
      </c>
      <c r="H74" s="44">
        <f>G74*(1+index)</f>
        <v>20.054523511224996</v>
      </c>
    </row>
    <row r="75" spans="1:12" hidden="1" x14ac:dyDescent="0.25"/>
    <row r="76" spans="1:12" s="7" customFormat="1" hidden="1" x14ac:dyDescent="0.25">
      <c r="A76" s="5"/>
      <c r="B76" s="5" t="s">
        <v>168</v>
      </c>
      <c r="C76" s="5"/>
      <c r="D76" s="44"/>
      <c r="E76" s="44">
        <f>E77*E78</f>
        <v>0</v>
      </c>
      <c r="F76" s="44">
        <f t="shared" ref="F76:H76" si="35">F77*F78</f>
        <v>0</v>
      </c>
      <c r="G76" s="44">
        <f t="shared" si="35"/>
        <v>0</v>
      </c>
      <c r="H76" s="44">
        <f t="shared" si="35"/>
        <v>0</v>
      </c>
      <c r="I76" s="62"/>
      <c r="J76" s="6"/>
      <c r="K76" s="6"/>
      <c r="L76" s="6"/>
    </row>
    <row r="77" spans="1:12" s="7" customFormat="1" hidden="1" x14ac:dyDescent="0.25">
      <c r="A77" s="9"/>
      <c r="B77" s="9" t="s">
        <v>170</v>
      </c>
      <c r="C77" s="9" t="s">
        <v>113</v>
      </c>
      <c r="D77" s="44"/>
      <c r="E77" s="44">
        <v>0</v>
      </c>
      <c r="F77" s="44">
        <v>0</v>
      </c>
      <c r="G77" s="44">
        <v>0</v>
      </c>
      <c r="H77" s="44">
        <v>0</v>
      </c>
      <c r="I77" s="62"/>
      <c r="J77" s="6"/>
      <c r="K77" s="6"/>
      <c r="L77" s="6"/>
    </row>
    <row r="78" spans="1:12" s="7" customFormat="1" hidden="1" x14ac:dyDescent="0.25">
      <c r="A78" s="9"/>
      <c r="B78" s="9" t="s">
        <v>40</v>
      </c>
      <c r="C78" s="9"/>
      <c r="D78" s="44"/>
      <c r="E78" s="44">
        <f>'Rates and GI'!D13</f>
        <v>162.21599999999998</v>
      </c>
      <c r="F78" s="44">
        <f>E78*(1+index)</f>
        <v>169.19128799999996</v>
      </c>
      <c r="G78" s="44">
        <f>F78*(1+index)</f>
        <v>176.46651338399994</v>
      </c>
      <c r="H78" s="44">
        <f>G78*(1+index)</f>
        <v>184.05457345951191</v>
      </c>
      <c r="I78" s="62"/>
      <c r="J78" s="6"/>
      <c r="K78" s="6"/>
      <c r="L78" s="6"/>
    </row>
    <row r="79" spans="1:12" hidden="1" x14ac:dyDescent="0.25"/>
    <row r="80" spans="1:12" hidden="1" x14ac:dyDescent="0.25"/>
    <row r="81" spans="1:12" s="7" customFormat="1" x14ac:dyDescent="0.25">
      <c r="A81" s="5"/>
      <c r="B81" s="5" t="s">
        <v>467</v>
      </c>
      <c r="C81" s="5"/>
      <c r="D81" s="44"/>
      <c r="E81" s="44">
        <f>E82*E83*E84</f>
        <v>8916.6</v>
      </c>
      <c r="F81" s="44">
        <f>F82*F83*F84</f>
        <v>18600.027600000001</v>
      </c>
      <c r="G81" s="44">
        <f>G82*G83*G84</f>
        <v>19399.828786800001</v>
      </c>
      <c r="H81" s="44">
        <f>H82*H83*H84</f>
        <v>20234.021424632399</v>
      </c>
      <c r="I81" s="62"/>
      <c r="J81" s="6"/>
      <c r="K81" s="6"/>
      <c r="L81" s="6"/>
    </row>
    <row r="82" spans="1:12" s="7" customFormat="1" x14ac:dyDescent="0.25">
      <c r="A82" s="9"/>
      <c r="B82" s="9" t="s">
        <v>468</v>
      </c>
      <c r="C82" s="9"/>
      <c r="D82" s="44"/>
      <c r="E82" s="44">
        <v>7</v>
      </c>
      <c r="F82" s="44">
        <v>7</v>
      </c>
      <c r="G82" s="44">
        <v>7</v>
      </c>
      <c r="H82" s="44">
        <v>7</v>
      </c>
      <c r="I82" s="62"/>
      <c r="J82" s="6"/>
      <c r="K82" s="6"/>
      <c r="L82" s="6"/>
    </row>
    <row r="83" spans="1:12" s="7" customFormat="1" x14ac:dyDescent="0.25">
      <c r="A83" s="9"/>
      <c r="B83" s="9" t="s">
        <v>38</v>
      </c>
      <c r="C83" s="9"/>
      <c r="D83" s="44"/>
      <c r="E83" s="44">
        <v>212.3</v>
      </c>
      <c r="F83" s="44">
        <f>E83*(1+index)</f>
        <v>221.4289</v>
      </c>
      <c r="G83" s="44">
        <f>F83*(1+index)</f>
        <v>230.95034269999999</v>
      </c>
      <c r="H83" s="44">
        <f>G83*(1+index)</f>
        <v>240.88120743609997</v>
      </c>
      <c r="I83" s="62"/>
      <c r="J83" s="6"/>
      <c r="K83" s="6"/>
      <c r="L83" s="6"/>
    </row>
    <row r="84" spans="1:12" s="7" customFormat="1" x14ac:dyDescent="0.25">
      <c r="A84" s="9"/>
      <c r="B84" s="9" t="s">
        <v>39</v>
      </c>
      <c r="C84" s="9"/>
      <c r="D84" s="44"/>
      <c r="E84" s="46">
        <f>E151</f>
        <v>6</v>
      </c>
      <c r="F84" s="46">
        <f t="shared" ref="F84:H84" si="36">F151</f>
        <v>12</v>
      </c>
      <c r="G84" s="46">
        <f t="shared" si="36"/>
        <v>12</v>
      </c>
      <c r="H84" s="46">
        <f t="shared" si="36"/>
        <v>12</v>
      </c>
      <c r="I84" s="62"/>
      <c r="J84" s="6"/>
      <c r="K84" s="6"/>
      <c r="L84" s="6"/>
    </row>
    <row r="86" spans="1:12" hidden="1" x14ac:dyDescent="0.25">
      <c r="A86" s="50"/>
      <c r="B86" s="50" t="s">
        <v>10</v>
      </c>
      <c r="C86" s="50"/>
      <c r="D86" s="52"/>
      <c r="E86" s="52">
        <f>E87*E88+E90*E91</f>
        <v>0</v>
      </c>
      <c r="F86" s="52">
        <f t="shared" ref="F86:H86" si="37">F87*F88+F90*F91</f>
        <v>0</v>
      </c>
      <c r="G86" s="52">
        <f t="shared" si="37"/>
        <v>0</v>
      </c>
      <c r="H86" s="52">
        <f t="shared" si="37"/>
        <v>0</v>
      </c>
    </row>
    <row r="87" spans="1:12" s="7" customFormat="1" hidden="1" x14ac:dyDescent="0.25">
      <c r="A87" s="5"/>
      <c r="B87" s="9" t="s">
        <v>49</v>
      </c>
      <c r="C87" s="5"/>
      <c r="D87" s="44"/>
      <c r="E87" s="44">
        <v>0</v>
      </c>
      <c r="F87" s="44">
        <v>0</v>
      </c>
      <c r="G87" s="44">
        <v>0</v>
      </c>
      <c r="H87" s="44">
        <v>0</v>
      </c>
      <c r="I87" s="62"/>
      <c r="J87" s="6"/>
      <c r="K87" s="6"/>
      <c r="L87" s="6"/>
    </row>
    <row r="88" spans="1:12" s="7" customFormat="1" hidden="1" x14ac:dyDescent="0.25">
      <c r="A88" s="5"/>
      <c r="B88" s="9" t="s">
        <v>50</v>
      </c>
      <c r="C88" s="5"/>
      <c r="D88" s="44"/>
      <c r="E88" s="44">
        <f>Trips!$B$10</f>
        <v>908.23176058823537</v>
      </c>
      <c r="F88" s="44">
        <f>Trips!$B$10</f>
        <v>908.23176058823537</v>
      </c>
      <c r="G88" s="44">
        <f>Trips!$B$10</f>
        <v>908.23176058823537</v>
      </c>
      <c r="H88" s="44">
        <f>Trips!$B$10</f>
        <v>908.23176058823537</v>
      </c>
      <c r="I88" s="62"/>
      <c r="J88" s="6"/>
      <c r="K88" s="6"/>
      <c r="L88" s="6"/>
    </row>
    <row r="89" spans="1:12" hidden="1" x14ac:dyDescent="0.25"/>
    <row r="90" spans="1:12" s="7" customFormat="1" hidden="1" x14ac:dyDescent="0.25">
      <c r="A90" s="5"/>
      <c r="B90" s="9" t="s">
        <v>51</v>
      </c>
      <c r="C90" s="5"/>
      <c r="D90" s="44"/>
      <c r="E90" s="44">
        <v>0</v>
      </c>
      <c r="F90" s="44">
        <v>0</v>
      </c>
      <c r="G90" s="44">
        <v>0</v>
      </c>
      <c r="H90" s="44">
        <f>G90</f>
        <v>0</v>
      </c>
      <c r="I90" s="62"/>
      <c r="J90" s="6"/>
      <c r="K90" s="6"/>
      <c r="L90" s="6"/>
    </row>
    <row r="91" spans="1:12" s="7" customFormat="1" hidden="1" x14ac:dyDescent="0.25">
      <c r="A91" s="5"/>
      <c r="B91" s="9" t="s">
        <v>52</v>
      </c>
      <c r="C91" s="5"/>
      <c r="D91" s="44"/>
      <c r="E91" s="44">
        <f>Trips!$B$5</f>
        <v>52</v>
      </c>
      <c r="F91" s="44">
        <f>Trips!$B$5</f>
        <v>52</v>
      </c>
      <c r="G91" s="44">
        <f>Trips!$B$5</f>
        <v>52</v>
      </c>
      <c r="H91" s="44">
        <f>Trips!$B$5</f>
        <v>52</v>
      </c>
      <c r="I91" s="62"/>
      <c r="J91" s="6"/>
      <c r="K91" s="6"/>
      <c r="L91" s="6"/>
    </row>
    <row r="92" spans="1:12" hidden="1" x14ac:dyDescent="0.25"/>
    <row r="93" spans="1:12" hidden="1" x14ac:dyDescent="0.25"/>
    <row r="94" spans="1:12" hidden="1" x14ac:dyDescent="0.25">
      <c r="A94" s="50"/>
      <c r="B94" s="50" t="s">
        <v>171</v>
      </c>
      <c r="C94" s="50"/>
      <c r="D94" s="52"/>
      <c r="E94" s="52">
        <f>E95*E96</f>
        <v>0</v>
      </c>
      <c r="F94" s="52">
        <f t="shared" ref="F94:H94" si="38">F95*F96</f>
        <v>0</v>
      </c>
      <c r="G94" s="52">
        <f t="shared" si="38"/>
        <v>0</v>
      </c>
      <c r="H94" s="52">
        <f t="shared" si="38"/>
        <v>0</v>
      </c>
    </row>
    <row r="95" spans="1:12" s="7" customFormat="1" hidden="1" x14ac:dyDescent="0.25">
      <c r="A95" s="10"/>
      <c r="B95" s="39" t="s">
        <v>144</v>
      </c>
      <c r="C95" s="10" t="s">
        <v>145</v>
      </c>
      <c r="D95" s="44"/>
      <c r="E95" s="44">
        <v>0</v>
      </c>
      <c r="F95" s="44">
        <v>0</v>
      </c>
      <c r="G95" s="44">
        <v>0</v>
      </c>
      <c r="H95" s="44">
        <v>0</v>
      </c>
      <c r="I95" s="62"/>
      <c r="J95" s="6"/>
      <c r="K95" s="6"/>
      <c r="L95" s="6"/>
    </row>
    <row r="96" spans="1:12" s="7" customFormat="1" hidden="1" x14ac:dyDescent="0.25">
      <c r="A96" s="5"/>
      <c r="B96" s="39" t="s">
        <v>141</v>
      </c>
      <c r="C96" s="5"/>
      <c r="D96" s="44"/>
      <c r="E96" s="44">
        <f>Trips!B41</f>
        <v>631.70365882352939</v>
      </c>
      <c r="F96" s="44">
        <f>E96*(1+index)</f>
        <v>658.86691615294114</v>
      </c>
      <c r="G96" s="44">
        <f>F96*(1+index)</f>
        <v>687.19819354751758</v>
      </c>
      <c r="H96" s="44">
        <f>G96*(1+index)</f>
        <v>716.7477158700608</v>
      </c>
      <c r="I96" s="62"/>
      <c r="J96" s="6"/>
      <c r="K96" s="6"/>
      <c r="L96" s="6"/>
    </row>
    <row r="97" spans="1:12" hidden="1" x14ac:dyDescent="0.25"/>
    <row r="98" spans="1:12" x14ac:dyDescent="0.25">
      <c r="A98" s="50"/>
      <c r="B98" s="50" t="s">
        <v>130</v>
      </c>
      <c r="C98" s="50"/>
      <c r="D98" s="52"/>
      <c r="E98" s="52">
        <f>E99*E100+E101+E104+E108*E109</f>
        <v>12059.375</v>
      </c>
      <c r="F98" s="52">
        <f t="shared" ref="F98:H98" si="39">F99*F100+F101+F104+F108*F109</f>
        <v>14797.562499999998</v>
      </c>
      <c r="G98" s="52">
        <f t="shared" si="39"/>
        <v>6173.5430749999996</v>
      </c>
      <c r="H98" s="52">
        <f t="shared" si="39"/>
        <v>6439.0054272249981</v>
      </c>
    </row>
    <row r="99" spans="1:12" x14ac:dyDescent="0.25">
      <c r="B99" s="39" t="s">
        <v>131</v>
      </c>
      <c r="C99" s="5" t="s">
        <v>132</v>
      </c>
      <c r="E99" s="44">
        <f>Training!$C$33</f>
        <v>81.10799999999999</v>
      </c>
      <c r="F99" s="44">
        <f>E99*(1+index)</f>
        <v>84.595643999999979</v>
      </c>
      <c r="G99" s="44">
        <f>F99*(1+index)</f>
        <v>88.233256691999969</v>
      </c>
      <c r="H99" s="44">
        <f>G99*(1+index)</f>
        <v>92.027286729755957</v>
      </c>
    </row>
    <row r="100" spans="1:12" x14ac:dyDescent="0.25">
      <c r="B100" s="39" t="s">
        <v>133</v>
      </c>
      <c r="F100" s="44">
        <f>F87</f>
        <v>0</v>
      </c>
      <c r="G100" s="44">
        <f t="shared" ref="G100:H100" si="40">G87</f>
        <v>0</v>
      </c>
      <c r="H100" s="44">
        <f t="shared" si="40"/>
        <v>0</v>
      </c>
    </row>
    <row r="101" spans="1:12" x14ac:dyDescent="0.25">
      <c r="B101" s="5" t="s">
        <v>469</v>
      </c>
      <c r="E101" s="44">
        <f>E102*E103</f>
        <v>10640.625</v>
      </c>
      <c r="F101" s="44">
        <f t="shared" ref="F101:H101" si="41">F102*F103</f>
        <v>13317.806249999998</v>
      </c>
      <c r="G101" s="44">
        <f t="shared" si="41"/>
        <v>4630.1573062499992</v>
      </c>
      <c r="H101" s="44">
        <f t="shared" si="41"/>
        <v>4829.2540704187486</v>
      </c>
    </row>
    <row r="102" spans="1:12" x14ac:dyDescent="0.25">
      <c r="B102" s="39" t="s">
        <v>134</v>
      </c>
      <c r="C102" s="5" t="s">
        <v>471</v>
      </c>
      <c r="E102" s="44">
        <f>Training!C23*3</f>
        <v>2128.125</v>
      </c>
      <c r="F102" s="44">
        <f>E102*(1+index)</f>
        <v>2219.6343749999996</v>
      </c>
      <c r="G102" s="44">
        <f>F102*(1+index)</f>
        <v>2315.0786531249996</v>
      </c>
      <c r="H102" s="44">
        <f>G102*(1+index)</f>
        <v>2414.6270352093743</v>
      </c>
    </row>
    <row r="103" spans="1:12" x14ac:dyDescent="0.25">
      <c r="B103" s="39" t="s">
        <v>135</v>
      </c>
      <c r="E103" s="44">
        <f>108/20-0.4</f>
        <v>5</v>
      </c>
      <c r="F103" s="44">
        <f>E103*1.2</f>
        <v>6</v>
      </c>
      <c r="G103" s="44">
        <v>2</v>
      </c>
      <c r="H103" s="44">
        <v>2</v>
      </c>
    </row>
    <row r="104" spans="1:12" x14ac:dyDescent="0.25">
      <c r="B104" s="5" t="s">
        <v>470</v>
      </c>
      <c r="E104" s="44">
        <f>E105*E106</f>
        <v>1418.75</v>
      </c>
      <c r="F104" s="44">
        <f t="shared" ref="F104:H104" si="42">F105*F106</f>
        <v>1479.7562499999999</v>
      </c>
      <c r="G104" s="44">
        <f t="shared" si="42"/>
        <v>1543.3857687499999</v>
      </c>
      <c r="H104" s="44">
        <f t="shared" si="42"/>
        <v>1609.7513568062498</v>
      </c>
    </row>
    <row r="105" spans="1:12" x14ac:dyDescent="0.25">
      <c r="B105" s="39" t="s">
        <v>134</v>
      </c>
      <c r="C105" s="5" t="s">
        <v>471</v>
      </c>
      <c r="E105" s="44">
        <f>Training!C23</f>
        <v>709.375</v>
      </c>
      <c r="F105" s="44">
        <f>E105*(1+index)</f>
        <v>739.87812499999995</v>
      </c>
      <c r="G105" s="44">
        <f>F105*(1+index)</f>
        <v>771.69288437499995</v>
      </c>
      <c r="H105" s="44">
        <f>G105*(1+index)</f>
        <v>804.87567840312488</v>
      </c>
    </row>
    <row r="106" spans="1:12" x14ac:dyDescent="0.25">
      <c r="B106" s="39" t="s">
        <v>135</v>
      </c>
      <c r="E106" s="44">
        <v>2</v>
      </c>
      <c r="F106" s="44">
        <v>2</v>
      </c>
      <c r="G106" s="44">
        <v>2</v>
      </c>
      <c r="H106" s="44">
        <v>2</v>
      </c>
    </row>
    <row r="107" spans="1:12" hidden="1" x14ac:dyDescent="0.25">
      <c r="B107" s="39"/>
      <c r="G107" s="33"/>
      <c r="H107" s="33"/>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43">E112*E113</f>
        <v>0</v>
      </c>
      <c r="F111" s="52">
        <f t="shared" si="43"/>
        <v>0</v>
      </c>
      <c r="G111" s="52">
        <f t="shared" si="43"/>
        <v>0</v>
      </c>
      <c r="H111" s="52">
        <f t="shared" si="43"/>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1" spans="1:12" x14ac:dyDescent="0.25">
      <c r="A121" s="50"/>
      <c r="B121" s="50" t="s">
        <v>26</v>
      </c>
      <c r="C121" s="50"/>
      <c r="D121" s="52"/>
      <c r="E121" s="52"/>
      <c r="F121" s="52"/>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x14ac:dyDescent="0.25">
      <c r="B125" s="55" t="s">
        <v>123</v>
      </c>
      <c r="D125" s="44"/>
      <c r="E125" s="44"/>
      <c r="F125" s="44"/>
      <c r="G125" s="38"/>
      <c r="H125" s="38"/>
      <c r="I125" s="62"/>
      <c r="J125" s="6"/>
      <c r="K125" s="6"/>
      <c r="L125" s="6"/>
    </row>
    <row r="126" spans="1:12" s="5" customFormat="1" x14ac:dyDescent="0.25">
      <c r="B126" s="55" t="s">
        <v>461</v>
      </c>
      <c r="D126" s="44"/>
      <c r="E126" s="44">
        <f>E127+E130+E133+E136</f>
        <v>310000</v>
      </c>
      <c r="F126" s="44">
        <f t="shared" ref="F126:H126" si="44">F127+F130+F133+F136</f>
        <v>0</v>
      </c>
      <c r="G126" s="44">
        <f t="shared" si="44"/>
        <v>0</v>
      </c>
      <c r="H126" s="44">
        <f t="shared" si="44"/>
        <v>0</v>
      </c>
      <c r="I126" s="62"/>
      <c r="J126" s="6"/>
      <c r="K126" s="6"/>
      <c r="L126" s="6"/>
    </row>
    <row r="127" spans="1:12" s="5" customFormat="1" x14ac:dyDescent="0.25">
      <c r="B127" s="5" t="s">
        <v>453</v>
      </c>
      <c r="D127" s="44"/>
      <c r="E127" s="44">
        <f>E128*E129</f>
        <v>150000</v>
      </c>
      <c r="F127" s="44">
        <f t="shared" ref="F127:H127" si="45">F128*F129</f>
        <v>0</v>
      </c>
      <c r="G127" s="44">
        <f t="shared" si="45"/>
        <v>0</v>
      </c>
      <c r="H127" s="44">
        <f t="shared" si="45"/>
        <v>0</v>
      </c>
      <c r="I127" s="62"/>
      <c r="J127" s="6"/>
      <c r="K127" s="6"/>
      <c r="L127" s="6"/>
    </row>
    <row r="128" spans="1:12" s="5" customFormat="1" x14ac:dyDescent="0.25">
      <c r="B128" s="41" t="s">
        <v>452</v>
      </c>
      <c r="D128" s="44"/>
      <c r="E128" s="44">
        <v>300</v>
      </c>
      <c r="F128" s="44">
        <v>300</v>
      </c>
      <c r="G128" s="44">
        <v>300</v>
      </c>
      <c r="H128" s="44">
        <v>300</v>
      </c>
      <c r="I128" s="62"/>
      <c r="J128" s="6"/>
      <c r="K128" s="6"/>
      <c r="L128" s="6"/>
    </row>
    <row r="129" spans="1:12" s="5" customFormat="1" x14ac:dyDescent="0.25">
      <c r="B129" s="41" t="s">
        <v>92</v>
      </c>
      <c r="D129" s="44"/>
      <c r="E129" s="44">
        <v>500</v>
      </c>
      <c r="F129" s="44">
        <v>0</v>
      </c>
      <c r="G129" s="44">
        <v>0</v>
      </c>
      <c r="H129" s="44">
        <v>0</v>
      </c>
      <c r="I129" s="62"/>
      <c r="J129" s="6"/>
      <c r="K129" s="6"/>
      <c r="L129" s="6"/>
    </row>
    <row r="130" spans="1:12" s="5" customFormat="1" x14ac:dyDescent="0.25">
      <c r="B130" s="5" t="s">
        <v>454</v>
      </c>
      <c r="D130" s="44"/>
      <c r="E130" s="44">
        <f>E131*E132</f>
        <v>25000</v>
      </c>
      <c r="F130" s="44">
        <f t="shared" ref="F130" si="46">F131*F132</f>
        <v>0</v>
      </c>
      <c r="G130" s="44">
        <f t="shared" ref="G130" si="47">G131*G132</f>
        <v>0</v>
      </c>
      <c r="H130" s="44">
        <f t="shared" ref="H130" si="48">H131*H132</f>
        <v>0</v>
      </c>
      <c r="I130" s="62"/>
      <c r="J130" s="6"/>
      <c r="K130" s="6"/>
      <c r="L130" s="6"/>
    </row>
    <row r="131" spans="1:12" s="5" customFormat="1" x14ac:dyDescent="0.25">
      <c r="B131" s="41" t="s">
        <v>452</v>
      </c>
      <c r="D131" s="44"/>
      <c r="E131" s="44">
        <v>25000</v>
      </c>
      <c r="F131" s="44">
        <v>300</v>
      </c>
      <c r="G131" s="44">
        <v>300</v>
      </c>
      <c r="H131" s="44">
        <v>300</v>
      </c>
      <c r="I131" s="62"/>
      <c r="J131" s="6"/>
      <c r="K131" s="6"/>
      <c r="L131" s="6"/>
    </row>
    <row r="132" spans="1:12" s="5" customFormat="1" x14ac:dyDescent="0.25">
      <c r="B132" s="41" t="s">
        <v>92</v>
      </c>
      <c r="D132" s="44"/>
      <c r="E132" s="44">
        <v>1</v>
      </c>
      <c r="F132" s="44">
        <v>0</v>
      </c>
      <c r="G132" s="44">
        <v>0</v>
      </c>
      <c r="H132" s="44">
        <v>0</v>
      </c>
      <c r="I132" s="62"/>
      <c r="J132" s="6"/>
      <c r="K132" s="6"/>
      <c r="L132" s="6"/>
    </row>
    <row r="133" spans="1:12" s="5" customFormat="1" x14ac:dyDescent="0.25">
      <c r="B133" s="5" t="s">
        <v>455</v>
      </c>
      <c r="D133" s="44"/>
      <c r="E133" s="44">
        <f>E134*E135</f>
        <v>125000</v>
      </c>
      <c r="F133" s="44">
        <f t="shared" ref="F133" si="49">F134*F135</f>
        <v>0</v>
      </c>
      <c r="G133" s="44">
        <f t="shared" ref="G133" si="50">G134*G135</f>
        <v>0</v>
      </c>
      <c r="H133" s="44">
        <f t="shared" ref="H133" si="51">H134*H135</f>
        <v>0</v>
      </c>
      <c r="I133" s="62"/>
      <c r="J133" s="6"/>
      <c r="K133" s="6"/>
      <c r="L133" s="6"/>
    </row>
    <row r="134" spans="1:12" s="5" customFormat="1" x14ac:dyDescent="0.25">
      <c r="B134" s="41" t="s">
        <v>452</v>
      </c>
      <c r="D134" s="44"/>
      <c r="E134" s="44">
        <v>125000</v>
      </c>
      <c r="F134" s="44">
        <v>300</v>
      </c>
      <c r="G134" s="44">
        <v>300</v>
      </c>
      <c r="H134" s="44">
        <v>300</v>
      </c>
      <c r="I134" s="62"/>
      <c r="J134" s="6"/>
      <c r="K134" s="6"/>
      <c r="L134" s="6"/>
    </row>
    <row r="135" spans="1:12" s="5" customFormat="1" x14ac:dyDescent="0.25">
      <c r="B135" s="41" t="s">
        <v>92</v>
      </c>
      <c r="D135" s="44"/>
      <c r="E135" s="44">
        <v>1</v>
      </c>
      <c r="F135" s="44">
        <v>0</v>
      </c>
      <c r="G135" s="44">
        <v>0</v>
      </c>
      <c r="H135" s="44">
        <v>0</v>
      </c>
      <c r="I135" s="62"/>
      <c r="J135" s="6"/>
      <c r="K135" s="6"/>
      <c r="L135" s="6"/>
    </row>
    <row r="136" spans="1:12" s="5" customFormat="1" x14ac:dyDescent="0.25">
      <c r="B136" s="5" t="s">
        <v>456</v>
      </c>
      <c r="D136" s="44"/>
      <c r="E136" s="44">
        <f>E137*E138</f>
        <v>10000</v>
      </c>
      <c r="F136" s="44">
        <f t="shared" ref="F136" si="52">F137*F138</f>
        <v>0</v>
      </c>
      <c r="G136" s="44">
        <f t="shared" ref="G136" si="53">G137*G138</f>
        <v>0</v>
      </c>
      <c r="H136" s="44">
        <f t="shared" ref="H136" si="54">H137*H138</f>
        <v>0</v>
      </c>
      <c r="I136" s="62"/>
      <c r="J136" s="6"/>
      <c r="K136" s="6"/>
      <c r="L136" s="6"/>
    </row>
    <row r="137" spans="1:12" s="5" customFormat="1" x14ac:dyDescent="0.25">
      <c r="B137" s="41" t="s">
        <v>452</v>
      </c>
      <c r="D137" s="44"/>
      <c r="E137" s="44">
        <v>10000</v>
      </c>
      <c r="F137" s="44">
        <v>300</v>
      </c>
      <c r="G137" s="44">
        <v>300</v>
      </c>
      <c r="H137" s="44">
        <v>300</v>
      </c>
      <c r="I137" s="62"/>
      <c r="J137" s="6"/>
      <c r="K137" s="6"/>
      <c r="L137" s="6"/>
    </row>
    <row r="138" spans="1:12" s="5" customFormat="1" x14ac:dyDescent="0.25">
      <c r="B138" s="41" t="s">
        <v>92</v>
      </c>
      <c r="D138" s="44"/>
      <c r="E138" s="44">
        <v>1</v>
      </c>
      <c r="F138" s="44">
        <v>0</v>
      </c>
      <c r="G138" s="44">
        <v>0</v>
      </c>
      <c r="H138" s="44">
        <v>0</v>
      </c>
      <c r="I138" s="62"/>
      <c r="J138" s="6"/>
      <c r="K138" s="6"/>
      <c r="L138" s="6"/>
    </row>
    <row r="139" spans="1:12" s="5" customFormat="1" x14ac:dyDescent="0.25">
      <c r="B139" s="55"/>
      <c r="D139" s="44"/>
      <c r="E139" s="44"/>
      <c r="F139" s="44"/>
      <c r="G139" s="38"/>
      <c r="H139" s="38"/>
      <c r="I139" s="62"/>
      <c r="J139" s="6"/>
      <c r="K139" s="6"/>
      <c r="L139" s="6"/>
    </row>
    <row r="140" spans="1:12" hidden="1" x14ac:dyDescent="0.25">
      <c r="A140" s="50"/>
      <c r="B140" s="50" t="s">
        <v>8</v>
      </c>
      <c r="C140" s="50"/>
      <c r="D140" s="52"/>
      <c r="E140" s="52"/>
      <c r="F140" s="52"/>
      <c r="G140" s="52"/>
      <c r="H140" s="52"/>
    </row>
    <row r="141" spans="1:12" s="5" customFormat="1" hidden="1" x14ac:dyDescent="0.25">
      <c r="B141" s="41" t="s">
        <v>147</v>
      </c>
      <c r="D141" s="44"/>
      <c r="E141" s="44"/>
      <c r="F141" s="44"/>
      <c r="G141" s="38"/>
      <c r="H141" s="38"/>
      <c r="I141" s="62"/>
      <c r="J141" s="6"/>
      <c r="K141" s="6"/>
      <c r="L141" s="6"/>
    </row>
    <row r="142" spans="1:12" s="5" customFormat="1" hidden="1" x14ac:dyDescent="0.25">
      <c r="B142" s="41" t="s">
        <v>146</v>
      </c>
      <c r="D142" s="44"/>
      <c r="E142" s="44"/>
      <c r="F142" s="44"/>
      <c r="G142" s="38"/>
      <c r="H142" s="38"/>
      <c r="I142" s="62"/>
      <c r="J142" s="6"/>
      <c r="K142" s="6"/>
      <c r="L142" s="6"/>
    </row>
    <row r="143" spans="1:12" hidden="1" x14ac:dyDescent="0.25"/>
    <row r="144" spans="1:12" x14ac:dyDescent="0.25">
      <c r="A144" s="50"/>
      <c r="B144" s="50" t="s">
        <v>463</v>
      </c>
      <c r="C144" s="50"/>
      <c r="D144" s="52"/>
      <c r="E144" s="52">
        <f>E145*E151</f>
        <v>8880</v>
      </c>
      <c r="F144" s="52">
        <f>F145*F151</f>
        <v>17760</v>
      </c>
      <c r="G144" s="52">
        <f>G145*G151</f>
        <v>17760</v>
      </c>
      <c r="H144" s="52">
        <f>H145*H151</f>
        <v>17760</v>
      </c>
    </row>
    <row r="145" spans="1:12" x14ac:dyDescent="0.25">
      <c r="B145" s="5" t="s">
        <v>460</v>
      </c>
      <c r="E145" s="44">
        <f>SUM(E146:E149)</f>
        <v>1480</v>
      </c>
      <c r="F145" s="44">
        <f t="shared" ref="F145:H145" si="55">SUM(F146:F149)</f>
        <v>1480</v>
      </c>
      <c r="G145" s="44">
        <f t="shared" si="55"/>
        <v>1480</v>
      </c>
      <c r="H145" s="44">
        <f t="shared" si="55"/>
        <v>1480</v>
      </c>
    </row>
    <row r="146" spans="1:12" x14ac:dyDescent="0.25">
      <c r="B146" s="41" t="s">
        <v>464</v>
      </c>
      <c r="E146" s="44">
        <v>600</v>
      </c>
      <c r="F146" s="44">
        <v>600</v>
      </c>
      <c r="G146" s="44">
        <v>600</v>
      </c>
      <c r="H146" s="44">
        <v>600</v>
      </c>
    </row>
    <row r="147" spans="1:12" x14ac:dyDescent="0.25">
      <c r="B147" s="41" t="s">
        <v>457</v>
      </c>
      <c r="E147" s="44">
        <v>60</v>
      </c>
      <c r="F147" s="44">
        <v>60</v>
      </c>
      <c r="G147" s="44">
        <v>60</v>
      </c>
      <c r="H147" s="44">
        <v>60</v>
      </c>
    </row>
    <row r="148" spans="1:12" x14ac:dyDescent="0.25">
      <c r="B148" s="41" t="s">
        <v>458</v>
      </c>
      <c r="E148" s="44">
        <v>100</v>
      </c>
      <c r="F148" s="44">
        <v>100</v>
      </c>
      <c r="G148" s="44">
        <v>100</v>
      </c>
      <c r="H148" s="44">
        <v>100</v>
      </c>
    </row>
    <row r="149" spans="1:12" x14ac:dyDescent="0.25">
      <c r="B149" s="41" t="s">
        <v>459</v>
      </c>
      <c r="E149" s="44">
        <v>720</v>
      </c>
      <c r="F149" s="44">
        <v>720</v>
      </c>
      <c r="G149" s="44">
        <v>720</v>
      </c>
      <c r="H149" s="44">
        <v>720</v>
      </c>
    </row>
    <row r="151" spans="1:12" x14ac:dyDescent="0.25">
      <c r="B151" s="41" t="s">
        <v>39</v>
      </c>
      <c r="E151" s="44">
        <v>6</v>
      </c>
      <c r="F151" s="44">
        <v>12</v>
      </c>
      <c r="G151" s="38">
        <v>12</v>
      </c>
      <c r="H151" s="38">
        <v>12</v>
      </c>
    </row>
    <row r="152" spans="1:12" hidden="1" x14ac:dyDescent="0.25"/>
    <row r="153" spans="1:12" hidden="1" x14ac:dyDescent="0.25"/>
    <row r="154" spans="1:12" hidden="1" x14ac:dyDescent="0.25">
      <c r="B154" s="77"/>
    </row>
    <row r="155" spans="1:12" x14ac:dyDescent="0.25">
      <c r="A155" s="228"/>
      <c r="B155" s="228"/>
      <c r="C155" s="228"/>
      <c r="D155" s="230"/>
      <c r="E155" s="230"/>
      <c r="F155" s="230"/>
      <c r="G155" s="230"/>
      <c r="H155" s="230"/>
    </row>
    <row r="156" spans="1:12" hidden="1" x14ac:dyDescent="0.25">
      <c r="A156" s="50"/>
      <c r="B156" s="50" t="s">
        <v>25</v>
      </c>
      <c r="C156" s="50"/>
      <c r="D156" s="52"/>
      <c r="E156" s="52">
        <f>E157+E160</f>
        <v>0</v>
      </c>
      <c r="F156" s="52">
        <f t="shared" ref="F156:H156" si="56">F157+F160</f>
        <v>0</v>
      </c>
      <c r="G156" s="52">
        <f t="shared" si="56"/>
        <v>0</v>
      </c>
      <c r="H156" s="52">
        <f t="shared" si="56"/>
        <v>0</v>
      </c>
    </row>
    <row r="157" spans="1:12" s="5" customFormat="1" hidden="1" x14ac:dyDescent="0.25">
      <c r="B157" s="5" t="s">
        <v>205</v>
      </c>
      <c r="D157" s="44"/>
      <c r="E157" s="44"/>
      <c r="F157" s="44">
        <v>0</v>
      </c>
      <c r="G157" s="38"/>
      <c r="H157" s="38"/>
      <c r="I157" s="62"/>
      <c r="J157" s="6"/>
      <c r="K157" s="6"/>
      <c r="L157" s="6"/>
    </row>
    <row r="158" spans="1:12" s="5" customFormat="1" hidden="1" x14ac:dyDescent="0.25">
      <c r="B158" s="41"/>
      <c r="D158" s="44"/>
      <c r="E158" s="44"/>
      <c r="F158" s="44"/>
      <c r="G158" s="38"/>
      <c r="H158" s="38"/>
      <c r="I158" s="62"/>
      <c r="J158" s="6"/>
      <c r="K158" s="6"/>
      <c r="L158" s="6"/>
    </row>
    <row r="159" spans="1:12" s="5" customFormat="1" hidden="1" x14ac:dyDescent="0.25">
      <c r="B159" s="41"/>
      <c r="D159" s="44"/>
      <c r="E159" s="44"/>
      <c r="F159" s="44"/>
      <c r="G159" s="38"/>
      <c r="H159" s="38"/>
      <c r="I159" s="62"/>
      <c r="J159" s="6"/>
      <c r="K159" s="6"/>
      <c r="L159" s="6"/>
    </row>
    <row r="160" spans="1:12" s="5" customFormat="1" hidden="1" x14ac:dyDescent="0.25">
      <c r="B160" s="5" t="s">
        <v>154</v>
      </c>
      <c r="D160" s="44"/>
      <c r="E160" s="44">
        <f>E161+E162*E163</f>
        <v>0</v>
      </c>
      <c r="F160" s="44">
        <f>F161+F162*F163</f>
        <v>0</v>
      </c>
      <c r="G160" s="44">
        <f t="shared" ref="G160:H160" si="57">G161+G162*G163</f>
        <v>0</v>
      </c>
      <c r="H160" s="44">
        <f t="shared" si="57"/>
        <v>0</v>
      </c>
      <c r="I160" s="73"/>
    </row>
    <row r="161" spans="1:12" hidden="1" x14ac:dyDescent="0.25">
      <c r="B161" s="41" t="s">
        <v>153</v>
      </c>
      <c r="E161" s="44">
        <f>'Rates and GI'!D46*0</f>
        <v>0</v>
      </c>
      <c r="F161" s="44">
        <f>'Rates and GI'!D46*0</f>
        <v>0</v>
      </c>
    </row>
    <row r="162" spans="1:12" hidden="1" x14ac:dyDescent="0.25">
      <c r="B162" s="41" t="s">
        <v>159</v>
      </c>
      <c r="E162" s="60">
        <f>'Rates and GI'!$D$48</f>
        <v>0.02</v>
      </c>
      <c r="F162" s="60">
        <f>'Rates and GI'!$D$48</f>
        <v>0.02</v>
      </c>
      <c r="G162" s="60">
        <f>'Rates and GI'!$D$48</f>
        <v>0.02</v>
      </c>
      <c r="H162" s="60">
        <f>'Rates and GI'!$D$48</f>
        <v>0.02</v>
      </c>
    </row>
    <row r="163" spans="1:12" hidden="1" x14ac:dyDescent="0.25">
      <c r="B163" s="41" t="s">
        <v>160</v>
      </c>
      <c r="F163" s="44">
        <v>0</v>
      </c>
      <c r="G163" s="44">
        <v>0</v>
      </c>
      <c r="H163" s="44">
        <v>0</v>
      </c>
    </row>
    <row r="164" spans="1:12" s="5" customFormat="1" hidden="1" x14ac:dyDescent="0.25">
      <c r="B164" s="41"/>
      <c r="D164" s="44"/>
      <c r="E164" s="44"/>
      <c r="F164" s="44"/>
      <c r="G164" s="38"/>
      <c r="H164" s="38"/>
      <c r="I164" s="62"/>
      <c r="J164" s="6"/>
      <c r="K164" s="6"/>
      <c r="L164" s="6"/>
    </row>
    <row r="165" spans="1:12" hidden="1" x14ac:dyDescent="0.25">
      <c r="A165" s="50"/>
      <c r="B165" s="50" t="s">
        <v>21</v>
      </c>
      <c r="C165" s="50"/>
      <c r="D165" s="52"/>
      <c r="E165" s="52">
        <f>E166*E167+E168*E169++E170*E171+E172*E173</f>
        <v>0</v>
      </c>
      <c r="F165" s="52">
        <f t="shared" ref="F165:H165" si="58">F166*F167+F168*F169++F170*F171+F172*F173</f>
        <v>0</v>
      </c>
      <c r="G165" s="52">
        <f t="shared" si="58"/>
        <v>0</v>
      </c>
      <c r="H165" s="52">
        <f t="shared" si="58"/>
        <v>0</v>
      </c>
    </row>
    <row r="166" spans="1:12" hidden="1" x14ac:dyDescent="0.25">
      <c r="B166" s="41" t="s">
        <v>150</v>
      </c>
      <c r="G166" s="44">
        <v>0</v>
      </c>
      <c r="H166" s="44"/>
    </row>
    <row r="167" spans="1:12" hidden="1" x14ac:dyDescent="0.25">
      <c r="B167" s="41" t="s">
        <v>151</v>
      </c>
      <c r="E167" s="44">
        <f>'Rates and GI'!$D$58</f>
        <v>5000</v>
      </c>
      <c r="F167" s="44">
        <f>'Rates and GI'!$D$58</f>
        <v>5000</v>
      </c>
      <c r="G167" s="44">
        <f>'Rates and GI'!$D$58</f>
        <v>5000</v>
      </c>
      <c r="H167" s="44">
        <f>'Rates and GI'!$D$58</f>
        <v>5000</v>
      </c>
    </row>
    <row r="168" spans="1:12" hidden="1" x14ac:dyDescent="0.25">
      <c r="B168" s="41" t="s">
        <v>148</v>
      </c>
      <c r="E168" s="44">
        <v>0</v>
      </c>
      <c r="F168" s="44">
        <v>0</v>
      </c>
      <c r="G168" s="44">
        <v>0</v>
      </c>
      <c r="H168" s="44">
        <v>0</v>
      </c>
    </row>
    <row r="169" spans="1:12" hidden="1" x14ac:dyDescent="0.25">
      <c r="B169" s="41" t="s">
        <v>149</v>
      </c>
      <c r="E169" s="44">
        <f>'Rates and GI'!$D$59</f>
        <v>1500</v>
      </c>
      <c r="F169" s="44">
        <f>'Rates and GI'!$D$59</f>
        <v>1500</v>
      </c>
      <c r="G169" s="44">
        <f>'Rates and GI'!$D$59</f>
        <v>1500</v>
      </c>
      <c r="H169" s="44">
        <f>'Rates and GI'!$D$59</f>
        <v>1500</v>
      </c>
    </row>
    <row r="170" spans="1:12" ht="27" hidden="1" x14ac:dyDescent="0.25">
      <c r="B170" s="63" t="s">
        <v>162</v>
      </c>
      <c r="E170" s="44">
        <v>0</v>
      </c>
      <c r="F170" s="44">
        <v>0</v>
      </c>
      <c r="G170" s="44">
        <v>0</v>
      </c>
      <c r="H170" s="44">
        <v>0</v>
      </c>
    </row>
    <row r="171" spans="1:12" ht="27" hidden="1" x14ac:dyDescent="0.25">
      <c r="B171" s="63" t="s">
        <v>161</v>
      </c>
      <c r="E171" s="44">
        <f>'Rates and GI'!$D$60</f>
        <v>200</v>
      </c>
      <c r="F171" s="44">
        <f>'Rates and GI'!$D$60</f>
        <v>200</v>
      </c>
      <c r="G171" s="44">
        <f>'Rates and GI'!$D$60</f>
        <v>200</v>
      </c>
      <c r="H171" s="44">
        <f>'Rates and GI'!$D$60</f>
        <v>200</v>
      </c>
    </row>
    <row r="172" spans="1:12" s="5" customFormat="1" hidden="1" x14ac:dyDescent="0.25">
      <c r="B172" s="41" t="s">
        <v>217</v>
      </c>
      <c r="D172" s="44"/>
      <c r="E172" s="44">
        <v>0</v>
      </c>
      <c r="F172" s="44">
        <v>0</v>
      </c>
      <c r="G172" s="44">
        <v>0</v>
      </c>
      <c r="H172" s="44">
        <v>0</v>
      </c>
      <c r="I172" s="62"/>
      <c r="J172" s="6"/>
      <c r="K172" s="6"/>
      <c r="L172" s="6"/>
    </row>
    <row r="173" spans="1:12" s="5" customFormat="1" hidden="1" x14ac:dyDescent="0.25">
      <c r="B173" s="41" t="s">
        <v>214</v>
      </c>
      <c r="D173" s="44"/>
      <c r="E173" s="44">
        <f>'Rates and GI'!$D$61</f>
        <v>50</v>
      </c>
      <c r="F173" s="44">
        <f>'Rates and GI'!$D$61</f>
        <v>50</v>
      </c>
      <c r="G173" s="38">
        <f>'Rates and GI'!$D$61</f>
        <v>50</v>
      </c>
      <c r="H173" s="38">
        <f>'Rates and GI'!$D$61</f>
        <v>50</v>
      </c>
      <c r="I173" s="62"/>
      <c r="J173" s="6"/>
      <c r="K173" s="6"/>
      <c r="L173" s="6"/>
    </row>
    <row r="174" spans="1:12" hidden="1" x14ac:dyDescent="0.25">
      <c r="A174" s="50"/>
      <c r="B174" s="50"/>
      <c r="C174" s="50"/>
      <c r="D174" s="52"/>
      <c r="E174" s="52"/>
      <c r="F174" s="52"/>
      <c r="G174" s="52"/>
      <c r="H174" s="52"/>
    </row>
    <row r="175" spans="1:12" hidden="1" x14ac:dyDescent="0.25">
      <c r="A175" s="50"/>
      <c r="B175" s="50" t="s">
        <v>194</v>
      </c>
      <c r="C175" s="50"/>
      <c r="D175" s="52"/>
      <c r="E175" s="52">
        <f>E176+E179+E182+E191+E196</f>
        <v>0</v>
      </c>
      <c r="F175" s="52">
        <f t="shared" ref="F175:H175" si="59">F176+F179+F182+F191+F196</f>
        <v>0</v>
      </c>
      <c r="G175" s="52">
        <f t="shared" si="59"/>
        <v>0</v>
      </c>
      <c r="H175" s="52">
        <f t="shared" si="59"/>
        <v>0</v>
      </c>
    </row>
    <row r="176" spans="1:12" s="5" customFormat="1" hidden="1" x14ac:dyDescent="0.25">
      <c r="B176" s="5" t="s">
        <v>173</v>
      </c>
      <c r="D176" s="44"/>
      <c r="E176" s="44">
        <f>E177+E180*E181</f>
        <v>0</v>
      </c>
      <c r="F176" s="44">
        <f>F177+F180*F181</f>
        <v>0</v>
      </c>
      <c r="G176" s="44">
        <f>G177+G180*G181</f>
        <v>0</v>
      </c>
      <c r="H176" s="44">
        <f t="shared" ref="H176" si="60">H177+H180*H181</f>
        <v>0</v>
      </c>
      <c r="I176" s="73"/>
    </row>
    <row r="177" spans="1:12" hidden="1" x14ac:dyDescent="0.25">
      <c r="B177" s="41" t="s">
        <v>184</v>
      </c>
      <c r="F177" s="44">
        <f>('Rates and GI'!$D$45+'Rates and GI'!$D$49)*0</f>
        <v>0</v>
      </c>
      <c r="G177" s="44">
        <f>('Rates and GI'!$D$45+'Rates and GI'!$D$49)*0</f>
        <v>0</v>
      </c>
      <c r="H177" s="44"/>
    </row>
    <row r="178" spans="1:12" hidden="1" x14ac:dyDescent="0.25">
      <c r="B178" s="41" t="s">
        <v>187</v>
      </c>
      <c r="F178" s="44">
        <f>'Rates and GI'!$D$51*0</f>
        <v>0</v>
      </c>
      <c r="G178" s="44">
        <f>'Rates and GI'!$D$51*0</f>
        <v>0</v>
      </c>
      <c r="H178" s="44"/>
    </row>
    <row r="179" spans="1:12" hidden="1" x14ac:dyDescent="0.25">
      <c r="B179" s="5" t="s">
        <v>174</v>
      </c>
      <c r="E179" s="44">
        <f>E180*E181</f>
        <v>0</v>
      </c>
      <c r="F179" s="44">
        <f t="shared" ref="F179:H179" si="61">F180*F181</f>
        <v>0</v>
      </c>
      <c r="G179" s="44">
        <f t="shared" si="61"/>
        <v>0</v>
      </c>
      <c r="H179" s="44">
        <f t="shared" si="61"/>
        <v>0</v>
      </c>
    </row>
    <row r="180" spans="1:12" hidden="1" x14ac:dyDescent="0.25">
      <c r="B180" s="41" t="s">
        <v>164</v>
      </c>
      <c r="F180" s="44">
        <f>'Rates and GI'!$D$54</f>
        <v>24.066499999999998</v>
      </c>
      <c r="G180" s="44">
        <f>'Rates and GI'!$D$54</f>
        <v>24.066499999999998</v>
      </c>
      <c r="H180" s="44">
        <f>'Rates and GI'!$D$54</f>
        <v>24.066499999999998</v>
      </c>
    </row>
    <row r="181" spans="1:12" hidden="1" x14ac:dyDescent="0.25">
      <c r="B181" s="41" t="s">
        <v>163</v>
      </c>
      <c r="F181" s="44">
        <v>0</v>
      </c>
      <c r="G181" s="38">
        <v>0</v>
      </c>
      <c r="H181" s="38">
        <v>0</v>
      </c>
    </row>
    <row r="182" spans="1:12" hidden="1" x14ac:dyDescent="0.25">
      <c r="B182" s="5" t="s">
        <v>175</v>
      </c>
      <c r="E182" s="44">
        <f>E183+E187</f>
        <v>0</v>
      </c>
      <c r="F182" s="44">
        <f t="shared" ref="F182:H182" si="62">F183+F187</f>
        <v>0</v>
      </c>
      <c r="G182" s="44">
        <f t="shared" si="62"/>
        <v>0</v>
      </c>
      <c r="H182" s="44">
        <f t="shared" si="62"/>
        <v>0</v>
      </c>
    </row>
    <row r="183" spans="1:12" hidden="1" x14ac:dyDescent="0.25">
      <c r="B183" s="41" t="s">
        <v>189</v>
      </c>
      <c r="E183" s="44">
        <f>E184*E185</f>
        <v>0</v>
      </c>
      <c r="F183" s="44">
        <f t="shared" ref="F183:H183" si="63">F184*F185</f>
        <v>0</v>
      </c>
      <c r="G183" s="44">
        <f t="shared" si="63"/>
        <v>0</v>
      </c>
      <c r="H183" s="44">
        <f t="shared" si="63"/>
        <v>0</v>
      </c>
    </row>
    <row r="184" spans="1:12" hidden="1" x14ac:dyDescent="0.25">
      <c r="B184" s="41" t="s">
        <v>176</v>
      </c>
      <c r="C184" s="5" t="s">
        <v>177</v>
      </c>
      <c r="E184" s="44">
        <v>0</v>
      </c>
      <c r="F184" s="44">
        <v>0</v>
      </c>
      <c r="G184" s="38">
        <v>0</v>
      </c>
      <c r="H184" s="38">
        <v>0</v>
      </c>
    </row>
    <row r="185" spans="1:12" hidden="1" x14ac:dyDescent="0.25">
      <c r="B185" s="41" t="s">
        <v>178</v>
      </c>
      <c r="E185" s="44">
        <f>'Rates and GI'!$D$52</f>
        <v>150</v>
      </c>
      <c r="F185" s="44">
        <f>'Rates and GI'!$D$52</f>
        <v>150</v>
      </c>
      <c r="G185" s="44">
        <f>'Rates and GI'!$D$52</f>
        <v>150</v>
      </c>
      <c r="H185" s="44">
        <f>'Rates and GI'!$D$52</f>
        <v>150</v>
      </c>
    </row>
    <row r="186" spans="1:12" hidden="1" x14ac:dyDescent="0.25">
      <c r="B186" s="6"/>
    </row>
    <row r="187" spans="1:12" hidden="1" x14ac:dyDescent="0.25">
      <c r="B187" s="41" t="s">
        <v>190</v>
      </c>
      <c r="E187" s="44">
        <f>E188*E189</f>
        <v>0</v>
      </c>
      <c r="F187" s="44">
        <f t="shared" ref="F187:H187" si="64">F188*F189</f>
        <v>0</v>
      </c>
      <c r="G187" s="44">
        <f t="shared" si="64"/>
        <v>0</v>
      </c>
      <c r="H187" s="44">
        <f t="shared" si="64"/>
        <v>0</v>
      </c>
    </row>
    <row r="188" spans="1:12" hidden="1" x14ac:dyDescent="0.25">
      <c r="B188" s="41" t="s">
        <v>176</v>
      </c>
      <c r="C188" s="5" t="s">
        <v>177</v>
      </c>
      <c r="E188" s="44">
        <v>0</v>
      </c>
      <c r="F188" s="44">
        <v>0</v>
      </c>
      <c r="G188" s="38">
        <v>0</v>
      </c>
      <c r="H188" s="38">
        <v>0</v>
      </c>
    </row>
    <row r="189" spans="1:12" s="62" customFormat="1" hidden="1" x14ac:dyDescent="0.25">
      <c r="A189" s="5"/>
      <c r="B189" s="41" t="s">
        <v>178</v>
      </c>
      <c r="C189" s="5"/>
      <c r="D189" s="44"/>
      <c r="E189" s="44">
        <f>'Rates and GI'!$D$53</f>
        <v>20</v>
      </c>
      <c r="F189" s="44">
        <f>'Rates and GI'!$D$53</f>
        <v>20</v>
      </c>
      <c r="G189" s="44">
        <f>'Rates and GI'!$D$53</f>
        <v>20</v>
      </c>
      <c r="H189" s="44">
        <f>'Rates and GI'!$D$53</f>
        <v>20</v>
      </c>
      <c r="J189" s="6"/>
      <c r="K189" s="6"/>
      <c r="L189" s="6"/>
    </row>
    <row r="190" spans="1:12" s="62" customFormat="1" hidden="1" x14ac:dyDescent="0.25">
      <c r="A190" s="5"/>
      <c r="B190" s="6"/>
      <c r="C190" s="5"/>
      <c r="D190" s="44"/>
      <c r="E190" s="44"/>
      <c r="F190" s="44"/>
      <c r="G190" s="38"/>
      <c r="H190" s="38"/>
      <c r="J190" s="6"/>
      <c r="K190" s="6"/>
      <c r="L190" s="6"/>
    </row>
    <row r="191" spans="1:12" s="62" customFormat="1" hidden="1" x14ac:dyDescent="0.25">
      <c r="A191" s="5"/>
      <c r="B191" s="5" t="s">
        <v>179</v>
      </c>
      <c r="C191" s="5"/>
      <c r="D191" s="44"/>
      <c r="E191" s="44">
        <f>E192*E193*E194</f>
        <v>0</v>
      </c>
      <c r="F191" s="44">
        <f t="shared" ref="F191:H191" si="65">F192*F193*F194</f>
        <v>0</v>
      </c>
      <c r="G191" s="44">
        <f t="shared" si="65"/>
        <v>0</v>
      </c>
      <c r="H191" s="44">
        <f t="shared" si="65"/>
        <v>0</v>
      </c>
      <c r="J191" s="6"/>
      <c r="K191" s="6"/>
      <c r="L191" s="6"/>
    </row>
    <row r="192" spans="1:12" s="62" customFormat="1" hidden="1" x14ac:dyDescent="0.25">
      <c r="A192" s="5"/>
      <c r="B192" s="41" t="s">
        <v>191</v>
      </c>
      <c r="C192" s="5"/>
      <c r="D192" s="44"/>
      <c r="E192" s="44"/>
      <c r="F192" s="44">
        <f>'Rates and GI'!$D$55</f>
        <v>300</v>
      </c>
      <c r="G192" s="44">
        <f>'Rates and GI'!$D$55</f>
        <v>300</v>
      </c>
      <c r="H192" s="44">
        <f>'Rates and GI'!$D$55</f>
        <v>300</v>
      </c>
      <c r="J192" s="6"/>
      <c r="K192" s="6"/>
      <c r="L192" s="6"/>
    </row>
    <row r="193" spans="1:12" s="62" customFormat="1" hidden="1" x14ac:dyDescent="0.25">
      <c r="A193" s="5"/>
      <c r="B193" s="41" t="s">
        <v>192</v>
      </c>
      <c r="C193" s="5"/>
      <c r="D193" s="44"/>
      <c r="E193" s="44"/>
      <c r="F193" s="44">
        <v>3</v>
      </c>
      <c r="G193" s="44">
        <v>3</v>
      </c>
      <c r="H193" s="44">
        <v>3</v>
      </c>
      <c r="J193" s="6"/>
      <c r="K193" s="6"/>
      <c r="L193" s="6"/>
    </row>
    <row r="194" spans="1:12" s="62" customFormat="1" hidden="1" x14ac:dyDescent="0.25">
      <c r="A194" s="5"/>
      <c r="B194" s="41" t="s">
        <v>193</v>
      </c>
      <c r="C194" s="5"/>
      <c r="D194" s="44"/>
      <c r="E194" s="44"/>
      <c r="F194" s="44">
        <v>0</v>
      </c>
      <c r="G194" s="44">
        <v>0</v>
      </c>
      <c r="H194" s="44">
        <v>0</v>
      </c>
      <c r="J194" s="6"/>
      <c r="K194" s="6"/>
      <c r="L194" s="6"/>
    </row>
    <row r="195" spans="1:12" hidden="1" x14ac:dyDescent="0.25"/>
    <row r="196" spans="1:12" s="62" customFormat="1" hidden="1" x14ac:dyDescent="0.25">
      <c r="A196" s="5"/>
      <c r="B196" s="5" t="s">
        <v>172</v>
      </c>
      <c r="C196" s="5"/>
      <c r="D196" s="44"/>
      <c r="E196" s="44">
        <f>E197+E198*E199</f>
        <v>0</v>
      </c>
      <c r="F196" s="44">
        <f>F197+F198*F199</f>
        <v>0</v>
      </c>
      <c r="G196" s="44">
        <f>G197+G198*G199</f>
        <v>0</v>
      </c>
      <c r="H196" s="44">
        <f>H197+H198*H199</f>
        <v>0</v>
      </c>
      <c r="J196" s="6"/>
      <c r="K196" s="6"/>
      <c r="L196" s="6"/>
    </row>
    <row r="197" spans="1:12" s="62" customFormat="1" hidden="1" x14ac:dyDescent="0.25">
      <c r="A197" s="5"/>
      <c r="B197" s="41" t="s">
        <v>153</v>
      </c>
      <c r="C197" s="5"/>
      <c r="D197" s="44"/>
      <c r="E197" s="44"/>
      <c r="F197" s="44">
        <f>'Rates and GI'!D46*0</f>
        <v>0</v>
      </c>
      <c r="G197" s="38"/>
      <c r="H197" s="38"/>
      <c r="J197" s="6"/>
      <c r="K197" s="6"/>
      <c r="L197" s="6"/>
    </row>
    <row r="198" spans="1:12" s="62" customFormat="1" hidden="1" x14ac:dyDescent="0.25">
      <c r="A198" s="5"/>
      <c r="B198" s="41" t="s">
        <v>159</v>
      </c>
      <c r="C198" s="5"/>
      <c r="D198" s="44"/>
      <c r="E198" s="44"/>
      <c r="F198" s="65">
        <f>'Rates and GI'!$D$47</f>
        <v>0.05</v>
      </c>
      <c r="G198" s="65">
        <f>'Rates and GI'!$D$47</f>
        <v>0.05</v>
      </c>
      <c r="H198" s="65">
        <f>'Rates and GI'!$D$47</f>
        <v>0.05</v>
      </c>
      <c r="J198" s="6"/>
      <c r="K198" s="6"/>
      <c r="L198" s="6"/>
    </row>
    <row r="199" spans="1:12" s="62" customFormat="1" hidden="1" x14ac:dyDescent="0.25">
      <c r="A199" s="5"/>
      <c r="B199" s="41" t="s">
        <v>160</v>
      </c>
      <c r="C199" s="5"/>
      <c r="D199" s="44"/>
      <c r="E199" s="44"/>
      <c r="F199" s="44">
        <v>0</v>
      </c>
      <c r="G199" s="38">
        <v>0</v>
      </c>
      <c r="H199" s="38"/>
      <c r="J199" s="6"/>
      <c r="K199" s="6"/>
      <c r="L199" s="6"/>
    </row>
    <row r="200" spans="1:12" hidden="1" x14ac:dyDescent="0.25"/>
    <row r="201" spans="1:12" s="62" customFormat="1" hidden="1" x14ac:dyDescent="0.25">
      <c r="A201" s="50"/>
      <c r="B201" s="50" t="s">
        <v>19</v>
      </c>
      <c r="C201" s="50"/>
      <c r="D201" s="52"/>
      <c r="E201" s="52">
        <v>0</v>
      </c>
      <c r="F201" s="52">
        <v>0</v>
      </c>
      <c r="G201" s="52">
        <v>0</v>
      </c>
      <c r="H201" s="52">
        <v>0</v>
      </c>
      <c r="J201" s="6"/>
      <c r="K201" s="6"/>
      <c r="L201" s="6"/>
    </row>
    <row r="202" spans="1:12" hidden="1" x14ac:dyDescent="0.25"/>
    <row r="203" spans="1:12" ht="27" hidden="1" x14ac:dyDescent="0.25">
      <c r="A203" s="50"/>
      <c r="B203" s="132" t="s">
        <v>252</v>
      </c>
      <c r="C203" s="133"/>
      <c r="D203" s="51"/>
      <c r="E203" s="51"/>
      <c r="F203" s="51"/>
      <c r="G203" s="51"/>
      <c r="H203" s="51"/>
    </row>
    <row r="204" spans="1:12" hidden="1" x14ac:dyDescent="0.25">
      <c r="A204" s="10"/>
      <c r="B204" s="39" t="s">
        <v>253</v>
      </c>
      <c r="C204" s="134">
        <v>1</v>
      </c>
      <c r="D204" s="33"/>
      <c r="E204" s="44">
        <v>0</v>
      </c>
      <c r="F204" s="44">
        <v>0</v>
      </c>
      <c r="G204" s="44">
        <v>0</v>
      </c>
      <c r="H204" s="44">
        <v>0</v>
      </c>
    </row>
    <row r="205" spans="1:12" hidden="1" x14ac:dyDescent="0.25">
      <c r="B205" s="39" t="s">
        <v>254</v>
      </c>
      <c r="C205" s="33">
        <v>0</v>
      </c>
      <c r="D205" s="33"/>
      <c r="G205" s="44"/>
      <c r="H205" s="44"/>
    </row>
    <row r="206" spans="1:12" hidden="1" x14ac:dyDescent="0.25">
      <c r="B206" s="39" t="s">
        <v>255</v>
      </c>
      <c r="C206" s="73"/>
      <c r="D206" s="33"/>
      <c r="E206" s="44">
        <f>$C$205/$C$204*E204</f>
        <v>0</v>
      </c>
      <c r="F206" s="44">
        <f t="shared" ref="F206:H206" si="66">$C$205/$C$204*F204</f>
        <v>0</v>
      </c>
      <c r="G206" s="44">
        <f t="shared" si="66"/>
        <v>0</v>
      </c>
      <c r="H206" s="44">
        <f t="shared" si="66"/>
        <v>0</v>
      </c>
    </row>
    <row r="207" spans="1:12" hidden="1" x14ac:dyDescent="0.25"/>
  </sheetData>
  <pageMargins left="0.7" right="0.7" top="0.75" bottom="0.75" header="0.3" footer="0.3"/>
  <pageSetup paperSize="9" scale="54" fitToHeight="0"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4"/>
  <sheetViews>
    <sheetView topLeftCell="A52" workbookViewId="0">
      <selection activeCell="B189" sqref="B189"/>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52</v>
      </c>
      <c r="B1" s="126" t="s">
        <v>423</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E67</f>
        <v>0</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1418.75</v>
      </c>
      <c r="E20" s="44">
        <f>E103</f>
        <v>1418.75</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1418.75</v>
      </c>
      <c r="E22" s="47">
        <f t="shared" ref="E22:H22" si="12">SUBTOTAL(9,E20:E21)</f>
        <v>1418.75</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E112</f>
        <v>0</v>
      </c>
      <c r="F25" s="44">
        <f t="shared" ref="F25:H25" si="13">F112</f>
        <v>0</v>
      </c>
      <c r="G25" s="44">
        <f t="shared" si="13"/>
        <v>0</v>
      </c>
      <c r="H25" s="44">
        <f t="shared" si="13"/>
        <v>0</v>
      </c>
    </row>
    <row r="26" spans="1:12" x14ac:dyDescent="0.25">
      <c r="B26" s="16" t="s">
        <v>25</v>
      </c>
      <c r="D26" s="44">
        <f t="shared" ref="D26" si="14">SUM(E26:H26)</f>
        <v>0</v>
      </c>
      <c r="E26" s="44">
        <f>E133</f>
        <v>0</v>
      </c>
      <c r="F26" s="44">
        <f t="shared" ref="F26:H26" si="15">F133</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E122</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E178</f>
        <v>0</v>
      </c>
      <c r="F40" s="44">
        <f t="shared" ref="F40:H40" si="20">F178</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E183</f>
        <v>0</v>
      </c>
      <c r="F46" s="44">
        <f t="shared" ref="F46:H46" si="23">F183</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E152</f>
        <v>0</v>
      </c>
      <c r="F50" s="44">
        <f t="shared" ref="F50:H50" si="26">F152</f>
        <v>0</v>
      </c>
      <c r="G50" s="44">
        <f t="shared" si="26"/>
        <v>0</v>
      </c>
      <c r="H50" s="44">
        <f t="shared" si="26"/>
        <v>0</v>
      </c>
    </row>
    <row r="51" spans="1:12" x14ac:dyDescent="0.25">
      <c r="A51" s="3"/>
      <c r="B51" s="3" t="s">
        <v>21</v>
      </c>
      <c r="C51" s="3"/>
      <c r="D51" s="44">
        <f t="shared" si="25"/>
        <v>0</v>
      </c>
      <c r="E51" s="44">
        <f>E142</f>
        <v>0</v>
      </c>
      <c r="F51" s="44">
        <f t="shared" ref="F51:H51" si="27">F142</f>
        <v>0</v>
      </c>
      <c r="G51" s="44">
        <f t="shared" si="27"/>
        <v>0</v>
      </c>
      <c r="H51" s="44">
        <f t="shared" si="27"/>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1418.75</v>
      </c>
      <c r="E54" s="49">
        <f>SUBTOTAL(9,E5:E52)</f>
        <v>1418.75</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hidden="1" x14ac:dyDescent="0.25">
      <c r="B67" s="5" t="s">
        <v>23</v>
      </c>
      <c r="E67" s="44">
        <f>E68*E69</f>
        <v>0</v>
      </c>
      <c r="F67" s="44">
        <f t="shared" ref="F67:H67" si="28">F68*F69</f>
        <v>0</v>
      </c>
      <c r="G67" s="44">
        <f t="shared" si="28"/>
        <v>0</v>
      </c>
      <c r="H67" s="44">
        <f t="shared" si="28"/>
        <v>0</v>
      </c>
    </row>
    <row r="68" spans="1:12" hidden="1" x14ac:dyDescent="0.25">
      <c r="A68" s="9"/>
      <c r="B68" s="9" t="s">
        <v>114</v>
      </c>
      <c r="C68" s="9" t="s">
        <v>113</v>
      </c>
      <c r="E68" s="44">
        <v>0</v>
      </c>
      <c r="F68" s="44">
        <v>0</v>
      </c>
      <c r="G68" s="44">
        <v>0</v>
      </c>
      <c r="H68" s="44">
        <f>G68</f>
        <v>0</v>
      </c>
    </row>
    <row r="69" spans="1:12" hidden="1"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E104*E105+E106*E107*E108+E109*E110</f>
        <v>1418.75</v>
      </c>
      <c r="F103" s="52">
        <f t="shared" ref="F103:H103" si="32">F104*F105+F106*F107*F108+F109*F110</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x14ac:dyDescent="0.25">
      <c r="B106" s="39" t="s">
        <v>134</v>
      </c>
      <c r="C106" s="5" t="s">
        <v>471</v>
      </c>
      <c r="E106" s="44">
        <f>Training!C23*2</f>
        <v>1418.75</v>
      </c>
      <c r="F106" s="44">
        <f>E106*(1+index)</f>
        <v>1479.7562499999999</v>
      </c>
      <c r="G106" s="44">
        <f>F106*(1+index)</f>
        <v>1543.3857687499999</v>
      </c>
      <c r="H106" s="44">
        <f>G106*(1+index)</f>
        <v>1609.7513568062498</v>
      </c>
    </row>
    <row r="107" spans="1:12" x14ac:dyDescent="0.25">
      <c r="B107" s="39" t="s">
        <v>135</v>
      </c>
      <c r="E107" s="44">
        <v>5</v>
      </c>
      <c r="F107" s="44">
        <v>0</v>
      </c>
      <c r="G107" s="33">
        <v>0</v>
      </c>
      <c r="H107" s="33">
        <v>0</v>
      </c>
    </row>
    <row r="108" spans="1:12" x14ac:dyDescent="0.25">
      <c r="B108" s="39" t="s">
        <v>424</v>
      </c>
      <c r="E108" s="45">
        <v>0.2</v>
      </c>
      <c r="F108" s="45"/>
      <c r="G108" s="34"/>
      <c r="H108" s="34"/>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x14ac:dyDescent="0.25">
      <c r="A111" s="228"/>
      <c r="B111" s="239"/>
      <c r="C111" s="228"/>
      <c r="D111" s="230"/>
      <c r="E111" s="230"/>
      <c r="F111" s="230"/>
      <c r="G111" s="230"/>
      <c r="H111" s="230"/>
    </row>
    <row r="112" spans="1:12" hidden="1" x14ac:dyDescent="0.25">
      <c r="A112" s="50"/>
      <c r="B112" s="50" t="s">
        <v>24</v>
      </c>
      <c r="C112" s="50"/>
      <c r="D112" s="52"/>
      <c r="E112" s="52">
        <f t="shared" ref="E112:H112" si="34">E113*E114</f>
        <v>0</v>
      </c>
      <c r="F112" s="52">
        <f t="shared" si="34"/>
        <v>0</v>
      </c>
      <c r="G112" s="52">
        <f t="shared" si="34"/>
        <v>0</v>
      </c>
      <c r="H112" s="52">
        <f t="shared" si="34"/>
        <v>0</v>
      </c>
    </row>
    <row r="113" spans="1:12" s="7" customFormat="1" hidden="1" x14ac:dyDescent="0.25">
      <c r="A113" s="5"/>
      <c r="B113" s="39" t="s">
        <v>53</v>
      </c>
      <c r="C113" s="5"/>
      <c r="D113" s="44"/>
      <c r="E113" s="44">
        <v>0</v>
      </c>
      <c r="F113" s="44">
        <v>0</v>
      </c>
      <c r="G113" s="44"/>
      <c r="H113" s="44"/>
      <c r="I113" s="62"/>
      <c r="J113" s="6"/>
      <c r="K113" s="6"/>
      <c r="L113" s="6"/>
    </row>
    <row r="114" spans="1:12" s="7" customFormat="1" hidden="1" x14ac:dyDescent="0.25">
      <c r="A114" s="5"/>
      <c r="B114" s="39" t="s">
        <v>54</v>
      </c>
      <c r="C114" s="5"/>
      <c r="D114" s="44"/>
      <c r="E114" s="44">
        <f>'Rates and GI'!D25</f>
        <v>6</v>
      </c>
      <c r="F114" s="44">
        <f>E114*(1+index)</f>
        <v>6.2579999999999991</v>
      </c>
      <c r="G114" s="44">
        <f>F114*(1+index)</f>
        <v>6.5270939999999991</v>
      </c>
      <c r="H114" s="44">
        <f>G114*(1+index)</f>
        <v>6.8077590419999989</v>
      </c>
      <c r="I114" s="62"/>
      <c r="J114" s="6"/>
      <c r="K114" s="6"/>
      <c r="L114" s="6"/>
    </row>
    <row r="115" spans="1:12" hidden="1" x14ac:dyDescent="0.25"/>
    <row r="116" spans="1:12" hidden="1" x14ac:dyDescent="0.25">
      <c r="A116" s="50"/>
      <c r="B116" s="50" t="s">
        <v>7</v>
      </c>
      <c r="C116" s="50"/>
      <c r="D116" s="52"/>
      <c r="E116" s="52"/>
      <c r="F116" s="52"/>
      <c r="G116" s="52"/>
      <c r="H116" s="52"/>
    </row>
    <row r="117" spans="1:12" s="7" customFormat="1" hidden="1" x14ac:dyDescent="0.25">
      <c r="A117" s="5"/>
      <c r="B117" s="4" t="s">
        <v>57</v>
      </c>
      <c r="C117" s="5"/>
      <c r="D117" s="44"/>
      <c r="E117" s="46"/>
      <c r="F117" s="46"/>
      <c r="G117" s="105"/>
      <c r="H117" s="105"/>
      <c r="I117" s="62"/>
      <c r="J117" s="6"/>
      <c r="K117" s="6"/>
      <c r="L117" s="6"/>
    </row>
    <row r="118" spans="1:12" s="43" customFormat="1" hidden="1" x14ac:dyDescent="0.25">
      <c r="A118" s="40"/>
      <c r="B118" s="41" t="s">
        <v>58</v>
      </c>
      <c r="C118" s="40" t="s">
        <v>55</v>
      </c>
      <c r="D118" s="71"/>
      <c r="E118" s="71"/>
      <c r="F118" s="71"/>
      <c r="G118" s="72"/>
      <c r="H118" s="72"/>
      <c r="I118" s="75"/>
      <c r="J118" s="42"/>
      <c r="K118" s="42"/>
      <c r="L118" s="42"/>
    </row>
    <row r="119" spans="1:12" s="40" customFormat="1" hidden="1" x14ac:dyDescent="0.25">
      <c r="B119" s="41" t="s">
        <v>56</v>
      </c>
      <c r="D119" s="71"/>
      <c r="E119" s="71"/>
      <c r="F119" s="71"/>
      <c r="G119" s="72"/>
      <c r="H119" s="72"/>
      <c r="I119" s="75"/>
      <c r="J119" s="42"/>
      <c r="K119" s="42"/>
      <c r="L119" s="42"/>
    </row>
    <row r="120" spans="1:12" s="40" customFormat="1" hidden="1" x14ac:dyDescent="0.25">
      <c r="B120" s="41" t="s">
        <v>59</v>
      </c>
      <c r="D120" s="71"/>
      <c r="E120" s="71"/>
      <c r="F120" s="71"/>
      <c r="G120" s="72"/>
      <c r="H120" s="72"/>
      <c r="I120" s="75"/>
      <c r="J120" s="42"/>
      <c r="K120" s="42"/>
      <c r="L120" s="42"/>
    </row>
    <row r="121" spans="1:12" hidden="1" x14ac:dyDescent="0.25"/>
    <row r="122" spans="1:12" hidden="1" x14ac:dyDescent="0.25">
      <c r="A122" s="50"/>
      <c r="B122" s="50" t="s">
        <v>26</v>
      </c>
      <c r="C122" s="50"/>
      <c r="D122" s="52"/>
      <c r="E122" s="52">
        <f>E127*E128</f>
        <v>0</v>
      </c>
      <c r="F122" s="52">
        <f>F127*F128</f>
        <v>0</v>
      </c>
      <c r="G122" s="52"/>
      <c r="H122" s="52"/>
    </row>
    <row r="123" spans="1:12" s="5" customFormat="1" hidden="1" x14ac:dyDescent="0.25">
      <c r="B123" s="55" t="s">
        <v>60</v>
      </c>
      <c r="D123" s="44"/>
      <c r="E123" s="44"/>
      <c r="F123" s="44"/>
      <c r="G123" s="38"/>
      <c r="H123" s="38"/>
      <c r="I123" s="62"/>
      <c r="J123" s="6"/>
      <c r="K123" s="6"/>
      <c r="L123" s="6"/>
    </row>
    <row r="124" spans="1:12" s="5" customFormat="1" hidden="1" x14ac:dyDescent="0.25">
      <c r="B124" s="41" t="s">
        <v>147</v>
      </c>
      <c r="D124" s="44"/>
      <c r="E124" s="44"/>
      <c r="F124" s="44"/>
      <c r="G124" s="38"/>
      <c r="H124" s="38"/>
      <c r="I124" s="62"/>
      <c r="J124" s="6"/>
      <c r="K124" s="6"/>
      <c r="L124" s="6"/>
    </row>
    <row r="125" spans="1:12" s="5" customFormat="1" hidden="1" x14ac:dyDescent="0.25">
      <c r="B125" s="41" t="s">
        <v>146</v>
      </c>
      <c r="D125" s="44"/>
      <c r="E125" s="44"/>
      <c r="F125" s="44"/>
      <c r="G125" s="38"/>
      <c r="H125" s="38"/>
      <c r="I125" s="62"/>
      <c r="J125" s="6"/>
      <c r="K125" s="6"/>
      <c r="L125" s="6"/>
    </row>
    <row r="126" spans="1:12" s="5" customFormat="1" hidden="1" x14ac:dyDescent="0.25">
      <c r="B126" s="55" t="s">
        <v>123</v>
      </c>
      <c r="D126" s="44"/>
      <c r="E126" s="44"/>
      <c r="F126" s="44"/>
      <c r="G126" s="38"/>
      <c r="H126" s="38"/>
      <c r="I126" s="62"/>
      <c r="J126" s="6"/>
      <c r="K126" s="6"/>
      <c r="L126" s="6"/>
    </row>
    <row r="127" spans="1:12" s="5" customFormat="1" hidden="1" x14ac:dyDescent="0.25">
      <c r="B127" s="41" t="s">
        <v>147</v>
      </c>
      <c r="D127" s="44"/>
      <c r="E127" s="44">
        <f>'Rates and GI'!$D$31</f>
        <v>350</v>
      </c>
      <c r="F127" s="44">
        <f>'Rates and GI'!$D$31</f>
        <v>350</v>
      </c>
      <c r="G127" s="44">
        <f>'Rates and GI'!$D$31</f>
        <v>350</v>
      </c>
      <c r="H127" s="44">
        <f>'Rates and GI'!$D$31</f>
        <v>350</v>
      </c>
      <c r="I127" s="62"/>
      <c r="J127" s="6"/>
      <c r="K127" s="6"/>
      <c r="L127" s="6"/>
    </row>
    <row r="128" spans="1:12" s="5" customFormat="1" hidden="1" x14ac:dyDescent="0.25">
      <c r="B128" s="41" t="s">
        <v>146</v>
      </c>
      <c r="D128" s="44"/>
      <c r="E128" s="44">
        <v>0</v>
      </c>
      <c r="F128" s="44">
        <v>0</v>
      </c>
      <c r="G128" s="38"/>
      <c r="H128" s="38"/>
      <c r="I128" s="62"/>
      <c r="J128" s="6"/>
      <c r="K128" s="6"/>
      <c r="L128" s="6"/>
    </row>
    <row r="129" spans="1:12" s="5" customFormat="1" hidden="1" x14ac:dyDescent="0.25">
      <c r="B129" s="55" t="s">
        <v>8</v>
      </c>
      <c r="D129" s="44"/>
      <c r="E129" s="44"/>
      <c r="F129" s="44"/>
      <c r="G129" s="38"/>
      <c r="H129" s="38"/>
      <c r="I129" s="62"/>
      <c r="J129" s="6"/>
      <c r="K129" s="6"/>
      <c r="L129" s="6"/>
    </row>
    <row r="130" spans="1:12" s="5" customFormat="1" hidden="1" x14ac:dyDescent="0.25">
      <c r="B130" s="41" t="s">
        <v>147</v>
      </c>
      <c r="D130" s="44"/>
      <c r="E130" s="44"/>
      <c r="F130" s="44"/>
      <c r="G130" s="38"/>
      <c r="H130" s="38"/>
      <c r="I130" s="62"/>
      <c r="J130" s="6"/>
      <c r="K130" s="6"/>
      <c r="L130" s="6"/>
    </row>
    <row r="131" spans="1:12" s="5" customFormat="1" hidden="1" x14ac:dyDescent="0.25">
      <c r="B131" s="41" t="s">
        <v>146</v>
      </c>
      <c r="D131" s="44"/>
      <c r="E131" s="44"/>
      <c r="F131" s="44"/>
      <c r="G131" s="38"/>
      <c r="H131" s="38"/>
      <c r="I131" s="62"/>
      <c r="J131" s="6"/>
      <c r="K131" s="6"/>
      <c r="L131" s="6"/>
    </row>
    <row r="132" spans="1:12" hidden="1" x14ac:dyDescent="0.25"/>
    <row r="133" spans="1:12" hidden="1" x14ac:dyDescent="0.25">
      <c r="A133" s="50"/>
      <c r="B133" s="50" t="s">
        <v>25</v>
      </c>
      <c r="C133" s="50"/>
      <c r="D133" s="52"/>
      <c r="E133" s="52">
        <f>E134+E137</f>
        <v>0</v>
      </c>
      <c r="F133" s="52">
        <f t="shared" ref="F133:H133" si="35">F134+F137</f>
        <v>0</v>
      </c>
      <c r="G133" s="52">
        <f t="shared" si="35"/>
        <v>0</v>
      </c>
      <c r="H133" s="52">
        <f t="shared" si="35"/>
        <v>0</v>
      </c>
    </row>
    <row r="134" spans="1:12" s="5" customFormat="1" hidden="1" x14ac:dyDescent="0.25">
      <c r="B134" s="5" t="s">
        <v>205</v>
      </c>
      <c r="D134" s="44"/>
      <c r="E134" s="44"/>
      <c r="F134" s="44">
        <v>0</v>
      </c>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41"/>
      <c r="D136" s="44"/>
      <c r="E136" s="44"/>
      <c r="F136" s="44"/>
      <c r="G136" s="38"/>
      <c r="H136" s="38"/>
      <c r="I136" s="62"/>
      <c r="J136" s="6"/>
      <c r="K136" s="6"/>
      <c r="L136" s="6"/>
    </row>
    <row r="137" spans="1:12" s="5" customFormat="1" hidden="1" x14ac:dyDescent="0.25">
      <c r="B137" s="5" t="s">
        <v>154</v>
      </c>
      <c r="D137" s="44"/>
      <c r="E137" s="44">
        <f>E138+E139*E140</f>
        <v>0</v>
      </c>
      <c r="F137" s="44">
        <f>F138+F139*F140</f>
        <v>0</v>
      </c>
      <c r="G137" s="44">
        <f t="shared" ref="G137:H137" si="36">G138+G139*G140</f>
        <v>0</v>
      </c>
      <c r="H137" s="44">
        <f t="shared" si="36"/>
        <v>0</v>
      </c>
      <c r="I137" s="73"/>
    </row>
    <row r="138" spans="1:12" hidden="1" x14ac:dyDescent="0.25">
      <c r="B138" s="41" t="s">
        <v>153</v>
      </c>
      <c r="F138" s="44">
        <f>'Rates and GI'!D46*0</f>
        <v>0</v>
      </c>
    </row>
    <row r="139" spans="1:12" hidden="1" x14ac:dyDescent="0.25">
      <c r="B139" s="41" t="s">
        <v>159</v>
      </c>
      <c r="E139" s="60">
        <f>'Rates and GI'!$D$48</f>
        <v>0.02</v>
      </c>
      <c r="F139" s="60">
        <f>'Rates and GI'!$D$48</f>
        <v>0.02</v>
      </c>
      <c r="G139" s="60">
        <f>'Rates and GI'!$D$48</f>
        <v>0.02</v>
      </c>
      <c r="H139" s="60">
        <f>'Rates and GI'!$D$48</f>
        <v>0.02</v>
      </c>
    </row>
    <row r="140" spans="1:12" hidden="1" x14ac:dyDescent="0.25">
      <c r="B140" s="41" t="s">
        <v>160</v>
      </c>
      <c r="E140" s="44">
        <v>0</v>
      </c>
      <c r="F140" s="44">
        <v>0</v>
      </c>
      <c r="G140" s="44">
        <v>0</v>
      </c>
      <c r="H140" s="44">
        <v>0</v>
      </c>
    </row>
    <row r="141" spans="1:12" s="5" customFormat="1" hidden="1" x14ac:dyDescent="0.25">
      <c r="B141" s="41"/>
      <c r="D141" s="44"/>
      <c r="E141" s="44"/>
      <c r="F141" s="44"/>
      <c r="G141" s="38"/>
      <c r="H141" s="38"/>
      <c r="I141" s="62"/>
      <c r="J141" s="6"/>
      <c r="K141" s="6"/>
      <c r="L141" s="6"/>
    </row>
    <row r="142" spans="1:12" hidden="1" x14ac:dyDescent="0.25">
      <c r="A142" s="50"/>
      <c r="B142" s="50" t="s">
        <v>21</v>
      </c>
      <c r="C142" s="50"/>
      <c r="D142" s="52"/>
      <c r="E142" s="52">
        <f>E143*E144+E145*E146++E147*E148+E149*E150</f>
        <v>0</v>
      </c>
      <c r="F142" s="52">
        <f t="shared" ref="F142:H142" si="37">F143*F144+F145*F146++F147*F148+F149*F150</f>
        <v>0</v>
      </c>
      <c r="G142" s="52">
        <f t="shared" si="37"/>
        <v>0</v>
      </c>
      <c r="H142" s="52">
        <f t="shared" si="37"/>
        <v>0</v>
      </c>
    </row>
    <row r="143" spans="1:12" hidden="1" x14ac:dyDescent="0.25">
      <c r="B143" s="41" t="s">
        <v>150</v>
      </c>
      <c r="G143" s="44">
        <v>0</v>
      </c>
      <c r="H143" s="44"/>
    </row>
    <row r="144" spans="1:12" hidden="1" x14ac:dyDescent="0.25">
      <c r="B144" s="41" t="s">
        <v>151</v>
      </c>
      <c r="E144" s="44">
        <f>'Rates and GI'!$D$58</f>
        <v>5000</v>
      </c>
      <c r="F144" s="44">
        <f>'Rates and GI'!$D$58</f>
        <v>5000</v>
      </c>
      <c r="G144" s="44">
        <f>'Rates and GI'!$D$58</f>
        <v>5000</v>
      </c>
      <c r="H144" s="44">
        <f>'Rates and GI'!$D$58</f>
        <v>5000</v>
      </c>
    </row>
    <row r="145" spans="1:12" hidden="1" x14ac:dyDescent="0.25">
      <c r="B145" s="41" t="s">
        <v>148</v>
      </c>
      <c r="E145" s="44">
        <v>0</v>
      </c>
      <c r="F145" s="44">
        <v>0</v>
      </c>
      <c r="G145" s="44">
        <v>0</v>
      </c>
      <c r="H145" s="44">
        <v>0</v>
      </c>
    </row>
    <row r="146" spans="1:12" hidden="1" x14ac:dyDescent="0.25">
      <c r="B146" s="41" t="s">
        <v>149</v>
      </c>
      <c r="E146" s="44">
        <f>'Rates and GI'!$D$59</f>
        <v>1500</v>
      </c>
      <c r="F146" s="44">
        <f>'Rates and GI'!$D$59</f>
        <v>1500</v>
      </c>
      <c r="G146" s="44">
        <f>'Rates and GI'!$D$59</f>
        <v>1500</v>
      </c>
      <c r="H146" s="44">
        <f>'Rates and GI'!$D$59</f>
        <v>1500</v>
      </c>
    </row>
    <row r="147" spans="1:12" ht="27" hidden="1" x14ac:dyDescent="0.25">
      <c r="B147" s="63" t="s">
        <v>162</v>
      </c>
      <c r="E147" s="44">
        <v>0</v>
      </c>
      <c r="F147" s="44">
        <v>0</v>
      </c>
      <c r="G147" s="44">
        <v>0</v>
      </c>
      <c r="H147" s="44">
        <v>0</v>
      </c>
    </row>
    <row r="148" spans="1:12" ht="27" hidden="1" x14ac:dyDescent="0.25">
      <c r="B148" s="63" t="s">
        <v>161</v>
      </c>
      <c r="E148" s="44">
        <f>'Rates and GI'!$D$60</f>
        <v>200</v>
      </c>
      <c r="F148" s="44">
        <f>'Rates and GI'!$D$60</f>
        <v>200</v>
      </c>
      <c r="G148" s="44">
        <f>'Rates and GI'!$D$60</f>
        <v>200</v>
      </c>
      <c r="H148" s="44">
        <f>'Rates and GI'!$D$60</f>
        <v>200</v>
      </c>
    </row>
    <row r="149" spans="1:12" s="5" customFormat="1" hidden="1" x14ac:dyDescent="0.25">
      <c r="B149" s="41" t="s">
        <v>217</v>
      </c>
      <c r="D149" s="44"/>
      <c r="E149" s="44">
        <v>0</v>
      </c>
      <c r="F149" s="44">
        <v>0</v>
      </c>
      <c r="G149" s="44">
        <v>0</v>
      </c>
      <c r="H149" s="44">
        <v>0</v>
      </c>
      <c r="I149" s="62"/>
      <c r="J149" s="6"/>
      <c r="K149" s="6"/>
      <c r="L149" s="6"/>
    </row>
    <row r="150" spans="1:12" s="5" customFormat="1" hidden="1" x14ac:dyDescent="0.25">
      <c r="B150" s="41" t="s">
        <v>214</v>
      </c>
      <c r="D150" s="44"/>
      <c r="E150" s="44">
        <f>'Rates and GI'!$D$61</f>
        <v>50</v>
      </c>
      <c r="F150" s="44">
        <f>'Rates and GI'!$D$61</f>
        <v>50</v>
      </c>
      <c r="G150" s="38">
        <f>'Rates and GI'!$D$61</f>
        <v>50</v>
      </c>
      <c r="H150" s="38">
        <f>'Rates and GI'!$D$61</f>
        <v>50</v>
      </c>
      <c r="I150" s="62"/>
      <c r="J150" s="6"/>
      <c r="K150" s="6"/>
      <c r="L150" s="6"/>
    </row>
    <row r="151" spans="1:12" hidden="1" x14ac:dyDescent="0.25">
      <c r="A151" s="50"/>
      <c r="B151" s="50"/>
      <c r="C151" s="50"/>
      <c r="D151" s="52"/>
      <c r="E151" s="52"/>
      <c r="F151" s="52"/>
      <c r="G151" s="52"/>
      <c r="H151" s="52"/>
    </row>
    <row r="152" spans="1:12" hidden="1" x14ac:dyDescent="0.25">
      <c r="A152" s="50"/>
      <c r="B152" s="50" t="s">
        <v>194</v>
      </c>
      <c r="C152" s="50"/>
      <c r="D152" s="52"/>
      <c r="E152" s="52">
        <f>E153+E156+E159+E168+E173</f>
        <v>0</v>
      </c>
      <c r="F152" s="52">
        <f t="shared" ref="F152:H152" si="38">F153+F156+F159+F168+F173</f>
        <v>0</v>
      </c>
      <c r="G152" s="52">
        <f t="shared" si="38"/>
        <v>0</v>
      </c>
      <c r="H152" s="52">
        <f t="shared" si="38"/>
        <v>0</v>
      </c>
    </row>
    <row r="153" spans="1:12" s="5" customFormat="1" hidden="1" x14ac:dyDescent="0.25">
      <c r="B153" s="5" t="s">
        <v>173</v>
      </c>
      <c r="D153" s="44"/>
      <c r="E153" s="44">
        <f>E154+E157*E158</f>
        <v>0</v>
      </c>
      <c r="F153" s="44">
        <f>F154+F157*F158</f>
        <v>0</v>
      </c>
      <c r="G153" s="44">
        <f>G154+G157*G158</f>
        <v>0</v>
      </c>
      <c r="H153" s="44">
        <f t="shared" ref="H153" si="39">H154+H157*H158</f>
        <v>0</v>
      </c>
      <c r="I153" s="73"/>
    </row>
    <row r="154" spans="1:12" hidden="1" x14ac:dyDescent="0.25">
      <c r="B154" s="41" t="s">
        <v>184</v>
      </c>
      <c r="F154" s="44">
        <f>('Rates and GI'!$D$45+'Rates and GI'!$D$49)*0</f>
        <v>0</v>
      </c>
      <c r="G154" s="44">
        <f>('Rates and GI'!$D$45+'Rates and GI'!$D$49)*0</f>
        <v>0</v>
      </c>
      <c r="H154" s="44"/>
    </row>
    <row r="155" spans="1:12" hidden="1" x14ac:dyDescent="0.25">
      <c r="B155" s="41" t="s">
        <v>187</v>
      </c>
      <c r="F155" s="44">
        <f>'Rates and GI'!$D$51*0</f>
        <v>0</v>
      </c>
      <c r="G155" s="44">
        <f>'Rates and GI'!$D$51*0</f>
        <v>0</v>
      </c>
      <c r="H155" s="44"/>
    </row>
    <row r="156" spans="1:12" hidden="1" x14ac:dyDescent="0.25">
      <c r="B156" s="5" t="s">
        <v>174</v>
      </c>
      <c r="E156" s="44">
        <f>E157*E158</f>
        <v>0</v>
      </c>
      <c r="F156" s="44">
        <f t="shared" ref="F156:H156" si="40">F157*F158</f>
        <v>0</v>
      </c>
      <c r="G156" s="44">
        <f t="shared" si="40"/>
        <v>0</v>
      </c>
      <c r="H156" s="44">
        <f t="shared" si="40"/>
        <v>0</v>
      </c>
    </row>
    <row r="157" spans="1:12" hidden="1" x14ac:dyDescent="0.25">
      <c r="B157" s="41" t="s">
        <v>164</v>
      </c>
      <c r="F157" s="44">
        <f>'Rates and GI'!$D$54</f>
        <v>24.066499999999998</v>
      </c>
      <c r="G157" s="44">
        <f>'Rates and GI'!$D$54</f>
        <v>24.066499999999998</v>
      </c>
      <c r="H157" s="44">
        <f>'Rates and GI'!$D$54</f>
        <v>24.066499999999998</v>
      </c>
    </row>
    <row r="158" spans="1:12" hidden="1" x14ac:dyDescent="0.25">
      <c r="B158" s="41" t="s">
        <v>163</v>
      </c>
      <c r="F158" s="44">
        <v>0</v>
      </c>
      <c r="G158" s="38">
        <v>0</v>
      </c>
      <c r="H158" s="38">
        <v>0</v>
      </c>
    </row>
    <row r="159" spans="1:12" hidden="1" x14ac:dyDescent="0.25">
      <c r="B159" s="5" t="s">
        <v>175</v>
      </c>
      <c r="E159" s="44">
        <f>E160+E164</f>
        <v>0</v>
      </c>
      <c r="F159" s="44">
        <f t="shared" ref="F159:H159" si="41">F160+F164</f>
        <v>0</v>
      </c>
      <c r="G159" s="44">
        <f t="shared" si="41"/>
        <v>0</v>
      </c>
      <c r="H159" s="44">
        <f t="shared" si="41"/>
        <v>0</v>
      </c>
    </row>
    <row r="160" spans="1:12" hidden="1" x14ac:dyDescent="0.25">
      <c r="B160" s="41" t="s">
        <v>189</v>
      </c>
      <c r="E160" s="44">
        <f>E161*E162</f>
        <v>0</v>
      </c>
      <c r="F160" s="44">
        <f t="shared" ref="F160:H160" si="42">F161*F162</f>
        <v>0</v>
      </c>
      <c r="G160" s="44">
        <f t="shared" si="42"/>
        <v>0</v>
      </c>
      <c r="H160" s="44">
        <f t="shared" si="42"/>
        <v>0</v>
      </c>
    </row>
    <row r="161" spans="1:12" hidden="1" x14ac:dyDescent="0.25">
      <c r="B161" s="41" t="s">
        <v>176</v>
      </c>
      <c r="C161" s="5" t="s">
        <v>177</v>
      </c>
      <c r="E161" s="44">
        <v>0</v>
      </c>
      <c r="F161" s="44">
        <v>0</v>
      </c>
      <c r="G161" s="38">
        <v>0</v>
      </c>
      <c r="H161" s="38">
        <v>0</v>
      </c>
    </row>
    <row r="162" spans="1:12" hidden="1" x14ac:dyDescent="0.25">
      <c r="B162" s="41" t="s">
        <v>178</v>
      </c>
      <c r="E162" s="44">
        <f>'Rates and GI'!$D$52</f>
        <v>150</v>
      </c>
      <c r="F162" s="44">
        <f>'Rates and GI'!$D$52</f>
        <v>150</v>
      </c>
      <c r="G162" s="44">
        <f>'Rates and GI'!$D$52</f>
        <v>150</v>
      </c>
      <c r="H162" s="44">
        <f>'Rates and GI'!$D$52</f>
        <v>150</v>
      </c>
    </row>
    <row r="163" spans="1:12" hidden="1" x14ac:dyDescent="0.25">
      <c r="B163" s="6"/>
    </row>
    <row r="164" spans="1:12" hidden="1" x14ac:dyDescent="0.25">
      <c r="B164" s="41" t="s">
        <v>190</v>
      </c>
      <c r="E164" s="44">
        <f>E165*E166</f>
        <v>0</v>
      </c>
      <c r="F164" s="44">
        <f t="shared" ref="F164:H164" si="43">F165*F166</f>
        <v>0</v>
      </c>
      <c r="G164" s="44">
        <f t="shared" si="43"/>
        <v>0</v>
      </c>
      <c r="H164" s="44">
        <f t="shared" si="43"/>
        <v>0</v>
      </c>
    </row>
    <row r="165" spans="1:12" hidden="1" x14ac:dyDescent="0.25">
      <c r="B165" s="41" t="s">
        <v>176</v>
      </c>
      <c r="C165" s="5" t="s">
        <v>177</v>
      </c>
      <c r="E165" s="44">
        <v>0</v>
      </c>
      <c r="F165" s="44">
        <v>0</v>
      </c>
      <c r="G165" s="38">
        <v>0</v>
      </c>
      <c r="H165" s="38">
        <v>0</v>
      </c>
    </row>
    <row r="166" spans="1:12" s="62" customFormat="1" hidden="1" x14ac:dyDescent="0.25">
      <c r="A166" s="5"/>
      <c r="B166" s="41" t="s">
        <v>178</v>
      </c>
      <c r="C166" s="5"/>
      <c r="D166" s="44"/>
      <c r="E166" s="44">
        <f>'Rates and GI'!$D$53</f>
        <v>20</v>
      </c>
      <c r="F166" s="44">
        <f>'Rates and GI'!$D$53</f>
        <v>20</v>
      </c>
      <c r="G166" s="44">
        <f>'Rates and GI'!$D$53</f>
        <v>20</v>
      </c>
      <c r="H166" s="44">
        <f>'Rates and GI'!$D$53</f>
        <v>20</v>
      </c>
      <c r="J166" s="6"/>
      <c r="K166" s="6"/>
      <c r="L166" s="6"/>
    </row>
    <row r="167" spans="1:12" s="62" customFormat="1" hidden="1" x14ac:dyDescent="0.25">
      <c r="A167" s="5"/>
      <c r="B167" s="6"/>
      <c r="C167" s="5"/>
      <c r="D167" s="44"/>
      <c r="E167" s="44"/>
      <c r="F167" s="44"/>
      <c r="G167" s="38"/>
      <c r="H167" s="38"/>
      <c r="J167" s="6"/>
      <c r="K167" s="6"/>
      <c r="L167" s="6"/>
    </row>
    <row r="168" spans="1:12" s="62" customFormat="1" hidden="1" x14ac:dyDescent="0.25">
      <c r="A168" s="5"/>
      <c r="B168" s="5" t="s">
        <v>179</v>
      </c>
      <c r="C168" s="5"/>
      <c r="D168" s="44"/>
      <c r="E168" s="44">
        <f>E169*E170*E171</f>
        <v>0</v>
      </c>
      <c r="F168" s="44">
        <f t="shared" ref="F168:H168" si="44">F169*F170*F171</f>
        <v>0</v>
      </c>
      <c r="G168" s="44">
        <f t="shared" si="44"/>
        <v>0</v>
      </c>
      <c r="H168" s="44">
        <f t="shared" si="44"/>
        <v>0</v>
      </c>
      <c r="J168" s="6"/>
      <c r="K168" s="6"/>
      <c r="L168" s="6"/>
    </row>
    <row r="169" spans="1:12" s="62" customFormat="1" hidden="1" x14ac:dyDescent="0.25">
      <c r="A169" s="5"/>
      <c r="B169" s="41" t="s">
        <v>191</v>
      </c>
      <c r="C169" s="5"/>
      <c r="D169" s="44"/>
      <c r="E169" s="44"/>
      <c r="F169" s="44">
        <f>'Rates and GI'!$D$55</f>
        <v>300</v>
      </c>
      <c r="G169" s="44">
        <f>'Rates and GI'!$D$55</f>
        <v>300</v>
      </c>
      <c r="H169" s="44">
        <f>'Rates and GI'!$D$55</f>
        <v>300</v>
      </c>
      <c r="J169" s="6"/>
      <c r="K169" s="6"/>
      <c r="L169" s="6"/>
    </row>
    <row r="170" spans="1:12" s="62" customFormat="1" hidden="1" x14ac:dyDescent="0.25">
      <c r="A170" s="5"/>
      <c r="B170" s="41" t="s">
        <v>192</v>
      </c>
      <c r="C170" s="5"/>
      <c r="D170" s="44"/>
      <c r="E170" s="44"/>
      <c r="F170" s="44">
        <v>3</v>
      </c>
      <c r="G170" s="44">
        <v>3</v>
      </c>
      <c r="H170" s="44">
        <v>3</v>
      </c>
      <c r="J170" s="6"/>
      <c r="K170" s="6"/>
      <c r="L170" s="6"/>
    </row>
    <row r="171" spans="1:12" s="62" customFormat="1" hidden="1" x14ac:dyDescent="0.25">
      <c r="A171" s="5"/>
      <c r="B171" s="41" t="s">
        <v>193</v>
      </c>
      <c r="C171" s="5"/>
      <c r="D171" s="44"/>
      <c r="E171" s="44"/>
      <c r="F171" s="44">
        <v>0</v>
      </c>
      <c r="G171" s="44">
        <v>0</v>
      </c>
      <c r="H171" s="44">
        <v>0</v>
      </c>
      <c r="J171" s="6"/>
      <c r="K171" s="6"/>
      <c r="L171" s="6"/>
    </row>
    <row r="172" spans="1:12" hidden="1" x14ac:dyDescent="0.25"/>
    <row r="173" spans="1:12" s="62" customFormat="1" hidden="1" x14ac:dyDescent="0.25">
      <c r="A173" s="5"/>
      <c r="B173" s="5" t="s">
        <v>172</v>
      </c>
      <c r="C173" s="5"/>
      <c r="D173" s="44"/>
      <c r="E173" s="44">
        <f>E174+E175*E176</f>
        <v>0</v>
      </c>
      <c r="F173" s="44">
        <f>F174+F175*F176</f>
        <v>0</v>
      </c>
      <c r="G173" s="44">
        <f>G174+G175*G176</f>
        <v>0</v>
      </c>
      <c r="H173" s="44">
        <f>H174+H175*H176</f>
        <v>0</v>
      </c>
      <c r="J173" s="6"/>
      <c r="K173" s="6"/>
      <c r="L173" s="6"/>
    </row>
    <row r="174" spans="1:12" s="62" customFormat="1" hidden="1" x14ac:dyDescent="0.25">
      <c r="A174" s="5"/>
      <c r="B174" s="41" t="s">
        <v>153</v>
      </c>
      <c r="C174" s="5"/>
      <c r="D174" s="44"/>
      <c r="E174" s="44"/>
      <c r="F174" s="44">
        <f>'Rates and GI'!D46*0</f>
        <v>0</v>
      </c>
      <c r="G174" s="38"/>
      <c r="H174" s="38"/>
      <c r="J174" s="6"/>
      <c r="K174" s="6"/>
      <c r="L174" s="6"/>
    </row>
    <row r="175" spans="1:12" s="62" customFormat="1" hidden="1" x14ac:dyDescent="0.25">
      <c r="A175" s="5"/>
      <c r="B175" s="41" t="s">
        <v>159</v>
      </c>
      <c r="C175" s="5"/>
      <c r="D175" s="44"/>
      <c r="E175" s="44"/>
      <c r="F175" s="65">
        <f>'Rates and GI'!$D$47</f>
        <v>0.05</v>
      </c>
      <c r="G175" s="65">
        <f>'Rates and GI'!$D$47</f>
        <v>0.05</v>
      </c>
      <c r="H175" s="65">
        <f>'Rates and GI'!$D$47</f>
        <v>0.05</v>
      </c>
      <c r="J175" s="6"/>
      <c r="K175" s="6"/>
      <c r="L175" s="6"/>
    </row>
    <row r="176" spans="1:12" s="62" customFormat="1" hidden="1" x14ac:dyDescent="0.25">
      <c r="A176" s="5"/>
      <c r="B176" s="41" t="s">
        <v>160</v>
      </c>
      <c r="C176" s="5"/>
      <c r="D176" s="44"/>
      <c r="E176" s="44"/>
      <c r="F176" s="44">
        <v>0</v>
      </c>
      <c r="G176" s="38">
        <v>0</v>
      </c>
      <c r="H176" s="38"/>
      <c r="J176" s="6"/>
      <c r="K176" s="6"/>
      <c r="L176" s="6"/>
    </row>
    <row r="177" spans="1:12" hidden="1" x14ac:dyDescent="0.25"/>
    <row r="178" spans="1:12" s="62" customFormat="1" hidden="1" x14ac:dyDescent="0.25">
      <c r="A178" s="50"/>
      <c r="B178" s="50" t="s">
        <v>19</v>
      </c>
      <c r="C178" s="50"/>
      <c r="D178" s="52"/>
      <c r="E178" s="52">
        <v>0</v>
      </c>
      <c r="F178" s="52">
        <v>0</v>
      </c>
      <c r="G178" s="52">
        <v>0</v>
      </c>
      <c r="H178" s="52">
        <v>0</v>
      </c>
      <c r="J178" s="6"/>
      <c r="K178" s="6"/>
      <c r="L178" s="6"/>
    </row>
    <row r="179" spans="1:12" hidden="1" x14ac:dyDescent="0.25"/>
    <row r="180" spans="1:12" ht="27" hidden="1" x14ac:dyDescent="0.25">
      <c r="A180" s="50"/>
      <c r="B180" s="132" t="s">
        <v>252</v>
      </c>
      <c r="C180" s="133"/>
      <c r="D180" s="51"/>
      <c r="E180" s="51"/>
      <c r="F180" s="51"/>
      <c r="G180" s="51"/>
      <c r="H180" s="51"/>
    </row>
    <row r="181" spans="1:12" hidden="1" x14ac:dyDescent="0.25">
      <c r="A181" s="10"/>
      <c r="B181" s="39" t="s">
        <v>253</v>
      </c>
      <c r="C181" s="134">
        <v>1</v>
      </c>
      <c r="D181" s="33"/>
      <c r="E181" s="44">
        <v>0</v>
      </c>
      <c r="F181" s="44">
        <v>0</v>
      </c>
      <c r="G181" s="44">
        <v>0</v>
      </c>
      <c r="H181" s="44">
        <v>0</v>
      </c>
    </row>
    <row r="182" spans="1:12" hidden="1" x14ac:dyDescent="0.25">
      <c r="B182" s="39" t="s">
        <v>254</v>
      </c>
      <c r="C182" s="33">
        <v>0</v>
      </c>
      <c r="D182" s="33"/>
      <c r="G182" s="44"/>
      <c r="H182" s="44"/>
    </row>
    <row r="183" spans="1:12" hidden="1" x14ac:dyDescent="0.25">
      <c r="B183" s="39" t="s">
        <v>255</v>
      </c>
      <c r="C183" s="73"/>
      <c r="D183" s="33"/>
      <c r="E183" s="44">
        <f>$C$182/$C$181*E181</f>
        <v>0</v>
      </c>
      <c r="F183" s="44">
        <f t="shared" ref="F183:H183" si="45">$C$182/$C$181*F181</f>
        <v>0</v>
      </c>
      <c r="G183" s="44">
        <f t="shared" si="45"/>
        <v>0</v>
      </c>
      <c r="H183" s="44">
        <f t="shared" si="45"/>
        <v>0</v>
      </c>
    </row>
    <row r="184" spans="1:12" hidden="1" x14ac:dyDescent="0.25"/>
  </sheetData>
  <pageMargins left="0.7" right="0.7" top="0.75" bottom="0.75" header="0.3" footer="0.3"/>
  <pageSetup paperSize="9" scale="56" fitToHeight="0"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51" workbookViewId="0">
      <selection activeCell="B190" sqref="B19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53</v>
      </c>
      <c r="B1" s="126" t="s">
        <v>425</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E67</f>
        <v>0</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2837.5</v>
      </c>
      <c r="E20" s="44">
        <f>E103</f>
        <v>2837.5</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2837.5</v>
      </c>
      <c r="E22" s="47">
        <f t="shared" ref="E22:H22" si="12">SUBTOTAL(9,E20:E21)</f>
        <v>2837.5</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E112</f>
        <v>0</v>
      </c>
      <c r="F25" s="44">
        <f t="shared" ref="F25:H25" si="13">F112</f>
        <v>0</v>
      </c>
      <c r="G25" s="44">
        <f t="shared" si="13"/>
        <v>0</v>
      </c>
      <c r="H25" s="44">
        <f t="shared" si="13"/>
        <v>0</v>
      </c>
    </row>
    <row r="26" spans="1:12" x14ac:dyDescent="0.25">
      <c r="B26" s="16" t="s">
        <v>25</v>
      </c>
      <c r="D26" s="44">
        <f t="shared" ref="D26" si="14">SUM(E26:H26)</f>
        <v>0</v>
      </c>
      <c r="E26" s="44">
        <f>E133</f>
        <v>0</v>
      </c>
      <c r="F26" s="44">
        <f t="shared" ref="F26:H26" si="15">F133</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E122</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E178</f>
        <v>0</v>
      </c>
      <c r="F40" s="44">
        <f t="shared" ref="F40:H40" si="20">F178</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E183</f>
        <v>0</v>
      </c>
      <c r="F46" s="44">
        <f t="shared" ref="F46:H46" si="23">F183</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E152</f>
        <v>0</v>
      </c>
      <c r="F50" s="44">
        <f t="shared" ref="F50:H50" si="26">F152</f>
        <v>0</v>
      </c>
      <c r="G50" s="44">
        <f t="shared" si="26"/>
        <v>0</v>
      </c>
      <c r="H50" s="44">
        <f t="shared" si="26"/>
        <v>0</v>
      </c>
    </row>
    <row r="51" spans="1:12" x14ac:dyDescent="0.25">
      <c r="A51" s="3"/>
      <c r="B51" s="3" t="s">
        <v>21</v>
      </c>
      <c r="C51" s="3"/>
      <c r="D51" s="44">
        <f t="shared" si="25"/>
        <v>0</v>
      </c>
      <c r="E51" s="44">
        <f>E142</f>
        <v>0</v>
      </c>
      <c r="F51" s="44">
        <f t="shared" ref="F51:H51" si="27">F142</f>
        <v>0</v>
      </c>
      <c r="G51" s="44">
        <f t="shared" si="27"/>
        <v>0</v>
      </c>
      <c r="H51" s="44">
        <f t="shared" si="27"/>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2837.5</v>
      </c>
      <c r="E54" s="49">
        <f>SUBTOTAL(9,E5:E52)</f>
        <v>2837.5</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hidden="1"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hidden="1" x14ac:dyDescent="0.25">
      <c r="B67" s="5" t="s">
        <v>23</v>
      </c>
      <c r="E67" s="44">
        <f>E68*E69</f>
        <v>0</v>
      </c>
      <c r="F67" s="44">
        <f t="shared" ref="F67:H67" si="28">F68*F69</f>
        <v>0</v>
      </c>
      <c r="G67" s="44">
        <f t="shared" si="28"/>
        <v>0</v>
      </c>
      <c r="H67" s="44">
        <f t="shared" si="28"/>
        <v>0</v>
      </c>
    </row>
    <row r="68" spans="1:12" hidden="1" x14ac:dyDescent="0.25">
      <c r="A68" s="9"/>
      <c r="B68" s="9" t="s">
        <v>114</v>
      </c>
      <c r="C68" s="9" t="s">
        <v>113</v>
      </c>
      <c r="E68" s="44">
        <v>0</v>
      </c>
      <c r="F68" s="44">
        <v>0</v>
      </c>
      <c r="G68" s="44">
        <v>0</v>
      </c>
      <c r="H68" s="44">
        <f>G68</f>
        <v>0</v>
      </c>
    </row>
    <row r="69" spans="1:12" hidden="1"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E104*E105+E106*E107*E108+E109*E110</f>
        <v>2837.5</v>
      </c>
      <c r="F103" s="52">
        <f t="shared" ref="F103:H103" si="32">F104*F105+F106*F107*F108+F109*F110</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x14ac:dyDescent="0.25">
      <c r="B106" s="39" t="s">
        <v>134</v>
      </c>
      <c r="C106" s="5" t="s">
        <v>471</v>
      </c>
      <c r="E106" s="44">
        <f>Training!C23*2</f>
        <v>1418.75</v>
      </c>
      <c r="F106" s="44">
        <f>E106*(1+index)</f>
        <v>1479.7562499999999</v>
      </c>
      <c r="G106" s="44">
        <f>F106*(1+index)</f>
        <v>1543.3857687499999</v>
      </c>
      <c r="H106" s="44">
        <f>G106*(1+index)</f>
        <v>1609.7513568062498</v>
      </c>
    </row>
    <row r="107" spans="1:12" x14ac:dyDescent="0.25">
      <c r="B107" s="39" t="s">
        <v>135</v>
      </c>
      <c r="E107" s="44">
        <v>5</v>
      </c>
      <c r="F107" s="44">
        <v>0</v>
      </c>
      <c r="G107" s="33">
        <v>0</v>
      </c>
      <c r="H107" s="33">
        <v>0</v>
      </c>
    </row>
    <row r="108" spans="1:12" x14ac:dyDescent="0.25">
      <c r="B108" s="39" t="s">
        <v>424</v>
      </c>
      <c r="E108" s="45">
        <v>0.4</v>
      </c>
      <c r="F108" s="45"/>
      <c r="G108" s="34"/>
      <c r="H108" s="34"/>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x14ac:dyDescent="0.25">
      <c r="A111" s="228"/>
      <c r="B111" s="239"/>
      <c r="C111" s="228"/>
      <c r="D111" s="230"/>
      <c r="E111" s="230"/>
      <c r="F111" s="230"/>
      <c r="G111" s="230"/>
      <c r="H111" s="230"/>
    </row>
    <row r="112" spans="1:12" hidden="1" x14ac:dyDescent="0.25">
      <c r="A112" s="50"/>
      <c r="B112" s="50" t="s">
        <v>24</v>
      </c>
      <c r="C112" s="50"/>
      <c r="D112" s="52"/>
      <c r="E112" s="52">
        <f t="shared" ref="E112:H112" si="34">E113*E114</f>
        <v>0</v>
      </c>
      <c r="F112" s="52">
        <f t="shared" si="34"/>
        <v>0</v>
      </c>
      <c r="G112" s="52">
        <f t="shared" si="34"/>
        <v>0</v>
      </c>
      <c r="H112" s="52">
        <f t="shared" si="34"/>
        <v>0</v>
      </c>
    </row>
    <row r="113" spans="1:12" s="7" customFormat="1" hidden="1" x14ac:dyDescent="0.25">
      <c r="A113" s="5"/>
      <c r="B113" s="39" t="s">
        <v>53</v>
      </c>
      <c r="C113" s="5"/>
      <c r="D113" s="44"/>
      <c r="E113" s="44">
        <v>0</v>
      </c>
      <c r="F113" s="44">
        <v>0</v>
      </c>
      <c r="G113" s="44"/>
      <c r="H113" s="44"/>
      <c r="I113" s="62"/>
      <c r="J113" s="6"/>
      <c r="K113" s="6"/>
      <c r="L113" s="6"/>
    </row>
    <row r="114" spans="1:12" s="7" customFormat="1" hidden="1" x14ac:dyDescent="0.25">
      <c r="A114" s="5"/>
      <c r="B114" s="39" t="s">
        <v>54</v>
      </c>
      <c r="C114" s="5"/>
      <c r="D114" s="44"/>
      <c r="E114" s="44">
        <f>'Rates and GI'!D25</f>
        <v>6</v>
      </c>
      <c r="F114" s="44">
        <f>E114*(1+index)</f>
        <v>6.2579999999999991</v>
      </c>
      <c r="G114" s="44">
        <f>F114*(1+index)</f>
        <v>6.5270939999999991</v>
      </c>
      <c r="H114" s="44">
        <f>G114*(1+index)</f>
        <v>6.8077590419999989</v>
      </c>
      <c r="I114" s="62"/>
      <c r="J114" s="6"/>
      <c r="K114" s="6"/>
      <c r="L114" s="6"/>
    </row>
    <row r="115" spans="1:12" hidden="1" x14ac:dyDescent="0.25"/>
    <row r="116" spans="1:12" hidden="1" x14ac:dyDescent="0.25">
      <c r="A116" s="50"/>
      <c r="B116" s="50" t="s">
        <v>7</v>
      </c>
      <c r="C116" s="50"/>
      <c r="D116" s="52"/>
      <c r="E116" s="52"/>
      <c r="F116" s="52"/>
      <c r="G116" s="52"/>
      <c r="H116" s="52"/>
    </row>
    <row r="117" spans="1:12" s="7" customFormat="1" hidden="1" x14ac:dyDescent="0.25">
      <c r="A117" s="5"/>
      <c r="B117" s="4" t="s">
        <v>57</v>
      </c>
      <c r="C117" s="5"/>
      <c r="D117" s="44"/>
      <c r="E117" s="46"/>
      <c r="F117" s="46"/>
      <c r="G117" s="105"/>
      <c r="H117" s="105"/>
      <c r="I117" s="62"/>
      <c r="J117" s="6"/>
      <c r="K117" s="6"/>
      <c r="L117" s="6"/>
    </row>
    <row r="118" spans="1:12" s="43" customFormat="1" hidden="1" x14ac:dyDescent="0.25">
      <c r="A118" s="40"/>
      <c r="B118" s="41" t="s">
        <v>58</v>
      </c>
      <c r="C118" s="40" t="s">
        <v>55</v>
      </c>
      <c r="D118" s="71"/>
      <c r="E118" s="71"/>
      <c r="F118" s="71"/>
      <c r="G118" s="72"/>
      <c r="H118" s="72"/>
      <c r="I118" s="75"/>
      <c r="J118" s="42"/>
      <c r="K118" s="42"/>
      <c r="L118" s="42"/>
    </row>
    <row r="119" spans="1:12" s="40" customFormat="1" hidden="1" x14ac:dyDescent="0.25">
      <c r="B119" s="41" t="s">
        <v>56</v>
      </c>
      <c r="D119" s="71"/>
      <c r="E119" s="71"/>
      <c r="F119" s="71"/>
      <c r="G119" s="72"/>
      <c r="H119" s="72"/>
      <c r="I119" s="75"/>
      <c r="J119" s="42"/>
      <c r="K119" s="42"/>
      <c r="L119" s="42"/>
    </row>
    <row r="120" spans="1:12" s="40" customFormat="1" hidden="1" x14ac:dyDescent="0.25">
      <c r="B120" s="41" t="s">
        <v>59</v>
      </c>
      <c r="D120" s="71"/>
      <c r="E120" s="71"/>
      <c r="F120" s="71"/>
      <c r="G120" s="72"/>
      <c r="H120" s="72"/>
      <c r="I120" s="75"/>
      <c r="J120" s="42"/>
      <c r="K120" s="42"/>
      <c r="L120" s="42"/>
    </row>
    <row r="121" spans="1:12" hidden="1" x14ac:dyDescent="0.25"/>
    <row r="122" spans="1:12" hidden="1" x14ac:dyDescent="0.25">
      <c r="A122" s="50"/>
      <c r="B122" s="50" t="s">
        <v>26</v>
      </c>
      <c r="C122" s="50"/>
      <c r="D122" s="52"/>
      <c r="E122" s="52">
        <f>E127*E128</f>
        <v>0</v>
      </c>
      <c r="F122" s="52">
        <f>F127*F128</f>
        <v>0</v>
      </c>
      <c r="G122" s="52"/>
      <c r="H122" s="52"/>
    </row>
    <row r="123" spans="1:12" s="5" customFormat="1" hidden="1" x14ac:dyDescent="0.25">
      <c r="B123" s="55" t="s">
        <v>60</v>
      </c>
      <c r="D123" s="44"/>
      <c r="E123" s="44"/>
      <c r="F123" s="44"/>
      <c r="G123" s="38"/>
      <c r="H123" s="38"/>
      <c r="I123" s="62"/>
      <c r="J123" s="6"/>
      <c r="K123" s="6"/>
      <c r="L123" s="6"/>
    </row>
    <row r="124" spans="1:12" s="5" customFormat="1" hidden="1" x14ac:dyDescent="0.25">
      <c r="B124" s="41" t="s">
        <v>147</v>
      </c>
      <c r="D124" s="44"/>
      <c r="E124" s="44"/>
      <c r="F124" s="44"/>
      <c r="G124" s="38"/>
      <c r="H124" s="38"/>
      <c r="I124" s="62"/>
      <c r="J124" s="6"/>
      <c r="K124" s="6"/>
      <c r="L124" s="6"/>
    </row>
    <row r="125" spans="1:12" s="5" customFormat="1" hidden="1" x14ac:dyDescent="0.25">
      <c r="B125" s="41" t="s">
        <v>146</v>
      </c>
      <c r="D125" s="44"/>
      <c r="E125" s="44"/>
      <c r="F125" s="44"/>
      <c r="G125" s="38"/>
      <c r="H125" s="38"/>
      <c r="I125" s="62"/>
      <c r="J125" s="6"/>
      <c r="K125" s="6"/>
      <c r="L125" s="6"/>
    </row>
    <row r="126" spans="1:12" s="5" customFormat="1" hidden="1" x14ac:dyDescent="0.25">
      <c r="B126" s="55" t="s">
        <v>123</v>
      </c>
      <c r="D126" s="44"/>
      <c r="E126" s="44"/>
      <c r="F126" s="44"/>
      <c r="G126" s="38"/>
      <c r="H126" s="38"/>
      <c r="I126" s="62"/>
      <c r="J126" s="6"/>
      <c r="K126" s="6"/>
      <c r="L126" s="6"/>
    </row>
    <row r="127" spans="1:12" s="5" customFormat="1" hidden="1" x14ac:dyDescent="0.25">
      <c r="B127" s="41" t="s">
        <v>147</v>
      </c>
      <c r="D127" s="44"/>
      <c r="E127" s="44">
        <f>'Rates and GI'!$D$31</f>
        <v>350</v>
      </c>
      <c r="F127" s="44">
        <f>'Rates and GI'!$D$31</f>
        <v>350</v>
      </c>
      <c r="G127" s="44">
        <f>'Rates and GI'!$D$31</f>
        <v>350</v>
      </c>
      <c r="H127" s="44">
        <f>'Rates and GI'!$D$31</f>
        <v>350</v>
      </c>
      <c r="I127" s="62"/>
      <c r="J127" s="6"/>
      <c r="K127" s="6"/>
      <c r="L127" s="6"/>
    </row>
    <row r="128" spans="1:12" s="5" customFormat="1" hidden="1" x14ac:dyDescent="0.25">
      <c r="B128" s="41" t="s">
        <v>146</v>
      </c>
      <c r="D128" s="44"/>
      <c r="E128" s="44">
        <v>0</v>
      </c>
      <c r="F128" s="44">
        <v>0</v>
      </c>
      <c r="G128" s="38"/>
      <c r="H128" s="38"/>
      <c r="I128" s="62"/>
      <c r="J128" s="6"/>
      <c r="K128" s="6"/>
      <c r="L128" s="6"/>
    </row>
    <row r="129" spans="1:12" s="5" customFormat="1" hidden="1" x14ac:dyDescent="0.25">
      <c r="B129" s="55" t="s">
        <v>8</v>
      </c>
      <c r="D129" s="44"/>
      <c r="E129" s="44"/>
      <c r="F129" s="44"/>
      <c r="G129" s="38"/>
      <c r="H129" s="38"/>
      <c r="I129" s="62"/>
      <c r="J129" s="6"/>
      <c r="K129" s="6"/>
      <c r="L129" s="6"/>
    </row>
    <row r="130" spans="1:12" s="5" customFormat="1" hidden="1" x14ac:dyDescent="0.25">
      <c r="B130" s="41" t="s">
        <v>147</v>
      </c>
      <c r="D130" s="44"/>
      <c r="E130" s="44"/>
      <c r="F130" s="44"/>
      <c r="G130" s="38"/>
      <c r="H130" s="38"/>
      <c r="I130" s="62"/>
      <c r="J130" s="6"/>
      <c r="K130" s="6"/>
      <c r="L130" s="6"/>
    </row>
    <row r="131" spans="1:12" s="5" customFormat="1" hidden="1" x14ac:dyDescent="0.25">
      <c r="B131" s="41" t="s">
        <v>146</v>
      </c>
      <c r="D131" s="44"/>
      <c r="E131" s="44"/>
      <c r="F131" s="44"/>
      <c r="G131" s="38"/>
      <c r="H131" s="38"/>
      <c r="I131" s="62"/>
      <c r="J131" s="6"/>
      <c r="K131" s="6"/>
      <c r="L131" s="6"/>
    </row>
    <row r="132" spans="1:12" hidden="1" x14ac:dyDescent="0.25"/>
    <row r="133" spans="1:12" hidden="1" x14ac:dyDescent="0.25">
      <c r="A133" s="50"/>
      <c r="B133" s="50" t="s">
        <v>25</v>
      </c>
      <c r="C133" s="50"/>
      <c r="D133" s="52"/>
      <c r="E133" s="52">
        <f>E134+E137</f>
        <v>0</v>
      </c>
      <c r="F133" s="52">
        <f t="shared" ref="F133:H133" si="35">F134+F137</f>
        <v>0</v>
      </c>
      <c r="G133" s="52">
        <f t="shared" si="35"/>
        <v>0</v>
      </c>
      <c r="H133" s="52">
        <f t="shared" si="35"/>
        <v>0</v>
      </c>
    </row>
    <row r="134" spans="1:12" s="5" customFormat="1" hidden="1" x14ac:dyDescent="0.25">
      <c r="B134" s="5" t="s">
        <v>205</v>
      </c>
      <c r="D134" s="44"/>
      <c r="E134" s="44"/>
      <c r="F134" s="44">
        <v>0</v>
      </c>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41"/>
      <c r="D136" s="44"/>
      <c r="E136" s="44"/>
      <c r="F136" s="44"/>
      <c r="G136" s="38"/>
      <c r="H136" s="38"/>
      <c r="I136" s="62"/>
      <c r="J136" s="6"/>
      <c r="K136" s="6"/>
      <c r="L136" s="6"/>
    </row>
    <row r="137" spans="1:12" s="5" customFormat="1" hidden="1" x14ac:dyDescent="0.25">
      <c r="B137" s="5" t="s">
        <v>154</v>
      </c>
      <c r="D137" s="44"/>
      <c r="E137" s="44">
        <f>E138+E139*E140</f>
        <v>0</v>
      </c>
      <c r="F137" s="44">
        <f>F138+F139*F140</f>
        <v>0</v>
      </c>
      <c r="G137" s="44">
        <f t="shared" ref="G137:H137" si="36">G138+G139*G140</f>
        <v>0</v>
      </c>
      <c r="H137" s="44">
        <f t="shared" si="36"/>
        <v>0</v>
      </c>
      <c r="I137" s="73"/>
    </row>
    <row r="138" spans="1:12" hidden="1" x14ac:dyDescent="0.25">
      <c r="B138" s="41" t="s">
        <v>153</v>
      </c>
      <c r="F138" s="44">
        <f>'Rates and GI'!D46*0</f>
        <v>0</v>
      </c>
    </row>
    <row r="139" spans="1:12" hidden="1" x14ac:dyDescent="0.25">
      <c r="B139" s="41" t="s">
        <v>159</v>
      </c>
      <c r="E139" s="60">
        <f>'Rates and GI'!$D$48</f>
        <v>0.02</v>
      </c>
      <c r="F139" s="60">
        <f>'Rates and GI'!$D$48</f>
        <v>0.02</v>
      </c>
      <c r="G139" s="60">
        <f>'Rates and GI'!$D$48</f>
        <v>0.02</v>
      </c>
      <c r="H139" s="60">
        <f>'Rates and GI'!$D$48</f>
        <v>0.02</v>
      </c>
    </row>
    <row r="140" spans="1:12" hidden="1" x14ac:dyDescent="0.25">
      <c r="B140" s="41" t="s">
        <v>160</v>
      </c>
      <c r="E140" s="44">
        <v>0</v>
      </c>
      <c r="F140" s="44">
        <v>0</v>
      </c>
      <c r="G140" s="44">
        <v>0</v>
      </c>
      <c r="H140" s="44">
        <v>0</v>
      </c>
    </row>
    <row r="141" spans="1:12" s="5" customFormat="1" hidden="1" x14ac:dyDescent="0.25">
      <c r="B141" s="41"/>
      <c r="D141" s="44"/>
      <c r="E141" s="44"/>
      <c r="F141" s="44"/>
      <c r="G141" s="38"/>
      <c r="H141" s="38"/>
      <c r="I141" s="62"/>
      <c r="J141" s="6"/>
      <c r="K141" s="6"/>
      <c r="L141" s="6"/>
    </row>
    <row r="142" spans="1:12" hidden="1" x14ac:dyDescent="0.25">
      <c r="A142" s="50"/>
      <c r="B142" s="50" t="s">
        <v>21</v>
      </c>
      <c r="C142" s="50"/>
      <c r="D142" s="52"/>
      <c r="E142" s="52">
        <f>E143*E144+E145*E146++E147*E148+E149*E150</f>
        <v>0</v>
      </c>
      <c r="F142" s="52">
        <f t="shared" ref="F142:H142" si="37">F143*F144+F145*F146++F147*F148+F149*F150</f>
        <v>0</v>
      </c>
      <c r="G142" s="52">
        <f t="shared" si="37"/>
        <v>0</v>
      </c>
      <c r="H142" s="52">
        <f t="shared" si="37"/>
        <v>0</v>
      </c>
    </row>
    <row r="143" spans="1:12" hidden="1" x14ac:dyDescent="0.25">
      <c r="B143" s="41" t="s">
        <v>150</v>
      </c>
      <c r="G143" s="44">
        <v>0</v>
      </c>
      <c r="H143" s="44"/>
    </row>
    <row r="144" spans="1:12" hidden="1" x14ac:dyDescent="0.25">
      <c r="B144" s="41" t="s">
        <v>151</v>
      </c>
      <c r="E144" s="44">
        <f>'Rates and GI'!$D$58</f>
        <v>5000</v>
      </c>
      <c r="F144" s="44">
        <f>'Rates and GI'!$D$58</f>
        <v>5000</v>
      </c>
      <c r="G144" s="44">
        <f>'Rates and GI'!$D$58</f>
        <v>5000</v>
      </c>
      <c r="H144" s="44">
        <f>'Rates and GI'!$D$58</f>
        <v>5000</v>
      </c>
    </row>
    <row r="145" spans="1:12" hidden="1" x14ac:dyDescent="0.25">
      <c r="B145" s="41" t="s">
        <v>148</v>
      </c>
      <c r="E145" s="44">
        <v>0</v>
      </c>
      <c r="F145" s="44">
        <v>0</v>
      </c>
      <c r="G145" s="44">
        <v>0</v>
      </c>
      <c r="H145" s="44">
        <v>0</v>
      </c>
    </row>
    <row r="146" spans="1:12" hidden="1" x14ac:dyDescent="0.25">
      <c r="B146" s="41" t="s">
        <v>149</v>
      </c>
      <c r="E146" s="44">
        <f>'Rates and GI'!$D$59</f>
        <v>1500</v>
      </c>
      <c r="F146" s="44">
        <f>'Rates and GI'!$D$59</f>
        <v>1500</v>
      </c>
      <c r="G146" s="44">
        <f>'Rates and GI'!$D$59</f>
        <v>1500</v>
      </c>
      <c r="H146" s="44">
        <f>'Rates and GI'!$D$59</f>
        <v>1500</v>
      </c>
    </row>
    <row r="147" spans="1:12" ht="27" hidden="1" x14ac:dyDescent="0.25">
      <c r="B147" s="63" t="s">
        <v>162</v>
      </c>
      <c r="E147" s="44">
        <v>0</v>
      </c>
      <c r="F147" s="44">
        <v>0</v>
      </c>
      <c r="G147" s="44">
        <v>0</v>
      </c>
      <c r="H147" s="44">
        <v>0</v>
      </c>
    </row>
    <row r="148" spans="1:12" ht="27" hidden="1" x14ac:dyDescent="0.25">
      <c r="B148" s="63" t="s">
        <v>161</v>
      </c>
      <c r="E148" s="44">
        <f>'Rates and GI'!$D$60</f>
        <v>200</v>
      </c>
      <c r="F148" s="44">
        <f>'Rates and GI'!$D$60</f>
        <v>200</v>
      </c>
      <c r="G148" s="44">
        <f>'Rates and GI'!$D$60</f>
        <v>200</v>
      </c>
      <c r="H148" s="44">
        <f>'Rates and GI'!$D$60</f>
        <v>200</v>
      </c>
    </row>
    <row r="149" spans="1:12" s="5" customFormat="1" hidden="1" x14ac:dyDescent="0.25">
      <c r="B149" s="41" t="s">
        <v>217</v>
      </c>
      <c r="D149" s="44"/>
      <c r="E149" s="44">
        <v>0</v>
      </c>
      <c r="F149" s="44">
        <v>0</v>
      </c>
      <c r="G149" s="44">
        <v>0</v>
      </c>
      <c r="H149" s="44">
        <v>0</v>
      </c>
      <c r="I149" s="62"/>
      <c r="J149" s="6"/>
      <c r="K149" s="6"/>
      <c r="L149" s="6"/>
    </row>
    <row r="150" spans="1:12" s="5" customFormat="1" hidden="1" x14ac:dyDescent="0.25">
      <c r="B150" s="41" t="s">
        <v>214</v>
      </c>
      <c r="D150" s="44"/>
      <c r="E150" s="44">
        <f>'Rates and GI'!$D$61</f>
        <v>50</v>
      </c>
      <c r="F150" s="44">
        <f>'Rates and GI'!$D$61</f>
        <v>50</v>
      </c>
      <c r="G150" s="38">
        <f>'Rates and GI'!$D$61</f>
        <v>50</v>
      </c>
      <c r="H150" s="38">
        <f>'Rates and GI'!$D$61</f>
        <v>50</v>
      </c>
      <c r="I150" s="62"/>
      <c r="J150" s="6"/>
      <c r="K150" s="6"/>
      <c r="L150" s="6"/>
    </row>
    <row r="151" spans="1:12" hidden="1" x14ac:dyDescent="0.25">
      <c r="A151" s="50"/>
      <c r="B151" s="50"/>
      <c r="C151" s="50"/>
      <c r="D151" s="52"/>
      <c r="E151" s="52"/>
      <c r="F151" s="52"/>
      <c r="G151" s="52"/>
      <c r="H151" s="52"/>
    </row>
    <row r="152" spans="1:12" hidden="1" x14ac:dyDescent="0.25">
      <c r="A152" s="50"/>
      <c r="B152" s="50" t="s">
        <v>194</v>
      </c>
      <c r="C152" s="50"/>
      <c r="D152" s="52"/>
      <c r="E152" s="52">
        <f>E153+E156+E159+E168+E173</f>
        <v>0</v>
      </c>
      <c r="F152" s="52">
        <f t="shared" ref="F152:H152" si="38">F153+F156+F159+F168+F173</f>
        <v>0</v>
      </c>
      <c r="G152" s="52">
        <f t="shared" si="38"/>
        <v>0</v>
      </c>
      <c r="H152" s="52">
        <f t="shared" si="38"/>
        <v>0</v>
      </c>
    </row>
    <row r="153" spans="1:12" s="5" customFormat="1" hidden="1" x14ac:dyDescent="0.25">
      <c r="B153" s="5" t="s">
        <v>173</v>
      </c>
      <c r="D153" s="44"/>
      <c r="E153" s="44">
        <f>E154+E157*E158</f>
        <v>0</v>
      </c>
      <c r="F153" s="44">
        <f>F154+F157*F158</f>
        <v>0</v>
      </c>
      <c r="G153" s="44">
        <f>G154+G157*G158</f>
        <v>0</v>
      </c>
      <c r="H153" s="44">
        <f t="shared" ref="H153" si="39">H154+H157*H158</f>
        <v>0</v>
      </c>
      <c r="I153" s="73"/>
    </row>
    <row r="154" spans="1:12" hidden="1" x14ac:dyDescent="0.25">
      <c r="B154" s="41" t="s">
        <v>184</v>
      </c>
      <c r="F154" s="44">
        <f>('Rates and GI'!$D$45+'Rates and GI'!$D$49)*0</f>
        <v>0</v>
      </c>
      <c r="G154" s="44">
        <f>('Rates and GI'!$D$45+'Rates and GI'!$D$49)*0</f>
        <v>0</v>
      </c>
      <c r="H154" s="44"/>
    </row>
    <row r="155" spans="1:12" hidden="1" x14ac:dyDescent="0.25">
      <c r="B155" s="41" t="s">
        <v>187</v>
      </c>
      <c r="F155" s="44">
        <f>'Rates and GI'!$D$51*0</f>
        <v>0</v>
      </c>
      <c r="G155" s="44">
        <f>'Rates and GI'!$D$51*0</f>
        <v>0</v>
      </c>
      <c r="H155" s="44"/>
    </row>
    <row r="156" spans="1:12" hidden="1" x14ac:dyDescent="0.25">
      <c r="B156" s="5" t="s">
        <v>174</v>
      </c>
      <c r="E156" s="44">
        <f>E157*E158</f>
        <v>0</v>
      </c>
      <c r="F156" s="44">
        <f t="shared" ref="F156:H156" si="40">F157*F158</f>
        <v>0</v>
      </c>
      <c r="G156" s="44">
        <f t="shared" si="40"/>
        <v>0</v>
      </c>
      <c r="H156" s="44">
        <f t="shared" si="40"/>
        <v>0</v>
      </c>
    </row>
    <row r="157" spans="1:12" hidden="1" x14ac:dyDescent="0.25">
      <c r="B157" s="41" t="s">
        <v>164</v>
      </c>
      <c r="F157" s="44">
        <f>'Rates and GI'!$D$54</f>
        <v>24.066499999999998</v>
      </c>
      <c r="G157" s="44">
        <f>'Rates and GI'!$D$54</f>
        <v>24.066499999999998</v>
      </c>
      <c r="H157" s="44">
        <f>'Rates and GI'!$D$54</f>
        <v>24.066499999999998</v>
      </c>
    </row>
    <row r="158" spans="1:12" hidden="1" x14ac:dyDescent="0.25">
      <c r="B158" s="41" t="s">
        <v>163</v>
      </c>
      <c r="F158" s="44">
        <v>0</v>
      </c>
      <c r="G158" s="38">
        <v>0</v>
      </c>
      <c r="H158" s="38">
        <v>0</v>
      </c>
    </row>
    <row r="159" spans="1:12" hidden="1" x14ac:dyDescent="0.25">
      <c r="B159" s="5" t="s">
        <v>175</v>
      </c>
      <c r="E159" s="44">
        <f>E160+E164</f>
        <v>0</v>
      </c>
      <c r="F159" s="44">
        <f t="shared" ref="F159:H159" si="41">F160+F164</f>
        <v>0</v>
      </c>
      <c r="G159" s="44">
        <f t="shared" si="41"/>
        <v>0</v>
      </c>
      <c r="H159" s="44">
        <f t="shared" si="41"/>
        <v>0</v>
      </c>
    </row>
    <row r="160" spans="1:12" hidden="1" x14ac:dyDescent="0.25">
      <c r="B160" s="41" t="s">
        <v>189</v>
      </c>
      <c r="E160" s="44">
        <f>E161*E162</f>
        <v>0</v>
      </c>
      <c r="F160" s="44">
        <f t="shared" ref="F160:H160" si="42">F161*F162</f>
        <v>0</v>
      </c>
      <c r="G160" s="44">
        <f t="shared" si="42"/>
        <v>0</v>
      </c>
      <c r="H160" s="44">
        <f t="shared" si="42"/>
        <v>0</v>
      </c>
    </row>
    <row r="161" spans="1:12" hidden="1" x14ac:dyDescent="0.25">
      <c r="B161" s="41" t="s">
        <v>176</v>
      </c>
      <c r="C161" s="5" t="s">
        <v>177</v>
      </c>
      <c r="E161" s="44">
        <v>0</v>
      </c>
      <c r="F161" s="44">
        <v>0</v>
      </c>
      <c r="G161" s="38">
        <v>0</v>
      </c>
      <c r="H161" s="38">
        <v>0</v>
      </c>
    </row>
    <row r="162" spans="1:12" hidden="1" x14ac:dyDescent="0.25">
      <c r="B162" s="41" t="s">
        <v>178</v>
      </c>
      <c r="E162" s="44">
        <f>'Rates and GI'!$D$52</f>
        <v>150</v>
      </c>
      <c r="F162" s="44">
        <f>'Rates and GI'!$D$52</f>
        <v>150</v>
      </c>
      <c r="G162" s="44">
        <f>'Rates and GI'!$D$52</f>
        <v>150</v>
      </c>
      <c r="H162" s="44">
        <f>'Rates and GI'!$D$52</f>
        <v>150</v>
      </c>
    </row>
    <row r="163" spans="1:12" hidden="1" x14ac:dyDescent="0.25">
      <c r="B163" s="6"/>
    </row>
    <row r="164" spans="1:12" hidden="1" x14ac:dyDescent="0.25">
      <c r="B164" s="41" t="s">
        <v>190</v>
      </c>
      <c r="E164" s="44">
        <f>E165*E166</f>
        <v>0</v>
      </c>
      <c r="F164" s="44">
        <f t="shared" ref="F164:H164" si="43">F165*F166</f>
        <v>0</v>
      </c>
      <c r="G164" s="44">
        <f t="shared" si="43"/>
        <v>0</v>
      </c>
      <c r="H164" s="44">
        <f t="shared" si="43"/>
        <v>0</v>
      </c>
    </row>
    <row r="165" spans="1:12" hidden="1" x14ac:dyDescent="0.25">
      <c r="B165" s="41" t="s">
        <v>176</v>
      </c>
      <c r="C165" s="5" t="s">
        <v>177</v>
      </c>
      <c r="E165" s="44">
        <v>0</v>
      </c>
      <c r="F165" s="44">
        <v>0</v>
      </c>
      <c r="G165" s="38">
        <v>0</v>
      </c>
      <c r="H165" s="38">
        <v>0</v>
      </c>
    </row>
    <row r="166" spans="1:12" s="62" customFormat="1" hidden="1" x14ac:dyDescent="0.25">
      <c r="A166" s="5"/>
      <c r="B166" s="41" t="s">
        <v>178</v>
      </c>
      <c r="C166" s="5"/>
      <c r="D166" s="44"/>
      <c r="E166" s="44">
        <f>'Rates and GI'!$D$53</f>
        <v>20</v>
      </c>
      <c r="F166" s="44">
        <f>'Rates and GI'!$D$53</f>
        <v>20</v>
      </c>
      <c r="G166" s="44">
        <f>'Rates and GI'!$D$53</f>
        <v>20</v>
      </c>
      <c r="H166" s="44">
        <f>'Rates and GI'!$D$53</f>
        <v>20</v>
      </c>
      <c r="J166" s="6"/>
      <c r="K166" s="6"/>
      <c r="L166" s="6"/>
    </row>
    <row r="167" spans="1:12" s="62" customFormat="1" hidden="1" x14ac:dyDescent="0.25">
      <c r="A167" s="5"/>
      <c r="B167" s="6"/>
      <c r="C167" s="5"/>
      <c r="D167" s="44"/>
      <c r="E167" s="44"/>
      <c r="F167" s="44"/>
      <c r="G167" s="38"/>
      <c r="H167" s="38"/>
      <c r="J167" s="6"/>
      <c r="K167" s="6"/>
      <c r="L167" s="6"/>
    </row>
    <row r="168" spans="1:12" s="62" customFormat="1" hidden="1" x14ac:dyDescent="0.25">
      <c r="A168" s="5"/>
      <c r="B168" s="5" t="s">
        <v>179</v>
      </c>
      <c r="C168" s="5"/>
      <c r="D168" s="44"/>
      <c r="E168" s="44">
        <f>E169*E170*E171</f>
        <v>0</v>
      </c>
      <c r="F168" s="44">
        <f t="shared" ref="F168:H168" si="44">F169*F170*F171</f>
        <v>0</v>
      </c>
      <c r="G168" s="44">
        <f t="shared" si="44"/>
        <v>0</v>
      </c>
      <c r="H168" s="44">
        <f t="shared" si="44"/>
        <v>0</v>
      </c>
      <c r="J168" s="6"/>
      <c r="K168" s="6"/>
      <c r="L168" s="6"/>
    </row>
    <row r="169" spans="1:12" s="62" customFormat="1" hidden="1" x14ac:dyDescent="0.25">
      <c r="A169" s="5"/>
      <c r="B169" s="41" t="s">
        <v>191</v>
      </c>
      <c r="C169" s="5"/>
      <c r="D169" s="44"/>
      <c r="E169" s="44"/>
      <c r="F169" s="44">
        <f>'Rates and GI'!$D$55</f>
        <v>300</v>
      </c>
      <c r="G169" s="44">
        <f>'Rates and GI'!$D$55</f>
        <v>300</v>
      </c>
      <c r="H169" s="44">
        <f>'Rates and GI'!$D$55</f>
        <v>300</v>
      </c>
      <c r="J169" s="6"/>
      <c r="K169" s="6"/>
      <c r="L169" s="6"/>
    </row>
    <row r="170" spans="1:12" s="62" customFormat="1" hidden="1" x14ac:dyDescent="0.25">
      <c r="A170" s="5"/>
      <c r="B170" s="41" t="s">
        <v>192</v>
      </c>
      <c r="C170" s="5"/>
      <c r="D170" s="44"/>
      <c r="E170" s="44"/>
      <c r="F170" s="44">
        <v>3</v>
      </c>
      <c r="G170" s="44">
        <v>3</v>
      </c>
      <c r="H170" s="44">
        <v>3</v>
      </c>
      <c r="J170" s="6"/>
      <c r="K170" s="6"/>
      <c r="L170" s="6"/>
    </row>
    <row r="171" spans="1:12" s="62" customFormat="1" hidden="1" x14ac:dyDescent="0.25">
      <c r="A171" s="5"/>
      <c r="B171" s="41" t="s">
        <v>193</v>
      </c>
      <c r="C171" s="5"/>
      <c r="D171" s="44"/>
      <c r="E171" s="44"/>
      <c r="F171" s="44">
        <v>0</v>
      </c>
      <c r="G171" s="44">
        <v>0</v>
      </c>
      <c r="H171" s="44">
        <v>0</v>
      </c>
      <c r="J171" s="6"/>
      <c r="K171" s="6"/>
      <c r="L171" s="6"/>
    </row>
    <row r="172" spans="1:12" hidden="1" x14ac:dyDescent="0.25"/>
    <row r="173" spans="1:12" s="62" customFormat="1" hidden="1" x14ac:dyDescent="0.25">
      <c r="A173" s="5"/>
      <c r="B173" s="5" t="s">
        <v>172</v>
      </c>
      <c r="C173" s="5"/>
      <c r="D173" s="44"/>
      <c r="E173" s="44">
        <f>E174+E175*E176</f>
        <v>0</v>
      </c>
      <c r="F173" s="44">
        <f>F174+F175*F176</f>
        <v>0</v>
      </c>
      <c r="G173" s="44">
        <f>G174+G175*G176</f>
        <v>0</v>
      </c>
      <c r="H173" s="44">
        <f>H174+H175*H176</f>
        <v>0</v>
      </c>
      <c r="J173" s="6"/>
      <c r="K173" s="6"/>
      <c r="L173" s="6"/>
    </row>
    <row r="174" spans="1:12" s="62" customFormat="1" hidden="1" x14ac:dyDescent="0.25">
      <c r="A174" s="5"/>
      <c r="B174" s="41" t="s">
        <v>153</v>
      </c>
      <c r="C174" s="5"/>
      <c r="D174" s="44"/>
      <c r="E174" s="44"/>
      <c r="F174" s="44">
        <f>'Rates and GI'!D46*0</f>
        <v>0</v>
      </c>
      <c r="G174" s="38"/>
      <c r="H174" s="38"/>
      <c r="J174" s="6"/>
      <c r="K174" s="6"/>
      <c r="L174" s="6"/>
    </row>
    <row r="175" spans="1:12" s="62" customFormat="1" hidden="1" x14ac:dyDescent="0.25">
      <c r="A175" s="5"/>
      <c r="B175" s="41" t="s">
        <v>159</v>
      </c>
      <c r="C175" s="5"/>
      <c r="D175" s="44"/>
      <c r="E175" s="44"/>
      <c r="F175" s="65">
        <f>'Rates and GI'!$D$47</f>
        <v>0.05</v>
      </c>
      <c r="G175" s="65">
        <f>'Rates and GI'!$D$47</f>
        <v>0.05</v>
      </c>
      <c r="H175" s="65">
        <f>'Rates and GI'!$D$47</f>
        <v>0.05</v>
      </c>
      <c r="J175" s="6"/>
      <c r="K175" s="6"/>
      <c r="L175" s="6"/>
    </row>
    <row r="176" spans="1:12" s="62" customFormat="1" hidden="1" x14ac:dyDescent="0.25">
      <c r="A176" s="5"/>
      <c r="B176" s="41" t="s">
        <v>160</v>
      </c>
      <c r="C176" s="5"/>
      <c r="D176" s="44"/>
      <c r="E176" s="44"/>
      <c r="F176" s="44">
        <v>0</v>
      </c>
      <c r="G176" s="38">
        <v>0</v>
      </c>
      <c r="H176" s="38"/>
      <c r="J176" s="6"/>
      <c r="K176" s="6"/>
      <c r="L176" s="6"/>
    </row>
    <row r="177" spans="1:12" hidden="1" x14ac:dyDescent="0.25"/>
    <row r="178" spans="1:12" s="62" customFormat="1" hidden="1" x14ac:dyDescent="0.25">
      <c r="A178" s="50"/>
      <c r="B178" s="50" t="s">
        <v>19</v>
      </c>
      <c r="C178" s="50"/>
      <c r="D178" s="52"/>
      <c r="E178" s="52">
        <v>0</v>
      </c>
      <c r="F178" s="52">
        <v>0</v>
      </c>
      <c r="G178" s="52">
        <v>0</v>
      </c>
      <c r="H178" s="52">
        <v>0</v>
      </c>
      <c r="J178" s="6"/>
      <c r="K178" s="6"/>
      <c r="L178" s="6"/>
    </row>
    <row r="179" spans="1:12" hidden="1" x14ac:dyDescent="0.25"/>
    <row r="180" spans="1:12" ht="27" hidden="1" x14ac:dyDescent="0.25">
      <c r="A180" s="50"/>
      <c r="B180" s="132" t="s">
        <v>252</v>
      </c>
      <c r="C180" s="133"/>
      <c r="D180" s="51"/>
      <c r="E180" s="51"/>
      <c r="F180" s="51"/>
      <c r="G180" s="51"/>
      <c r="H180" s="51"/>
    </row>
    <row r="181" spans="1:12" hidden="1" x14ac:dyDescent="0.25">
      <c r="A181" s="10"/>
      <c r="B181" s="39" t="s">
        <v>253</v>
      </c>
      <c r="C181" s="134">
        <v>1</v>
      </c>
      <c r="D181" s="33"/>
      <c r="E181" s="44">
        <v>0</v>
      </c>
      <c r="F181" s="44">
        <v>0</v>
      </c>
      <c r="G181" s="44">
        <v>0</v>
      </c>
      <c r="H181" s="44">
        <v>0</v>
      </c>
    </row>
    <row r="182" spans="1:12" hidden="1" x14ac:dyDescent="0.25">
      <c r="B182" s="39" t="s">
        <v>254</v>
      </c>
      <c r="C182" s="33">
        <v>0</v>
      </c>
      <c r="D182" s="33"/>
      <c r="G182" s="44"/>
      <c r="H182" s="44"/>
    </row>
    <row r="183" spans="1:12" hidden="1" x14ac:dyDescent="0.25">
      <c r="B183" s="39" t="s">
        <v>255</v>
      </c>
      <c r="C183" s="73"/>
      <c r="D183" s="33"/>
      <c r="E183" s="44">
        <f>$C$182/$C$181*E181</f>
        <v>0</v>
      </c>
      <c r="F183" s="44">
        <f t="shared" ref="F183:H183" si="45">$C$182/$C$181*F181</f>
        <v>0</v>
      </c>
      <c r="G183" s="44">
        <f t="shared" si="45"/>
        <v>0</v>
      </c>
      <c r="H183" s="44">
        <f t="shared" si="45"/>
        <v>0</v>
      </c>
    </row>
  </sheetData>
  <pageMargins left="0.7" right="0.7" top="0.75" bottom="0.75" header="0.3" footer="0.3"/>
  <pageSetup paperSize="9" scale="56" fitToHeight="0" orientation="portrait" horizontalDpi="1200" verticalDpi="12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4"/>
  <sheetViews>
    <sheetView topLeftCell="A57" workbookViewId="0">
      <selection activeCell="B192" sqref="B192"/>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17.25" x14ac:dyDescent="0.3">
      <c r="A1" s="123">
        <v>54</v>
      </c>
      <c r="B1" s="126" t="s">
        <v>426</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1484.7</v>
      </c>
      <c r="E5" s="44">
        <f>E67</f>
        <v>1484.7</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1484.7</v>
      </c>
      <c r="E7" s="47">
        <f>SUBTOTAL(9,E5:E6)</f>
        <v>1484.7</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2837.5</v>
      </c>
      <c r="E20" s="44">
        <f>E103</f>
        <v>2837.5</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2837.5</v>
      </c>
      <c r="E22" s="47">
        <f t="shared" ref="E22:H22" si="12">SUBTOTAL(9,E20:E21)</f>
        <v>2837.5</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E112</f>
        <v>0</v>
      </c>
      <c r="F25" s="44">
        <f t="shared" ref="F25:H25" si="13">F112</f>
        <v>0</v>
      </c>
      <c r="G25" s="44">
        <f t="shared" si="13"/>
        <v>0</v>
      </c>
      <c r="H25" s="44">
        <f t="shared" si="13"/>
        <v>0</v>
      </c>
    </row>
    <row r="26" spans="1:12" x14ac:dyDescent="0.25">
      <c r="B26" s="16" t="s">
        <v>25</v>
      </c>
      <c r="D26" s="44">
        <f t="shared" ref="D26" si="14">SUM(E26:H26)</f>
        <v>0</v>
      </c>
      <c r="E26" s="44">
        <f>E133</f>
        <v>0</v>
      </c>
      <c r="F26" s="44">
        <f t="shared" ref="F26:H26" si="15">F133</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E122</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E178</f>
        <v>0</v>
      </c>
      <c r="F40" s="44">
        <f t="shared" ref="F40:H40" si="20">F178</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E183</f>
        <v>0</v>
      </c>
      <c r="F46" s="44">
        <f t="shared" ref="F46:H46" si="23">F183</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E152</f>
        <v>0</v>
      </c>
      <c r="F50" s="44">
        <f t="shared" ref="F50:H50" si="26">F152</f>
        <v>0</v>
      </c>
      <c r="G50" s="44">
        <f t="shared" si="26"/>
        <v>0</v>
      </c>
      <c r="H50" s="44">
        <f t="shared" si="26"/>
        <v>0</v>
      </c>
    </row>
    <row r="51" spans="1:12" x14ac:dyDescent="0.25">
      <c r="A51" s="3"/>
      <c r="B51" s="3" t="s">
        <v>21</v>
      </c>
      <c r="C51" s="3"/>
      <c r="D51" s="44">
        <f t="shared" si="25"/>
        <v>0</v>
      </c>
      <c r="E51" s="44">
        <f>E142</f>
        <v>0</v>
      </c>
      <c r="F51" s="44">
        <f t="shared" ref="F51:H51" si="27">F142</f>
        <v>0</v>
      </c>
      <c r="G51" s="44">
        <f t="shared" si="27"/>
        <v>0</v>
      </c>
      <c r="H51" s="44">
        <f t="shared" si="27"/>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4322.2</v>
      </c>
      <c r="E54" s="49">
        <f>SUBTOTAL(9,E5:E52)</f>
        <v>4322.2</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1484.7</v>
      </c>
      <c r="F67" s="44">
        <f t="shared" ref="F67:H67" si="28">F68*F69</f>
        <v>0</v>
      </c>
      <c r="G67" s="44">
        <f t="shared" si="28"/>
        <v>0</v>
      </c>
      <c r="H67" s="44">
        <f t="shared" si="28"/>
        <v>0</v>
      </c>
    </row>
    <row r="68" spans="1:12" x14ac:dyDescent="0.25">
      <c r="A68" s="9"/>
      <c r="B68" s="9" t="s">
        <v>114</v>
      </c>
      <c r="C68" s="9" t="s">
        <v>113</v>
      </c>
      <c r="E68" s="44">
        <f>21*4</f>
        <v>84</v>
      </c>
      <c r="F68" s="44">
        <v>0</v>
      </c>
      <c r="G68" s="44">
        <v>0</v>
      </c>
      <c r="H68" s="44">
        <f>G68</f>
        <v>0</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29">F72*F73</f>
        <v>0</v>
      </c>
      <c r="G71" s="44">
        <f t="shared" si="29"/>
        <v>0</v>
      </c>
      <c r="H71" s="44">
        <f t="shared" si="29"/>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x14ac:dyDescent="0.25">
      <c r="A103" s="50"/>
      <c r="B103" s="50" t="s">
        <v>130</v>
      </c>
      <c r="C103" s="50"/>
      <c r="D103" s="52"/>
      <c r="E103" s="52">
        <f>E104*E105+E106*E107*E108+E109*E110</f>
        <v>2837.5</v>
      </c>
      <c r="F103" s="52">
        <f t="shared" ref="F103:H103" si="32">F104*F105+F106*F107*F108+F109*F110</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x14ac:dyDescent="0.25">
      <c r="B106" s="39" t="s">
        <v>134</v>
      </c>
      <c r="C106" s="5" t="s">
        <v>471</v>
      </c>
      <c r="E106" s="44">
        <f>Training!C23*2</f>
        <v>1418.75</v>
      </c>
      <c r="F106" s="44">
        <f>E106*(1+index)</f>
        <v>1479.7562499999999</v>
      </c>
      <c r="G106" s="44">
        <f>F106*(1+index)</f>
        <v>1543.3857687499999</v>
      </c>
      <c r="H106" s="44">
        <f>G106*(1+index)</f>
        <v>1609.7513568062498</v>
      </c>
    </row>
    <row r="107" spans="1:12" x14ac:dyDescent="0.25">
      <c r="B107" s="39" t="s">
        <v>135</v>
      </c>
      <c r="E107" s="44">
        <v>5</v>
      </c>
      <c r="F107" s="44">
        <v>0</v>
      </c>
      <c r="G107" s="33">
        <v>0</v>
      </c>
      <c r="H107" s="33">
        <v>0</v>
      </c>
    </row>
    <row r="108" spans="1:12" x14ac:dyDescent="0.25">
      <c r="B108" s="39" t="s">
        <v>424</v>
      </c>
      <c r="E108" s="45">
        <v>0.4</v>
      </c>
      <c r="F108" s="45"/>
      <c r="G108" s="34"/>
      <c r="H108" s="34"/>
    </row>
    <row r="109" spans="1:12" hidden="1" x14ac:dyDescent="0.25">
      <c r="B109" s="39" t="s">
        <v>203</v>
      </c>
      <c r="C109" s="5" t="s">
        <v>137</v>
      </c>
      <c r="G109" s="44"/>
      <c r="H109" s="44"/>
    </row>
    <row r="110" spans="1:12" hidden="1" x14ac:dyDescent="0.25">
      <c r="B110" s="39" t="s">
        <v>133</v>
      </c>
      <c r="E110" s="44">
        <v>0</v>
      </c>
      <c r="F110" s="44">
        <v>0</v>
      </c>
      <c r="G110" s="44">
        <v>0</v>
      </c>
      <c r="H110" s="44">
        <v>0</v>
      </c>
    </row>
    <row r="111" spans="1:12" x14ac:dyDescent="0.25">
      <c r="A111" s="228"/>
      <c r="B111" s="239"/>
      <c r="C111" s="228"/>
      <c r="D111" s="230"/>
      <c r="E111" s="230"/>
      <c r="F111" s="230"/>
      <c r="G111" s="230"/>
      <c r="H111" s="230"/>
    </row>
    <row r="112" spans="1:12" hidden="1" x14ac:dyDescent="0.25">
      <c r="A112" s="50"/>
      <c r="B112" s="50" t="s">
        <v>24</v>
      </c>
      <c r="C112" s="50"/>
      <c r="D112" s="52"/>
      <c r="E112" s="52">
        <f t="shared" ref="E112:H112" si="34">E113*E114</f>
        <v>0</v>
      </c>
      <c r="F112" s="52">
        <f t="shared" si="34"/>
        <v>0</v>
      </c>
      <c r="G112" s="52">
        <f t="shared" si="34"/>
        <v>0</v>
      </c>
      <c r="H112" s="52">
        <f t="shared" si="34"/>
        <v>0</v>
      </c>
    </row>
    <row r="113" spans="1:12" s="7" customFormat="1" hidden="1" x14ac:dyDescent="0.25">
      <c r="A113" s="5"/>
      <c r="B113" s="39" t="s">
        <v>53</v>
      </c>
      <c r="C113" s="5"/>
      <c r="D113" s="44"/>
      <c r="E113" s="44">
        <v>0</v>
      </c>
      <c r="F113" s="44">
        <v>0</v>
      </c>
      <c r="G113" s="44"/>
      <c r="H113" s="44"/>
      <c r="I113" s="62"/>
      <c r="J113" s="6"/>
      <c r="K113" s="6"/>
      <c r="L113" s="6"/>
    </row>
    <row r="114" spans="1:12" s="7" customFormat="1" hidden="1" x14ac:dyDescent="0.25">
      <c r="A114" s="5"/>
      <c r="B114" s="39" t="s">
        <v>54</v>
      </c>
      <c r="C114" s="5"/>
      <c r="D114" s="44"/>
      <c r="E114" s="44">
        <f>'Rates and GI'!D25</f>
        <v>6</v>
      </c>
      <c r="F114" s="44">
        <f>E114*(1+index)</f>
        <v>6.2579999999999991</v>
      </c>
      <c r="G114" s="44">
        <f>F114*(1+index)</f>
        <v>6.5270939999999991</v>
      </c>
      <c r="H114" s="44">
        <f>G114*(1+index)</f>
        <v>6.8077590419999989</v>
      </c>
      <c r="I114" s="62"/>
      <c r="J114" s="6"/>
      <c r="K114" s="6"/>
      <c r="L114" s="6"/>
    </row>
    <row r="115" spans="1:12" hidden="1" x14ac:dyDescent="0.25"/>
    <row r="116" spans="1:12" hidden="1" x14ac:dyDescent="0.25">
      <c r="A116" s="50"/>
      <c r="B116" s="50" t="s">
        <v>7</v>
      </c>
      <c r="C116" s="50"/>
      <c r="D116" s="52"/>
      <c r="E116" s="52"/>
      <c r="F116" s="52"/>
      <c r="G116" s="52"/>
      <c r="H116" s="52"/>
    </row>
    <row r="117" spans="1:12" s="7" customFormat="1" hidden="1" x14ac:dyDescent="0.25">
      <c r="A117" s="5"/>
      <c r="B117" s="4" t="s">
        <v>57</v>
      </c>
      <c r="C117" s="5"/>
      <c r="D117" s="44"/>
      <c r="E117" s="46"/>
      <c r="F117" s="46"/>
      <c r="G117" s="105"/>
      <c r="H117" s="105"/>
      <c r="I117" s="62"/>
      <c r="J117" s="6"/>
      <c r="K117" s="6"/>
      <c r="L117" s="6"/>
    </row>
    <row r="118" spans="1:12" s="43" customFormat="1" hidden="1" x14ac:dyDescent="0.25">
      <c r="A118" s="40"/>
      <c r="B118" s="41" t="s">
        <v>58</v>
      </c>
      <c r="C118" s="40" t="s">
        <v>55</v>
      </c>
      <c r="D118" s="71"/>
      <c r="E118" s="71"/>
      <c r="F118" s="71"/>
      <c r="G118" s="72"/>
      <c r="H118" s="72"/>
      <c r="I118" s="75"/>
      <c r="J118" s="42"/>
      <c r="K118" s="42"/>
      <c r="L118" s="42"/>
    </row>
    <row r="119" spans="1:12" s="40" customFormat="1" hidden="1" x14ac:dyDescent="0.25">
      <c r="B119" s="41" t="s">
        <v>56</v>
      </c>
      <c r="D119" s="71"/>
      <c r="E119" s="71"/>
      <c r="F119" s="71"/>
      <c r="G119" s="72"/>
      <c r="H119" s="72"/>
      <c r="I119" s="75"/>
      <c r="J119" s="42"/>
      <c r="K119" s="42"/>
      <c r="L119" s="42"/>
    </row>
    <row r="120" spans="1:12" s="40" customFormat="1" hidden="1" x14ac:dyDescent="0.25">
      <c r="B120" s="41" t="s">
        <v>59</v>
      </c>
      <c r="D120" s="71"/>
      <c r="E120" s="71"/>
      <c r="F120" s="71"/>
      <c r="G120" s="72"/>
      <c r="H120" s="72"/>
      <c r="I120" s="75"/>
      <c r="J120" s="42"/>
      <c r="K120" s="42"/>
      <c r="L120" s="42"/>
    </row>
    <row r="121" spans="1:12" hidden="1" x14ac:dyDescent="0.25"/>
    <row r="122" spans="1:12" hidden="1" x14ac:dyDescent="0.25">
      <c r="A122" s="50"/>
      <c r="B122" s="50" t="s">
        <v>26</v>
      </c>
      <c r="C122" s="50"/>
      <c r="D122" s="52"/>
      <c r="E122" s="52">
        <f>E127*E128</f>
        <v>0</v>
      </c>
      <c r="F122" s="52">
        <f>F127*F128</f>
        <v>0</v>
      </c>
      <c r="G122" s="52"/>
      <c r="H122" s="52"/>
    </row>
    <row r="123" spans="1:12" s="5" customFormat="1" hidden="1" x14ac:dyDescent="0.25">
      <c r="B123" s="55" t="s">
        <v>60</v>
      </c>
      <c r="D123" s="44"/>
      <c r="E123" s="44"/>
      <c r="F123" s="44"/>
      <c r="G123" s="38"/>
      <c r="H123" s="38"/>
      <c r="I123" s="62"/>
      <c r="J123" s="6"/>
      <c r="K123" s="6"/>
      <c r="L123" s="6"/>
    </row>
    <row r="124" spans="1:12" s="5" customFormat="1" hidden="1" x14ac:dyDescent="0.25">
      <c r="B124" s="41" t="s">
        <v>147</v>
      </c>
      <c r="D124" s="44"/>
      <c r="E124" s="44"/>
      <c r="F124" s="44"/>
      <c r="G124" s="38"/>
      <c r="H124" s="38"/>
      <c r="I124" s="62"/>
      <c r="J124" s="6"/>
      <c r="K124" s="6"/>
      <c r="L124" s="6"/>
    </row>
    <row r="125" spans="1:12" s="5" customFormat="1" hidden="1" x14ac:dyDescent="0.25">
      <c r="B125" s="41" t="s">
        <v>146</v>
      </c>
      <c r="D125" s="44"/>
      <c r="E125" s="44"/>
      <c r="F125" s="44"/>
      <c r="G125" s="38"/>
      <c r="H125" s="38"/>
      <c r="I125" s="62"/>
      <c r="J125" s="6"/>
      <c r="K125" s="6"/>
      <c r="L125" s="6"/>
    </row>
    <row r="126" spans="1:12" s="5" customFormat="1" hidden="1" x14ac:dyDescent="0.25">
      <c r="B126" s="55" t="s">
        <v>123</v>
      </c>
      <c r="D126" s="44"/>
      <c r="E126" s="44"/>
      <c r="F126" s="44"/>
      <c r="G126" s="38"/>
      <c r="H126" s="38"/>
      <c r="I126" s="62"/>
      <c r="J126" s="6"/>
      <c r="K126" s="6"/>
      <c r="L126" s="6"/>
    </row>
    <row r="127" spans="1:12" s="5" customFormat="1" hidden="1" x14ac:dyDescent="0.25">
      <c r="B127" s="41" t="s">
        <v>147</v>
      </c>
      <c r="D127" s="44"/>
      <c r="E127" s="44">
        <f>'Rates and GI'!$D$31</f>
        <v>350</v>
      </c>
      <c r="F127" s="44">
        <f>'Rates and GI'!$D$31</f>
        <v>350</v>
      </c>
      <c r="G127" s="44">
        <f>'Rates and GI'!$D$31</f>
        <v>350</v>
      </c>
      <c r="H127" s="44">
        <f>'Rates and GI'!$D$31</f>
        <v>350</v>
      </c>
      <c r="I127" s="62"/>
      <c r="J127" s="6"/>
      <c r="K127" s="6"/>
      <c r="L127" s="6"/>
    </row>
    <row r="128" spans="1:12" s="5" customFormat="1" hidden="1" x14ac:dyDescent="0.25">
      <c r="B128" s="41" t="s">
        <v>146</v>
      </c>
      <c r="D128" s="44"/>
      <c r="E128" s="44">
        <v>0</v>
      </c>
      <c r="F128" s="44">
        <v>0</v>
      </c>
      <c r="G128" s="38"/>
      <c r="H128" s="38"/>
      <c r="I128" s="62"/>
      <c r="J128" s="6"/>
      <c r="K128" s="6"/>
      <c r="L128" s="6"/>
    </row>
    <row r="129" spans="1:12" s="5" customFormat="1" hidden="1" x14ac:dyDescent="0.25">
      <c r="B129" s="55" t="s">
        <v>8</v>
      </c>
      <c r="D129" s="44"/>
      <c r="E129" s="44"/>
      <c r="F129" s="44"/>
      <c r="G129" s="38"/>
      <c r="H129" s="38"/>
      <c r="I129" s="62"/>
      <c r="J129" s="6"/>
      <c r="K129" s="6"/>
      <c r="L129" s="6"/>
    </row>
    <row r="130" spans="1:12" s="5" customFormat="1" hidden="1" x14ac:dyDescent="0.25">
      <c r="B130" s="41" t="s">
        <v>147</v>
      </c>
      <c r="D130" s="44"/>
      <c r="E130" s="44"/>
      <c r="F130" s="44"/>
      <c r="G130" s="38"/>
      <c r="H130" s="38"/>
      <c r="I130" s="62"/>
      <c r="J130" s="6"/>
      <c r="K130" s="6"/>
      <c r="L130" s="6"/>
    </row>
    <row r="131" spans="1:12" s="5" customFormat="1" hidden="1" x14ac:dyDescent="0.25">
      <c r="B131" s="41" t="s">
        <v>146</v>
      </c>
      <c r="D131" s="44"/>
      <c r="E131" s="44"/>
      <c r="F131" s="44"/>
      <c r="G131" s="38"/>
      <c r="H131" s="38"/>
      <c r="I131" s="62"/>
      <c r="J131" s="6"/>
      <c r="K131" s="6"/>
      <c r="L131" s="6"/>
    </row>
    <row r="132" spans="1:12" hidden="1" x14ac:dyDescent="0.25"/>
    <row r="133" spans="1:12" hidden="1" x14ac:dyDescent="0.25">
      <c r="A133" s="50"/>
      <c r="B133" s="50" t="s">
        <v>25</v>
      </c>
      <c r="C133" s="50"/>
      <c r="D133" s="52"/>
      <c r="E133" s="52">
        <f>E134+E137</f>
        <v>0</v>
      </c>
      <c r="F133" s="52">
        <f t="shared" ref="F133:H133" si="35">F134+F137</f>
        <v>0</v>
      </c>
      <c r="G133" s="52">
        <f t="shared" si="35"/>
        <v>0</v>
      </c>
      <c r="H133" s="52">
        <f t="shared" si="35"/>
        <v>0</v>
      </c>
    </row>
    <row r="134" spans="1:12" s="5" customFormat="1" hidden="1" x14ac:dyDescent="0.25">
      <c r="B134" s="5" t="s">
        <v>205</v>
      </c>
      <c r="D134" s="44"/>
      <c r="E134" s="44"/>
      <c r="F134" s="44">
        <v>0</v>
      </c>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41"/>
      <c r="D136" s="44"/>
      <c r="E136" s="44"/>
      <c r="F136" s="44"/>
      <c r="G136" s="38"/>
      <c r="H136" s="38"/>
      <c r="I136" s="62"/>
      <c r="J136" s="6"/>
      <c r="K136" s="6"/>
      <c r="L136" s="6"/>
    </row>
    <row r="137" spans="1:12" s="5" customFormat="1" hidden="1" x14ac:dyDescent="0.25">
      <c r="B137" s="5" t="s">
        <v>154</v>
      </c>
      <c r="D137" s="44"/>
      <c r="E137" s="44">
        <f>E138+E139*E140</f>
        <v>0</v>
      </c>
      <c r="F137" s="44">
        <f>F138+F139*F140</f>
        <v>0</v>
      </c>
      <c r="G137" s="44">
        <f t="shared" ref="G137:H137" si="36">G138+G139*G140</f>
        <v>0</v>
      </c>
      <c r="H137" s="44">
        <f t="shared" si="36"/>
        <v>0</v>
      </c>
      <c r="I137" s="73"/>
    </row>
    <row r="138" spans="1:12" hidden="1" x14ac:dyDescent="0.25">
      <c r="B138" s="41" t="s">
        <v>153</v>
      </c>
      <c r="F138" s="44">
        <f>'Rates and GI'!D46*0</f>
        <v>0</v>
      </c>
    </row>
    <row r="139" spans="1:12" hidden="1" x14ac:dyDescent="0.25">
      <c r="B139" s="41" t="s">
        <v>159</v>
      </c>
      <c r="E139" s="60">
        <f>'Rates and GI'!$D$48</f>
        <v>0.02</v>
      </c>
      <c r="F139" s="60">
        <f>'Rates and GI'!$D$48</f>
        <v>0.02</v>
      </c>
      <c r="G139" s="60">
        <f>'Rates and GI'!$D$48</f>
        <v>0.02</v>
      </c>
      <c r="H139" s="60">
        <f>'Rates and GI'!$D$48</f>
        <v>0.02</v>
      </c>
    </row>
    <row r="140" spans="1:12" hidden="1" x14ac:dyDescent="0.25">
      <c r="B140" s="41" t="s">
        <v>160</v>
      </c>
      <c r="E140" s="44">
        <v>0</v>
      </c>
      <c r="F140" s="44">
        <v>0</v>
      </c>
      <c r="G140" s="44">
        <v>0</v>
      </c>
      <c r="H140" s="44">
        <v>0</v>
      </c>
    </row>
    <row r="141" spans="1:12" s="5" customFormat="1" hidden="1" x14ac:dyDescent="0.25">
      <c r="B141" s="41"/>
      <c r="D141" s="44"/>
      <c r="E141" s="44"/>
      <c r="F141" s="44"/>
      <c r="G141" s="38"/>
      <c r="H141" s="38"/>
      <c r="I141" s="62"/>
      <c r="J141" s="6"/>
      <c r="K141" s="6"/>
      <c r="L141" s="6"/>
    </row>
    <row r="142" spans="1:12" hidden="1" x14ac:dyDescent="0.25">
      <c r="A142" s="50"/>
      <c r="B142" s="50" t="s">
        <v>21</v>
      </c>
      <c r="C142" s="50"/>
      <c r="D142" s="52"/>
      <c r="E142" s="52">
        <f>E143*E144+E145*E146++E147*E148+E149*E150</f>
        <v>0</v>
      </c>
      <c r="F142" s="52">
        <f t="shared" ref="F142:H142" si="37">F143*F144+F145*F146++F147*F148+F149*F150</f>
        <v>0</v>
      </c>
      <c r="G142" s="52">
        <f t="shared" si="37"/>
        <v>0</v>
      </c>
      <c r="H142" s="52">
        <f t="shared" si="37"/>
        <v>0</v>
      </c>
    </row>
    <row r="143" spans="1:12" hidden="1" x14ac:dyDescent="0.25">
      <c r="B143" s="41" t="s">
        <v>150</v>
      </c>
      <c r="G143" s="44">
        <v>0</v>
      </c>
      <c r="H143" s="44"/>
    </row>
    <row r="144" spans="1:12" hidden="1" x14ac:dyDescent="0.25">
      <c r="B144" s="41" t="s">
        <v>151</v>
      </c>
      <c r="E144" s="44">
        <f>'Rates and GI'!$D$58</f>
        <v>5000</v>
      </c>
      <c r="F144" s="44">
        <f>'Rates and GI'!$D$58</f>
        <v>5000</v>
      </c>
      <c r="G144" s="44">
        <f>'Rates and GI'!$D$58</f>
        <v>5000</v>
      </c>
      <c r="H144" s="44">
        <f>'Rates and GI'!$D$58</f>
        <v>5000</v>
      </c>
    </row>
    <row r="145" spans="1:12" hidden="1" x14ac:dyDescent="0.25">
      <c r="B145" s="41" t="s">
        <v>148</v>
      </c>
      <c r="E145" s="44">
        <v>0</v>
      </c>
      <c r="F145" s="44">
        <v>0</v>
      </c>
      <c r="G145" s="44">
        <v>0</v>
      </c>
      <c r="H145" s="44">
        <v>0</v>
      </c>
    </row>
    <row r="146" spans="1:12" hidden="1" x14ac:dyDescent="0.25">
      <c r="B146" s="41" t="s">
        <v>149</v>
      </c>
      <c r="E146" s="44">
        <f>'Rates and GI'!$D$59</f>
        <v>1500</v>
      </c>
      <c r="F146" s="44">
        <f>'Rates and GI'!$D$59</f>
        <v>1500</v>
      </c>
      <c r="G146" s="44">
        <f>'Rates and GI'!$D$59</f>
        <v>1500</v>
      </c>
      <c r="H146" s="44">
        <f>'Rates and GI'!$D$59</f>
        <v>1500</v>
      </c>
    </row>
    <row r="147" spans="1:12" ht="27" hidden="1" x14ac:dyDescent="0.25">
      <c r="B147" s="63" t="s">
        <v>162</v>
      </c>
      <c r="E147" s="44">
        <v>0</v>
      </c>
      <c r="F147" s="44">
        <v>0</v>
      </c>
      <c r="G147" s="44">
        <v>0</v>
      </c>
      <c r="H147" s="44">
        <v>0</v>
      </c>
    </row>
    <row r="148" spans="1:12" ht="27" hidden="1" x14ac:dyDescent="0.25">
      <c r="B148" s="63" t="s">
        <v>161</v>
      </c>
      <c r="E148" s="44">
        <f>'Rates and GI'!$D$60</f>
        <v>200</v>
      </c>
      <c r="F148" s="44">
        <f>'Rates and GI'!$D$60</f>
        <v>200</v>
      </c>
      <c r="G148" s="44">
        <f>'Rates and GI'!$D$60</f>
        <v>200</v>
      </c>
      <c r="H148" s="44">
        <f>'Rates and GI'!$D$60</f>
        <v>200</v>
      </c>
    </row>
    <row r="149" spans="1:12" s="5" customFormat="1" hidden="1" x14ac:dyDescent="0.25">
      <c r="B149" s="41" t="s">
        <v>217</v>
      </c>
      <c r="D149" s="44"/>
      <c r="E149" s="44">
        <v>0</v>
      </c>
      <c r="F149" s="44">
        <v>0</v>
      </c>
      <c r="G149" s="44">
        <v>0</v>
      </c>
      <c r="H149" s="44">
        <v>0</v>
      </c>
      <c r="I149" s="62"/>
      <c r="J149" s="6"/>
      <c r="K149" s="6"/>
      <c r="L149" s="6"/>
    </row>
    <row r="150" spans="1:12" s="5" customFormat="1" hidden="1" x14ac:dyDescent="0.25">
      <c r="B150" s="41" t="s">
        <v>214</v>
      </c>
      <c r="D150" s="44"/>
      <c r="E150" s="44">
        <f>'Rates and GI'!$D$61</f>
        <v>50</v>
      </c>
      <c r="F150" s="44">
        <f>'Rates and GI'!$D$61</f>
        <v>50</v>
      </c>
      <c r="G150" s="38">
        <f>'Rates and GI'!$D$61</f>
        <v>50</v>
      </c>
      <c r="H150" s="38">
        <f>'Rates and GI'!$D$61</f>
        <v>50</v>
      </c>
      <c r="I150" s="62"/>
      <c r="J150" s="6"/>
      <c r="K150" s="6"/>
      <c r="L150" s="6"/>
    </row>
    <row r="151" spans="1:12" hidden="1" x14ac:dyDescent="0.25">
      <c r="A151" s="50"/>
      <c r="B151" s="50"/>
      <c r="C151" s="50"/>
      <c r="D151" s="52"/>
      <c r="E151" s="52"/>
      <c r="F151" s="52"/>
      <c r="G151" s="52"/>
      <c r="H151" s="52"/>
    </row>
    <row r="152" spans="1:12" hidden="1" x14ac:dyDescent="0.25">
      <c r="A152" s="50"/>
      <c r="B152" s="50" t="s">
        <v>194</v>
      </c>
      <c r="C152" s="50"/>
      <c r="D152" s="52"/>
      <c r="E152" s="52">
        <f>E153+E156+E159+E168+E173</f>
        <v>0</v>
      </c>
      <c r="F152" s="52">
        <f t="shared" ref="F152:H152" si="38">F153+F156+F159+F168+F173</f>
        <v>0</v>
      </c>
      <c r="G152" s="52">
        <f t="shared" si="38"/>
        <v>0</v>
      </c>
      <c r="H152" s="52">
        <f t="shared" si="38"/>
        <v>0</v>
      </c>
    </row>
    <row r="153" spans="1:12" s="5" customFormat="1" hidden="1" x14ac:dyDescent="0.25">
      <c r="B153" s="5" t="s">
        <v>173</v>
      </c>
      <c r="D153" s="44"/>
      <c r="E153" s="44">
        <f>E154+E157*E158</f>
        <v>0</v>
      </c>
      <c r="F153" s="44">
        <f>F154+F157*F158</f>
        <v>0</v>
      </c>
      <c r="G153" s="44">
        <f>G154+G157*G158</f>
        <v>0</v>
      </c>
      <c r="H153" s="44">
        <f t="shared" ref="H153" si="39">H154+H157*H158</f>
        <v>0</v>
      </c>
      <c r="I153" s="73"/>
    </row>
    <row r="154" spans="1:12" hidden="1" x14ac:dyDescent="0.25">
      <c r="B154" s="41" t="s">
        <v>184</v>
      </c>
      <c r="F154" s="44">
        <f>('Rates and GI'!$D$45+'Rates and GI'!$D$49)*0</f>
        <v>0</v>
      </c>
      <c r="G154" s="44">
        <f>('Rates and GI'!$D$45+'Rates and GI'!$D$49)*0</f>
        <v>0</v>
      </c>
      <c r="H154" s="44"/>
    </row>
    <row r="155" spans="1:12" hidden="1" x14ac:dyDescent="0.25">
      <c r="B155" s="41" t="s">
        <v>187</v>
      </c>
      <c r="F155" s="44">
        <f>'Rates and GI'!$D$51*0</f>
        <v>0</v>
      </c>
      <c r="G155" s="44">
        <f>'Rates and GI'!$D$51*0</f>
        <v>0</v>
      </c>
      <c r="H155" s="44"/>
    </row>
    <row r="156" spans="1:12" hidden="1" x14ac:dyDescent="0.25">
      <c r="B156" s="5" t="s">
        <v>174</v>
      </c>
      <c r="E156" s="44">
        <f>E157*E158</f>
        <v>0</v>
      </c>
      <c r="F156" s="44">
        <f t="shared" ref="F156:H156" si="40">F157*F158</f>
        <v>0</v>
      </c>
      <c r="G156" s="44">
        <f t="shared" si="40"/>
        <v>0</v>
      </c>
      <c r="H156" s="44">
        <f t="shared" si="40"/>
        <v>0</v>
      </c>
    </row>
    <row r="157" spans="1:12" hidden="1" x14ac:dyDescent="0.25">
      <c r="B157" s="41" t="s">
        <v>164</v>
      </c>
      <c r="F157" s="44">
        <f>'Rates and GI'!$D$54</f>
        <v>24.066499999999998</v>
      </c>
      <c r="G157" s="44">
        <f>'Rates and GI'!$D$54</f>
        <v>24.066499999999998</v>
      </c>
      <c r="H157" s="44">
        <f>'Rates and GI'!$D$54</f>
        <v>24.066499999999998</v>
      </c>
    </row>
    <row r="158" spans="1:12" hidden="1" x14ac:dyDescent="0.25">
      <c r="B158" s="41" t="s">
        <v>163</v>
      </c>
      <c r="F158" s="44">
        <v>0</v>
      </c>
      <c r="G158" s="38">
        <v>0</v>
      </c>
      <c r="H158" s="38">
        <v>0</v>
      </c>
    </row>
    <row r="159" spans="1:12" hidden="1" x14ac:dyDescent="0.25">
      <c r="B159" s="5" t="s">
        <v>175</v>
      </c>
      <c r="E159" s="44">
        <f>E160+E164</f>
        <v>0</v>
      </c>
      <c r="F159" s="44">
        <f t="shared" ref="F159:H159" si="41">F160+F164</f>
        <v>0</v>
      </c>
      <c r="G159" s="44">
        <f t="shared" si="41"/>
        <v>0</v>
      </c>
      <c r="H159" s="44">
        <f t="shared" si="41"/>
        <v>0</v>
      </c>
    </row>
    <row r="160" spans="1:12" hidden="1" x14ac:dyDescent="0.25">
      <c r="B160" s="41" t="s">
        <v>189</v>
      </c>
      <c r="E160" s="44">
        <f>E161*E162</f>
        <v>0</v>
      </c>
      <c r="F160" s="44">
        <f t="shared" ref="F160:H160" si="42">F161*F162</f>
        <v>0</v>
      </c>
      <c r="G160" s="44">
        <f t="shared" si="42"/>
        <v>0</v>
      </c>
      <c r="H160" s="44">
        <f t="shared" si="42"/>
        <v>0</v>
      </c>
    </row>
    <row r="161" spans="1:12" hidden="1" x14ac:dyDescent="0.25">
      <c r="B161" s="41" t="s">
        <v>176</v>
      </c>
      <c r="C161" s="5" t="s">
        <v>177</v>
      </c>
      <c r="E161" s="44">
        <v>0</v>
      </c>
      <c r="F161" s="44">
        <v>0</v>
      </c>
      <c r="G161" s="38">
        <v>0</v>
      </c>
      <c r="H161" s="38">
        <v>0</v>
      </c>
    </row>
    <row r="162" spans="1:12" hidden="1" x14ac:dyDescent="0.25">
      <c r="B162" s="41" t="s">
        <v>178</v>
      </c>
      <c r="E162" s="44">
        <f>'Rates and GI'!$D$52</f>
        <v>150</v>
      </c>
      <c r="F162" s="44">
        <f>'Rates and GI'!$D$52</f>
        <v>150</v>
      </c>
      <c r="G162" s="44">
        <f>'Rates and GI'!$D$52</f>
        <v>150</v>
      </c>
      <c r="H162" s="44">
        <f>'Rates and GI'!$D$52</f>
        <v>150</v>
      </c>
    </row>
    <row r="163" spans="1:12" hidden="1" x14ac:dyDescent="0.25">
      <c r="B163" s="6"/>
    </row>
    <row r="164" spans="1:12" hidden="1" x14ac:dyDescent="0.25">
      <c r="B164" s="41" t="s">
        <v>190</v>
      </c>
      <c r="E164" s="44">
        <f>E165*E166</f>
        <v>0</v>
      </c>
      <c r="F164" s="44">
        <f t="shared" ref="F164:H164" si="43">F165*F166</f>
        <v>0</v>
      </c>
      <c r="G164" s="44">
        <f t="shared" si="43"/>
        <v>0</v>
      </c>
      <c r="H164" s="44">
        <f t="shared" si="43"/>
        <v>0</v>
      </c>
    </row>
    <row r="165" spans="1:12" hidden="1" x14ac:dyDescent="0.25">
      <c r="B165" s="41" t="s">
        <v>176</v>
      </c>
      <c r="C165" s="5" t="s">
        <v>177</v>
      </c>
      <c r="E165" s="44">
        <v>0</v>
      </c>
      <c r="F165" s="44">
        <v>0</v>
      </c>
      <c r="G165" s="38">
        <v>0</v>
      </c>
      <c r="H165" s="38">
        <v>0</v>
      </c>
    </row>
    <row r="166" spans="1:12" s="62" customFormat="1" hidden="1" x14ac:dyDescent="0.25">
      <c r="A166" s="5"/>
      <c r="B166" s="41" t="s">
        <v>178</v>
      </c>
      <c r="C166" s="5"/>
      <c r="D166" s="44"/>
      <c r="E166" s="44">
        <f>'Rates and GI'!$D$53</f>
        <v>20</v>
      </c>
      <c r="F166" s="44">
        <f>'Rates and GI'!$D$53</f>
        <v>20</v>
      </c>
      <c r="G166" s="44">
        <f>'Rates and GI'!$D$53</f>
        <v>20</v>
      </c>
      <c r="H166" s="44">
        <f>'Rates and GI'!$D$53</f>
        <v>20</v>
      </c>
      <c r="J166" s="6"/>
      <c r="K166" s="6"/>
      <c r="L166" s="6"/>
    </row>
    <row r="167" spans="1:12" s="62" customFormat="1" hidden="1" x14ac:dyDescent="0.25">
      <c r="A167" s="5"/>
      <c r="B167" s="6"/>
      <c r="C167" s="5"/>
      <c r="D167" s="44"/>
      <c r="E167" s="44"/>
      <c r="F167" s="44"/>
      <c r="G167" s="38"/>
      <c r="H167" s="38"/>
      <c r="J167" s="6"/>
      <c r="K167" s="6"/>
      <c r="L167" s="6"/>
    </row>
    <row r="168" spans="1:12" s="62" customFormat="1" hidden="1" x14ac:dyDescent="0.25">
      <c r="A168" s="5"/>
      <c r="B168" s="5" t="s">
        <v>179</v>
      </c>
      <c r="C168" s="5"/>
      <c r="D168" s="44"/>
      <c r="E168" s="44">
        <f>E169*E170*E171</f>
        <v>0</v>
      </c>
      <c r="F168" s="44">
        <f t="shared" ref="F168:H168" si="44">F169*F170*F171</f>
        <v>0</v>
      </c>
      <c r="G168" s="44">
        <f t="shared" si="44"/>
        <v>0</v>
      </c>
      <c r="H168" s="44">
        <f t="shared" si="44"/>
        <v>0</v>
      </c>
      <c r="J168" s="6"/>
      <c r="K168" s="6"/>
      <c r="L168" s="6"/>
    </row>
    <row r="169" spans="1:12" s="62" customFormat="1" hidden="1" x14ac:dyDescent="0.25">
      <c r="A169" s="5"/>
      <c r="B169" s="41" t="s">
        <v>191</v>
      </c>
      <c r="C169" s="5"/>
      <c r="D169" s="44"/>
      <c r="E169" s="44"/>
      <c r="F169" s="44">
        <f>'Rates and GI'!$D$55</f>
        <v>300</v>
      </c>
      <c r="G169" s="44">
        <f>'Rates and GI'!$D$55</f>
        <v>300</v>
      </c>
      <c r="H169" s="44">
        <f>'Rates and GI'!$D$55</f>
        <v>300</v>
      </c>
      <c r="J169" s="6"/>
      <c r="K169" s="6"/>
      <c r="L169" s="6"/>
    </row>
    <row r="170" spans="1:12" s="62" customFormat="1" hidden="1" x14ac:dyDescent="0.25">
      <c r="A170" s="5"/>
      <c r="B170" s="41" t="s">
        <v>192</v>
      </c>
      <c r="C170" s="5"/>
      <c r="D170" s="44"/>
      <c r="E170" s="44"/>
      <c r="F170" s="44">
        <v>3</v>
      </c>
      <c r="G170" s="44">
        <v>3</v>
      </c>
      <c r="H170" s="44">
        <v>3</v>
      </c>
      <c r="J170" s="6"/>
      <c r="K170" s="6"/>
      <c r="L170" s="6"/>
    </row>
    <row r="171" spans="1:12" s="62" customFormat="1" hidden="1" x14ac:dyDescent="0.25">
      <c r="A171" s="5"/>
      <c r="B171" s="41" t="s">
        <v>193</v>
      </c>
      <c r="C171" s="5"/>
      <c r="D171" s="44"/>
      <c r="E171" s="44"/>
      <c r="F171" s="44">
        <v>0</v>
      </c>
      <c r="G171" s="44">
        <v>0</v>
      </c>
      <c r="H171" s="44">
        <v>0</v>
      </c>
      <c r="J171" s="6"/>
      <c r="K171" s="6"/>
      <c r="L171" s="6"/>
    </row>
    <row r="172" spans="1:12" hidden="1" x14ac:dyDescent="0.25"/>
    <row r="173" spans="1:12" s="62" customFormat="1" hidden="1" x14ac:dyDescent="0.25">
      <c r="A173" s="5"/>
      <c r="B173" s="5" t="s">
        <v>172</v>
      </c>
      <c r="C173" s="5"/>
      <c r="D173" s="44"/>
      <c r="E173" s="44">
        <f>E174+E175*E176</f>
        <v>0</v>
      </c>
      <c r="F173" s="44">
        <f>F174+F175*F176</f>
        <v>0</v>
      </c>
      <c r="G173" s="44">
        <f>G174+G175*G176</f>
        <v>0</v>
      </c>
      <c r="H173" s="44">
        <f>H174+H175*H176</f>
        <v>0</v>
      </c>
      <c r="J173" s="6"/>
      <c r="K173" s="6"/>
      <c r="L173" s="6"/>
    </row>
    <row r="174" spans="1:12" s="62" customFormat="1" hidden="1" x14ac:dyDescent="0.25">
      <c r="A174" s="5"/>
      <c r="B174" s="41" t="s">
        <v>153</v>
      </c>
      <c r="C174" s="5"/>
      <c r="D174" s="44"/>
      <c r="E174" s="44"/>
      <c r="F174" s="44">
        <f>'Rates and GI'!D46*0</f>
        <v>0</v>
      </c>
      <c r="G174" s="38"/>
      <c r="H174" s="38"/>
      <c r="J174" s="6"/>
      <c r="K174" s="6"/>
      <c r="L174" s="6"/>
    </row>
    <row r="175" spans="1:12" s="62" customFormat="1" hidden="1" x14ac:dyDescent="0.25">
      <c r="A175" s="5"/>
      <c r="B175" s="41" t="s">
        <v>159</v>
      </c>
      <c r="C175" s="5"/>
      <c r="D175" s="44"/>
      <c r="E175" s="44"/>
      <c r="F175" s="65">
        <f>'Rates and GI'!$D$47</f>
        <v>0.05</v>
      </c>
      <c r="G175" s="65">
        <f>'Rates and GI'!$D$47</f>
        <v>0.05</v>
      </c>
      <c r="H175" s="65">
        <f>'Rates and GI'!$D$47</f>
        <v>0.05</v>
      </c>
      <c r="J175" s="6"/>
      <c r="K175" s="6"/>
      <c r="L175" s="6"/>
    </row>
    <row r="176" spans="1:12" s="62" customFormat="1" hidden="1" x14ac:dyDescent="0.25">
      <c r="A176" s="5"/>
      <c r="B176" s="41" t="s">
        <v>160</v>
      </c>
      <c r="C176" s="5"/>
      <c r="D176" s="44"/>
      <c r="E176" s="44"/>
      <c r="F176" s="44">
        <v>0</v>
      </c>
      <c r="G176" s="38">
        <v>0</v>
      </c>
      <c r="H176" s="38"/>
      <c r="J176" s="6"/>
      <c r="K176" s="6"/>
      <c r="L176" s="6"/>
    </row>
    <row r="177" spans="1:12" hidden="1" x14ac:dyDescent="0.25"/>
    <row r="178" spans="1:12" s="62" customFormat="1" hidden="1" x14ac:dyDescent="0.25">
      <c r="A178" s="50"/>
      <c r="B178" s="50" t="s">
        <v>19</v>
      </c>
      <c r="C178" s="50"/>
      <c r="D178" s="52"/>
      <c r="E178" s="52">
        <v>0</v>
      </c>
      <c r="F178" s="52">
        <v>0</v>
      </c>
      <c r="G178" s="52">
        <v>0</v>
      </c>
      <c r="H178" s="52">
        <v>0</v>
      </c>
      <c r="J178" s="6"/>
      <c r="K178" s="6"/>
      <c r="L178" s="6"/>
    </row>
    <row r="179" spans="1:12" hidden="1" x14ac:dyDescent="0.25"/>
    <row r="180" spans="1:12" ht="27" hidden="1" x14ac:dyDescent="0.25">
      <c r="A180" s="50"/>
      <c r="B180" s="132" t="s">
        <v>252</v>
      </c>
      <c r="C180" s="133"/>
      <c r="D180" s="51"/>
      <c r="E180" s="51"/>
      <c r="F180" s="51"/>
      <c r="G180" s="51"/>
      <c r="H180" s="51"/>
    </row>
    <row r="181" spans="1:12" hidden="1" x14ac:dyDescent="0.25">
      <c r="A181" s="10"/>
      <c r="B181" s="39" t="s">
        <v>253</v>
      </c>
      <c r="C181" s="134">
        <v>1</v>
      </c>
      <c r="D181" s="33"/>
      <c r="E181" s="44">
        <v>0</v>
      </c>
      <c r="F181" s="44">
        <v>0</v>
      </c>
      <c r="G181" s="44">
        <v>0</v>
      </c>
      <c r="H181" s="44">
        <v>0</v>
      </c>
    </row>
    <row r="182" spans="1:12" hidden="1" x14ac:dyDescent="0.25">
      <c r="B182" s="39" t="s">
        <v>254</v>
      </c>
      <c r="C182" s="33">
        <v>0</v>
      </c>
      <c r="D182" s="33"/>
      <c r="G182" s="44"/>
      <c r="H182" s="44"/>
    </row>
    <row r="183" spans="1:12" hidden="1" x14ac:dyDescent="0.25">
      <c r="B183" s="39" t="s">
        <v>255</v>
      </c>
      <c r="C183" s="73"/>
      <c r="D183" s="33"/>
      <c r="E183" s="44">
        <f>$C$182/$C$181*E181</f>
        <v>0</v>
      </c>
      <c r="F183" s="44">
        <f t="shared" ref="F183:H183" si="45">$C$182/$C$181*F181</f>
        <v>0</v>
      </c>
      <c r="G183" s="44">
        <f t="shared" si="45"/>
        <v>0</v>
      </c>
      <c r="H183" s="44">
        <f t="shared" si="45"/>
        <v>0</v>
      </c>
    </row>
    <row r="184" spans="1:12" hidden="1" x14ac:dyDescent="0.25"/>
  </sheetData>
  <pageMargins left="0.7" right="0.7" top="0.75" bottom="0.75" header="0.3" footer="0.3"/>
  <pageSetup paperSize="9" scale="56" fitToHeight="0" orientation="portrait" horizontalDpi="1200" verticalDpi="12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70" workbookViewId="0">
      <selection activeCell="B188" sqref="B188"/>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55</v>
      </c>
      <c r="B1" s="126" t="s">
        <v>428</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E67</f>
        <v>2227.0500000000002</v>
      </c>
      <c r="F5" s="44">
        <f t="shared" ref="F5:H5" si="1">F67</f>
        <v>0</v>
      </c>
      <c r="G5" s="44">
        <f t="shared" si="1"/>
        <v>0</v>
      </c>
      <c r="H5" s="44">
        <f t="shared" si="1"/>
        <v>0</v>
      </c>
    </row>
    <row r="6" spans="1:12" x14ac:dyDescent="0.25">
      <c r="B6" s="16" t="s">
        <v>168</v>
      </c>
      <c r="D6" s="44">
        <f t="shared" si="0"/>
        <v>6813.0719999999992</v>
      </c>
      <c r="E6" s="44">
        <f>E71</f>
        <v>6813.0719999999992</v>
      </c>
      <c r="F6" s="44">
        <f t="shared" ref="F6:H6" si="2">F71</f>
        <v>0</v>
      </c>
      <c r="G6" s="44">
        <f t="shared" si="2"/>
        <v>0</v>
      </c>
      <c r="H6" s="44">
        <f t="shared" si="2"/>
        <v>0</v>
      </c>
    </row>
    <row r="7" spans="1:12" ht="14.25" thickBot="1" x14ac:dyDescent="0.3">
      <c r="A7" s="13"/>
      <c r="B7" s="13" t="s">
        <v>5</v>
      </c>
      <c r="C7" s="13"/>
      <c r="D7" s="47">
        <f>SUBTOTAL(9,D5:D6)</f>
        <v>9040.1219999999994</v>
      </c>
      <c r="E7" s="47">
        <f>SUBTOTAL(9,E5:E6)</f>
        <v>9040.1219999999994</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300</v>
      </c>
      <c r="E25" s="44">
        <f>E111</f>
        <v>300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300</v>
      </c>
      <c r="E28" s="47">
        <f t="shared" ref="E28:H28" si="16">SUBTOTAL(9,E25:E27)</f>
        <v>300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150</v>
      </c>
      <c r="E51" s="44">
        <f>E141</f>
        <v>150</v>
      </c>
      <c r="F51" s="44">
        <f t="shared" ref="F51:H51" si="27">F141</f>
        <v>0</v>
      </c>
      <c r="G51" s="44">
        <f t="shared" si="27"/>
        <v>0</v>
      </c>
      <c r="H51" s="44">
        <f t="shared" si="27"/>
        <v>0</v>
      </c>
    </row>
    <row r="52" spans="1:12" ht="14.25" thickBot="1" x14ac:dyDescent="0.3">
      <c r="A52" s="13"/>
      <c r="B52" s="13" t="s">
        <v>69</v>
      </c>
      <c r="C52" s="13"/>
      <c r="D52" s="47">
        <f>SUBTOTAL(9,D50:D51)</f>
        <v>150</v>
      </c>
      <c r="E52" s="47">
        <f>SUBTOTAL(9,E50:E51)</f>
        <v>150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9490.1219999999994</v>
      </c>
      <c r="E54" s="49">
        <f>SUBTOTAL(9,E5:E52)</f>
        <v>9490.1219999999994</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2227.0500000000002</v>
      </c>
      <c r="F67" s="44">
        <f t="shared" ref="F67:H67" si="28">F68*F69</f>
        <v>0</v>
      </c>
      <c r="G67" s="44">
        <f t="shared" si="28"/>
        <v>0</v>
      </c>
      <c r="H67" s="44">
        <f t="shared" si="28"/>
        <v>0</v>
      </c>
    </row>
    <row r="68" spans="1:12" x14ac:dyDescent="0.25">
      <c r="A68" s="9"/>
      <c r="B68" s="9" t="s">
        <v>114</v>
      </c>
      <c r="C68" s="9" t="s">
        <v>113</v>
      </c>
      <c r="E68" s="44">
        <f>6*21</f>
        <v>126</v>
      </c>
      <c r="F68" s="44">
        <v>0</v>
      </c>
      <c r="G68" s="44">
        <v>0</v>
      </c>
      <c r="H68" s="44">
        <f>G68</f>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6813.0719999999992</v>
      </c>
      <c r="F71" s="44">
        <f t="shared" ref="F71:H71" si="29">F72*F73</f>
        <v>0</v>
      </c>
      <c r="G71" s="44">
        <f t="shared" si="29"/>
        <v>0</v>
      </c>
      <c r="H71" s="44">
        <f t="shared" si="29"/>
        <v>0</v>
      </c>
      <c r="I71" s="62"/>
      <c r="J71" s="6"/>
      <c r="K71" s="6"/>
      <c r="L71" s="6"/>
    </row>
    <row r="72" spans="1:12" s="7" customFormat="1" x14ac:dyDescent="0.25">
      <c r="A72" s="9"/>
      <c r="B72" s="9" t="s">
        <v>170</v>
      </c>
      <c r="C72" s="9" t="s">
        <v>113</v>
      </c>
      <c r="D72" s="44"/>
      <c r="E72" s="44">
        <f>2*21</f>
        <v>42</v>
      </c>
      <c r="F72" s="44">
        <v>0</v>
      </c>
      <c r="G72" s="44">
        <v>0</v>
      </c>
      <c r="H72" s="44">
        <v>0</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x14ac:dyDescent="0.25">
      <c r="A111" s="50"/>
      <c r="B111" s="50" t="s">
        <v>24</v>
      </c>
      <c r="C111" s="50"/>
      <c r="D111" s="52"/>
      <c r="E111" s="52">
        <f t="shared" ref="E111:H111" si="34">E112*E113</f>
        <v>300</v>
      </c>
      <c r="F111" s="52">
        <f t="shared" si="34"/>
        <v>0</v>
      </c>
      <c r="G111" s="52">
        <f t="shared" si="34"/>
        <v>0</v>
      </c>
      <c r="H111" s="52">
        <f t="shared" si="34"/>
        <v>0</v>
      </c>
    </row>
    <row r="112" spans="1:12" s="7" customFormat="1" x14ac:dyDescent="0.25">
      <c r="A112" s="5"/>
      <c r="B112" s="39" t="s">
        <v>53</v>
      </c>
      <c r="C112" s="5"/>
      <c r="D112" s="44"/>
      <c r="E112" s="44">
        <v>50</v>
      </c>
      <c r="F112" s="44">
        <v>0</v>
      </c>
      <c r="G112" s="44"/>
      <c r="H112" s="44"/>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150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x14ac:dyDescent="0.25">
      <c r="B148" s="41" t="s">
        <v>217</v>
      </c>
      <c r="D148" s="44"/>
      <c r="E148" s="44">
        <v>3</v>
      </c>
      <c r="F148" s="44">
        <v>0</v>
      </c>
      <c r="G148" s="44">
        <v>0</v>
      </c>
      <c r="H148" s="44">
        <v>0</v>
      </c>
      <c r="I148" s="62"/>
      <c r="J148" s="6"/>
      <c r="K148" s="6"/>
      <c r="L148" s="6"/>
    </row>
    <row r="149" spans="1:12" s="5" customFormat="1" x14ac:dyDescent="0.25">
      <c r="B149" s="41" t="s">
        <v>214</v>
      </c>
      <c r="D149" s="44"/>
      <c r="E149" s="44">
        <f>'Rates and GI'!$D$61</f>
        <v>50</v>
      </c>
      <c r="F149" s="44">
        <f>'Rates and GI'!$D$61</f>
        <v>50</v>
      </c>
      <c r="G149" s="38">
        <f>'Rates and GI'!$D$61</f>
        <v>50</v>
      </c>
      <c r="H149" s="38">
        <f>'Rates and GI'!$D$61</f>
        <v>50</v>
      </c>
      <c r="I149" s="62"/>
      <c r="J149" s="6"/>
      <c r="K149" s="6"/>
      <c r="L149" s="6"/>
    </row>
    <row r="150" spans="1:12"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hidden="1" x14ac:dyDescent="0.25"/>
  </sheetData>
  <pageMargins left="0.7" right="0.7" top="0.75" bottom="0.75" header="0.3" footer="0.3"/>
  <pageSetup paperSize="9" scale="56" fitToHeight="0"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6"/>
  <sheetViews>
    <sheetView topLeftCell="A51" workbookViewId="0">
      <selection activeCell="B193" sqref="B193"/>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51.75" x14ac:dyDescent="0.3">
      <c r="A1" s="123">
        <v>56</v>
      </c>
      <c r="B1" s="126" t="s">
        <v>427</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0</v>
      </c>
      <c r="E5" s="44">
        <f>E67</f>
        <v>0</v>
      </c>
      <c r="F5" s="44">
        <f t="shared" ref="F5:H5" si="1">F67</f>
        <v>0</v>
      </c>
      <c r="G5" s="44">
        <f t="shared" si="1"/>
        <v>0</v>
      </c>
      <c r="H5" s="44">
        <f t="shared" si="1"/>
        <v>0</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0</v>
      </c>
      <c r="E7" s="47">
        <f>SUBTOTAL(9,E5:E6)</f>
        <v>0</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E136</f>
        <v>0</v>
      </c>
      <c r="F26" s="44">
        <f t="shared" ref="F26:H26" si="15">F136</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E181</f>
        <v>0</v>
      </c>
      <c r="F40" s="44">
        <f t="shared" ref="F40:H40" si="20">F181</f>
        <v>0</v>
      </c>
      <c r="G40" s="44">
        <f t="shared" si="20"/>
        <v>0</v>
      </c>
      <c r="H40" s="44">
        <f t="shared" si="20"/>
        <v>0</v>
      </c>
    </row>
    <row r="41" spans="1:12" x14ac:dyDescent="0.25">
      <c r="A41" s="3"/>
      <c r="B41" s="3" t="s">
        <v>13</v>
      </c>
      <c r="C41" s="3"/>
      <c r="D41" s="44">
        <f t="shared" si="19"/>
        <v>8203.3686999999991</v>
      </c>
      <c r="E41" s="44">
        <f>E132</f>
        <v>1825.528</v>
      </c>
      <c r="F41" s="44">
        <f t="shared" ref="F41:H41" si="21">F132</f>
        <v>2016.9221099999997</v>
      </c>
      <c r="G41" s="44">
        <f t="shared" si="21"/>
        <v>2126.9189759999995</v>
      </c>
      <c r="H41" s="44">
        <f t="shared" si="21"/>
        <v>2233.9996139999998</v>
      </c>
    </row>
    <row r="42" spans="1:12" x14ac:dyDescent="0.25">
      <c r="A42" s="3"/>
      <c r="B42" s="3" t="s">
        <v>22</v>
      </c>
      <c r="C42" s="3"/>
      <c r="D42" s="44">
        <f t="shared" si="19"/>
        <v>0</v>
      </c>
    </row>
    <row r="43" spans="1:12" ht="14.25" thickBot="1" x14ac:dyDescent="0.3">
      <c r="A43" s="13"/>
      <c r="B43" s="13" t="s">
        <v>68</v>
      </c>
      <c r="C43" s="13"/>
      <c r="D43" s="47">
        <f>SUBTOTAL(9,D38:D42)</f>
        <v>8203.3686999999991</v>
      </c>
      <c r="E43" s="47">
        <f t="shared" ref="E43:H43" si="22">SUBTOTAL(9,E38:E42)</f>
        <v>1825.528</v>
      </c>
      <c r="F43" s="47">
        <f t="shared" si="22"/>
        <v>2016.9221099999997</v>
      </c>
      <c r="G43" s="47">
        <f t="shared" si="22"/>
        <v>2126.9189759999995</v>
      </c>
      <c r="H43" s="47">
        <f t="shared" si="22"/>
        <v>2233.9996139999998</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3">SUM(E46:H46)</f>
        <v>0</v>
      </c>
      <c r="E46" s="44">
        <f>E186</f>
        <v>0</v>
      </c>
      <c r="F46" s="44">
        <f t="shared" ref="F46:H46" si="24">F186</f>
        <v>0</v>
      </c>
      <c r="G46" s="44">
        <f t="shared" si="24"/>
        <v>0</v>
      </c>
      <c r="H46" s="44">
        <f t="shared" si="24"/>
        <v>0</v>
      </c>
      <c r="I46" s="6"/>
    </row>
    <row r="47" spans="1:12" ht="14.25" thickBot="1" x14ac:dyDescent="0.3">
      <c r="A47" s="13"/>
      <c r="B47" s="13" t="s">
        <v>256</v>
      </c>
      <c r="C47" s="136"/>
      <c r="D47" s="47">
        <f>SUBTOTAL(9,D46)</f>
        <v>0</v>
      </c>
      <c r="E47" s="47">
        <f t="shared" ref="E47:H47" si="25">SUBTOTAL(9,E46)</f>
        <v>0</v>
      </c>
      <c r="F47" s="47">
        <f t="shared" si="25"/>
        <v>0</v>
      </c>
      <c r="G47" s="47">
        <f t="shared" si="25"/>
        <v>0</v>
      </c>
      <c r="H47" s="47">
        <f t="shared" si="25"/>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6">SUM(E50:H50)</f>
        <v>0</v>
      </c>
      <c r="E50" s="44">
        <f>E155</f>
        <v>0</v>
      </c>
      <c r="F50" s="44">
        <f t="shared" ref="F50:H50" si="27">F155</f>
        <v>0</v>
      </c>
      <c r="G50" s="44">
        <f t="shared" si="27"/>
        <v>0</v>
      </c>
      <c r="H50" s="44">
        <f t="shared" si="27"/>
        <v>0</v>
      </c>
    </row>
    <row r="51" spans="1:12" x14ac:dyDescent="0.25">
      <c r="A51" s="3"/>
      <c r="B51" s="3" t="s">
        <v>21</v>
      </c>
      <c r="C51" s="3"/>
      <c r="D51" s="44">
        <f t="shared" si="26"/>
        <v>0</v>
      </c>
      <c r="E51" s="44">
        <f>E145</f>
        <v>0</v>
      </c>
      <c r="F51" s="44">
        <f t="shared" ref="F51:H51" si="28">F145</f>
        <v>0</v>
      </c>
      <c r="G51" s="44">
        <f t="shared" si="28"/>
        <v>0</v>
      </c>
      <c r="H51" s="44">
        <f t="shared" si="28"/>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8203.3686999999991</v>
      </c>
      <c r="E54" s="49">
        <f>SUBTOTAL(9,E5:E52)</f>
        <v>1825.528</v>
      </c>
      <c r="F54" s="49">
        <f>SUBTOTAL(9,F5:F52)</f>
        <v>2016.9221099999997</v>
      </c>
      <c r="G54" s="49">
        <f>SUBTOTAL(9,G5:G52)</f>
        <v>2126.9189759999995</v>
      </c>
      <c r="H54" s="49">
        <f>SUBTOTAL(9,H5:H52)</f>
        <v>2233.9996139999998</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hidden="1" x14ac:dyDescent="0.25">
      <c r="A66" s="9"/>
      <c r="B66" s="9"/>
      <c r="C66" s="9"/>
    </row>
    <row r="67" spans="1:12" hidden="1" x14ac:dyDescent="0.25">
      <c r="B67" s="5" t="s">
        <v>23</v>
      </c>
      <c r="E67" s="44">
        <f>E68*E69</f>
        <v>0</v>
      </c>
      <c r="F67" s="44">
        <f t="shared" ref="F67:H67" si="29">F68*F69</f>
        <v>0</v>
      </c>
      <c r="G67" s="44">
        <f t="shared" si="29"/>
        <v>0</v>
      </c>
      <c r="H67" s="44">
        <f t="shared" si="29"/>
        <v>0</v>
      </c>
    </row>
    <row r="68" spans="1:12" hidden="1" x14ac:dyDescent="0.25">
      <c r="A68" s="9"/>
      <c r="B68" s="9" t="s">
        <v>114</v>
      </c>
      <c r="C68" s="9" t="s">
        <v>113</v>
      </c>
      <c r="E68" s="44">
        <v>0</v>
      </c>
      <c r="F68" s="44">
        <v>0</v>
      </c>
      <c r="G68" s="44">
        <v>0</v>
      </c>
      <c r="H68" s="44">
        <f>G68</f>
        <v>0</v>
      </c>
    </row>
    <row r="69" spans="1:12" hidden="1"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30">F72*F73</f>
        <v>0</v>
      </c>
      <c r="G71" s="44">
        <f t="shared" si="30"/>
        <v>0</v>
      </c>
      <c r="H71" s="44">
        <f t="shared" si="30"/>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0" spans="1:12" hidden="1" x14ac:dyDescent="0.25"/>
    <row r="91" spans="1:12" hidden="1" x14ac:dyDescent="0.25">
      <c r="A91" s="50"/>
      <c r="B91" s="50" t="s">
        <v>10</v>
      </c>
      <c r="C91" s="50"/>
      <c r="D91" s="52"/>
      <c r="E91" s="52">
        <f>E92*E93+E95*E96</f>
        <v>0</v>
      </c>
      <c r="F91" s="52">
        <f t="shared" ref="F91:H91" si="31">F92*F93+F95*F96</f>
        <v>0</v>
      </c>
      <c r="G91" s="52">
        <f t="shared" si="31"/>
        <v>0</v>
      </c>
      <c r="H91" s="52">
        <f t="shared" si="31"/>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2">F100*F101</f>
        <v>0</v>
      </c>
      <c r="G99" s="52">
        <f t="shared" si="32"/>
        <v>0</v>
      </c>
      <c r="H99" s="52">
        <f t="shared" si="32"/>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3">F104*F105+F106*F107+F108*F109</f>
        <v>0</v>
      </c>
      <c r="G103" s="52">
        <f t="shared" si="33"/>
        <v>0</v>
      </c>
      <c r="H103" s="52">
        <f t="shared" si="33"/>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4">G92</f>
        <v>0</v>
      </c>
      <c r="H105" s="44">
        <f t="shared" si="34"/>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44">
        <v>0</v>
      </c>
      <c r="H107" s="44">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35">E112*E113</f>
        <v>0</v>
      </c>
      <c r="F111" s="52">
        <f t="shared" si="35"/>
        <v>0</v>
      </c>
      <c r="G111" s="52">
        <f t="shared" si="35"/>
        <v>0</v>
      </c>
      <c r="H111" s="52">
        <f t="shared" si="35"/>
        <v>0</v>
      </c>
    </row>
    <row r="112" spans="1:12" s="7" customFormat="1" hidden="1" x14ac:dyDescent="0.25">
      <c r="A112" s="5"/>
      <c r="B112" s="39" t="s">
        <v>53</v>
      </c>
      <c r="C112" s="5"/>
      <c r="D112" s="44"/>
      <c r="E112" s="44">
        <v>0</v>
      </c>
      <c r="F112" s="44">
        <v>0</v>
      </c>
      <c r="G112" s="44"/>
      <c r="H112" s="44"/>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hidden="1" x14ac:dyDescent="0.25">
      <c r="A128" s="50"/>
      <c r="B128" s="50" t="s">
        <v>8</v>
      </c>
      <c r="C128" s="50"/>
      <c r="D128" s="52"/>
      <c r="E128" s="52"/>
      <c r="F128" s="52"/>
      <c r="G128" s="52"/>
      <c r="H128" s="52"/>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x14ac:dyDescent="0.25">
      <c r="A132" s="50"/>
      <c r="B132" s="50" t="s">
        <v>478</v>
      </c>
      <c r="C132" s="50"/>
      <c r="D132" s="52"/>
      <c r="E132" s="52">
        <f>E133*E134</f>
        <v>1825.528</v>
      </c>
      <c r="F132" s="52">
        <f t="shared" ref="F132:H132" si="36">F133*F134</f>
        <v>2016.9221099999997</v>
      </c>
      <c r="G132" s="52">
        <f t="shared" si="36"/>
        <v>2126.9189759999995</v>
      </c>
      <c r="H132" s="52">
        <f t="shared" si="36"/>
        <v>2233.9996139999998</v>
      </c>
    </row>
    <row r="133" spans="1:12" x14ac:dyDescent="0.25">
      <c r="B133" s="41" t="s">
        <v>480</v>
      </c>
      <c r="E133" s="44">
        <v>68</v>
      </c>
      <c r="F133" s="44">
        <f>E133+5</f>
        <v>73</v>
      </c>
      <c r="G133" s="44">
        <f t="shared" ref="G133:H133" si="37">F133+5</f>
        <v>78</v>
      </c>
      <c r="H133" s="44">
        <f t="shared" si="37"/>
        <v>83</v>
      </c>
    </row>
    <row r="134" spans="1:12" x14ac:dyDescent="0.25">
      <c r="B134" s="41" t="s">
        <v>479</v>
      </c>
      <c r="E134" s="44">
        <f>26846/1000</f>
        <v>26.846</v>
      </c>
      <c r="F134" s="44">
        <f>(26490/1000)*(1+index)</f>
        <v>27.629069999999995</v>
      </c>
      <c r="G134" s="44">
        <f>(26144/1000)*(1+index)</f>
        <v>27.268191999999996</v>
      </c>
      <c r="H134" s="44">
        <f>(25806/1000)*(1+index)</f>
        <v>26.915658000000001</v>
      </c>
    </row>
    <row r="135" spans="1:12" x14ac:dyDescent="0.25">
      <c r="A135" s="228"/>
      <c r="B135" s="228"/>
      <c r="C135" s="228"/>
      <c r="D135" s="230"/>
      <c r="E135" s="230"/>
      <c r="F135" s="230"/>
      <c r="G135" s="230"/>
      <c r="H135" s="230"/>
    </row>
    <row r="136" spans="1:12" hidden="1" x14ac:dyDescent="0.25">
      <c r="A136" s="50"/>
      <c r="B136" s="50" t="s">
        <v>25</v>
      </c>
      <c r="C136" s="50"/>
      <c r="D136" s="52"/>
      <c r="E136" s="52">
        <f>E137+E140</f>
        <v>0</v>
      </c>
      <c r="F136" s="52">
        <f t="shared" ref="F136:H136" si="38">F137+F140</f>
        <v>0</v>
      </c>
      <c r="G136" s="52">
        <f t="shared" si="38"/>
        <v>0</v>
      </c>
      <c r="H136" s="52">
        <f t="shared" si="38"/>
        <v>0</v>
      </c>
    </row>
    <row r="137" spans="1:12" s="5" customFormat="1" hidden="1" x14ac:dyDescent="0.25">
      <c r="B137" s="5" t="s">
        <v>205</v>
      </c>
      <c r="D137" s="44"/>
      <c r="E137" s="44"/>
      <c r="F137" s="44">
        <v>0</v>
      </c>
      <c r="G137" s="38"/>
      <c r="H137" s="38"/>
      <c r="I137" s="62"/>
      <c r="J137" s="6"/>
      <c r="K137" s="6"/>
      <c r="L137" s="6"/>
    </row>
    <row r="138" spans="1:12" s="5" customFormat="1" hidden="1" x14ac:dyDescent="0.25">
      <c r="B138" s="41"/>
      <c r="D138" s="44"/>
      <c r="E138" s="44"/>
      <c r="F138" s="44"/>
      <c r="G138" s="38"/>
      <c r="H138" s="38"/>
      <c r="I138" s="62"/>
      <c r="J138" s="6"/>
      <c r="K138" s="6"/>
      <c r="L138" s="6"/>
    </row>
    <row r="139" spans="1:12" s="5" customFormat="1" hidden="1" x14ac:dyDescent="0.25">
      <c r="B139" s="41"/>
      <c r="D139" s="44"/>
      <c r="E139" s="44"/>
      <c r="F139" s="44"/>
      <c r="G139" s="38"/>
      <c r="H139" s="38"/>
      <c r="I139" s="62"/>
      <c r="J139" s="6"/>
      <c r="K139" s="6"/>
      <c r="L139" s="6"/>
    </row>
    <row r="140" spans="1:12" s="5" customFormat="1" hidden="1" x14ac:dyDescent="0.25">
      <c r="B140" s="5" t="s">
        <v>154</v>
      </c>
      <c r="D140" s="44"/>
      <c r="E140" s="44">
        <f>E141+E142*E143</f>
        <v>0</v>
      </c>
      <c r="F140" s="44">
        <f>F141+F142*F143</f>
        <v>0</v>
      </c>
      <c r="G140" s="44">
        <f t="shared" ref="G140:H140" si="39">G141+G142*G143</f>
        <v>0</v>
      </c>
      <c r="H140" s="44">
        <f t="shared" si="39"/>
        <v>0</v>
      </c>
      <c r="I140" s="73"/>
    </row>
    <row r="141" spans="1:12" hidden="1" x14ac:dyDescent="0.25">
      <c r="B141" s="41" t="s">
        <v>153</v>
      </c>
      <c r="F141" s="44">
        <f>'Rates and GI'!D46*0</f>
        <v>0</v>
      </c>
    </row>
    <row r="142" spans="1:12" hidden="1" x14ac:dyDescent="0.25">
      <c r="B142" s="41" t="s">
        <v>159</v>
      </c>
      <c r="E142" s="60">
        <f>'Rates and GI'!$D$48</f>
        <v>0.02</v>
      </c>
      <c r="F142" s="60">
        <f>'Rates and GI'!$D$48</f>
        <v>0.02</v>
      </c>
      <c r="G142" s="60">
        <f>'Rates and GI'!$D$48</f>
        <v>0.02</v>
      </c>
      <c r="H142" s="60">
        <f>'Rates and GI'!$D$48</f>
        <v>0.02</v>
      </c>
    </row>
    <row r="143" spans="1:12" hidden="1" x14ac:dyDescent="0.25">
      <c r="B143" s="41" t="s">
        <v>160</v>
      </c>
      <c r="E143" s="44">
        <v>0</v>
      </c>
      <c r="F143" s="44">
        <v>0</v>
      </c>
      <c r="G143" s="44">
        <v>0</v>
      </c>
      <c r="H143" s="44">
        <v>0</v>
      </c>
    </row>
    <row r="144" spans="1:12" s="5" customFormat="1" hidden="1" x14ac:dyDescent="0.25">
      <c r="B144" s="41"/>
      <c r="D144" s="44"/>
      <c r="E144" s="44"/>
      <c r="F144" s="44"/>
      <c r="G144" s="38"/>
      <c r="H144" s="38"/>
      <c r="I144" s="62"/>
      <c r="J144" s="6"/>
      <c r="K144" s="6"/>
      <c r="L144" s="6"/>
    </row>
    <row r="145" spans="1:12" hidden="1" x14ac:dyDescent="0.25">
      <c r="A145" s="50"/>
      <c r="B145" s="50" t="s">
        <v>21</v>
      </c>
      <c r="C145" s="50"/>
      <c r="D145" s="52"/>
      <c r="E145" s="52">
        <f>E146*E147+E148*E149++E150*E151+E152*E153</f>
        <v>0</v>
      </c>
      <c r="F145" s="52">
        <f t="shared" ref="F145:H145" si="40">F146*F147+F148*F149++F150*F151+F152*F153</f>
        <v>0</v>
      </c>
      <c r="G145" s="52">
        <f t="shared" si="40"/>
        <v>0</v>
      </c>
      <c r="H145" s="52">
        <f t="shared" si="40"/>
        <v>0</v>
      </c>
    </row>
    <row r="146" spans="1:12" hidden="1" x14ac:dyDescent="0.25">
      <c r="B146" s="41" t="s">
        <v>150</v>
      </c>
      <c r="G146" s="44">
        <v>0</v>
      </c>
      <c r="H146" s="44"/>
    </row>
    <row r="147" spans="1:12" hidden="1" x14ac:dyDescent="0.25">
      <c r="B147" s="41" t="s">
        <v>151</v>
      </c>
      <c r="E147" s="44">
        <f>'Rates and GI'!$D$58</f>
        <v>5000</v>
      </c>
      <c r="F147" s="44">
        <f>'Rates and GI'!$D$58</f>
        <v>5000</v>
      </c>
      <c r="G147" s="44">
        <f>'Rates and GI'!$D$58</f>
        <v>5000</v>
      </c>
      <c r="H147" s="44">
        <f>'Rates and GI'!$D$58</f>
        <v>5000</v>
      </c>
    </row>
    <row r="148" spans="1:12" hidden="1" x14ac:dyDescent="0.25">
      <c r="B148" s="41" t="s">
        <v>148</v>
      </c>
      <c r="E148" s="44">
        <v>0</v>
      </c>
      <c r="F148" s="44">
        <v>0</v>
      </c>
      <c r="G148" s="44">
        <v>0</v>
      </c>
      <c r="H148" s="44">
        <v>0</v>
      </c>
    </row>
    <row r="149" spans="1:12" hidden="1" x14ac:dyDescent="0.25">
      <c r="B149" s="41" t="s">
        <v>149</v>
      </c>
      <c r="E149" s="44">
        <f>'Rates and GI'!$D$59</f>
        <v>1500</v>
      </c>
      <c r="F149" s="44">
        <f>'Rates and GI'!$D$59</f>
        <v>1500</v>
      </c>
      <c r="G149" s="44">
        <f>'Rates and GI'!$D$59</f>
        <v>1500</v>
      </c>
      <c r="H149" s="44">
        <f>'Rates and GI'!$D$59</f>
        <v>1500</v>
      </c>
    </row>
    <row r="150" spans="1:12" ht="27" hidden="1" x14ac:dyDescent="0.25">
      <c r="B150" s="63" t="s">
        <v>162</v>
      </c>
      <c r="E150" s="44">
        <v>0</v>
      </c>
      <c r="F150" s="44">
        <v>0</v>
      </c>
      <c r="G150" s="44">
        <v>0</v>
      </c>
      <c r="H150" s="44">
        <v>0</v>
      </c>
    </row>
    <row r="151" spans="1:12" ht="27" hidden="1" x14ac:dyDescent="0.25">
      <c r="B151" s="63" t="s">
        <v>161</v>
      </c>
      <c r="E151" s="44">
        <f>'Rates and GI'!$D$60</f>
        <v>200</v>
      </c>
      <c r="F151" s="44">
        <f>'Rates and GI'!$D$60</f>
        <v>200</v>
      </c>
      <c r="G151" s="44">
        <f>'Rates and GI'!$D$60</f>
        <v>200</v>
      </c>
      <c r="H151" s="44">
        <f>'Rates and GI'!$D$60</f>
        <v>200</v>
      </c>
    </row>
    <row r="152" spans="1:12" s="5" customFormat="1" hidden="1" x14ac:dyDescent="0.25">
      <c r="B152" s="41" t="s">
        <v>217</v>
      </c>
      <c r="D152" s="44"/>
      <c r="E152" s="44">
        <v>0</v>
      </c>
      <c r="F152" s="44">
        <v>0</v>
      </c>
      <c r="G152" s="44">
        <v>0</v>
      </c>
      <c r="H152" s="44">
        <v>0</v>
      </c>
      <c r="I152" s="62"/>
      <c r="J152" s="6"/>
      <c r="K152" s="6"/>
      <c r="L152" s="6"/>
    </row>
    <row r="153" spans="1:12" s="5" customFormat="1" hidden="1" x14ac:dyDescent="0.25">
      <c r="B153" s="41" t="s">
        <v>214</v>
      </c>
      <c r="D153" s="44"/>
      <c r="E153" s="44">
        <f>'Rates and GI'!$D$61</f>
        <v>50</v>
      </c>
      <c r="F153" s="44">
        <f>'Rates and GI'!$D$61</f>
        <v>50</v>
      </c>
      <c r="G153" s="38">
        <f>'Rates and GI'!$D$61</f>
        <v>50</v>
      </c>
      <c r="H153" s="38">
        <f>'Rates and GI'!$D$61</f>
        <v>50</v>
      </c>
      <c r="I153" s="62"/>
      <c r="J153" s="6"/>
      <c r="K153" s="6"/>
      <c r="L153" s="6"/>
    </row>
    <row r="154" spans="1:12" hidden="1" x14ac:dyDescent="0.25">
      <c r="A154" s="50"/>
      <c r="B154" s="50"/>
      <c r="C154" s="50"/>
      <c r="D154" s="52"/>
      <c r="E154" s="52"/>
      <c r="F154" s="52"/>
      <c r="G154" s="52"/>
      <c r="H154" s="52"/>
    </row>
    <row r="155" spans="1:12" hidden="1" x14ac:dyDescent="0.25">
      <c r="A155" s="50"/>
      <c r="B155" s="50" t="s">
        <v>194</v>
      </c>
      <c r="C155" s="50"/>
      <c r="D155" s="52"/>
      <c r="E155" s="52">
        <f>E156+E159+E162+E171+E176</f>
        <v>0</v>
      </c>
      <c r="F155" s="52">
        <f t="shared" ref="F155:H155" si="41">F156+F159+F162+F171+F176</f>
        <v>0</v>
      </c>
      <c r="G155" s="52">
        <f t="shared" si="41"/>
        <v>0</v>
      </c>
      <c r="H155" s="52">
        <f t="shared" si="41"/>
        <v>0</v>
      </c>
    </row>
    <row r="156" spans="1:12" s="5" customFormat="1" hidden="1" x14ac:dyDescent="0.25">
      <c r="B156" s="5" t="s">
        <v>173</v>
      </c>
      <c r="D156" s="44"/>
      <c r="E156" s="44">
        <f>E157+E160*E161</f>
        <v>0</v>
      </c>
      <c r="F156" s="44">
        <f>F157+F160*F161</f>
        <v>0</v>
      </c>
      <c r="G156" s="44">
        <f>G157+G160*G161</f>
        <v>0</v>
      </c>
      <c r="H156" s="44">
        <f t="shared" ref="H156" si="42">H157+H160*H161</f>
        <v>0</v>
      </c>
      <c r="I156" s="73"/>
    </row>
    <row r="157" spans="1:12" hidden="1" x14ac:dyDescent="0.25">
      <c r="B157" s="41" t="s">
        <v>184</v>
      </c>
      <c r="F157" s="44">
        <f>('Rates and GI'!$D$45+'Rates and GI'!$D$49)*0</f>
        <v>0</v>
      </c>
      <c r="G157" s="44">
        <f>('Rates and GI'!$D$45+'Rates and GI'!$D$49)*0</f>
        <v>0</v>
      </c>
      <c r="H157" s="44"/>
    </row>
    <row r="158" spans="1:12" hidden="1" x14ac:dyDescent="0.25">
      <c r="B158" s="41" t="s">
        <v>187</v>
      </c>
      <c r="F158" s="44">
        <f>'Rates and GI'!$D$51*0</f>
        <v>0</v>
      </c>
      <c r="G158" s="44">
        <f>'Rates and GI'!$D$51*0</f>
        <v>0</v>
      </c>
      <c r="H158" s="44"/>
    </row>
    <row r="159" spans="1:12" hidden="1" x14ac:dyDescent="0.25">
      <c r="B159" s="5" t="s">
        <v>174</v>
      </c>
      <c r="E159" s="44">
        <f>E160*E161</f>
        <v>0</v>
      </c>
      <c r="F159" s="44">
        <f t="shared" ref="F159:H159" si="43">F160*F161</f>
        <v>0</v>
      </c>
      <c r="G159" s="44">
        <f t="shared" si="43"/>
        <v>0</v>
      </c>
      <c r="H159" s="44">
        <f t="shared" si="43"/>
        <v>0</v>
      </c>
    </row>
    <row r="160" spans="1:12" hidden="1" x14ac:dyDescent="0.25">
      <c r="B160" s="41" t="s">
        <v>164</v>
      </c>
      <c r="F160" s="44">
        <f>'Rates and GI'!$D$54</f>
        <v>24.066499999999998</v>
      </c>
      <c r="G160" s="44">
        <f>'Rates and GI'!$D$54</f>
        <v>24.066499999999998</v>
      </c>
      <c r="H160" s="44">
        <f>'Rates and GI'!$D$54</f>
        <v>24.066499999999998</v>
      </c>
    </row>
    <row r="161" spans="1:12" hidden="1" x14ac:dyDescent="0.25">
      <c r="B161" s="41" t="s">
        <v>163</v>
      </c>
      <c r="F161" s="44">
        <v>0</v>
      </c>
      <c r="G161" s="38">
        <v>0</v>
      </c>
      <c r="H161" s="38">
        <v>0</v>
      </c>
    </row>
    <row r="162" spans="1:12" hidden="1" x14ac:dyDescent="0.25">
      <c r="B162" s="5" t="s">
        <v>175</v>
      </c>
      <c r="E162" s="44">
        <f>E163+E167</f>
        <v>0</v>
      </c>
      <c r="F162" s="44">
        <f t="shared" ref="F162:H162" si="44">F163+F167</f>
        <v>0</v>
      </c>
      <c r="G162" s="44">
        <f t="shared" si="44"/>
        <v>0</v>
      </c>
      <c r="H162" s="44">
        <f t="shared" si="44"/>
        <v>0</v>
      </c>
    </row>
    <row r="163" spans="1:12" hidden="1" x14ac:dyDescent="0.25">
      <c r="B163" s="41" t="s">
        <v>189</v>
      </c>
      <c r="E163" s="44">
        <f>E164*E165</f>
        <v>0</v>
      </c>
      <c r="F163" s="44">
        <f t="shared" ref="F163:H163" si="45">F164*F165</f>
        <v>0</v>
      </c>
      <c r="G163" s="44">
        <f t="shared" si="45"/>
        <v>0</v>
      </c>
      <c r="H163" s="44">
        <f t="shared" si="45"/>
        <v>0</v>
      </c>
    </row>
    <row r="164" spans="1:12" hidden="1" x14ac:dyDescent="0.25">
      <c r="B164" s="41" t="s">
        <v>176</v>
      </c>
      <c r="C164" s="5" t="s">
        <v>177</v>
      </c>
      <c r="E164" s="44">
        <v>0</v>
      </c>
      <c r="F164" s="44">
        <v>0</v>
      </c>
      <c r="G164" s="38">
        <v>0</v>
      </c>
      <c r="H164" s="38">
        <v>0</v>
      </c>
    </row>
    <row r="165" spans="1:12" hidden="1" x14ac:dyDescent="0.25">
      <c r="B165" s="41" t="s">
        <v>178</v>
      </c>
      <c r="E165" s="44">
        <f>'Rates and GI'!$D$52</f>
        <v>150</v>
      </c>
      <c r="F165" s="44">
        <f>'Rates and GI'!$D$52</f>
        <v>150</v>
      </c>
      <c r="G165" s="44">
        <f>'Rates and GI'!$D$52</f>
        <v>150</v>
      </c>
      <c r="H165" s="44">
        <f>'Rates and GI'!$D$52</f>
        <v>150</v>
      </c>
    </row>
    <row r="166" spans="1:12" hidden="1" x14ac:dyDescent="0.25">
      <c r="B166" s="6"/>
    </row>
    <row r="167" spans="1:12" hidden="1" x14ac:dyDescent="0.25">
      <c r="B167" s="41" t="s">
        <v>190</v>
      </c>
      <c r="E167" s="44">
        <f>E168*E169</f>
        <v>0</v>
      </c>
      <c r="F167" s="44">
        <f t="shared" ref="F167:H167" si="46">F168*F169</f>
        <v>0</v>
      </c>
      <c r="G167" s="44">
        <f t="shared" si="46"/>
        <v>0</v>
      </c>
      <c r="H167" s="44">
        <f t="shared" si="46"/>
        <v>0</v>
      </c>
    </row>
    <row r="168" spans="1:12" hidden="1" x14ac:dyDescent="0.25">
      <c r="B168" s="41" t="s">
        <v>176</v>
      </c>
      <c r="C168" s="5" t="s">
        <v>177</v>
      </c>
      <c r="E168" s="44">
        <v>0</v>
      </c>
      <c r="F168" s="44">
        <v>0</v>
      </c>
      <c r="G168" s="38">
        <v>0</v>
      </c>
      <c r="H168" s="38">
        <v>0</v>
      </c>
    </row>
    <row r="169" spans="1:12" s="62" customFormat="1" hidden="1" x14ac:dyDescent="0.25">
      <c r="A169" s="5"/>
      <c r="B169" s="41" t="s">
        <v>178</v>
      </c>
      <c r="C169" s="5"/>
      <c r="D169" s="44"/>
      <c r="E169" s="44">
        <f>'Rates and GI'!$D$53</f>
        <v>20</v>
      </c>
      <c r="F169" s="44">
        <f>'Rates and GI'!$D$53</f>
        <v>20</v>
      </c>
      <c r="G169" s="44">
        <f>'Rates and GI'!$D$53</f>
        <v>20</v>
      </c>
      <c r="H169" s="44">
        <f>'Rates and GI'!$D$53</f>
        <v>20</v>
      </c>
      <c r="J169" s="6"/>
      <c r="K169" s="6"/>
      <c r="L169" s="6"/>
    </row>
    <row r="170" spans="1:12" s="62" customFormat="1" hidden="1" x14ac:dyDescent="0.25">
      <c r="A170" s="5"/>
      <c r="B170" s="6"/>
      <c r="C170" s="5"/>
      <c r="D170" s="44"/>
      <c r="E170" s="44"/>
      <c r="F170" s="44"/>
      <c r="G170" s="38"/>
      <c r="H170" s="38"/>
      <c r="J170" s="6"/>
      <c r="K170" s="6"/>
      <c r="L170" s="6"/>
    </row>
    <row r="171" spans="1:12" s="62" customFormat="1" hidden="1" x14ac:dyDescent="0.25">
      <c r="A171" s="5"/>
      <c r="B171" s="5" t="s">
        <v>179</v>
      </c>
      <c r="C171" s="5"/>
      <c r="D171" s="44"/>
      <c r="E171" s="44">
        <f>E172*E173*E174</f>
        <v>0</v>
      </c>
      <c r="F171" s="44">
        <f t="shared" ref="F171:H171" si="47">F172*F173*F174</f>
        <v>0</v>
      </c>
      <c r="G171" s="44">
        <f t="shared" si="47"/>
        <v>0</v>
      </c>
      <c r="H171" s="44">
        <f t="shared" si="47"/>
        <v>0</v>
      </c>
      <c r="J171" s="6"/>
      <c r="K171" s="6"/>
      <c r="L171" s="6"/>
    </row>
    <row r="172" spans="1:12" s="62" customFormat="1" hidden="1" x14ac:dyDescent="0.25">
      <c r="A172" s="5"/>
      <c r="B172" s="41" t="s">
        <v>191</v>
      </c>
      <c r="C172" s="5"/>
      <c r="D172" s="44"/>
      <c r="E172" s="44"/>
      <c r="F172" s="44">
        <f>'Rates and GI'!$D$55</f>
        <v>300</v>
      </c>
      <c r="G172" s="44">
        <f>'Rates and GI'!$D$55</f>
        <v>300</v>
      </c>
      <c r="H172" s="44">
        <f>'Rates and GI'!$D$55</f>
        <v>300</v>
      </c>
      <c r="J172" s="6"/>
      <c r="K172" s="6"/>
      <c r="L172" s="6"/>
    </row>
    <row r="173" spans="1:12" s="62" customFormat="1" hidden="1" x14ac:dyDescent="0.25">
      <c r="A173" s="5"/>
      <c r="B173" s="41" t="s">
        <v>192</v>
      </c>
      <c r="C173" s="5"/>
      <c r="D173" s="44"/>
      <c r="E173" s="44"/>
      <c r="F173" s="44">
        <v>3</v>
      </c>
      <c r="G173" s="44">
        <v>3</v>
      </c>
      <c r="H173" s="44">
        <v>3</v>
      </c>
      <c r="J173" s="6"/>
      <c r="K173" s="6"/>
      <c r="L173" s="6"/>
    </row>
    <row r="174" spans="1:12" s="62" customFormat="1" hidden="1" x14ac:dyDescent="0.25">
      <c r="A174" s="5"/>
      <c r="B174" s="41" t="s">
        <v>193</v>
      </c>
      <c r="C174" s="5"/>
      <c r="D174" s="44"/>
      <c r="E174" s="44"/>
      <c r="F174" s="44">
        <v>0</v>
      </c>
      <c r="G174" s="44">
        <v>0</v>
      </c>
      <c r="H174" s="44">
        <v>0</v>
      </c>
      <c r="J174" s="6"/>
      <c r="K174" s="6"/>
      <c r="L174" s="6"/>
    </row>
    <row r="175" spans="1:12" hidden="1" x14ac:dyDescent="0.25"/>
    <row r="176" spans="1:12" s="62" customFormat="1" hidden="1" x14ac:dyDescent="0.25">
      <c r="A176" s="5"/>
      <c r="B176" s="5" t="s">
        <v>172</v>
      </c>
      <c r="C176" s="5"/>
      <c r="D176" s="44"/>
      <c r="E176" s="44">
        <f>E177+E178*E179</f>
        <v>0</v>
      </c>
      <c r="F176" s="44">
        <f>F177+F178*F179</f>
        <v>0</v>
      </c>
      <c r="G176" s="44">
        <f>G177+G178*G179</f>
        <v>0</v>
      </c>
      <c r="H176" s="44">
        <f>H177+H178*H179</f>
        <v>0</v>
      </c>
      <c r="J176" s="6"/>
      <c r="K176" s="6"/>
      <c r="L176" s="6"/>
    </row>
    <row r="177" spans="1:12" s="62" customFormat="1" hidden="1" x14ac:dyDescent="0.25">
      <c r="A177" s="5"/>
      <c r="B177" s="41" t="s">
        <v>153</v>
      </c>
      <c r="C177" s="5"/>
      <c r="D177" s="44"/>
      <c r="E177" s="44"/>
      <c r="F177" s="44">
        <f>'Rates and GI'!D46*0</f>
        <v>0</v>
      </c>
      <c r="G177" s="38"/>
      <c r="H177" s="38"/>
      <c r="J177" s="6"/>
      <c r="K177" s="6"/>
      <c r="L177" s="6"/>
    </row>
    <row r="178" spans="1:12" s="62" customFormat="1" hidden="1" x14ac:dyDescent="0.25">
      <c r="A178" s="5"/>
      <c r="B178" s="41" t="s">
        <v>159</v>
      </c>
      <c r="C178" s="5"/>
      <c r="D178" s="44"/>
      <c r="E178" s="44"/>
      <c r="F178" s="65">
        <f>'Rates and GI'!$D$47</f>
        <v>0.05</v>
      </c>
      <c r="G178" s="65">
        <f>'Rates and GI'!$D$47</f>
        <v>0.05</v>
      </c>
      <c r="H178" s="65">
        <f>'Rates and GI'!$D$47</f>
        <v>0.05</v>
      </c>
      <c r="J178" s="6"/>
      <c r="K178" s="6"/>
      <c r="L178" s="6"/>
    </row>
    <row r="179" spans="1:12" s="62" customFormat="1" hidden="1" x14ac:dyDescent="0.25">
      <c r="A179" s="5"/>
      <c r="B179" s="41" t="s">
        <v>160</v>
      </c>
      <c r="C179" s="5"/>
      <c r="D179" s="44"/>
      <c r="E179" s="44"/>
      <c r="F179" s="44">
        <v>0</v>
      </c>
      <c r="G179" s="38">
        <v>0</v>
      </c>
      <c r="H179" s="38"/>
      <c r="J179" s="6"/>
      <c r="K179" s="6"/>
      <c r="L179" s="6"/>
    </row>
    <row r="180" spans="1:12" hidden="1" x14ac:dyDescent="0.25"/>
    <row r="181" spans="1:12" s="62" customFormat="1" hidden="1" x14ac:dyDescent="0.25">
      <c r="A181" s="50"/>
      <c r="B181" s="50" t="s">
        <v>19</v>
      </c>
      <c r="C181" s="50"/>
      <c r="D181" s="52"/>
      <c r="E181" s="52">
        <v>0</v>
      </c>
      <c r="F181" s="52">
        <v>0</v>
      </c>
      <c r="G181" s="52">
        <v>0</v>
      </c>
      <c r="H181" s="52">
        <v>0</v>
      </c>
      <c r="J181" s="6"/>
      <c r="K181" s="6"/>
      <c r="L181" s="6"/>
    </row>
    <row r="182" spans="1:12" hidden="1" x14ac:dyDescent="0.25"/>
    <row r="183" spans="1:12" ht="27" hidden="1" x14ac:dyDescent="0.25">
      <c r="A183" s="50"/>
      <c r="B183" s="132" t="s">
        <v>252</v>
      </c>
      <c r="C183" s="133"/>
      <c r="D183" s="51"/>
      <c r="E183" s="51"/>
      <c r="F183" s="51"/>
      <c r="G183" s="51"/>
      <c r="H183" s="51"/>
    </row>
    <row r="184" spans="1:12" hidden="1" x14ac:dyDescent="0.25">
      <c r="A184" s="10"/>
      <c r="B184" s="39" t="s">
        <v>253</v>
      </c>
      <c r="C184" s="134">
        <v>1</v>
      </c>
      <c r="D184" s="33"/>
      <c r="E184" s="44">
        <v>0</v>
      </c>
      <c r="F184" s="44">
        <v>0</v>
      </c>
      <c r="G184" s="44">
        <v>0</v>
      </c>
      <c r="H184" s="44">
        <v>0</v>
      </c>
    </row>
    <row r="185" spans="1:12" hidden="1" x14ac:dyDescent="0.25">
      <c r="B185" s="39" t="s">
        <v>254</v>
      </c>
      <c r="C185" s="33">
        <v>0</v>
      </c>
      <c r="D185" s="33"/>
      <c r="G185" s="44"/>
      <c r="H185" s="44"/>
    </row>
    <row r="186" spans="1:12" hidden="1" x14ac:dyDescent="0.25">
      <c r="B186" s="39" t="s">
        <v>255</v>
      </c>
      <c r="C186" s="73"/>
      <c r="D186" s="33"/>
      <c r="E186" s="44">
        <f>$C$185/$C$184*E184</f>
        <v>0</v>
      </c>
      <c r="F186" s="44">
        <f t="shared" ref="F186:H186" si="48">$C$185/$C$184*F184</f>
        <v>0</v>
      </c>
      <c r="G186" s="44">
        <f t="shared" si="48"/>
        <v>0</v>
      </c>
      <c r="H186" s="44">
        <f t="shared" si="48"/>
        <v>0</v>
      </c>
    </row>
  </sheetData>
  <pageMargins left="0.7" right="0.7" top="0.75" bottom="0.75" header="0.3" footer="0.3"/>
  <pageSetup paperSize="9" scale="56" fitToHeight="0" orientation="portrait" horizontalDpi="1200" verticalDpi="120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66" workbookViewId="0">
      <selection activeCell="B190" sqref="B19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57</v>
      </c>
      <c r="B1" s="126" t="s">
        <v>315</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2227.0500000000002</v>
      </c>
      <c r="E5" s="44">
        <f>E67</f>
        <v>2227.0500000000002</v>
      </c>
      <c r="F5" s="44">
        <f t="shared" ref="F5:H5" si="1">F67</f>
        <v>0</v>
      </c>
      <c r="G5" s="44">
        <f t="shared" si="1"/>
        <v>0</v>
      </c>
      <c r="H5" s="44">
        <f t="shared" si="1"/>
        <v>0</v>
      </c>
    </row>
    <row r="6" spans="1:12" x14ac:dyDescent="0.25">
      <c r="B6" s="16" t="s">
        <v>168</v>
      </c>
      <c r="D6" s="44">
        <f t="shared" si="0"/>
        <v>10219.607999999998</v>
      </c>
      <c r="E6" s="44">
        <f>E71</f>
        <v>10219.607999999998</v>
      </c>
      <c r="F6" s="44">
        <f t="shared" ref="F6:H6" si="2">F71</f>
        <v>0</v>
      </c>
      <c r="G6" s="44">
        <f t="shared" si="2"/>
        <v>0</v>
      </c>
      <c r="H6" s="44">
        <f t="shared" si="2"/>
        <v>0</v>
      </c>
    </row>
    <row r="7" spans="1:12" ht="14.25" thickBot="1" x14ac:dyDescent="0.3">
      <c r="A7" s="13"/>
      <c r="B7" s="13" t="s">
        <v>5</v>
      </c>
      <c r="C7" s="13"/>
      <c r="D7" s="47">
        <f>SUBTOTAL(9,D5:D6)</f>
        <v>12446.657999999999</v>
      </c>
      <c r="E7" s="47">
        <f>SUBTOTAL(9,E5:E6)</f>
        <v>12446.657999999999</v>
      </c>
      <c r="F7" s="47">
        <f>SUBTOTAL(9,F5:F6)</f>
        <v>0</v>
      </c>
      <c r="G7" s="47">
        <f>SUBTOTAL(9,G5:G6)</f>
        <v>0</v>
      </c>
      <c r="H7" s="47">
        <f>SUBTOTAL(9,H5:H6)</f>
        <v>0</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300</v>
      </c>
      <c r="E25" s="44">
        <f>E111</f>
        <v>300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300</v>
      </c>
      <c r="E28" s="47">
        <f t="shared" ref="E28:H28" si="16">SUBTOTAL(9,E25:E27)</f>
        <v>300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0</v>
      </c>
      <c r="E50" s="44">
        <f>E151</f>
        <v>0</v>
      </c>
      <c r="F50" s="44">
        <f t="shared" ref="F50:H50" si="26">F151</f>
        <v>0</v>
      </c>
      <c r="G50" s="44">
        <f t="shared" si="26"/>
        <v>0</v>
      </c>
      <c r="H50" s="44">
        <f t="shared" si="26"/>
        <v>0</v>
      </c>
    </row>
    <row r="51" spans="1:12" x14ac:dyDescent="0.25">
      <c r="A51" s="3"/>
      <c r="B51" s="3" t="s">
        <v>21</v>
      </c>
      <c r="C51" s="3"/>
      <c r="D51" s="44">
        <f t="shared" si="25"/>
        <v>0</v>
      </c>
      <c r="E51" s="44">
        <f>E141</f>
        <v>0</v>
      </c>
      <c r="F51" s="44">
        <f t="shared" ref="F51:H51" si="27">F141</f>
        <v>0</v>
      </c>
      <c r="G51" s="44">
        <f t="shared" si="27"/>
        <v>0</v>
      </c>
      <c r="H51" s="44">
        <f t="shared" si="27"/>
        <v>0</v>
      </c>
    </row>
    <row r="52" spans="1:12" ht="14.25" thickBot="1" x14ac:dyDescent="0.3">
      <c r="A52" s="13"/>
      <c r="B52" s="13" t="s">
        <v>69</v>
      </c>
      <c r="C52" s="13"/>
      <c r="D52" s="47">
        <f>SUBTOTAL(9,D50:D51)</f>
        <v>0</v>
      </c>
      <c r="E52" s="47">
        <f>SUBTOTAL(9,E50:E51)</f>
        <v>0</v>
      </c>
      <c r="F52" s="47">
        <f>SUBTOTAL(9,F50:F51)</f>
        <v>0</v>
      </c>
      <c r="G52" s="47">
        <f>SUBTOTAL(9,G50:G51)</f>
        <v>0</v>
      </c>
      <c r="H52" s="47">
        <f>SUBTOTAL(9,H50:H51)</f>
        <v>0</v>
      </c>
    </row>
    <row r="53" spans="1:12" ht="5.25" customHeight="1" x14ac:dyDescent="0.25">
      <c r="A53" s="1"/>
      <c r="B53" s="1"/>
      <c r="C53" s="1"/>
    </row>
    <row r="54" spans="1:12" ht="14.25" thickBot="1" x14ac:dyDescent="0.3">
      <c r="A54" s="48"/>
      <c r="B54" s="48" t="s">
        <v>142</v>
      </c>
      <c r="C54" s="48"/>
      <c r="D54" s="49">
        <f>SUBTOTAL(9,D5:D52)</f>
        <v>12746.657999999999</v>
      </c>
      <c r="E54" s="49">
        <f>SUBTOTAL(9,E5:E52)</f>
        <v>12746.657999999999</v>
      </c>
      <c r="F54" s="49">
        <f>SUBTOTAL(9,F5:F52)</f>
        <v>0</v>
      </c>
      <c r="G54" s="49">
        <f>SUBTOTAL(9,G5:G52)</f>
        <v>0</v>
      </c>
      <c r="H54" s="49">
        <f>SUBTOTAL(9,H5:H52)</f>
        <v>0</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2227.0500000000002</v>
      </c>
      <c r="F67" s="44">
        <f t="shared" ref="F67:H67" si="28">F68*F69</f>
        <v>0</v>
      </c>
      <c r="G67" s="44">
        <f t="shared" si="28"/>
        <v>0</v>
      </c>
      <c r="H67" s="44">
        <f t="shared" si="28"/>
        <v>0</v>
      </c>
    </row>
    <row r="68" spans="1:12" x14ac:dyDescent="0.25">
      <c r="A68" s="9"/>
      <c r="B68" s="9" t="s">
        <v>114</v>
      </c>
      <c r="C68" s="9" t="s">
        <v>113</v>
      </c>
      <c r="E68" s="44">
        <f>6*21</f>
        <v>126</v>
      </c>
      <c r="F68" s="44">
        <v>0</v>
      </c>
      <c r="G68" s="44">
        <v>0</v>
      </c>
      <c r="H68" s="44">
        <f>G68</f>
        <v>0</v>
      </c>
    </row>
    <row r="69" spans="1:12" x14ac:dyDescent="0.25">
      <c r="A69" s="9"/>
      <c r="B69" s="9" t="s">
        <v>40</v>
      </c>
      <c r="C69" s="9"/>
      <c r="E69" s="44">
        <f>'Rates and GI'!D12</f>
        <v>17.675000000000001</v>
      </c>
      <c r="F69" s="44">
        <f>E69*(1+index)</f>
        <v>18.435025</v>
      </c>
      <c r="G69" s="44">
        <f>F69*(1+index)</f>
        <v>19.227731074999998</v>
      </c>
      <c r="H69" s="44">
        <f>G69*(1+index)</f>
        <v>20.054523511224996</v>
      </c>
    </row>
    <row r="71" spans="1:12" s="7" customFormat="1" x14ac:dyDescent="0.25">
      <c r="A71" s="5"/>
      <c r="B71" s="5" t="s">
        <v>168</v>
      </c>
      <c r="C71" s="5"/>
      <c r="D71" s="44"/>
      <c r="E71" s="44">
        <f>E72*E73</f>
        <v>10219.607999999998</v>
      </c>
      <c r="F71" s="44">
        <f t="shared" ref="F71:H71" si="29">F72*F73</f>
        <v>0</v>
      </c>
      <c r="G71" s="44">
        <f t="shared" si="29"/>
        <v>0</v>
      </c>
      <c r="H71" s="44">
        <f t="shared" si="29"/>
        <v>0</v>
      </c>
      <c r="I71" s="62"/>
      <c r="J71" s="6"/>
      <c r="K71" s="6"/>
      <c r="L71" s="6"/>
    </row>
    <row r="72" spans="1:12" s="7" customFormat="1" x14ac:dyDescent="0.25">
      <c r="A72" s="9"/>
      <c r="B72" s="9" t="s">
        <v>170</v>
      </c>
      <c r="C72" s="9" t="s">
        <v>113</v>
      </c>
      <c r="D72" s="44"/>
      <c r="E72" s="44">
        <f>21*3</f>
        <v>63</v>
      </c>
      <c r="F72" s="44">
        <v>0</v>
      </c>
      <c r="G72" s="44">
        <v>0</v>
      </c>
      <c r="H72" s="44">
        <v>0</v>
      </c>
      <c r="I72" s="62"/>
      <c r="J72" s="6"/>
      <c r="K72" s="6"/>
      <c r="L72" s="6"/>
    </row>
    <row r="73" spans="1:12" s="7" customFormat="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hidden="1" x14ac:dyDescent="0.25">
      <c r="A91" s="50"/>
      <c r="B91" s="50" t="s">
        <v>10</v>
      </c>
      <c r="C91" s="50"/>
      <c r="D91" s="52"/>
      <c r="E91" s="52">
        <f>E92*E93+E95*E96</f>
        <v>0</v>
      </c>
      <c r="F91" s="52">
        <f t="shared" ref="F91:H91" si="30">F92*F93+F95*F96</f>
        <v>0</v>
      </c>
      <c r="G91" s="52">
        <f t="shared" si="30"/>
        <v>0</v>
      </c>
      <c r="H91" s="52">
        <f t="shared" si="30"/>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1">F100*F101</f>
        <v>0</v>
      </c>
      <c r="G99" s="52">
        <f t="shared" si="31"/>
        <v>0</v>
      </c>
      <c r="H99" s="52">
        <f t="shared" si="31"/>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2">F104*F105+F106*F107+F108*F109</f>
        <v>0</v>
      </c>
      <c r="G103" s="52">
        <f t="shared" si="32"/>
        <v>0</v>
      </c>
      <c r="H103" s="52">
        <f t="shared" si="32"/>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3">G92</f>
        <v>0</v>
      </c>
      <c r="H105" s="44">
        <f t="shared" si="33"/>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x14ac:dyDescent="0.25">
      <c r="A111" s="50"/>
      <c r="B111" s="50" t="s">
        <v>24</v>
      </c>
      <c r="C111" s="50"/>
      <c r="D111" s="52"/>
      <c r="E111" s="52">
        <f t="shared" ref="E111:H111" si="34">E112*E113</f>
        <v>300</v>
      </c>
      <c r="F111" s="52">
        <f t="shared" si="34"/>
        <v>0</v>
      </c>
      <c r="G111" s="52">
        <f t="shared" si="34"/>
        <v>0</v>
      </c>
      <c r="H111" s="52">
        <f t="shared" si="34"/>
        <v>0</v>
      </c>
    </row>
    <row r="112" spans="1:12" s="7" customFormat="1" x14ac:dyDescent="0.25">
      <c r="A112" s="5"/>
      <c r="B112" s="39" t="s">
        <v>53</v>
      </c>
      <c r="C112" s="5"/>
      <c r="D112" s="44"/>
      <c r="E112" s="44">
        <v>50</v>
      </c>
      <c r="F112" s="44">
        <v>0</v>
      </c>
      <c r="G112" s="44"/>
      <c r="H112" s="44"/>
      <c r="I112" s="62"/>
      <c r="J112" s="6"/>
      <c r="K112" s="6"/>
      <c r="L112" s="6"/>
    </row>
    <row r="113" spans="1:12" s="7" customFormat="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x14ac:dyDescent="0.25">
      <c r="A114" s="228"/>
      <c r="B114" s="228"/>
      <c r="C114" s="228"/>
      <c r="D114" s="230"/>
      <c r="E114" s="230"/>
      <c r="F114" s="230"/>
      <c r="G114" s="230"/>
      <c r="H114" s="230"/>
    </row>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5">F133+F136</f>
        <v>0</v>
      </c>
      <c r="G132" s="52">
        <f t="shared" si="35"/>
        <v>0</v>
      </c>
      <c r="H132" s="52">
        <f t="shared" si="35"/>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6">G137+G138*G139</f>
        <v>0</v>
      </c>
      <c r="H136" s="44">
        <f t="shared" si="36"/>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hidden="1" x14ac:dyDescent="0.25">
      <c r="A141" s="50"/>
      <c r="B141" s="50" t="s">
        <v>21</v>
      </c>
      <c r="C141" s="50"/>
      <c r="D141" s="52"/>
      <c r="E141" s="52">
        <f>E142*E143+E144*E145++E146*E147+E148*E149</f>
        <v>0</v>
      </c>
      <c r="F141" s="52">
        <f t="shared" ref="F141:H141" si="37">F142*F143+F144*F145++F146*F147+F148*F149</f>
        <v>0</v>
      </c>
      <c r="G141" s="52">
        <f t="shared" si="37"/>
        <v>0</v>
      </c>
      <c r="H141" s="52">
        <f t="shared" si="37"/>
        <v>0</v>
      </c>
    </row>
    <row r="142" spans="1:12" hidden="1" x14ac:dyDescent="0.25">
      <c r="B142" s="41" t="s">
        <v>150</v>
      </c>
      <c r="G142" s="44">
        <v>0</v>
      </c>
      <c r="H142" s="44"/>
    </row>
    <row r="143" spans="1:12" hidden="1" x14ac:dyDescent="0.25">
      <c r="B143" s="41" t="s">
        <v>151</v>
      </c>
      <c r="E143" s="44">
        <f>'Rates and GI'!$D$58</f>
        <v>5000</v>
      </c>
      <c r="F143" s="44">
        <f>'Rates and GI'!$D$58</f>
        <v>5000</v>
      </c>
      <c r="G143" s="44">
        <f>'Rates and GI'!$D$58</f>
        <v>5000</v>
      </c>
      <c r="H143" s="44">
        <f>'Rates and GI'!$D$58</f>
        <v>5000</v>
      </c>
    </row>
    <row r="144" spans="1:12" hidden="1" x14ac:dyDescent="0.25">
      <c r="B144" s="41" t="s">
        <v>148</v>
      </c>
      <c r="E144" s="44">
        <v>0</v>
      </c>
      <c r="F144" s="44">
        <v>0</v>
      </c>
      <c r="G144" s="44">
        <v>0</v>
      </c>
      <c r="H144" s="44">
        <v>0</v>
      </c>
    </row>
    <row r="145" spans="1:12" hidden="1" x14ac:dyDescent="0.25">
      <c r="B145" s="41" t="s">
        <v>149</v>
      </c>
      <c r="E145" s="44">
        <f>'Rates and GI'!$D$59</f>
        <v>1500</v>
      </c>
      <c r="F145" s="44">
        <f>'Rates and GI'!$D$59</f>
        <v>1500</v>
      </c>
      <c r="G145" s="44">
        <f>'Rates and GI'!$D$59</f>
        <v>1500</v>
      </c>
      <c r="H145" s="44">
        <f>'Rates and GI'!$D$59</f>
        <v>1500</v>
      </c>
    </row>
    <row r="146" spans="1:12" ht="27" hidden="1" x14ac:dyDescent="0.25">
      <c r="B146" s="63" t="s">
        <v>162</v>
      </c>
      <c r="E146" s="44">
        <v>0</v>
      </c>
      <c r="F146" s="44">
        <v>0</v>
      </c>
      <c r="G146" s="44">
        <v>0</v>
      </c>
      <c r="H146" s="44">
        <v>0</v>
      </c>
    </row>
    <row r="147" spans="1:12" ht="27" hidden="1" x14ac:dyDescent="0.25">
      <c r="B147" s="63" t="s">
        <v>161</v>
      </c>
      <c r="E147" s="44">
        <f>'Rates and GI'!$D$60</f>
        <v>200</v>
      </c>
      <c r="F147" s="44">
        <f>'Rates and GI'!$D$60</f>
        <v>200</v>
      </c>
      <c r="G147" s="44">
        <f>'Rates and GI'!$D$60</f>
        <v>200</v>
      </c>
      <c r="H147" s="44">
        <f>'Rates and GI'!$D$60</f>
        <v>200</v>
      </c>
    </row>
    <row r="148" spans="1:12" s="5" customFormat="1" hidden="1" x14ac:dyDescent="0.25">
      <c r="B148" s="41" t="s">
        <v>217</v>
      </c>
      <c r="D148" s="44"/>
      <c r="E148" s="44">
        <v>0</v>
      </c>
      <c r="F148" s="44">
        <v>0</v>
      </c>
      <c r="G148" s="44">
        <v>0</v>
      </c>
      <c r="H148" s="44">
        <v>0</v>
      </c>
      <c r="I148" s="62"/>
      <c r="J148" s="6"/>
      <c r="K148" s="6"/>
      <c r="L148" s="6"/>
    </row>
    <row r="149" spans="1:12" s="5" customFormat="1" hidden="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hidden="1" x14ac:dyDescent="0.25">
      <c r="A151" s="50"/>
      <c r="B151" s="50" t="s">
        <v>194</v>
      </c>
      <c r="C151" s="50"/>
      <c r="D151" s="52"/>
      <c r="E151" s="52">
        <f>E152+E155+E158+E167+E172</f>
        <v>0</v>
      </c>
      <c r="F151" s="52">
        <f t="shared" ref="F151:H151" si="38">F152+F155+F158+F167+F172</f>
        <v>0</v>
      </c>
      <c r="G151" s="52">
        <f t="shared" si="38"/>
        <v>0</v>
      </c>
      <c r="H151" s="52">
        <f t="shared" si="38"/>
        <v>0</v>
      </c>
    </row>
    <row r="152" spans="1:12" s="5" customFormat="1" hidden="1" x14ac:dyDescent="0.25">
      <c r="B152" s="5" t="s">
        <v>173</v>
      </c>
      <c r="D152" s="44"/>
      <c r="E152" s="44">
        <f>E153+E156*E157</f>
        <v>0</v>
      </c>
      <c r="F152" s="44">
        <f>F153+F156*F157</f>
        <v>0</v>
      </c>
      <c r="G152" s="44">
        <f>G153+G156*G157</f>
        <v>0</v>
      </c>
      <c r="H152" s="44">
        <f t="shared" ref="H152" si="39">H153+H156*H157</f>
        <v>0</v>
      </c>
      <c r="I152" s="73"/>
    </row>
    <row r="153" spans="1:12" hidden="1" x14ac:dyDescent="0.25">
      <c r="B153" s="41" t="s">
        <v>184</v>
      </c>
      <c r="F153" s="44">
        <f>('Rates and GI'!$D$45+'Rates and GI'!$D$49)*0</f>
        <v>0</v>
      </c>
      <c r="G153" s="44">
        <f>('Rates and GI'!$D$45+'Rates and GI'!$D$49)*0</f>
        <v>0</v>
      </c>
      <c r="H153" s="44"/>
    </row>
    <row r="154" spans="1:12" hidden="1" x14ac:dyDescent="0.25">
      <c r="B154" s="41" t="s">
        <v>187</v>
      </c>
      <c r="F154" s="44">
        <f>'Rates and GI'!$D$51*0</f>
        <v>0</v>
      </c>
      <c r="G154" s="44">
        <f>'Rates and GI'!$D$51*0</f>
        <v>0</v>
      </c>
      <c r="H154" s="44"/>
    </row>
    <row r="155" spans="1:12" hidden="1" x14ac:dyDescent="0.25">
      <c r="B155" s="5" t="s">
        <v>174</v>
      </c>
      <c r="E155" s="44">
        <f>E156*E157</f>
        <v>0</v>
      </c>
      <c r="F155" s="44">
        <f t="shared" ref="F155:H155" si="40">F156*F157</f>
        <v>0</v>
      </c>
      <c r="G155" s="44">
        <f t="shared" si="40"/>
        <v>0</v>
      </c>
      <c r="H155" s="44">
        <f t="shared" si="40"/>
        <v>0</v>
      </c>
    </row>
    <row r="156" spans="1:12" hidden="1" x14ac:dyDescent="0.25">
      <c r="B156" s="41" t="s">
        <v>164</v>
      </c>
      <c r="F156" s="44">
        <f>'Rates and GI'!$D$54</f>
        <v>24.066499999999998</v>
      </c>
      <c r="G156" s="44">
        <f>'Rates and GI'!$D$54</f>
        <v>24.066499999999998</v>
      </c>
      <c r="H156" s="44">
        <f>'Rates and GI'!$D$54</f>
        <v>24.066499999999998</v>
      </c>
    </row>
    <row r="157" spans="1:12" hidden="1" x14ac:dyDescent="0.25">
      <c r="B157" s="41" t="s">
        <v>163</v>
      </c>
      <c r="F157" s="44">
        <v>0</v>
      </c>
      <c r="G157" s="38">
        <v>0</v>
      </c>
      <c r="H157" s="38">
        <v>0</v>
      </c>
    </row>
    <row r="158" spans="1:12" hidden="1" x14ac:dyDescent="0.25">
      <c r="B158" s="5" t="s">
        <v>175</v>
      </c>
      <c r="E158" s="44">
        <f>E159+E163</f>
        <v>0</v>
      </c>
      <c r="F158" s="44">
        <f t="shared" ref="F158:H158" si="41">F159+F163</f>
        <v>0</v>
      </c>
      <c r="G158" s="44">
        <f t="shared" si="41"/>
        <v>0</v>
      </c>
      <c r="H158" s="44">
        <f t="shared" si="41"/>
        <v>0</v>
      </c>
    </row>
    <row r="159" spans="1:12" hidden="1" x14ac:dyDescent="0.25">
      <c r="B159" s="41" t="s">
        <v>189</v>
      </c>
      <c r="E159" s="44">
        <f>E160*E161</f>
        <v>0</v>
      </c>
      <c r="F159" s="44">
        <f t="shared" ref="F159:H159" si="42">F160*F161</f>
        <v>0</v>
      </c>
      <c r="G159" s="44">
        <f t="shared" si="42"/>
        <v>0</v>
      </c>
      <c r="H159" s="44">
        <f t="shared" si="42"/>
        <v>0</v>
      </c>
    </row>
    <row r="160" spans="1:12" hidden="1" x14ac:dyDescent="0.25">
      <c r="B160" s="41" t="s">
        <v>176</v>
      </c>
      <c r="C160" s="5" t="s">
        <v>177</v>
      </c>
      <c r="E160" s="44">
        <v>0</v>
      </c>
      <c r="F160" s="44">
        <v>0</v>
      </c>
      <c r="G160" s="38">
        <v>0</v>
      </c>
      <c r="H160" s="38">
        <v>0</v>
      </c>
    </row>
    <row r="161" spans="1:12" hidden="1" x14ac:dyDescent="0.25">
      <c r="B161" s="41" t="s">
        <v>178</v>
      </c>
      <c r="E161" s="44">
        <f>'Rates and GI'!$D$52</f>
        <v>150</v>
      </c>
      <c r="F161" s="44">
        <f>'Rates and GI'!$D$52</f>
        <v>150</v>
      </c>
      <c r="G161" s="44">
        <f>'Rates and GI'!$D$52</f>
        <v>150</v>
      </c>
      <c r="H161" s="44">
        <f>'Rates and GI'!$D$52</f>
        <v>150</v>
      </c>
    </row>
    <row r="162" spans="1:12" hidden="1" x14ac:dyDescent="0.25">
      <c r="B162" s="6"/>
    </row>
    <row r="163" spans="1:12" hidden="1" x14ac:dyDescent="0.25">
      <c r="B163" s="41" t="s">
        <v>190</v>
      </c>
      <c r="E163" s="44">
        <f>E164*E165</f>
        <v>0</v>
      </c>
      <c r="F163" s="44">
        <f t="shared" ref="F163:H163" si="43">F164*F165</f>
        <v>0</v>
      </c>
      <c r="G163" s="44">
        <f t="shared" si="43"/>
        <v>0</v>
      </c>
      <c r="H163" s="44">
        <f t="shared" si="43"/>
        <v>0</v>
      </c>
    </row>
    <row r="164" spans="1:12" hidden="1" x14ac:dyDescent="0.25">
      <c r="B164" s="41" t="s">
        <v>176</v>
      </c>
      <c r="C164" s="5" t="s">
        <v>177</v>
      </c>
      <c r="E164" s="44">
        <v>0</v>
      </c>
      <c r="F164" s="44">
        <v>0</v>
      </c>
      <c r="G164" s="38">
        <v>0</v>
      </c>
      <c r="H164" s="38">
        <v>0</v>
      </c>
    </row>
    <row r="165" spans="1:12" s="62" customFormat="1" hidden="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hidden="1" x14ac:dyDescent="0.25">
      <c r="A166" s="5"/>
      <c r="B166" s="6"/>
      <c r="C166" s="5"/>
      <c r="D166" s="44"/>
      <c r="E166" s="44"/>
      <c r="F166" s="44"/>
      <c r="G166" s="38"/>
      <c r="H166" s="38"/>
      <c r="J166" s="6"/>
      <c r="K166" s="6"/>
      <c r="L166" s="6"/>
    </row>
    <row r="167" spans="1:12" s="62" customFormat="1" hidden="1" x14ac:dyDescent="0.25">
      <c r="A167" s="5"/>
      <c r="B167" s="5" t="s">
        <v>179</v>
      </c>
      <c r="C167" s="5"/>
      <c r="D167" s="44"/>
      <c r="E167" s="44">
        <f>E168*E169*E170</f>
        <v>0</v>
      </c>
      <c r="F167" s="44">
        <f t="shared" ref="F167:H167" si="44">F168*F169*F170</f>
        <v>0</v>
      </c>
      <c r="G167" s="44">
        <f t="shared" si="44"/>
        <v>0</v>
      </c>
      <c r="H167" s="44">
        <f t="shared" si="44"/>
        <v>0</v>
      </c>
      <c r="J167" s="6"/>
      <c r="K167" s="6"/>
      <c r="L167" s="6"/>
    </row>
    <row r="168" spans="1:12" s="62" customFormat="1" hidden="1" x14ac:dyDescent="0.25">
      <c r="A168" s="5"/>
      <c r="B168" s="41" t="s">
        <v>191</v>
      </c>
      <c r="C168" s="5"/>
      <c r="D168" s="44"/>
      <c r="E168" s="44"/>
      <c r="F168" s="44">
        <f>'Rates and GI'!$D$55</f>
        <v>300</v>
      </c>
      <c r="G168" s="44">
        <f>'Rates and GI'!$D$55</f>
        <v>300</v>
      </c>
      <c r="H168" s="44">
        <f>'Rates and GI'!$D$55</f>
        <v>300</v>
      </c>
      <c r="J168" s="6"/>
      <c r="K168" s="6"/>
      <c r="L168" s="6"/>
    </row>
    <row r="169" spans="1:12" s="62" customFormat="1" hidden="1" x14ac:dyDescent="0.25">
      <c r="A169" s="5"/>
      <c r="B169" s="41" t="s">
        <v>192</v>
      </c>
      <c r="C169" s="5"/>
      <c r="D169" s="44"/>
      <c r="E169" s="44"/>
      <c r="F169" s="44">
        <v>3</v>
      </c>
      <c r="G169" s="44">
        <v>3</v>
      </c>
      <c r="H169" s="44">
        <v>3</v>
      </c>
      <c r="J169" s="6"/>
      <c r="K169" s="6"/>
      <c r="L169" s="6"/>
    </row>
    <row r="170" spans="1:12" s="62" customFormat="1" hidden="1" x14ac:dyDescent="0.25">
      <c r="A170" s="5"/>
      <c r="B170" s="41" t="s">
        <v>193</v>
      </c>
      <c r="C170" s="5"/>
      <c r="D170" s="44"/>
      <c r="E170" s="44"/>
      <c r="F170" s="44">
        <v>0</v>
      </c>
      <c r="G170" s="44">
        <v>0</v>
      </c>
      <c r="H170" s="44">
        <v>0</v>
      </c>
      <c r="J170" s="6"/>
      <c r="K170" s="6"/>
      <c r="L170" s="6"/>
    </row>
    <row r="171" spans="1:12" hidden="1" x14ac:dyDescent="0.25"/>
    <row r="172" spans="1:12" s="62" customFormat="1" hidden="1" x14ac:dyDescent="0.25">
      <c r="A172" s="5"/>
      <c r="B172" s="5" t="s">
        <v>172</v>
      </c>
      <c r="C172" s="5"/>
      <c r="D172" s="44"/>
      <c r="E172" s="44">
        <f>E173+E174*E175</f>
        <v>0</v>
      </c>
      <c r="F172" s="44">
        <f>F173+F174*F175</f>
        <v>0</v>
      </c>
      <c r="G172" s="44">
        <f>G173+G174*G175</f>
        <v>0</v>
      </c>
      <c r="H172" s="44">
        <f>H173+H174*H175</f>
        <v>0</v>
      </c>
      <c r="J172" s="6"/>
      <c r="K172" s="6"/>
      <c r="L172" s="6"/>
    </row>
    <row r="173" spans="1:12" s="62" customFormat="1" hidden="1" x14ac:dyDescent="0.25">
      <c r="A173" s="5"/>
      <c r="B173" s="41" t="s">
        <v>153</v>
      </c>
      <c r="C173" s="5"/>
      <c r="D173" s="44"/>
      <c r="E173" s="44"/>
      <c r="F173" s="44">
        <f>'Rates and GI'!D46*0</f>
        <v>0</v>
      </c>
      <c r="G173" s="38"/>
      <c r="H173" s="38"/>
      <c r="J173" s="6"/>
      <c r="K173" s="6"/>
      <c r="L173" s="6"/>
    </row>
    <row r="174" spans="1:12" s="62" customFormat="1" hidden="1" x14ac:dyDescent="0.25">
      <c r="A174" s="5"/>
      <c r="B174" s="41" t="s">
        <v>159</v>
      </c>
      <c r="C174" s="5"/>
      <c r="D174" s="44"/>
      <c r="E174" s="44"/>
      <c r="F174" s="65">
        <f>'Rates and GI'!$D$47</f>
        <v>0.05</v>
      </c>
      <c r="G174" s="65">
        <f>'Rates and GI'!$D$47</f>
        <v>0.05</v>
      </c>
      <c r="H174" s="65">
        <f>'Rates and GI'!$D$47</f>
        <v>0.05</v>
      </c>
      <c r="J174" s="6"/>
      <c r="K174" s="6"/>
      <c r="L174" s="6"/>
    </row>
    <row r="175" spans="1:12" s="62" customFormat="1" hidden="1" x14ac:dyDescent="0.25">
      <c r="A175" s="5"/>
      <c r="B175" s="41" t="s">
        <v>160</v>
      </c>
      <c r="C175" s="5"/>
      <c r="D175" s="44"/>
      <c r="E175" s="44"/>
      <c r="F175" s="44">
        <v>0</v>
      </c>
      <c r="G175" s="38">
        <v>0</v>
      </c>
      <c r="H175" s="38"/>
      <c r="J175" s="6"/>
      <c r="K175" s="6"/>
      <c r="L175" s="6"/>
    </row>
    <row r="176" spans="1:12" hidden="1" x14ac:dyDescent="0.25"/>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5">$C$181/$C$180*F180</f>
        <v>0</v>
      </c>
      <c r="G182" s="44">
        <f t="shared" si="45"/>
        <v>0</v>
      </c>
      <c r="H182" s="44">
        <f t="shared" si="45"/>
        <v>0</v>
      </c>
    </row>
    <row r="183" spans="1:12" hidden="1" x14ac:dyDescent="0.25"/>
  </sheetData>
  <pageMargins left="0.7" right="0.7" top="0.75" bottom="0.75" header="0.3" footer="0.3"/>
  <pageSetup paperSize="9" scale="56" fitToHeight="0" orientation="portrait" horizontalDpi="1200" verticalDpi="12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3"/>
  <sheetViews>
    <sheetView topLeftCell="A51" workbookViewId="0">
      <selection activeCell="E190" sqref="E190"/>
    </sheetView>
  </sheetViews>
  <sheetFormatPr defaultRowHeight="13.5" x14ac:dyDescent="0.25"/>
  <cols>
    <col min="1" max="1" width="5.5703125" style="5" customWidth="1"/>
    <col min="2" max="2" width="79.85546875" style="5" customWidth="1"/>
    <col min="3" max="3" width="14.140625" style="5" customWidth="1"/>
    <col min="4" max="4" width="14.7109375" style="44" customWidth="1"/>
    <col min="5" max="5" width="12.5703125" style="44" bestFit="1" customWidth="1"/>
    <col min="6" max="6" width="10.140625" style="44" bestFit="1" customWidth="1"/>
    <col min="7" max="7" width="10" style="38" bestFit="1" customWidth="1"/>
    <col min="8" max="8" width="10.28515625" style="38" bestFit="1" customWidth="1"/>
    <col min="9" max="9" width="9.140625" style="62"/>
    <col min="10" max="16384" width="9.140625" style="6"/>
  </cols>
  <sheetData>
    <row r="1" spans="1:12" s="86" customFormat="1" ht="34.5" x14ac:dyDescent="0.3">
      <c r="A1" s="123">
        <v>58</v>
      </c>
      <c r="B1" s="126" t="s">
        <v>584</v>
      </c>
      <c r="C1" s="123"/>
      <c r="D1" s="124"/>
      <c r="E1" s="124"/>
      <c r="F1" s="124"/>
      <c r="G1" s="125"/>
      <c r="H1" s="125"/>
    </row>
    <row r="3" spans="1:12" s="14" customFormat="1" x14ac:dyDescent="0.25">
      <c r="A3" s="80"/>
      <c r="B3" s="81" t="s">
        <v>65</v>
      </c>
      <c r="C3" s="81" t="s">
        <v>64</v>
      </c>
      <c r="D3" s="82" t="s">
        <v>28</v>
      </c>
      <c r="E3" s="83">
        <f>start</f>
        <v>43831</v>
      </c>
      <c r="F3" s="83">
        <f>EOMONTH(E3,11)+1</f>
        <v>44197</v>
      </c>
      <c r="G3" s="83">
        <f>EOMONTH(F3,11)+1</f>
        <v>44562</v>
      </c>
      <c r="H3" s="83">
        <f>EOMONTH(G3,11)+1</f>
        <v>44927</v>
      </c>
      <c r="I3" s="74"/>
    </row>
    <row r="4" spans="1:12" x14ac:dyDescent="0.25">
      <c r="A4" s="15"/>
      <c r="B4" s="15" t="s">
        <v>6</v>
      </c>
      <c r="C4" s="15"/>
      <c r="D4" s="53"/>
      <c r="E4" s="53"/>
      <c r="F4" s="53"/>
      <c r="G4" s="54"/>
      <c r="H4" s="54"/>
      <c r="I4" s="61"/>
      <c r="J4" s="12"/>
      <c r="K4" s="12"/>
      <c r="L4" s="12"/>
    </row>
    <row r="5" spans="1:12" x14ac:dyDescent="0.25">
      <c r="B5" s="16" t="s">
        <v>23</v>
      </c>
      <c r="D5" s="44">
        <f t="shared" ref="D5:D6" si="0">SUM(E5:H5)</f>
        <v>12665.902970485799</v>
      </c>
      <c r="E5" s="44">
        <f>E67</f>
        <v>2969.4</v>
      </c>
      <c r="F5" s="44">
        <f t="shared" ref="F5:H5" si="1">F67</f>
        <v>3097.0841999999998</v>
      </c>
      <c r="G5" s="44">
        <f t="shared" si="1"/>
        <v>3230.2588205999996</v>
      </c>
      <c r="H5" s="44">
        <f t="shared" si="1"/>
        <v>3369.1599498857995</v>
      </c>
    </row>
    <row r="6" spans="1:12" x14ac:dyDescent="0.25">
      <c r="B6" s="16" t="s">
        <v>168</v>
      </c>
      <c r="D6" s="44">
        <f t="shared" si="0"/>
        <v>0</v>
      </c>
      <c r="E6" s="44">
        <f>E71</f>
        <v>0</v>
      </c>
      <c r="F6" s="44">
        <f t="shared" ref="F6:H6" si="2">F71</f>
        <v>0</v>
      </c>
      <c r="G6" s="44">
        <f t="shared" si="2"/>
        <v>0</v>
      </c>
      <c r="H6" s="44">
        <f t="shared" si="2"/>
        <v>0</v>
      </c>
    </row>
    <row r="7" spans="1:12" ht="14.25" thickBot="1" x14ac:dyDescent="0.3">
      <c r="A7" s="13"/>
      <c r="B7" s="13" t="s">
        <v>5</v>
      </c>
      <c r="C7" s="13"/>
      <c r="D7" s="47">
        <f>SUBTOTAL(9,D5:D6)</f>
        <v>12665.902970485799</v>
      </c>
      <c r="E7" s="47">
        <f>SUBTOTAL(9,E5:E6)</f>
        <v>2969.4</v>
      </c>
      <c r="F7" s="47">
        <f>SUBTOTAL(9,F5:F6)</f>
        <v>3097.0841999999998</v>
      </c>
      <c r="G7" s="47">
        <f>SUBTOTAL(9,G5:G6)</f>
        <v>3230.2588205999996</v>
      </c>
      <c r="H7" s="47">
        <f>SUBTOTAL(9,H5:H6)</f>
        <v>3369.1599498857995</v>
      </c>
    </row>
    <row r="8" spans="1:12" ht="5.25" customHeight="1" x14ac:dyDescent="0.25"/>
    <row r="9" spans="1:12" x14ac:dyDescent="0.25">
      <c r="A9" s="15"/>
      <c r="B9" s="15" t="s">
        <v>11</v>
      </c>
      <c r="C9" s="15"/>
      <c r="D9" s="53"/>
      <c r="E9" s="53"/>
      <c r="F9" s="53"/>
      <c r="G9" s="54"/>
      <c r="H9" s="54"/>
      <c r="I9" s="61"/>
      <c r="J9" s="12"/>
      <c r="K9" s="12"/>
      <c r="L9" s="12"/>
    </row>
    <row r="10" spans="1:12" x14ac:dyDescent="0.25">
      <c r="B10" s="16" t="s">
        <v>10</v>
      </c>
      <c r="D10" s="44">
        <f t="shared" ref="D10:D11" si="3">SUM(E10:H10)</f>
        <v>0</v>
      </c>
      <c r="E10" s="44">
        <f>E91</f>
        <v>0</v>
      </c>
      <c r="F10" s="44">
        <f t="shared" ref="F10:H10" si="4">F91</f>
        <v>0</v>
      </c>
      <c r="G10" s="44">
        <f t="shared" si="4"/>
        <v>0</v>
      </c>
      <c r="H10" s="44">
        <f t="shared" si="4"/>
        <v>0</v>
      </c>
    </row>
    <row r="11" spans="1:12" x14ac:dyDescent="0.25">
      <c r="B11" s="16" t="s">
        <v>115</v>
      </c>
      <c r="D11" s="44">
        <f t="shared" si="3"/>
        <v>0</v>
      </c>
      <c r="E11" s="44">
        <v>0</v>
      </c>
      <c r="F11" s="44">
        <v>0</v>
      </c>
      <c r="G11" s="44">
        <v>0</v>
      </c>
      <c r="H11" s="44">
        <v>0</v>
      </c>
    </row>
    <row r="12" spans="1:12" ht="14.25" thickBot="1" x14ac:dyDescent="0.3">
      <c r="A12" s="13"/>
      <c r="B12" s="13" t="s">
        <v>66</v>
      </c>
      <c r="C12" s="13"/>
      <c r="D12" s="47">
        <f>SUBTOTAL(9,D10:D11)</f>
        <v>0</v>
      </c>
      <c r="E12" s="47">
        <f t="shared" ref="E12:H12" si="5">SUBTOTAL(9,E10:E11)</f>
        <v>0</v>
      </c>
      <c r="F12" s="47">
        <f t="shared" si="5"/>
        <v>0</v>
      </c>
      <c r="G12" s="47">
        <f t="shared" si="5"/>
        <v>0</v>
      </c>
      <c r="H12" s="47">
        <f t="shared" si="5"/>
        <v>0</v>
      </c>
    </row>
    <row r="13" spans="1:12" ht="5.25" customHeight="1" x14ac:dyDescent="0.25"/>
    <row r="14" spans="1:12" x14ac:dyDescent="0.25">
      <c r="A14" s="15"/>
      <c r="B14" s="15" t="s">
        <v>12</v>
      </c>
      <c r="C14" s="15"/>
      <c r="D14" s="53"/>
      <c r="E14" s="53"/>
      <c r="F14" s="53"/>
      <c r="G14" s="54"/>
      <c r="H14" s="54"/>
      <c r="I14" s="61"/>
      <c r="J14" s="12"/>
      <c r="K14" s="12"/>
      <c r="L14" s="12"/>
    </row>
    <row r="15" spans="1:12" x14ac:dyDescent="0.25">
      <c r="B15" s="16" t="s">
        <v>169</v>
      </c>
      <c r="D15" s="44">
        <f t="shared" ref="D15" si="6">SUM(E15:H15)</f>
        <v>0</v>
      </c>
      <c r="E15" s="44">
        <f>E99</f>
        <v>0</v>
      </c>
      <c r="F15" s="44">
        <f t="shared" ref="F15:H15" si="7">F99</f>
        <v>0</v>
      </c>
      <c r="G15" s="44">
        <f t="shared" si="7"/>
        <v>0</v>
      </c>
      <c r="H15" s="44">
        <f t="shared" si="7"/>
        <v>0</v>
      </c>
    </row>
    <row r="16" spans="1:12" x14ac:dyDescent="0.25">
      <c r="B16" s="16" t="s">
        <v>71</v>
      </c>
    </row>
    <row r="17" spans="1:12" ht="14.25" thickBot="1" x14ac:dyDescent="0.3">
      <c r="A17" s="13"/>
      <c r="B17" s="13" t="s">
        <v>74</v>
      </c>
      <c r="C17" s="13"/>
      <c r="D17" s="47">
        <f>SUBTOTAL(9,D15:D16)</f>
        <v>0</v>
      </c>
      <c r="E17" s="47">
        <f t="shared" ref="E17:H17" si="8">SUBTOTAL(9,E15:E16)</f>
        <v>0</v>
      </c>
      <c r="F17" s="47">
        <f t="shared" si="8"/>
        <v>0</v>
      </c>
      <c r="G17" s="47">
        <f t="shared" si="8"/>
        <v>0</v>
      </c>
      <c r="H17" s="47">
        <f t="shared" si="8"/>
        <v>0</v>
      </c>
    </row>
    <row r="18" spans="1:12" ht="6" customHeight="1" x14ac:dyDescent="0.25"/>
    <row r="19" spans="1:12" x14ac:dyDescent="0.25">
      <c r="A19" s="15"/>
      <c r="B19" s="15" t="s">
        <v>138</v>
      </c>
      <c r="C19" s="15"/>
      <c r="D19" s="53"/>
      <c r="E19" s="53"/>
      <c r="F19" s="53"/>
      <c r="G19" s="54"/>
      <c r="H19" s="54"/>
      <c r="I19" s="61"/>
      <c r="J19" s="12"/>
      <c r="K19" s="12"/>
      <c r="L19" s="12"/>
    </row>
    <row r="20" spans="1:12" x14ac:dyDescent="0.25">
      <c r="B20" s="16" t="s">
        <v>130</v>
      </c>
      <c r="D20" s="44">
        <f t="shared" ref="D20" si="9">SUM(E20:H20)</f>
        <v>0</v>
      </c>
      <c r="E20" s="44">
        <f>E103</f>
        <v>0</v>
      </c>
      <c r="F20" s="44">
        <f t="shared" ref="F20:H20" si="10">F103</f>
        <v>0</v>
      </c>
      <c r="G20" s="44">
        <f t="shared" si="10"/>
        <v>0</v>
      </c>
      <c r="H20" s="44">
        <f t="shared" si="10"/>
        <v>0</v>
      </c>
    </row>
    <row r="21" spans="1:12" x14ac:dyDescent="0.25">
      <c r="B21" s="16" t="s">
        <v>139</v>
      </c>
      <c r="D21" s="44">
        <f t="shared" ref="D21" si="11">SUM(E21:H21)</f>
        <v>0</v>
      </c>
    </row>
    <row r="22" spans="1:12" ht="14.25" thickBot="1" x14ac:dyDescent="0.3">
      <c r="A22" s="13"/>
      <c r="B22" s="13" t="s">
        <v>140</v>
      </c>
      <c r="C22" s="13"/>
      <c r="D22" s="47">
        <f>SUBTOTAL(9,D20:D21)</f>
        <v>0</v>
      </c>
      <c r="E22" s="47">
        <f t="shared" ref="E22:H22" si="12">SUBTOTAL(9,E20:E21)</f>
        <v>0</v>
      </c>
      <c r="F22" s="47">
        <f t="shared" si="12"/>
        <v>0</v>
      </c>
      <c r="G22" s="47">
        <f t="shared" si="12"/>
        <v>0</v>
      </c>
      <c r="H22" s="47">
        <f t="shared" si="12"/>
        <v>0</v>
      </c>
    </row>
    <row r="23" spans="1:12" ht="5.25" customHeight="1" x14ac:dyDescent="0.25"/>
    <row r="24" spans="1:12" x14ac:dyDescent="0.25">
      <c r="A24" s="15"/>
      <c r="B24" s="15" t="s">
        <v>72</v>
      </c>
      <c r="C24" s="15"/>
      <c r="D24" s="53"/>
      <c r="E24" s="53"/>
      <c r="F24" s="53"/>
      <c r="G24" s="54"/>
      <c r="H24" s="54"/>
      <c r="I24" s="61"/>
      <c r="J24" s="12"/>
      <c r="K24" s="12"/>
      <c r="L24" s="12"/>
    </row>
    <row r="25" spans="1:12" x14ac:dyDescent="0.25">
      <c r="B25" s="16" t="s">
        <v>24</v>
      </c>
      <c r="D25" s="44">
        <f>SUM(E25:H25)</f>
        <v>0</v>
      </c>
      <c r="E25" s="44">
        <f>E111</f>
        <v>0</v>
      </c>
      <c r="F25" s="44">
        <f t="shared" ref="F25:H25" si="13">F111</f>
        <v>0</v>
      </c>
      <c r="G25" s="44">
        <f t="shared" si="13"/>
        <v>0</v>
      </c>
      <c r="H25" s="44">
        <f t="shared" si="13"/>
        <v>0</v>
      </c>
    </row>
    <row r="26" spans="1:12" x14ac:dyDescent="0.25">
      <c r="B26" s="16" t="s">
        <v>25</v>
      </c>
      <c r="D26" s="44">
        <f t="shared" ref="D26" si="14">SUM(E26:H26)</f>
        <v>0</v>
      </c>
      <c r="E26" s="44">
        <f>E132</f>
        <v>0</v>
      </c>
      <c r="F26" s="44">
        <f t="shared" ref="F26:H26" si="15">F132</f>
        <v>0</v>
      </c>
      <c r="G26" s="44">
        <f t="shared" si="15"/>
        <v>0</v>
      </c>
      <c r="H26" s="44">
        <f t="shared" si="15"/>
        <v>0</v>
      </c>
    </row>
    <row r="27" spans="1:12" x14ac:dyDescent="0.25">
      <c r="B27" s="16" t="s">
        <v>233</v>
      </c>
    </row>
    <row r="28" spans="1:12" ht="14.25" thickBot="1" x14ac:dyDescent="0.3">
      <c r="A28" s="13"/>
      <c r="B28" s="13" t="s">
        <v>73</v>
      </c>
      <c r="C28" s="13"/>
      <c r="D28" s="47">
        <f>SUBTOTAL(9,D25:D27)</f>
        <v>0</v>
      </c>
      <c r="E28" s="47">
        <f t="shared" ref="E28:H28" si="16">SUBTOTAL(9,E25:E27)</f>
        <v>0</v>
      </c>
      <c r="F28" s="47">
        <f t="shared" si="16"/>
        <v>0</v>
      </c>
      <c r="G28" s="47">
        <f t="shared" si="16"/>
        <v>0</v>
      </c>
      <c r="H28" s="47">
        <f t="shared" si="16"/>
        <v>0</v>
      </c>
    </row>
    <row r="29" spans="1:12" ht="6" customHeight="1" x14ac:dyDescent="0.25"/>
    <row r="30" spans="1:12" x14ac:dyDescent="0.25">
      <c r="A30" s="15"/>
      <c r="B30" s="15" t="s">
        <v>7</v>
      </c>
      <c r="C30" s="15"/>
      <c r="D30" s="53"/>
      <c r="E30" s="53"/>
      <c r="F30" s="53"/>
      <c r="G30" s="54"/>
      <c r="H30" s="54"/>
      <c r="I30" s="61"/>
      <c r="J30" s="12"/>
      <c r="K30" s="12"/>
      <c r="L30" s="12"/>
    </row>
    <row r="31" spans="1:12" x14ac:dyDescent="0.25">
      <c r="B31" s="16" t="s">
        <v>57</v>
      </c>
      <c r="D31" s="44">
        <f t="shared" ref="D31:D34" si="17">SUM(E31:H31)</f>
        <v>0</v>
      </c>
    </row>
    <row r="32" spans="1:12" x14ac:dyDescent="0.25">
      <c r="B32" s="16" t="s">
        <v>26</v>
      </c>
      <c r="D32" s="44">
        <f t="shared" si="17"/>
        <v>0</v>
      </c>
      <c r="E32" s="44">
        <f>E121</f>
        <v>0</v>
      </c>
    </row>
    <row r="33" spans="1:12" x14ac:dyDescent="0.25">
      <c r="B33" s="16" t="s">
        <v>8</v>
      </c>
      <c r="D33" s="44">
        <f t="shared" si="17"/>
        <v>0</v>
      </c>
    </row>
    <row r="34" spans="1:12" x14ac:dyDescent="0.25">
      <c r="B34" s="16" t="s">
        <v>9</v>
      </c>
      <c r="D34" s="44">
        <f t="shared" si="17"/>
        <v>0</v>
      </c>
    </row>
    <row r="35" spans="1:12" ht="14.25" thickBot="1" x14ac:dyDescent="0.3">
      <c r="A35" s="13"/>
      <c r="B35" s="13" t="s">
        <v>67</v>
      </c>
      <c r="C35" s="13"/>
      <c r="D35" s="47">
        <f>SUBTOTAL(9,D31:D34)</f>
        <v>0</v>
      </c>
      <c r="E35" s="47">
        <f t="shared" ref="E35:H35" si="18">SUBTOTAL(9,E31:E34)</f>
        <v>0</v>
      </c>
      <c r="F35" s="47">
        <f t="shared" si="18"/>
        <v>0</v>
      </c>
      <c r="G35" s="47">
        <f t="shared" si="18"/>
        <v>0</v>
      </c>
      <c r="H35" s="47">
        <f t="shared" si="18"/>
        <v>0</v>
      </c>
    </row>
    <row r="36" spans="1:12" ht="5.25" customHeight="1" x14ac:dyDescent="0.25"/>
    <row r="37" spans="1:12" x14ac:dyDescent="0.25">
      <c r="A37" s="15"/>
      <c r="B37" s="15" t="s">
        <v>16</v>
      </c>
      <c r="C37" s="15"/>
      <c r="D37" s="53"/>
      <c r="E37" s="53"/>
      <c r="F37" s="53"/>
      <c r="G37" s="54"/>
      <c r="H37" s="54"/>
      <c r="I37" s="61"/>
      <c r="J37" s="12"/>
      <c r="K37" s="12"/>
      <c r="L37" s="12"/>
    </row>
    <row r="38" spans="1:12" x14ac:dyDescent="0.25">
      <c r="A38" s="2"/>
      <c r="B38" s="2" t="s">
        <v>17</v>
      </c>
      <c r="C38" s="2"/>
      <c r="D38" s="44">
        <f t="shared" ref="D38:D42" si="19">SUM(E38:H38)</f>
        <v>0</v>
      </c>
    </row>
    <row r="39" spans="1:12" x14ac:dyDescent="0.25">
      <c r="A39" s="2"/>
      <c r="B39" s="2" t="s">
        <v>18</v>
      </c>
      <c r="C39" s="2"/>
      <c r="D39" s="44">
        <f t="shared" si="19"/>
        <v>0</v>
      </c>
    </row>
    <row r="40" spans="1:12" x14ac:dyDescent="0.25">
      <c r="A40" s="2"/>
      <c r="B40" s="2" t="s">
        <v>19</v>
      </c>
      <c r="C40" s="2"/>
      <c r="D40" s="44">
        <f t="shared" si="19"/>
        <v>0</v>
      </c>
      <c r="E40" s="44">
        <f>E177</f>
        <v>0</v>
      </c>
      <c r="F40" s="44">
        <f t="shared" ref="F40:H40" si="20">F177</f>
        <v>0</v>
      </c>
      <c r="G40" s="44">
        <f t="shared" si="20"/>
        <v>0</v>
      </c>
      <c r="H40" s="44">
        <f t="shared" si="20"/>
        <v>0</v>
      </c>
    </row>
    <row r="41" spans="1:12" x14ac:dyDescent="0.25">
      <c r="A41" s="3"/>
      <c r="B41" s="3" t="s">
        <v>13</v>
      </c>
      <c r="C41" s="3"/>
      <c r="D41" s="44">
        <f t="shared" si="19"/>
        <v>0</v>
      </c>
    </row>
    <row r="42" spans="1:12" x14ac:dyDescent="0.25">
      <c r="A42" s="3"/>
      <c r="B42" s="3" t="s">
        <v>22</v>
      </c>
      <c r="C42" s="3"/>
      <c r="D42" s="44">
        <f t="shared" si="19"/>
        <v>0</v>
      </c>
    </row>
    <row r="43" spans="1:12" ht="14.25" thickBot="1" x14ac:dyDescent="0.3">
      <c r="A43" s="13"/>
      <c r="B43" s="13" t="s">
        <v>68</v>
      </c>
      <c r="C43" s="13"/>
      <c r="D43" s="47">
        <f>SUBTOTAL(9,D38:D42)</f>
        <v>0</v>
      </c>
      <c r="E43" s="47">
        <f t="shared" ref="E43:H43" si="21">SUBTOTAL(9,E38:E42)</f>
        <v>0</v>
      </c>
      <c r="F43" s="47">
        <f t="shared" si="21"/>
        <v>0</v>
      </c>
      <c r="G43" s="47">
        <f t="shared" si="21"/>
        <v>0</v>
      </c>
      <c r="H43" s="47">
        <f t="shared" si="21"/>
        <v>0</v>
      </c>
    </row>
    <row r="44" spans="1:12" ht="5.25" customHeight="1" x14ac:dyDescent="0.25">
      <c r="A44" s="3"/>
      <c r="B44" s="6"/>
      <c r="C44" s="3"/>
    </row>
    <row r="45" spans="1:12" x14ac:dyDescent="0.25">
      <c r="A45" s="15"/>
      <c r="B45" s="15" t="s">
        <v>252</v>
      </c>
      <c r="C45" s="135"/>
      <c r="D45" s="53"/>
      <c r="E45" s="53"/>
      <c r="F45" s="53"/>
      <c r="G45" s="54"/>
      <c r="H45" s="54"/>
      <c r="I45" s="12"/>
      <c r="J45" s="12"/>
      <c r="K45" s="12"/>
      <c r="L45" s="12"/>
    </row>
    <row r="46" spans="1:12" x14ac:dyDescent="0.25">
      <c r="A46" s="2"/>
      <c r="B46" s="2" t="s">
        <v>252</v>
      </c>
      <c r="C46" s="1"/>
      <c r="D46" s="44">
        <f t="shared" ref="D46" si="22">SUM(E46:H46)</f>
        <v>0</v>
      </c>
      <c r="E46" s="44">
        <f>E182</f>
        <v>0</v>
      </c>
      <c r="F46" s="44">
        <f t="shared" ref="F46:H46" si="23">F182</f>
        <v>0</v>
      </c>
      <c r="G46" s="44">
        <f t="shared" si="23"/>
        <v>0</v>
      </c>
      <c r="H46" s="44">
        <f t="shared" si="23"/>
        <v>0</v>
      </c>
      <c r="I46" s="6"/>
    </row>
    <row r="47" spans="1:12" ht="14.25" thickBot="1" x14ac:dyDescent="0.3">
      <c r="A47" s="13"/>
      <c r="B47" s="13" t="s">
        <v>256</v>
      </c>
      <c r="C47" s="136"/>
      <c r="D47" s="47">
        <f>SUBTOTAL(9,D46)</f>
        <v>0</v>
      </c>
      <c r="E47" s="47">
        <f t="shared" ref="E47:H47" si="24">SUBTOTAL(9,E46)</f>
        <v>0</v>
      </c>
      <c r="F47" s="47">
        <f t="shared" si="24"/>
        <v>0</v>
      </c>
      <c r="G47" s="47">
        <f t="shared" si="24"/>
        <v>0</v>
      </c>
      <c r="H47" s="47">
        <f t="shared" si="24"/>
        <v>0</v>
      </c>
      <c r="I47" s="6"/>
    </row>
    <row r="48" spans="1:12" ht="5.25" customHeight="1" x14ac:dyDescent="0.25">
      <c r="A48" s="3"/>
      <c r="B48" s="6"/>
      <c r="C48" s="3"/>
    </row>
    <row r="49" spans="1:12" x14ac:dyDescent="0.25">
      <c r="A49" s="15"/>
      <c r="B49" s="15" t="s">
        <v>20</v>
      </c>
      <c r="C49" s="15"/>
      <c r="D49" s="53"/>
      <c r="E49" s="53"/>
      <c r="F49" s="53"/>
      <c r="G49" s="54"/>
      <c r="H49" s="54"/>
      <c r="I49" s="61"/>
      <c r="J49" s="12"/>
      <c r="K49" s="12"/>
      <c r="L49" s="12"/>
    </row>
    <row r="50" spans="1:12" x14ac:dyDescent="0.25">
      <c r="A50" s="3"/>
      <c r="B50" s="3" t="s">
        <v>194</v>
      </c>
      <c r="C50" s="3"/>
      <c r="D50" s="44">
        <f t="shared" ref="D50:D51" si="25">SUM(E50:H50)</f>
        <v>143126.6</v>
      </c>
      <c r="E50" s="44">
        <f>E151</f>
        <v>32856.65</v>
      </c>
      <c r="F50" s="44">
        <f t="shared" ref="F50:H50" si="26">F151</f>
        <v>45706.65</v>
      </c>
      <c r="G50" s="44">
        <f t="shared" si="26"/>
        <v>32856.65</v>
      </c>
      <c r="H50" s="44">
        <f t="shared" si="26"/>
        <v>31706.65</v>
      </c>
    </row>
    <row r="51" spans="1:12" x14ac:dyDescent="0.25">
      <c r="A51" s="3"/>
      <c r="B51" s="3" t="s">
        <v>21</v>
      </c>
      <c r="C51" s="3"/>
      <c r="D51" s="44">
        <f t="shared" si="25"/>
        <v>33600</v>
      </c>
      <c r="E51" s="44">
        <f>E141</f>
        <v>8400</v>
      </c>
      <c r="F51" s="44">
        <f t="shared" ref="F51:H51" si="27">F141</f>
        <v>8400</v>
      </c>
      <c r="G51" s="44">
        <f t="shared" si="27"/>
        <v>8400</v>
      </c>
      <c r="H51" s="44">
        <f t="shared" si="27"/>
        <v>8400</v>
      </c>
    </row>
    <row r="52" spans="1:12" ht="14.25" thickBot="1" x14ac:dyDescent="0.3">
      <c r="A52" s="13"/>
      <c r="B52" s="13" t="s">
        <v>69</v>
      </c>
      <c r="C52" s="13"/>
      <c r="D52" s="47">
        <f>SUBTOTAL(9,D50:D51)</f>
        <v>176726.6</v>
      </c>
      <c r="E52" s="47">
        <f>SUBTOTAL(9,E50:E51)</f>
        <v>41256.65</v>
      </c>
      <c r="F52" s="47">
        <f>SUBTOTAL(9,F50:F51)</f>
        <v>54106.65</v>
      </c>
      <c r="G52" s="47">
        <f>SUBTOTAL(9,G50:G51)</f>
        <v>41256.65</v>
      </c>
      <c r="H52" s="47">
        <f>SUBTOTAL(9,H50:H51)</f>
        <v>40106.65</v>
      </c>
    </row>
    <row r="53" spans="1:12" ht="5.25" customHeight="1" x14ac:dyDescent="0.25">
      <c r="A53" s="1"/>
      <c r="B53" s="1"/>
      <c r="C53" s="1"/>
    </row>
    <row r="54" spans="1:12" ht="14.25" thickBot="1" x14ac:dyDescent="0.3">
      <c r="A54" s="48"/>
      <c r="B54" s="48" t="s">
        <v>142</v>
      </c>
      <c r="C54" s="48"/>
      <c r="D54" s="49">
        <f>SUBTOTAL(9,D5:D52)</f>
        <v>189392.5029704858</v>
      </c>
      <c r="E54" s="49">
        <f>SUBTOTAL(9,E5:E52)</f>
        <v>44226.05</v>
      </c>
      <c r="F54" s="49">
        <f>SUBTOTAL(9,F5:F52)</f>
        <v>57203.734199999999</v>
      </c>
      <c r="G54" s="49">
        <f>SUBTOTAL(9,G5:G52)</f>
        <v>44486.908820600001</v>
      </c>
      <c r="H54" s="49">
        <f>SUBTOTAL(9,H5:H52)</f>
        <v>43475.809949885799</v>
      </c>
    </row>
    <row r="55" spans="1:12" ht="14.25" thickBot="1" x14ac:dyDescent="0.3">
      <c r="A55" s="1"/>
      <c r="B55" s="1"/>
      <c r="C55" s="1"/>
      <c r="D55" s="33"/>
      <c r="E55" s="33"/>
      <c r="F55" s="33"/>
      <c r="G55" s="28"/>
      <c r="H55" s="28"/>
      <c r="I55" s="6"/>
    </row>
    <row r="56" spans="1:12" ht="18" thickTop="1" x14ac:dyDescent="0.3">
      <c r="A56" s="120"/>
      <c r="B56" s="121" t="s">
        <v>27</v>
      </c>
      <c r="C56" s="121"/>
      <c r="D56" s="122"/>
      <c r="E56" s="122"/>
      <c r="F56" s="122"/>
      <c r="G56" s="122"/>
      <c r="H56" s="122"/>
      <c r="I56" s="6"/>
    </row>
    <row r="57" spans="1:12" ht="6.75" customHeight="1" x14ac:dyDescent="0.25">
      <c r="A57" s="1"/>
      <c r="B57" s="1"/>
      <c r="C57" s="1"/>
      <c r="D57" s="33"/>
      <c r="E57" s="33"/>
      <c r="F57" s="33"/>
      <c r="G57" s="28"/>
      <c r="H57" s="28"/>
      <c r="I57" s="6"/>
    </row>
    <row r="58" spans="1:12" s="14" customFormat="1" x14ac:dyDescent="0.25">
      <c r="A58" s="81"/>
      <c r="B58" s="81" t="s">
        <v>65</v>
      </c>
      <c r="C58" s="81" t="s">
        <v>64</v>
      </c>
      <c r="D58" s="82"/>
      <c r="E58" s="83">
        <f>start</f>
        <v>43831</v>
      </c>
      <c r="F58" s="83">
        <f>EOMONTH(E58,11)+1</f>
        <v>44197</v>
      </c>
      <c r="G58" s="83">
        <f>EOMONTH(F58,11)+1</f>
        <v>44562</v>
      </c>
      <c r="H58" s="83">
        <f>EOMONTH(G58,11)+1</f>
        <v>44927</v>
      </c>
    </row>
    <row r="59" spans="1:12" ht="6.75" customHeight="1" x14ac:dyDescent="0.25">
      <c r="D59" s="33"/>
      <c r="E59" s="33"/>
      <c r="F59" s="33"/>
      <c r="G59" s="28"/>
      <c r="H59" s="28"/>
      <c r="I59" s="6"/>
    </row>
    <row r="60" spans="1:12" x14ac:dyDescent="0.25">
      <c r="A60" s="50"/>
      <c r="B60" s="50" t="s">
        <v>0</v>
      </c>
      <c r="C60" s="50"/>
      <c r="D60" s="52"/>
      <c r="E60" s="52"/>
      <c r="F60" s="52"/>
      <c r="G60" s="52"/>
      <c r="H60" s="52"/>
    </row>
    <row r="61" spans="1:12" hidden="1" x14ac:dyDescent="0.25">
      <c r="B61" s="5" t="s">
        <v>2</v>
      </c>
      <c r="E61" s="44">
        <f>E62*E63*E64*E65</f>
        <v>0</v>
      </c>
      <c r="F61" s="45"/>
      <c r="G61" s="37"/>
      <c r="H61" s="37"/>
    </row>
    <row r="62" spans="1:12" hidden="1" x14ac:dyDescent="0.25">
      <c r="A62" s="9"/>
      <c r="B62" s="9" t="s">
        <v>36</v>
      </c>
      <c r="C62" s="9"/>
      <c r="E62" s="44">
        <v>0</v>
      </c>
    </row>
    <row r="63" spans="1:12" hidden="1" x14ac:dyDescent="0.25">
      <c r="A63" s="9"/>
      <c r="B63" s="9" t="s">
        <v>37</v>
      </c>
      <c r="C63" s="9"/>
      <c r="D63" s="45"/>
      <c r="E63" s="45">
        <v>0</v>
      </c>
    </row>
    <row r="64" spans="1:12" hidden="1" x14ac:dyDescent="0.25">
      <c r="A64" s="9"/>
      <c r="B64" s="9" t="s">
        <v>38</v>
      </c>
      <c r="C64" s="9"/>
      <c r="E64" s="44">
        <v>0</v>
      </c>
    </row>
    <row r="65" spans="1:12" hidden="1" x14ac:dyDescent="0.25">
      <c r="A65" s="9"/>
      <c r="B65" s="9" t="s">
        <v>39</v>
      </c>
      <c r="C65" s="9"/>
      <c r="E65" s="46">
        <v>0</v>
      </c>
    </row>
    <row r="66" spans="1:12" x14ac:dyDescent="0.25">
      <c r="A66" s="9"/>
      <c r="B66" s="9"/>
      <c r="C66" s="9"/>
    </row>
    <row r="67" spans="1:12" x14ac:dyDescent="0.25">
      <c r="B67" s="5" t="s">
        <v>23</v>
      </c>
      <c r="E67" s="44">
        <f>E68*E69</f>
        <v>2969.4</v>
      </c>
      <c r="F67" s="44">
        <f t="shared" ref="F67:H67" si="28">F68*F69</f>
        <v>3097.0841999999998</v>
      </c>
      <c r="G67" s="44">
        <f t="shared" si="28"/>
        <v>3230.2588205999996</v>
      </c>
      <c r="H67" s="44">
        <f t="shared" si="28"/>
        <v>3369.1599498857995</v>
      </c>
    </row>
    <row r="68" spans="1:12" x14ac:dyDescent="0.25">
      <c r="A68" s="9"/>
      <c r="B68" s="9" t="s">
        <v>114</v>
      </c>
      <c r="C68" s="9" t="s">
        <v>113</v>
      </c>
      <c r="E68" s="44">
        <f>(6+2)*21</f>
        <v>168</v>
      </c>
      <c r="F68" s="44">
        <f t="shared" ref="F68:H68" si="29">(6+2)*21</f>
        <v>168</v>
      </c>
      <c r="G68" s="44">
        <f t="shared" si="29"/>
        <v>168</v>
      </c>
      <c r="H68" s="44">
        <f t="shared" si="29"/>
        <v>168</v>
      </c>
    </row>
    <row r="69" spans="1:12" x14ac:dyDescent="0.25">
      <c r="A69" s="9"/>
      <c r="B69" s="9" t="s">
        <v>40</v>
      </c>
      <c r="C69" s="9"/>
      <c r="E69" s="44">
        <f>'Rates and GI'!D12</f>
        <v>17.675000000000001</v>
      </c>
      <c r="F69" s="44">
        <f>E69*(1+index)</f>
        <v>18.435025</v>
      </c>
      <c r="G69" s="44">
        <f>F69*(1+index)</f>
        <v>19.227731074999998</v>
      </c>
      <c r="H69" s="44">
        <f>G69*(1+index)</f>
        <v>20.054523511224996</v>
      </c>
    </row>
    <row r="70" spans="1:12" hidden="1" x14ac:dyDescent="0.25"/>
    <row r="71" spans="1:12" s="7" customFormat="1" hidden="1" x14ac:dyDescent="0.25">
      <c r="A71" s="5"/>
      <c r="B71" s="5" t="s">
        <v>168</v>
      </c>
      <c r="C71" s="5"/>
      <c r="D71" s="44"/>
      <c r="E71" s="44">
        <f>E72*E73</f>
        <v>0</v>
      </c>
      <c r="F71" s="44">
        <f t="shared" ref="F71:H71" si="30">F72*F73</f>
        <v>0</v>
      </c>
      <c r="G71" s="44">
        <f t="shared" si="30"/>
        <v>0</v>
      </c>
      <c r="H71" s="44">
        <f t="shared" si="30"/>
        <v>0</v>
      </c>
      <c r="I71" s="62"/>
      <c r="J71" s="6"/>
      <c r="K71" s="6"/>
      <c r="L71" s="6"/>
    </row>
    <row r="72" spans="1:12" s="7" customFormat="1" hidden="1" x14ac:dyDescent="0.25">
      <c r="A72" s="9"/>
      <c r="B72" s="9" t="s">
        <v>170</v>
      </c>
      <c r="C72" s="9" t="s">
        <v>113</v>
      </c>
      <c r="D72" s="44"/>
      <c r="E72" s="44">
        <v>0</v>
      </c>
      <c r="F72" s="44">
        <v>0</v>
      </c>
      <c r="G72" s="44">
        <v>0</v>
      </c>
      <c r="H72" s="44">
        <v>0</v>
      </c>
      <c r="I72" s="62"/>
      <c r="J72" s="6"/>
      <c r="K72" s="6"/>
      <c r="L72" s="6"/>
    </row>
    <row r="73" spans="1:12" s="7" customFormat="1" hidden="1" x14ac:dyDescent="0.25">
      <c r="A73" s="9"/>
      <c r="B73" s="9" t="s">
        <v>40</v>
      </c>
      <c r="C73" s="9"/>
      <c r="D73" s="44"/>
      <c r="E73" s="44">
        <f>'Rates and GI'!D13</f>
        <v>162.21599999999998</v>
      </c>
      <c r="F73" s="44">
        <f>E73*(1+index)</f>
        <v>169.19128799999996</v>
      </c>
      <c r="G73" s="44">
        <f>F73*(1+index)</f>
        <v>176.46651338399994</v>
      </c>
      <c r="H73" s="44">
        <f>G73*(1+index)</f>
        <v>184.05457345951191</v>
      </c>
      <c r="I73" s="62"/>
      <c r="J73" s="6"/>
      <c r="K73" s="6"/>
      <c r="L73" s="6"/>
    </row>
    <row r="74" spans="1:12" hidden="1" x14ac:dyDescent="0.25"/>
    <row r="75" spans="1:12" s="7" customFormat="1" hidden="1" x14ac:dyDescent="0.25">
      <c r="A75" s="5"/>
      <c r="B75" s="5" t="s">
        <v>1</v>
      </c>
      <c r="C75" s="5"/>
      <c r="D75" s="44"/>
      <c r="E75" s="44"/>
      <c r="F75" s="44"/>
      <c r="G75" s="38"/>
      <c r="H75" s="38"/>
      <c r="I75" s="62"/>
      <c r="J75" s="6"/>
      <c r="K75" s="6"/>
      <c r="L75" s="6"/>
    </row>
    <row r="76" spans="1:12" s="7" customFormat="1" hidden="1" x14ac:dyDescent="0.25">
      <c r="A76" s="9"/>
      <c r="B76" s="9" t="s">
        <v>41</v>
      </c>
      <c r="C76" s="9"/>
      <c r="D76" s="44"/>
      <c r="E76" s="44">
        <v>0</v>
      </c>
      <c r="F76" s="44"/>
      <c r="G76" s="38"/>
      <c r="H76" s="38"/>
      <c r="I76" s="62"/>
      <c r="J76" s="6"/>
      <c r="K76" s="6"/>
      <c r="L76" s="6"/>
    </row>
    <row r="77" spans="1:12" s="7" customFormat="1" hidden="1" x14ac:dyDescent="0.25">
      <c r="A77" s="9"/>
      <c r="B77" s="9" t="s">
        <v>42</v>
      </c>
      <c r="C77" s="9"/>
      <c r="D77" s="44"/>
      <c r="E77" s="44">
        <v>0</v>
      </c>
      <c r="F77" s="44"/>
      <c r="G77" s="38"/>
      <c r="H77" s="38"/>
      <c r="I77" s="62"/>
      <c r="J77" s="6"/>
      <c r="K77" s="6"/>
      <c r="L77" s="6"/>
    </row>
    <row r="78" spans="1:12" s="7" customFormat="1" hidden="1" x14ac:dyDescent="0.25">
      <c r="A78" s="9"/>
      <c r="B78" s="9" t="s">
        <v>43</v>
      </c>
      <c r="C78" s="9"/>
      <c r="D78" s="44"/>
      <c r="E78" s="44">
        <v>0</v>
      </c>
      <c r="F78" s="44"/>
      <c r="G78" s="38"/>
      <c r="H78" s="38"/>
      <c r="I78" s="62"/>
      <c r="J78" s="6"/>
      <c r="K78" s="6"/>
      <c r="L78" s="6"/>
    </row>
    <row r="79" spans="1:12" s="7" customFormat="1" hidden="1" x14ac:dyDescent="0.25">
      <c r="A79" s="9"/>
      <c r="B79" s="9" t="s">
        <v>44</v>
      </c>
      <c r="C79" s="9"/>
      <c r="D79" s="44"/>
      <c r="E79" s="44">
        <v>0</v>
      </c>
      <c r="F79" s="44"/>
      <c r="G79" s="38"/>
      <c r="H79" s="38"/>
      <c r="I79" s="62"/>
      <c r="J79" s="6"/>
      <c r="K79" s="6"/>
      <c r="L79" s="6"/>
    </row>
    <row r="80" spans="1:12" hidden="1" x14ac:dyDescent="0.25"/>
    <row r="81" spans="1:12" s="7" customFormat="1" hidden="1" x14ac:dyDescent="0.25">
      <c r="A81" s="5"/>
      <c r="B81" s="5" t="s">
        <v>3</v>
      </c>
      <c r="C81" s="5"/>
      <c r="D81" s="44"/>
      <c r="E81" s="44"/>
      <c r="F81" s="44"/>
      <c r="G81" s="38"/>
      <c r="H81" s="38"/>
      <c r="I81" s="62"/>
      <c r="J81" s="6"/>
      <c r="K81" s="6"/>
      <c r="L81" s="6"/>
    </row>
    <row r="82" spans="1:12" s="7" customFormat="1" hidden="1" x14ac:dyDescent="0.25">
      <c r="A82" s="9"/>
      <c r="B82" s="9" t="s">
        <v>45</v>
      </c>
      <c r="C82" s="9"/>
      <c r="D82" s="44"/>
      <c r="E82" s="44">
        <v>0</v>
      </c>
      <c r="F82" s="44"/>
      <c r="G82" s="38"/>
      <c r="H82" s="38"/>
      <c r="I82" s="62"/>
      <c r="J82" s="6"/>
      <c r="K82" s="6"/>
      <c r="L82" s="6"/>
    </row>
    <row r="83" spans="1:12" s="7" customFormat="1" hidden="1" x14ac:dyDescent="0.25">
      <c r="A83" s="9"/>
      <c r="B83" s="9" t="s">
        <v>46</v>
      </c>
      <c r="C83" s="9"/>
      <c r="D83" s="44"/>
      <c r="E83" s="44">
        <v>0</v>
      </c>
      <c r="F83" s="44"/>
      <c r="G83" s="38"/>
      <c r="H83" s="38"/>
      <c r="I83" s="62"/>
      <c r="J83" s="6"/>
      <c r="K83" s="6"/>
      <c r="L83" s="6"/>
    </row>
    <row r="84" spans="1:12" hidden="1" x14ac:dyDescent="0.25"/>
    <row r="85" spans="1:12" s="7" customFormat="1" hidden="1" x14ac:dyDescent="0.25">
      <c r="A85" s="5"/>
      <c r="B85" s="5" t="s">
        <v>4</v>
      </c>
      <c r="C85" s="5"/>
      <c r="D85" s="44"/>
      <c r="E85" s="44"/>
      <c r="F85" s="44"/>
      <c r="G85" s="38"/>
      <c r="H85" s="38"/>
      <c r="I85" s="62"/>
      <c r="J85" s="6"/>
      <c r="K85" s="6"/>
      <c r="L85" s="6"/>
    </row>
    <row r="86" spans="1:12" s="7" customFormat="1" hidden="1" x14ac:dyDescent="0.25">
      <c r="A86" s="9"/>
      <c r="B86" s="9" t="s">
        <v>47</v>
      </c>
      <c r="C86" s="9"/>
      <c r="D86" s="44"/>
      <c r="E86" s="44">
        <v>0</v>
      </c>
      <c r="F86" s="44"/>
      <c r="G86" s="38"/>
      <c r="H86" s="38"/>
      <c r="I86" s="62"/>
      <c r="J86" s="6"/>
      <c r="K86" s="6"/>
      <c r="L86" s="6"/>
    </row>
    <row r="87" spans="1:12" s="7" customFormat="1" hidden="1" x14ac:dyDescent="0.25">
      <c r="A87" s="9"/>
      <c r="B87" s="9" t="s">
        <v>48</v>
      </c>
      <c r="C87" s="9"/>
      <c r="D87" s="44"/>
      <c r="E87" s="44">
        <v>0</v>
      </c>
      <c r="F87" s="44"/>
      <c r="G87" s="38"/>
      <c r="H87" s="38"/>
      <c r="I87" s="62"/>
      <c r="J87" s="6"/>
      <c r="K87" s="6"/>
      <c r="L87" s="6"/>
    </row>
    <row r="88" spans="1:12" hidden="1" x14ac:dyDescent="0.25"/>
    <row r="89" spans="1:12" s="7" customFormat="1" hidden="1" x14ac:dyDescent="0.25">
      <c r="A89" s="9"/>
      <c r="B89" s="9" t="s">
        <v>39</v>
      </c>
      <c r="C89" s="9"/>
      <c r="D89" s="44"/>
      <c r="E89" s="46"/>
      <c r="F89" s="44"/>
      <c r="G89" s="38"/>
      <c r="H89" s="38"/>
      <c r="I89" s="62"/>
      <c r="J89" s="6"/>
      <c r="K89" s="6"/>
      <c r="L89" s="6"/>
    </row>
    <row r="91" spans="1:12" hidden="1" x14ac:dyDescent="0.25">
      <c r="A91" s="50"/>
      <c r="B91" s="50" t="s">
        <v>10</v>
      </c>
      <c r="C91" s="50"/>
      <c r="D91" s="52"/>
      <c r="E91" s="52">
        <f>E92*E93+E95*E96</f>
        <v>0</v>
      </c>
      <c r="F91" s="52">
        <f t="shared" ref="F91:H91" si="31">F92*F93+F95*F96</f>
        <v>0</v>
      </c>
      <c r="G91" s="52">
        <f t="shared" si="31"/>
        <v>0</v>
      </c>
      <c r="H91" s="52">
        <f t="shared" si="31"/>
        <v>0</v>
      </c>
    </row>
    <row r="92" spans="1:12" s="7" customFormat="1" hidden="1" x14ac:dyDescent="0.25">
      <c r="A92" s="5"/>
      <c r="B92" s="9" t="s">
        <v>49</v>
      </c>
      <c r="C92" s="5"/>
      <c r="D92" s="44"/>
      <c r="E92" s="44">
        <v>0</v>
      </c>
      <c r="F92" s="44">
        <v>0</v>
      </c>
      <c r="G92" s="44">
        <v>0</v>
      </c>
      <c r="H92" s="44">
        <v>0</v>
      </c>
      <c r="I92" s="62"/>
      <c r="J92" s="6"/>
      <c r="K92" s="6"/>
      <c r="L92" s="6"/>
    </row>
    <row r="93" spans="1:12" s="7" customFormat="1" hidden="1" x14ac:dyDescent="0.25">
      <c r="A93" s="5"/>
      <c r="B93" s="9" t="s">
        <v>50</v>
      </c>
      <c r="C93" s="5"/>
      <c r="D93" s="44"/>
      <c r="E93" s="44">
        <f>Trips!$B$10</f>
        <v>908.23176058823537</v>
      </c>
      <c r="F93" s="44">
        <f>Trips!$B$10</f>
        <v>908.23176058823537</v>
      </c>
      <c r="G93" s="44">
        <f>Trips!$B$10</f>
        <v>908.23176058823537</v>
      </c>
      <c r="H93" s="44">
        <f>Trips!$B$10</f>
        <v>908.23176058823537</v>
      </c>
      <c r="I93" s="62"/>
      <c r="J93" s="6"/>
      <c r="K93" s="6"/>
      <c r="L93" s="6"/>
    </row>
    <row r="94" spans="1:12" hidden="1" x14ac:dyDescent="0.25"/>
    <row r="95" spans="1:12" s="7" customFormat="1" hidden="1" x14ac:dyDescent="0.25">
      <c r="A95" s="5"/>
      <c r="B95" s="9" t="s">
        <v>51</v>
      </c>
      <c r="C95" s="5"/>
      <c r="D95" s="44"/>
      <c r="E95" s="44">
        <v>0</v>
      </c>
      <c r="F95" s="44">
        <v>0</v>
      </c>
      <c r="G95" s="44">
        <v>0</v>
      </c>
      <c r="H95" s="44">
        <f>G95</f>
        <v>0</v>
      </c>
      <c r="I95" s="62"/>
      <c r="J95" s="6"/>
      <c r="K95" s="6"/>
      <c r="L95" s="6"/>
    </row>
    <row r="96" spans="1:12" s="7" customFormat="1" hidden="1" x14ac:dyDescent="0.25">
      <c r="A96" s="5"/>
      <c r="B96" s="9" t="s">
        <v>52</v>
      </c>
      <c r="C96" s="5"/>
      <c r="D96" s="44"/>
      <c r="E96" s="44">
        <f>Trips!$B$5</f>
        <v>52</v>
      </c>
      <c r="F96" s="44">
        <f>Trips!$B$5</f>
        <v>52</v>
      </c>
      <c r="G96" s="44">
        <f>Trips!$B$5</f>
        <v>52</v>
      </c>
      <c r="H96" s="44">
        <f>Trips!$B$5</f>
        <v>52</v>
      </c>
      <c r="I96" s="62"/>
      <c r="J96" s="6"/>
      <c r="K96" s="6"/>
      <c r="L96" s="6"/>
    </row>
    <row r="97" spans="1:12" hidden="1" x14ac:dyDescent="0.25"/>
    <row r="98" spans="1:12" hidden="1" x14ac:dyDescent="0.25"/>
    <row r="99" spans="1:12" hidden="1" x14ac:dyDescent="0.25">
      <c r="A99" s="50"/>
      <c r="B99" s="50" t="s">
        <v>171</v>
      </c>
      <c r="C99" s="50"/>
      <c r="D99" s="52"/>
      <c r="E99" s="52">
        <f>E100*E101</f>
        <v>0</v>
      </c>
      <c r="F99" s="52">
        <f t="shared" ref="F99:H99" si="32">F100*F101</f>
        <v>0</v>
      </c>
      <c r="G99" s="52">
        <f t="shared" si="32"/>
        <v>0</v>
      </c>
      <c r="H99" s="52">
        <f t="shared" si="32"/>
        <v>0</v>
      </c>
    </row>
    <row r="100" spans="1:12" s="7" customFormat="1" hidden="1" x14ac:dyDescent="0.25">
      <c r="A100" s="10"/>
      <c r="B100" s="39" t="s">
        <v>144</v>
      </c>
      <c r="C100" s="10" t="s">
        <v>145</v>
      </c>
      <c r="D100" s="44"/>
      <c r="E100" s="44">
        <v>0</v>
      </c>
      <c r="F100" s="44">
        <v>0</v>
      </c>
      <c r="G100" s="44">
        <v>0</v>
      </c>
      <c r="H100" s="44">
        <v>0</v>
      </c>
      <c r="I100" s="62"/>
      <c r="J100" s="6"/>
      <c r="K100" s="6"/>
      <c r="L100" s="6"/>
    </row>
    <row r="101" spans="1:12" s="7" customFormat="1" hidden="1" x14ac:dyDescent="0.25">
      <c r="A101" s="5"/>
      <c r="B101" s="39" t="s">
        <v>141</v>
      </c>
      <c r="C101" s="5"/>
      <c r="D101" s="44"/>
      <c r="E101" s="44">
        <f>Trips!B41</f>
        <v>631.70365882352939</v>
      </c>
      <c r="F101" s="44">
        <f>E101*(1+index)</f>
        <v>658.86691615294114</v>
      </c>
      <c r="G101" s="44">
        <f>F101*(1+index)</f>
        <v>687.19819354751758</v>
      </c>
      <c r="H101" s="44">
        <f>G101*(1+index)</f>
        <v>716.7477158700608</v>
      </c>
      <c r="I101" s="62"/>
      <c r="J101" s="6"/>
      <c r="K101" s="6"/>
      <c r="L101" s="6"/>
    </row>
    <row r="102" spans="1:12" hidden="1" x14ac:dyDescent="0.25"/>
    <row r="103" spans="1:12" hidden="1" x14ac:dyDescent="0.25">
      <c r="A103" s="50"/>
      <c r="B103" s="50" t="s">
        <v>130</v>
      </c>
      <c r="C103" s="50"/>
      <c r="D103" s="52"/>
      <c r="E103" s="52">
        <f>E104*E105+E106*E107+E108*E109</f>
        <v>0</v>
      </c>
      <c r="F103" s="52">
        <f t="shared" ref="F103:H103" si="33">F104*F105+F106*F107+F108*F109</f>
        <v>0</v>
      </c>
      <c r="G103" s="52">
        <f t="shared" si="33"/>
        <v>0</v>
      </c>
      <c r="H103" s="52">
        <f t="shared" si="33"/>
        <v>0</v>
      </c>
    </row>
    <row r="104" spans="1:12" hidden="1" x14ac:dyDescent="0.25">
      <c r="B104" s="39" t="s">
        <v>131</v>
      </c>
      <c r="C104" s="5" t="s">
        <v>132</v>
      </c>
      <c r="E104" s="44">
        <f>Training!$C$33</f>
        <v>81.10799999999999</v>
      </c>
      <c r="F104" s="44">
        <f>E104*(1+index)</f>
        <v>84.595643999999979</v>
      </c>
      <c r="G104" s="44">
        <f>F104*(1+index)</f>
        <v>88.233256691999969</v>
      </c>
      <c r="H104" s="44">
        <f>G104*(1+index)</f>
        <v>92.027286729755957</v>
      </c>
    </row>
    <row r="105" spans="1:12" hidden="1" x14ac:dyDescent="0.25">
      <c r="B105" s="39" t="s">
        <v>133</v>
      </c>
      <c r="F105" s="44">
        <f>F92</f>
        <v>0</v>
      </c>
      <c r="G105" s="44">
        <f t="shared" ref="G105:H105" si="34">G92</f>
        <v>0</v>
      </c>
      <c r="H105" s="44">
        <f t="shared" si="34"/>
        <v>0</v>
      </c>
    </row>
    <row r="106" spans="1:12" hidden="1" x14ac:dyDescent="0.25">
      <c r="B106" s="39" t="s">
        <v>134</v>
      </c>
      <c r="E106" s="44">
        <f>Training!C23</f>
        <v>709.375</v>
      </c>
      <c r="F106" s="44">
        <f>E106*(1+index)</f>
        <v>739.87812499999995</v>
      </c>
      <c r="G106" s="44">
        <f>F106*(1+index)</f>
        <v>771.69288437499995</v>
      </c>
      <c r="H106" s="44">
        <f>G106*(1+index)</f>
        <v>804.87567840312488</v>
      </c>
    </row>
    <row r="107" spans="1:12" hidden="1" x14ac:dyDescent="0.25">
      <c r="B107" s="39" t="s">
        <v>135</v>
      </c>
      <c r="E107" s="44">
        <v>0</v>
      </c>
      <c r="F107" s="44">
        <v>0</v>
      </c>
      <c r="G107" s="33">
        <v>0</v>
      </c>
      <c r="H107" s="33">
        <v>0</v>
      </c>
    </row>
    <row r="108" spans="1:12" hidden="1" x14ac:dyDescent="0.25">
      <c r="B108" s="39" t="s">
        <v>203</v>
      </c>
      <c r="C108" s="5" t="s">
        <v>137</v>
      </c>
      <c r="G108" s="44"/>
      <c r="H108" s="44"/>
    </row>
    <row r="109" spans="1:12" hidden="1" x14ac:dyDescent="0.25">
      <c r="B109" s="39" t="s">
        <v>133</v>
      </c>
      <c r="E109" s="44">
        <v>0</v>
      </c>
      <c r="F109" s="44">
        <v>0</v>
      </c>
      <c r="G109" s="44">
        <v>0</v>
      </c>
      <c r="H109" s="44">
        <v>0</v>
      </c>
    </row>
    <row r="110" spans="1:12" hidden="1" x14ac:dyDescent="0.25">
      <c r="B110" s="39"/>
    </row>
    <row r="111" spans="1:12" hidden="1" x14ac:dyDescent="0.25">
      <c r="A111" s="50"/>
      <c r="B111" s="50" t="s">
        <v>24</v>
      </c>
      <c r="C111" s="50"/>
      <c r="D111" s="52"/>
      <c r="E111" s="52">
        <f t="shared" ref="E111:H111" si="35">E112*E113</f>
        <v>0</v>
      </c>
      <c r="F111" s="52">
        <f t="shared" si="35"/>
        <v>0</v>
      </c>
      <c r="G111" s="52">
        <f t="shared" si="35"/>
        <v>0</v>
      </c>
      <c r="H111" s="52">
        <f t="shared" si="35"/>
        <v>0</v>
      </c>
    </row>
    <row r="112" spans="1:12" s="7" customFormat="1" hidden="1" x14ac:dyDescent="0.25">
      <c r="A112" s="5"/>
      <c r="B112" s="39" t="s">
        <v>53</v>
      </c>
      <c r="C112" s="5"/>
      <c r="D112" s="44"/>
      <c r="E112" s="44">
        <v>0</v>
      </c>
      <c r="F112" s="44">
        <v>0</v>
      </c>
      <c r="G112" s="44">
        <v>0</v>
      </c>
      <c r="H112" s="44">
        <v>0</v>
      </c>
      <c r="I112" s="62"/>
      <c r="J112" s="6"/>
      <c r="K112" s="6"/>
      <c r="L112" s="6"/>
    </row>
    <row r="113" spans="1:12" s="7" customFormat="1" hidden="1" x14ac:dyDescent="0.25">
      <c r="A113" s="5"/>
      <c r="B113" s="39" t="s">
        <v>54</v>
      </c>
      <c r="C113" s="5"/>
      <c r="D113" s="44"/>
      <c r="E113" s="44">
        <f>'Rates and GI'!D25</f>
        <v>6</v>
      </c>
      <c r="F113" s="44">
        <f>E113*(1+index)</f>
        <v>6.2579999999999991</v>
      </c>
      <c r="G113" s="44">
        <f>F113*(1+index)</f>
        <v>6.5270939999999991</v>
      </c>
      <c r="H113" s="44">
        <f>G113*(1+index)</f>
        <v>6.8077590419999989</v>
      </c>
      <c r="I113" s="62"/>
      <c r="J113" s="6"/>
      <c r="K113" s="6"/>
      <c r="L113" s="6"/>
    </row>
    <row r="114" spans="1:12" hidden="1" x14ac:dyDescent="0.25"/>
    <row r="115" spans="1:12" hidden="1" x14ac:dyDescent="0.25">
      <c r="A115" s="50"/>
      <c r="B115" s="50" t="s">
        <v>7</v>
      </c>
      <c r="C115" s="50"/>
      <c r="D115" s="52"/>
      <c r="E115" s="52"/>
      <c r="F115" s="52"/>
      <c r="G115" s="52"/>
      <c r="H115" s="52"/>
    </row>
    <row r="116" spans="1:12" s="7" customFormat="1" hidden="1" x14ac:dyDescent="0.25">
      <c r="A116" s="5"/>
      <c r="B116" s="4" t="s">
        <v>57</v>
      </c>
      <c r="C116" s="5"/>
      <c r="D116" s="44"/>
      <c r="E116" s="46"/>
      <c r="F116" s="46"/>
      <c r="G116" s="105"/>
      <c r="H116" s="105"/>
      <c r="I116" s="62"/>
      <c r="J116" s="6"/>
      <c r="K116" s="6"/>
      <c r="L116" s="6"/>
    </row>
    <row r="117" spans="1:12" s="43" customFormat="1" hidden="1" x14ac:dyDescent="0.25">
      <c r="A117" s="40"/>
      <c r="B117" s="41" t="s">
        <v>58</v>
      </c>
      <c r="C117" s="40" t="s">
        <v>55</v>
      </c>
      <c r="D117" s="71"/>
      <c r="E117" s="71"/>
      <c r="F117" s="71"/>
      <c r="G117" s="72"/>
      <c r="H117" s="72"/>
      <c r="I117" s="75"/>
      <c r="J117" s="42"/>
      <c r="K117" s="42"/>
      <c r="L117" s="42"/>
    </row>
    <row r="118" spans="1:12" s="40" customFormat="1" hidden="1" x14ac:dyDescent="0.25">
      <c r="B118" s="41" t="s">
        <v>56</v>
      </c>
      <c r="D118" s="71"/>
      <c r="E118" s="71"/>
      <c r="F118" s="71"/>
      <c r="G118" s="72"/>
      <c r="H118" s="72"/>
      <c r="I118" s="75"/>
      <c r="J118" s="42"/>
      <c r="K118" s="42"/>
      <c r="L118" s="42"/>
    </row>
    <row r="119" spans="1:12" s="40" customFormat="1" hidden="1" x14ac:dyDescent="0.25">
      <c r="B119" s="41" t="s">
        <v>59</v>
      </c>
      <c r="D119" s="71"/>
      <c r="E119" s="71"/>
      <c r="F119" s="71"/>
      <c r="G119" s="72"/>
      <c r="H119" s="72"/>
      <c r="I119" s="75"/>
      <c r="J119" s="42"/>
      <c r="K119" s="42"/>
      <c r="L119" s="42"/>
    </row>
    <row r="120" spans="1:12" hidden="1" x14ac:dyDescent="0.25"/>
    <row r="121" spans="1:12" hidden="1" x14ac:dyDescent="0.25">
      <c r="A121" s="50"/>
      <c r="B121" s="50" t="s">
        <v>26</v>
      </c>
      <c r="C121" s="50"/>
      <c r="D121" s="52"/>
      <c r="E121" s="52">
        <f>E126*E127</f>
        <v>0</v>
      </c>
      <c r="F121" s="52">
        <f>F126*F127</f>
        <v>0</v>
      </c>
      <c r="G121" s="52"/>
      <c r="H121" s="52"/>
    </row>
    <row r="122" spans="1:12" s="5" customFormat="1" hidden="1" x14ac:dyDescent="0.25">
      <c r="B122" s="55" t="s">
        <v>60</v>
      </c>
      <c r="D122" s="44"/>
      <c r="E122" s="44"/>
      <c r="F122" s="44"/>
      <c r="G122" s="38"/>
      <c r="H122" s="38"/>
      <c r="I122" s="62"/>
      <c r="J122" s="6"/>
      <c r="K122" s="6"/>
      <c r="L122" s="6"/>
    </row>
    <row r="123" spans="1:12" s="5" customFormat="1" hidden="1" x14ac:dyDescent="0.25">
      <c r="B123" s="41" t="s">
        <v>147</v>
      </c>
      <c r="D123" s="44"/>
      <c r="E123" s="44"/>
      <c r="F123" s="44"/>
      <c r="G123" s="38"/>
      <c r="H123" s="38"/>
      <c r="I123" s="62"/>
      <c r="J123" s="6"/>
      <c r="K123" s="6"/>
      <c r="L123" s="6"/>
    </row>
    <row r="124" spans="1:12" s="5" customFormat="1" hidden="1" x14ac:dyDescent="0.25">
      <c r="B124" s="41" t="s">
        <v>146</v>
      </c>
      <c r="D124" s="44"/>
      <c r="E124" s="44"/>
      <c r="F124" s="44"/>
      <c r="G124" s="38"/>
      <c r="H124" s="38"/>
      <c r="I124" s="62"/>
      <c r="J124" s="6"/>
      <c r="K124" s="6"/>
      <c r="L124" s="6"/>
    </row>
    <row r="125" spans="1:12" s="5" customFormat="1" hidden="1" x14ac:dyDescent="0.25">
      <c r="B125" s="55" t="s">
        <v>123</v>
      </c>
      <c r="D125" s="44"/>
      <c r="E125" s="44"/>
      <c r="F125" s="44"/>
      <c r="G125" s="38"/>
      <c r="H125" s="38"/>
      <c r="I125" s="62"/>
      <c r="J125" s="6"/>
      <c r="K125" s="6"/>
      <c r="L125" s="6"/>
    </row>
    <row r="126" spans="1:12" s="5" customFormat="1" hidden="1" x14ac:dyDescent="0.25">
      <c r="B126" s="41" t="s">
        <v>147</v>
      </c>
      <c r="D126" s="44"/>
      <c r="E126" s="44">
        <f>'Rates and GI'!$D$31</f>
        <v>350</v>
      </c>
      <c r="F126" s="44">
        <f>'Rates and GI'!$D$31</f>
        <v>350</v>
      </c>
      <c r="G126" s="44">
        <f>'Rates and GI'!$D$31</f>
        <v>350</v>
      </c>
      <c r="H126" s="44">
        <f>'Rates and GI'!$D$31</f>
        <v>350</v>
      </c>
      <c r="I126" s="62"/>
      <c r="J126" s="6"/>
      <c r="K126" s="6"/>
      <c r="L126" s="6"/>
    </row>
    <row r="127" spans="1:12" s="5" customFormat="1" hidden="1" x14ac:dyDescent="0.25">
      <c r="B127" s="41" t="s">
        <v>146</v>
      </c>
      <c r="D127" s="44"/>
      <c r="E127" s="44">
        <v>0</v>
      </c>
      <c r="F127" s="44">
        <v>0</v>
      </c>
      <c r="G127" s="38"/>
      <c r="H127" s="38"/>
      <c r="I127" s="62"/>
      <c r="J127" s="6"/>
      <c r="K127" s="6"/>
      <c r="L127" s="6"/>
    </row>
    <row r="128" spans="1:12" s="5" customFormat="1" hidden="1" x14ac:dyDescent="0.25">
      <c r="B128" s="55" t="s">
        <v>8</v>
      </c>
      <c r="D128" s="44"/>
      <c r="E128" s="44"/>
      <c r="F128" s="44"/>
      <c r="G128" s="38"/>
      <c r="H128" s="38"/>
      <c r="I128" s="62"/>
      <c r="J128" s="6"/>
      <c r="K128" s="6"/>
      <c r="L128" s="6"/>
    </row>
    <row r="129" spans="1:12" s="5" customFormat="1" hidden="1" x14ac:dyDescent="0.25">
      <c r="B129" s="41" t="s">
        <v>147</v>
      </c>
      <c r="D129" s="44"/>
      <c r="E129" s="44"/>
      <c r="F129" s="44"/>
      <c r="G129" s="38"/>
      <c r="H129" s="38"/>
      <c r="I129" s="62"/>
      <c r="J129" s="6"/>
      <c r="K129" s="6"/>
      <c r="L129" s="6"/>
    </row>
    <row r="130" spans="1:12" s="5" customFormat="1" hidden="1" x14ac:dyDescent="0.25">
      <c r="B130" s="41" t="s">
        <v>146</v>
      </c>
      <c r="D130" s="44"/>
      <c r="E130" s="44"/>
      <c r="F130" s="44"/>
      <c r="G130" s="38"/>
      <c r="H130" s="38"/>
      <c r="I130" s="62"/>
      <c r="J130" s="6"/>
      <c r="K130" s="6"/>
      <c r="L130" s="6"/>
    </row>
    <row r="131" spans="1:12" hidden="1" x14ac:dyDescent="0.25"/>
    <row r="132" spans="1:12" hidden="1" x14ac:dyDescent="0.25">
      <c r="A132" s="50"/>
      <c r="B132" s="50" t="s">
        <v>25</v>
      </c>
      <c r="C132" s="50"/>
      <c r="D132" s="52"/>
      <c r="E132" s="52">
        <f>E133+E136</f>
        <v>0</v>
      </c>
      <c r="F132" s="52">
        <f t="shared" ref="F132:H132" si="36">F133+F136</f>
        <v>0</v>
      </c>
      <c r="G132" s="52">
        <f t="shared" si="36"/>
        <v>0</v>
      </c>
      <c r="H132" s="52">
        <f t="shared" si="36"/>
        <v>0</v>
      </c>
    </row>
    <row r="133" spans="1:12" s="5" customFormat="1" hidden="1" x14ac:dyDescent="0.25">
      <c r="B133" s="5" t="s">
        <v>205</v>
      </c>
      <c r="D133" s="44"/>
      <c r="E133" s="44"/>
      <c r="F133" s="44">
        <v>0</v>
      </c>
      <c r="G133" s="38"/>
      <c r="H133" s="38"/>
      <c r="I133" s="62"/>
      <c r="J133" s="6"/>
      <c r="K133" s="6"/>
      <c r="L133" s="6"/>
    </row>
    <row r="134" spans="1:12" s="5" customFormat="1" hidden="1" x14ac:dyDescent="0.25">
      <c r="B134" s="41"/>
      <c r="D134" s="44"/>
      <c r="E134" s="44"/>
      <c r="F134" s="44"/>
      <c r="G134" s="38"/>
      <c r="H134" s="38"/>
      <c r="I134" s="62"/>
      <c r="J134" s="6"/>
      <c r="K134" s="6"/>
      <c r="L134" s="6"/>
    </row>
    <row r="135" spans="1:12" s="5" customFormat="1" hidden="1" x14ac:dyDescent="0.25">
      <c r="B135" s="41"/>
      <c r="D135" s="44"/>
      <c r="E135" s="44"/>
      <c r="F135" s="44"/>
      <c r="G135" s="38"/>
      <c r="H135" s="38"/>
      <c r="I135" s="62"/>
      <c r="J135" s="6"/>
      <c r="K135" s="6"/>
      <c r="L135" s="6"/>
    </row>
    <row r="136" spans="1:12" s="5" customFormat="1" hidden="1" x14ac:dyDescent="0.25">
      <c r="B136" s="5" t="s">
        <v>154</v>
      </c>
      <c r="D136" s="44"/>
      <c r="E136" s="44">
        <f>E137+E138*E139</f>
        <v>0</v>
      </c>
      <c r="F136" s="44">
        <f>F137+F138*F139</f>
        <v>0</v>
      </c>
      <c r="G136" s="44">
        <f t="shared" ref="G136:H136" si="37">G137+G138*G139</f>
        <v>0</v>
      </c>
      <c r="H136" s="44">
        <f t="shared" si="37"/>
        <v>0</v>
      </c>
      <c r="I136" s="73"/>
    </row>
    <row r="137" spans="1:12" hidden="1" x14ac:dyDescent="0.25">
      <c r="B137" s="41" t="s">
        <v>153</v>
      </c>
      <c r="F137" s="44">
        <f>'Rates and GI'!D46*0</f>
        <v>0</v>
      </c>
    </row>
    <row r="138" spans="1:12" hidden="1" x14ac:dyDescent="0.25">
      <c r="B138" s="41" t="s">
        <v>159</v>
      </c>
      <c r="E138" s="60">
        <f>'Rates and GI'!$D$48</f>
        <v>0.02</v>
      </c>
      <c r="F138" s="60">
        <f>'Rates and GI'!$D$48</f>
        <v>0.02</v>
      </c>
      <c r="G138" s="60">
        <f>'Rates and GI'!$D$48</f>
        <v>0.02</v>
      </c>
      <c r="H138" s="60">
        <f>'Rates and GI'!$D$48</f>
        <v>0.02</v>
      </c>
    </row>
    <row r="139" spans="1:12" hidden="1" x14ac:dyDescent="0.25">
      <c r="B139" s="41" t="s">
        <v>160</v>
      </c>
      <c r="E139" s="44">
        <v>0</v>
      </c>
      <c r="F139" s="44">
        <v>0</v>
      </c>
      <c r="G139" s="44">
        <v>0</v>
      </c>
      <c r="H139" s="44">
        <v>0</v>
      </c>
    </row>
    <row r="140" spans="1:12" s="5" customFormat="1" hidden="1" x14ac:dyDescent="0.25">
      <c r="B140" s="41"/>
      <c r="D140" s="44"/>
      <c r="E140" s="44"/>
      <c r="F140" s="44"/>
      <c r="G140" s="38"/>
      <c r="H140" s="38"/>
      <c r="I140" s="62"/>
      <c r="J140" s="6"/>
      <c r="K140" s="6"/>
      <c r="L140" s="6"/>
    </row>
    <row r="141" spans="1:12" x14ac:dyDescent="0.25">
      <c r="A141" s="50"/>
      <c r="B141" s="50" t="s">
        <v>21</v>
      </c>
      <c r="C141" s="50"/>
      <c r="D141" s="52"/>
      <c r="E141" s="52">
        <f>E142*E143+E144*E145++E146*E147+E148*E149</f>
        <v>8400</v>
      </c>
      <c r="F141" s="52">
        <f t="shared" ref="F141:H141" si="38">F142*F143+F144*F145++F146*F147+F148*F149</f>
        <v>8400</v>
      </c>
      <c r="G141" s="52">
        <f t="shared" si="38"/>
        <v>8400</v>
      </c>
      <c r="H141" s="52">
        <f t="shared" si="38"/>
        <v>8400</v>
      </c>
    </row>
    <row r="142" spans="1:12" x14ac:dyDescent="0.25">
      <c r="B142" s="41" t="s">
        <v>150</v>
      </c>
      <c r="G142" s="44">
        <v>0</v>
      </c>
      <c r="H142" s="44"/>
    </row>
    <row r="143" spans="1:12" x14ac:dyDescent="0.25">
      <c r="B143" s="41" t="s">
        <v>151</v>
      </c>
      <c r="E143" s="44">
        <f>'Rates and GI'!$D$58</f>
        <v>5000</v>
      </c>
      <c r="F143" s="44">
        <f>'Rates and GI'!$D$58</f>
        <v>5000</v>
      </c>
      <c r="G143" s="44">
        <f>'Rates and GI'!$D$58</f>
        <v>5000</v>
      </c>
      <c r="H143" s="44">
        <f>'Rates and GI'!$D$58</f>
        <v>5000</v>
      </c>
    </row>
    <row r="144" spans="1:12" x14ac:dyDescent="0.25">
      <c r="B144" s="41" t="s">
        <v>148</v>
      </c>
      <c r="E144" s="44">
        <v>4</v>
      </c>
      <c r="F144" s="44">
        <v>4</v>
      </c>
      <c r="G144" s="44">
        <v>4</v>
      </c>
      <c r="H144" s="44">
        <v>4</v>
      </c>
    </row>
    <row r="145" spans="1:12" x14ac:dyDescent="0.25">
      <c r="B145" s="41" t="s">
        <v>149</v>
      </c>
      <c r="E145" s="44">
        <f>'Rates and GI'!$D$59</f>
        <v>1500</v>
      </c>
      <c r="F145" s="44">
        <f>'Rates and GI'!$D$59</f>
        <v>1500</v>
      </c>
      <c r="G145" s="44">
        <f>'Rates and GI'!$D$59</f>
        <v>1500</v>
      </c>
      <c r="H145" s="44">
        <f>'Rates and GI'!$D$59</f>
        <v>1500</v>
      </c>
    </row>
    <row r="146" spans="1:12" ht="27" x14ac:dyDescent="0.25">
      <c r="B146" s="63" t="s">
        <v>162</v>
      </c>
      <c r="E146" s="44">
        <v>12</v>
      </c>
      <c r="F146" s="44">
        <v>12</v>
      </c>
      <c r="G146" s="44">
        <v>12</v>
      </c>
      <c r="H146" s="44">
        <v>12</v>
      </c>
    </row>
    <row r="147" spans="1:12" ht="27" x14ac:dyDescent="0.25">
      <c r="B147" s="63" t="s">
        <v>161</v>
      </c>
      <c r="E147" s="44">
        <f>'Rates and GI'!$D$60</f>
        <v>200</v>
      </c>
      <c r="F147" s="44">
        <f>'Rates and GI'!$D$60</f>
        <v>200</v>
      </c>
      <c r="G147" s="44">
        <f>'Rates and GI'!$D$60</f>
        <v>200</v>
      </c>
      <c r="H147" s="44">
        <f>'Rates and GI'!$D$60</f>
        <v>200</v>
      </c>
    </row>
    <row r="148" spans="1:12" s="5" customFormat="1" x14ac:dyDescent="0.25">
      <c r="B148" s="41" t="s">
        <v>217</v>
      </c>
      <c r="D148" s="44"/>
      <c r="E148" s="44">
        <v>0</v>
      </c>
      <c r="F148" s="44">
        <v>0</v>
      </c>
      <c r="G148" s="44">
        <v>0</v>
      </c>
      <c r="H148" s="44">
        <v>0</v>
      </c>
      <c r="I148" s="62"/>
      <c r="J148" s="6"/>
      <c r="K148" s="6"/>
      <c r="L148" s="6"/>
    </row>
    <row r="149" spans="1:12" s="5" customFormat="1" x14ac:dyDescent="0.25">
      <c r="B149" s="41" t="s">
        <v>214</v>
      </c>
      <c r="D149" s="44"/>
      <c r="E149" s="44">
        <f>'Rates and GI'!$D$61</f>
        <v>50</v>
      </c>
      <c r="F149" s="44">
        <f>'Rates and GI'!$D$61</f>
        <v>50</v>
      </c>
      <c r="G149" s="38">
        <f>'Rates and GI'!$D$61</f>
        <v>50</v>
      </c>
      <c r="H149" s="38">
        <f>'Rates and GI'!$D$61</f>
        <v>50</v>
      </c>
      <c r="I149" s="62"/>
      <c r="J149" s="6"/>
      <c r="K149" s="6"/>
      <c r="L149" s="6"/>
    </row>
    <row r="150" spans="1:12" hidden="1" x14ac:dyDescent="0.25">
      <c r="A150" s="50"/>
      <c r="B150" s="50"/>
      <c r="C150" s="50"/>
      <c r="D150" s="52"/>
      <c r="E150" s="52"/>
      <c r="F150" s="52"/>
      <c r="G150" s="52"/>
      <c r="H150" s="52"/>
    </row>
    <row r="151" spans="1:12" x14ac:dyDescent="0.25">
      <c r="A151" s="50"/>
      <c r="B151" s="50" t="s">
        <v>194</v>
      </c>
      <c r="C151" s="50"/>
      <c r="D151" s="52"/>
      <c r="E151" s="52">
        <f>E152+E167+E172</f>
        <v>32856.65</v>
      </c>
      <c r="F151" s="52">
        <f t="shared" ref="F151:H151" si="39">F152+F167+F172</f>
        <v>45706.65</v>
      </c>
      <c r="G151" s="52">
        <f t="shared" si="39"/>
        <v>32856.65</v>
      </c>
      <c r="H151" s="52">
        <f t="shared" si="39"/>
        <v>31706.65</v>
      </c>
    </row>
    <row r="152" spans="1:12" s="5" customFormat="1" x14ac:dyDescent="0.25">
      <c r="B152" s="5" t="s">
        <v>173</v>
      </c>
      <c r="D152" s="44"/>
      <c r="E152" s="44">
        <f>E153+E154+E155+E158</f>
        <v>31706.65</v>
      </c>
      <c r="F152" s="44">
        <f t="shared" ref="F152:H152" si="40">F153+F154+F155+F158</f>
        <v>45706.65</v>
      </c>
      <c r="G152" s="44">
        <f t="shared" si="40"/>
        <v>31706.65</v>
      </c>
      <c r="H152" s="44">
        <f t="shared" si="40"/>
        <v>31706.65</v>
      </c>
      <c r="I152" s="73"/>
    </row>
    <row r="153" spans="1:12" x14ac:dyDescent="0.25">
      <c r="B153" s="41" t="s">
        <v>184</v>
      </c>
      <c r="E153" s="44">
        <f>('Rates and GI'!D45+'Rates and GI'!D49)*5</f>
        <v>5000</v>
      </c>
      <c r="F153" s="44">
        <f>E153</f>
        <v>5000</v>
      </c>
      <c r="G153" s="44">
        <f>F153</f>
        <v>5000</v>
      </c>
      <c r="H153" s="44">
        <f>G153</f>
        <v>5000</v>
      </c>
    </row>
    <row r="154" spans="1:12" x14ac:dyDescent="0.25">
      <c r="B154" s="41" t="s">
        <v>585</v>
      </c>
      <c r="F154" s="44">
        <v>14000</v>
      </c>
      <c r="G154" s="44">
        <f>'Rates and GI'!$D$51*0</f>
        <v>0</v>
      </c>
      <c r="H154" s="44"/>
    </row>
    <row r="155" spans="1:12" x14ac:dyDescent="0.25">
      <c r="B155" s="5" t="s">
        <v>174</v>
      </c>
      <c r="E155" s="44">
        <f>E156*E157</f>
        <v>2406.6499999999996</v>
      </c>
      <c r="F155" s="44">
        <f t="shared" ref="F155:H155" si="41">F156*F157</f>
        <v>2406.6499999999996</v>
      </c>
      <c r="G155" s="44">
        <f t="shared" si="41"/>
        <v>2406.6499999999996</v>
      </c>
      <c r="H155" s="44">
        <f t="shared" si="41"/>
        <v>2406.6499999999996</v>
      </c>
    </row>
    <row r="156" spans="1:12" x14ac:dyDescent="0.25">
      <c r="B156" s="41" t="s">
        <v>164</v>
      </c>
      <c r="E156" s="44">
        <f>'Rates and GI'!$D$54</f>
        <v>24.066499999999998</v>
      </c>
      <c r="F156" s="44">
        <f>'Rates and GI'!$D$54</f>
        <v>24.066499999999998</v>
      </c>
      <c r="G156" s="44">
        <f>'Rates and GI'!$D$54</f>
        <v>24.066499999999998</v>
      </c>
      <c r="H156" s="44">
        <f>'Rates and GI'!$D$54</f>
        <v>24.066499999999998</v>
      </c>
    </row>
    <row r="157" spans="1:12" x14ac:dyDescent="0.25">
      <c r="B157" s="41" t="s">
        <v>163</v>
      </c>
      <c r="E157" s="44">
        <v>100</v>
      </c>
      <c r="F157" s="44">
        <v>100</v>
      </c>
      <c r="G157" s="44">
        <v>100</v>
      </c>
      <c r="H157" s="44">
        <v>100</v>
      </c>
    </row>
    <row r="158" spans="1:12" x14ac:dyDescent="0.25">
      <c r="B158" s="5" t="s">
        <v>175</v>
      </c>
      <c r="E158" s="7">
        <f>E159+E163</f>
        <v>24300</v>
      </c>
      <c r="F158" s="7">
        <f>F159+F163</f>
        <v>24300</v>
      </c>
      <c r="G158" s="7">
        <f t="shared" ref="G158:H158" si="42">G159+G163</f>
        <v>24300</v>
      </c>
      <c r="H158" s="7">
        <f t="shared" si="42"/>
        <v>24300</v>
      </c>
    </row>
    <row r="159" spans="1:12" x14ac:dyDescent="0.25">
      <c r="B159" s="41" t="s">
        <v>189</v>
      </c>
      <c r="E159" s="7">
        <f>E160*E161</f>
        <v>24300</v>
      </c>
      <c r="F159" s="7">
        <f t="shared" ref="F159:H159" si="43">F160*F161</f>
        <v>24300</v>
      </c>
      <c r="G159" s="7">
        <f t="shared" si="43"/>
        <v>24300</v>
      </c>
      <c r="H159" s="7">
        <f t="shared" si="43"/>
        <v>24300</v>
      </c>
    </row>
    <row r="160" spans="1:12" x14ac:dyDescent="0.25">
      <c r="B160" s="41" t="s">
        <v>176</v>
      </c>
      <c r="C160" s="5" t="s">
        <v>177</v>
      </c>
      <c r="E160" s="7">
        <f>3*30*0.3*3*2</f>
        <v>162</v>
      </c>
      <c r="F160" s="7">
        <f t="shared" ref="F160:H160" si="44">3*30*0.3*3*2</f>
        <v>162</v>
      </c>
      <c r="G160" s="7">
        <f t="shared" si="44"/>
        <v>162</v>
      </c>
      <c r="H160" s="7">
        <f t="shared" si="44"/>
        <v>162</v>
      </c>
    </row>
    <row r="161" spans="1:12" x14ac:dyDescent="0.25">
      <c r="B161" s="41" t="s">
        <v>178</v>
      </c>
      <c r="E161" s="44">
        <f>'Rates and GI'!$D$52</f>
        <v>150</v>
      </c>
      <c r="F161" s="44">
        <f>'Rates and GI'!$D$52</f>
        <v>150</v>
      </c>
      <c r="G161" s="44">
        <f>'Rates and GI'!$D$52</f>
        <v>150</v>
      </c>
      <c r="H161" s="44">
        <f>'Rates and GI'!$D$52</f>
        <v>150</v>
      </c>
    </row>
    <row r="162" spans="1:12" x14ac:dyDescent="0.25">
      <c r="B162" s="6"/>
    </row>
    <row r="163" spans="1:12" x14ac:dyDescent="0.25">
      <c r="B163" s="41" t="s">
        <v>190</v>
      </c>
      <c r="E163" s="44">
        <f>E164*E165</f>
        <v>0</v>
      </c>
      <c r="F163" s="44">
        <f t="shared" ref="F163:H163" si="45">F164*F165</f>
        <v>0</v>
      </c>
      <c r="G163" s="44">
        <f t="shared" si="45"/>
        <v>0</v>
      </c>
      <c r="H163" s="44">
        <f t="shared" si="45"/>
        <v>0</v>
      </c>
    </row>
    <row r="164" spans="1:12" x14ac:dyDescent="0.25">
      <c r="B164" s="41" t="s">
        <v>176</v>
      </c>
      <c r="C164" s="5" t="s">
        <v>177</v>
      </c>
      <c r="E164" s="44">
        <v>0</v>
      </c>
      <c r="F164" s="44">
        <v>0</v>
      </c>
      <c r="G164" s="38">
        <v>0</v>
      </c>
      <c r="H164" s="38">
        <v>0</v>
      </c>
    </row>
    <row r="165" spans="1:12" s="62" customFormat="1" x14ac:dyDescent="0.25">
      <c r="A165" s="5"/>
      <c r="B165" s="41" t="s">
        <v>178</v>
      </c>
      <c r="C165" s="5"/>
      <c r="D165" s="44"/>
      <c r="E165" s="44">
        <f>'Rates and GI'!$D$53</f>
        <v>20</v>
      </c>
      <c r="F165" s="44">
        <f>'Rates and GI'!$D$53</f>
        <v>20</v>
      </c>
      <c r="G165" s="44">
        <f>'Rates and GI'!$D$53</f>
        <v>20</v>
      </c>
      <c r="H165" s="44">
        <f>'Rates and GI'!$D$53</f>
        <v>20</v>
      </c>
      <c r="J165" s="6"/>
      <c r="K165" s="6"/>
      <c r="L165" s="6"/>
    </row>
    <row r="166" spans="1:12" s="62" customFormat="1" x14ac:dyDescent="0.25">
      <c r="A166" s="5"/>
      <c r="B166" s="6"/>
      <c r="C166" s="5"/>
      <c r="D166" s="44"/>
      <c r="E166" s="44"/>
      <c r="F166" s="44"/>
      <c r="G166" s="38"/>
      <c r="H166" s="38"/>
      <c r="J166" s="6"/>
      <c r="K166" s="6"/>
      <c r="L166" s="6"/>
    </row>
    <row r="167" spans="1:12" s="62" customFormat="1" x14ac:dyDescent="0.25">
      <c r="A167" s="5"/>
      <c r="B167" s="5" t="s">
        <v>179</v>
      </c>
      <c r="C167" s="5"/>
      <c r="D167" s="44"/>
      <c r="E167" s="44">
        <f>E168*E169*E170</f>
        <v>0</v>
      </c>
      <c r="F167" s="44">
        <f t="shared" ref="F167:H167" si="46">F168*F169*F170</f>
        <v>0</v>
      </c>
      <c r="G167" s="44">
        <f t="shared" si="46"/>
        <v>0</v>
      </c>
      <c r="H167" s="44">
        <f t="shared" si="46"/>
        <v>0</v>
      </c>
      <c r="J167" s="6"/>
      <c r="K167" s="6"/>
      <c r="L167" s="6"/>
    </row>
    <row r="168" spans="1:12" s="62" customFormat="1" x14ac:dyDescent="0.25">
      <c r="A168" s="5"/>
      <c r="B168" s="41" t="s">
        <v>191</v>
      </c>
      <c r="C168" s="5"/>
      <c r="D168" s="44"/>
      <c r="E168" s="44">
        <f>'Rates and GI'!$D$55</f>
        <v>300</v>
      </c>
      <c r="F168" s="44">
        <f>'Rates and GI'!$D$55</f>
        <v>300</v>
      </c>
      <c r="G168" s="44">
        <f>'Rates and GI'!$D$55</f>
        <v>300</v>
      </c>
      <c r="H168" s="44">
        <f>'Rates and GI'!$D$55</f>
        <v>300</v>
      </c>
      <c r="J168" s="6"/>
      <c r="K168" s="6"/>
      <c r="L168" s="6"/>
    </row>
    <row r="169" spans="1:12" s="62" customFormat="1" x14ac:dyDescent="0.25">
      <c r="A169" s="5"/>
      <c r="B169" s="41" t="s">
        <v>192</v>
      </c>
      <c r="C169" s="5"/>
      <c r="D169" s="44"/>
      <c r="E169" s="44">
        <v>3</v>
      </c>
      <c r="F169" s="44">
        <v>3</v>
      </c>
      <c r="G169" s="44">
        <v>3</v>
      </c>
      <c r="H169" s="44">
        <v>3</v>
      </c>
      <c r="J169" s="6"/>
      <c r="K169" s="6"/>
      <c r="L169" s="6"/>
    </row>
    <row r="170" spans="1:12" s="62" customFormat="1" x14ac:dyDescent="0.25">
      <c r="A170" s="5"/>
      <c r="B170" s="41" t="s">
        <v>193</v>
      </c>
      <c r="C170" s="5"/>
      <c r="D170" s="44"/>
      <c r="E170" s="44"/>
      <c r="F170" s="44">
        <v>0</v>
      </c>
      <c r="G170" s="44">
        <v>0</v>
      </c>
      <c r="H170" s="44">
        <v>0</v>
      </c>
      <c r="J170" s="6"/>
      <c r="K170" s="6"/>
      <c r="L170" s="6"/>
    </row>
    <row r="172" spans="1:12" s="62" customFormat="1" x14ac:dyDescent="0.25">
      <c r="A172" s="5"/>
      <c r="B172" s="5" t="s">
        <v>172</v>
      </c>
      <c r="C172" s="5"/>
      <c r="D172" s="44"/>
      <c r="E172" s="44">
        <f>E173+E174*E175</f>
        <v>1150</v>
      </c>
      <c r="F172" s="44">
        <f>F173+F174*F175</f>
        <v>0</v>
      </c>
      <c r="G172" s="44">
        <f>G173+G174*G175</f>
        <v>1150</v>
      </c>
      <c r="H172" s="44">
        <f>H173+H174*H175</f>
        <v>0</v>
      </c>
      <c r="J172" s="6"/>
      <c r="K172" s="6"/>
      <c r="L172" s="6"/>
    </row>
    <row r="173" spans="1:12" s="62" customFormat="1" x14ac:dyDescent="0.25">
      <c r="A173" s="5"/>
      <c r="B173" s="41" t="s">
        <v>153</v>
      </c>
      <c r="C173" s="5"/>
      <c r="D173" s="44"/>
      <c r="E173" s="44">
        <f>'Rates and GI'!$D$46</f>
        <v>150</v>
      </c>
      <c r="F173" s="44">
        <f>'Rates and GI'!D46*0</f>
        <v>0</v>
      </c>
      <c r="G173" s="44">
        <f>'Rates and GI'!$D$46</f>
        <v>150</v>
      </c>
      <c r="H173" s="38"/>
      <c r="J173" s="6"/>
      <c r="K173" s="6"/>
      <c r="L173" s="6"/>
    </row>
    <row r="174" spans="1:12" s="62" customFormat="1" x14ac:dyDescent="0.25">
      <c r="A174" s="5"/>
      <c r="B174" s="41" t="s">
        <v>159</v>
      </c>
      <c r="C174" s="5"/>
      <c r="D174" s="44"/>
      <c r="E174" s="65">
        <f>'Rates and GI'!$D$47</f>
        <v>0.05</v>
      </c>
      <c r="F174" s="65">
        <f>'Rates and GI'!$D$47</f>
        <v>0.05</v>
      </c>
      <c r="G174" s="65">
        <f>'Rates and GI'!$D$47</f>
        <v>0.05</v>
      </c>
      <c r="H174" s="65">
        <f>'Rates and GI'!$D$47</f>
        <v>0.05</v>
      </c>
      <c r="J174" s="6"/>
      <c r="K174" s="6"/>
      <c r="L174" s="6"/>
    </row>
    <row r="175" spans="1:12" s="62" customFormat="1" x14ac:dyDescent="0.25">
      <c r="A175" s="5"/>
      <c r="B175" s="41" t="s">
        <v>160</v>
      </c>
      <c r="C175" s="5"/>
      <c r="D175" s="44"/>
      <c r="E175" s="44">
        <v>20000</v>
      </c>
      <c r="F175" s="44">
        <v>0</v>
      </c>
      <c r="G175" s="38">
        <v>20000</v>
      </c>
      <c r="H175" s="38"/>
      <c r="J175" s="6"/>
      <c r="K175" s="6"/>
      <c r="L175" s="6"/>
    </row>
    <row r="176" spans="1:12" x14ac:dyDescent="0.25">
      <c r="A176" s="228"/>
      <c r="B176" s="228"/>
      <c r="C176" s="228"/>
      <c r="D176" s="230"/>
      <c r="E176" s="230"/>
      <c r="F176" s="230"/>
      <c r="G176" s="230"/>
      <c r="H176" s="230"/>
    </row>
    <row r="177" spans="1:12" s="62" customFormat="1" hidden="1" x14ac:dyDescent="0.25">
      <c r="A177" s="50"/>
      <c r="B177" s="50" t="s">
        <v>19</v>
      </c>
      <c r="C177" s="50"/>
      <c r="D177" s="52"/>
      <c r="E177" s="52">
        <v>0</v>
      </c>
      <c r="F177" s="52">
        <v>0</v>
      </c>
      <c r="G177" s="52">
        <v>0</v>
      </c>
      <c r="H177" s="52">
        <v>0</v>
      </c>
      <c r="J177" s="6"/>
      <c r="K177" s="6"/>
      <c r="L177" s="6"/>
    </row>
    <row r="178" spans="1:12" hidden="1" x14ac:dyDescent="0.25"/>
    <row r="179" spans="1:12" ht="27" hidden="1" x14ac:dyDescent="0.25">
      <c r="A179" s="50"/>
      <c r="B179" s="132" t="s">
        <v>252</v>
      </c>
      <c r="C179" s="133"/>
      <c r="D179" s="51"/>
      <c r="E179" s="51"/>
      <c r="F179" s="51"/>
      <c r="G179" s="51"/>
      <c r="H179" s="51"/>
    </row>
    <row r="180" spans="1:12" hidden="1" x14ac:dyDescent="0.25">
      <c r="A180" s="10"/>
      <c r="B180" s="39" t="s">
        <v>253</v>
      </c>
      <c r="C180" s="134">
        <v>1</v>
      </c>
      <c r="D180" s="33"/>
      <c r="E180" s="44">
        <v>0</v>
      </c>
      <c r="F180" s="44">
        <v>0</v>
      </c>
      <c r="G180" s="44">
        <v>0</v>
      </c>
      <c r="H180" s="44">
        <v>0</v>
      </c>
    </row>
    <row r="181" spans="1:12" hidden="1" x14ac:dyDescent="0.25">
      <c r="B181" s="39" t="s">
        <v>254</v>
      </c>
      <c r="C181" s="33">
        <v>0</v>
      </c>
      <c r="D181" s="33"/>
      <c r="G181" s="44"/>
      <c r="H181" s="44"/>
    </row>
    <row r="182" spans="1:12" hidden="1" x14ac:dyDescent="0.25">
      <c r="B182" s="39" t="s">
        <v>255</v>
      </c>
      <c r="C182" s="73"/>
      <c r="D182" s="33"/>
      <c r="E182" s="44">
        <f>$C$181/$C$180*E180</f>
        <v>0</v>
      </c>
      <c r="F182" s="44">
        <f t="shared" ref="F182:H182" si="47">$C$181/$C$180*F180</f>
        <v>0</v>
      </c>
      <c r="G182" s="44">
        <f t="shared" si="47"/>
        <v>0</v>
      </c>
      <c r="H182" s="44">
        <f t="shared" si="47"/>
        <v>0</v>
      </c>
    </row>
    <row r="183" spans="1:12" hidden="1" x14ac:dyDescent="0.25"/>
  </sheetData>
  <pageMargins left="0.7" right="0.7" top="0.75" bottom="0.75" header="0.3" footer="0.3"/>
  <pageSetup paperSize="9" scale="56" fitToHeight="0" orientation="portrait" horizontalDpi="1200" verticalDpi="12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3"/>
  <sheetViews>
    <sheetView topLeftCell="A49" workbookViewId="0">
      <selection activeCell="A42" sqref="A42"/>
    </sheetView>
  </sheetViews>
  <sheetFormatPr defaultRowHeight="13.5" x14ac:dyDescent="0.25"/>
  <cols>
    <col min="1" max="1" width="55.5703125" style="6" customWidth="1"/>
    <col min="2" max="2" width="25.5703125" style="6" customWidth="1"/>
    <col min="3" max="3" width="12.5703125" style="6" customWidth="1"/>
    <col min="4" max="4" width="15" style="28" customWidth="1"/>
    <col min="5" max="5" width="14.5703125" style="28" customWidth="1"/>
    <col min="6" max="6" width="47" style="6" customWidth="1"/>
    <col min="7" max="16384" width="9.140625" style="6"/>
  </cols>
  <sheetData>
    <row r="1" spans="1:6" x14ac:dyDescent="0.25">
      <c r="A1" s="20" t="s">
        <v>75</v>
      </c>
      <c r="B1" s="21"/>
      <c r="C1" s="21"/>
      <c r="D1" s="27"/>
      <c r="E1" s="27"/>
    </row>
    <row r="2" spans="1:6" x14ac:dyDescent="0.25">
      <c r="A2" s="56" t="s">
        <v>29</v>
      </c>
      <c r="B2" s="57">
        <v>43831</v>
      </c>
      <c r="C2" s="21"/>
      <c r="D2" s="27"/>
      <c r="E2" s="27"/>
    </row>
    <row r="3" spans="1:6" x14ac:dyDescent="0.25">
      <c r="A3" s="16"/>
    </row>
    <row r="4" spans="1:6" s="22" customFormat="1" ht="34.5" customHeight="1" x14ac:dyDescent="0.25">
      <c r="A4" s="23" t="s">
        <v>65</v>
      </c>
      <c r="B4" s="23" t="s">
        <v>91</v>
      </c>
      <c r="C4" s="23" t="s">
        <v>92</v>
      </c>
      <c r="D4" s="23" t="s">
        <v>93</v>
      </c>
      <c r="E4" s="23" t="s">
        <v>94</v>
      </c>
      <c r="F4" s="23" t="s">
        <v>64</v>
      </c>
    </row>
    <row r="5" spans="1:6" x14ac:dyDescent="0.25">
      <c r="A5" s="17" t="s">
        <v>30</v>
      </c>
    </row>
    <row r="6" spans="1:6" x14ac:dyDescent="0.25">
      <c r="A6" s="16" t="s">
        <v>31</v>
      </c>
      <c r="D6" s="30">
        <f>481.33/1000</f>
        <v>0.48132999999999998</v>
      </c>
      <c r="F6" s="16" t="s">
        <v>572</v>
      </c>
    </row>
    <row r="7" spans="1:6" x14ac:dyDescent="0.25">
      <c r="A7" s="16" t="s">
        <v>32</v>
      </c>
      <c r="D7" s="30">
        <f>540.72/1000</f>
        <v>0.54071999999999998</v>
      </c>
      <c r="F7" s="16" t="s">
        <v>572</v>
      </c>
    </row>
    <row r="8" spans="1:6" x14ac:dyDescent="0.25">
      <c r="A8" s="16" t="s">
        <v>101</v>
      </c>
      <c r="B8" s="16" t="s">
        <v>102</v>
      </c>
      <c r="D8" s="30"/>
      <c r="E8" s="32">
        <v>4.2999999999999997E-2</v>
      </c>
      <c r="F8" s="16"/>
    </row>
    <row r="9" spans="1:6" x14ac:dyDescent="0.25">
      <c r="A9" s="172" t="s">
        <v>574</v>
      </c>
      <c r="B9" s="172" t="s">
        <v>243</v>
      </c>
      <c r="C9" s="62"/>
      <c r="D9" s="180"/>
      <c r="E9" s="181">
        <v>2287</v>
      </c>
      <c r="F9" s="172" t="s">
        <v>573</v>
      </c>
    </row>
    <row r="11" spans="1:6" x14ac:dyDescent="0.25">
      <c r="A11" s="24" t="s">
        <v>231</v>
      </c>
      <c r="B11" s="36"/>
      <c r="C11" s="36"/>
      <c r="D11" s="29"/>
      <c r="E11" s="29"/>
      <c r="F11" s="36"/>
    </row>
    <row r="12" spans="1:6" x14ac:dyDescent="0.25">
      <c r="A12" s="16" t="s">
        <v>77</v>
      </c>
      <c r="B12" s="16" t="s">
        <v>97</v>
      </c>
      <c r="C12" s="16">
        <v>1</v>
      </c>
      <c r="D12" s="38">
        <f>(11.9*3+35*1)/4</f>
        <v>17.675000000000001</v>
      </c>
    </row>
    <row r="13" spans="1:6" x14ac:dyDescent="0.25">
      <c r="A13" s="16" t="s">
        <v>166</v>
      </c>
      <c r="B13" s="16" t="s">
        <v>97</v>
      </c>
      <c r="C13" s="16">
        <v>1</v>
      </c>
      <c r="D13" s="38">
        <f>300*eur</f>
        <v>162.21599999999998</v>
      </c>
    </row>
    <row r="14" spans="1:6" x14ac:dyDescent="0.25">
      <c r="A14" s="16" t="s">
        <v>117</v>
      </c>
      <c r="B14" s="16" t="s">
        <v>88</v>
      </c>
      <c r="C14" s="16"/>
      <c r="D14" s="38">
        <v>66.14</v>
      </c>
    </row>
    <row r="15" spans="1:6" x14ac:dyDescent="0.25">
      <c r="B15" s="16"/>
      <c r="C15" s="16"/>
    </row>
    <row r="16" spans="1:6" x14ac:dyDescent="0.25">
      <c r="A16" s="24" t="s">
        <v>10</v>
      </c>
      <c r="B16" s="36"/>
      <c r="C16" s="36"/>
      <c r="D16" s="29"/>
      <c r="E16" s="29"/>
      <c r="F16" s="36"/>
    </row>
    <row r="17" spans="1:6" x14ac:dyDescent="0.25">
      <c r="A17" s="18" t="s">
        <v>95</v>
      </c>
      <c r="B17" s="16" t="s">
        <v>78</v>
      </c>
      <c r="C17" s="16">
        <v>1</v>
      </c>
      <c r="D17" s="38" t="s">
        <v>216</v>
      </c>
      <c r="F17" s="16"/>
    </row>
    <row r="18" spans="1:6" x14ac:dyDescent="0.25">
      <c r="A18" s="18" t="s">
        <v>76</v>
      </c>
      <c r="B18" s="16" t="s">
        <v>78</v>
      </c>
      <c r="C18" s="16">
        <v>1</v>
      </c>
      <c r="D18" s="38" t="s">
        <v>216</v>
      </c>
    </row>
    <row r="19" spans="1:6" x14ac:dyDescent="0.25">
      <c r="B19" s="16"/>
      <c r="C19" s="16"/>
    </row>
    <row r="20" spans="1:6" x14ac:dyDescent="0.25">
      <c r="A20" s="24" t="s">
        <v>12</v>
      </c>
      <c r="B20" s="36"/>
      <c r="C20" s="36"/>
      <c r="D20" s="29"/>
      <c r="E20" s="29"/>
      <c r="F20" s="36"/>
    </row>
    <row r="21" spans="1:6" x14ac:dyDescent="0.25">
      <c r="A21" s="18" t="s">
        <v>167</v>
      </c>
      <c r="B21" s="16" t="s">
        <v>112</v>
      </c>
      <c r="C21" s="16">
        <v>1</v>
      </c>
      <c r="D21" s="38">
        <f>Trips!B41</f>
        <v>631.70365882352939</v>
      </c>
      <c r="E21" s="38"/>
      <c r="F21" s="38" t="s">
        <v>216</v>
      </c>
    </row>
    <row r="22" spans="1:6" x14ac:dyDescent="0.25">
      <c r="A22" s="18" t="s">
        <v>79</v>
      </c>
      <c r="B22" s="16" t="s">
        <v>80</v>
      </c>
      <c r="C22" s="16"/>
      <c r="D22" s="38"/>
      <c r="E22" s="113">
        <v>5.0000000000000001E-3</v>
      </c>
      <c r="F22" s="62"/>
    </row>
    <row r="23" spans="1:6" x14ac:dyDescent="0.25">
      <c r="B23" s="16"/>
      <c r="C23" s="16"/>
      <c r="D23" s="38"/>
      <c r="E23" s="38"/>
      <c r="F23" s="62"/>
    </row>
    <row r="24" spans="1:6" x14ac:dyDescent="0.25">
      <c r="A24" s="79" t="s">
        <v>100</v>
      </c>
      <c r="B24" s="36"/>
      <c r="C24" s="36"/>
      <c r="D24" s="29"/>
      <c r="E24" s="29"/>
      <c r="F24" s="36"/>
    </row>
    <row r="25" spans="1:6" x14ac:dyDescent="0.25">
      <c r="A25" s="78" t="s">
        <v>81</v>
      </c>
      <c r="B25" s="16" t="s">
        <v>96</v>
      </c>
      <c r="C25" s="16">
        <v>1800</v>
      </c>
      <c r="D25" s="38">
        <v>6</v>
      </c>
    </row>
    <row r="26" spans="1:6" x14ac:dyDescent="0.25">
      <c r="A26" s="78" t="s">
        <v>130</v>
      </c>
      <c r="B26" s="19"/>
      <c r="C26" s="19"/>
      <c r="D26" s="38" t="s">
        <v>216</v>
      </c>
    </row>
    <row r="27" spans="1:6" x14ac:dyDescent="0.25">
      <c r="A27" s="78" t="s">
        <v>575</v>
      </c>
      <c r="B27" s="19"/>
      <c r="C27" s="19"/>
      <c r="D27" s="38" t="s">
        <v>576</v>
      </c>
    </row>
    <row r="29" spans="1:6" x14ac:dyDescent="0.25">
      <c r="A29" s="24" t="s">
        <v>7</v>
      </c>
      <c r="B29" s="36"/>
      <c r="C29" s="36"/>
      <c r="D29" s="29"/>
      <c r="E29" s="29"/>
      <c r="F29" s="36"/>
    </row>
    <row r="30" spans="1:6" x14ac:dyDescent="0.25">
      <c r="A30" s="18" t="s">
        <v>83</v>
      </c>
      <c r="B30" s="16" t="s">
        <v>78</v>
      </c>
      <c r="C30" s="16">
        <v>1</v>
      </c>
      <c r="D30" s="38">
        <v>300</v>
      </c>
      <c r="E30" s="38"/>
    </row>
    <row r="31" spans="1:6" x14ac:dyDescent="0.25">
      <c r="A31" s="18" t="s">
        <v>84</v>
      </c>
      <c r="B31" s="16" t="s">
        <v>78</v>
      </c>
      <c r="C31" s="16">
        <v>1</v>
      </c>
      <c r="D31" s="38">
        <v>350</v>
      </c>
      <c r="E31" s="38"/>
    </row>
    <row r="32" spans="1:6" x14ac:dyDescent="0.25">
      <c r="A32" s="18" t="s">
        <v>85</v>
      </c>
      <c r="B32" s="16" t="s">
        <v>86</v>
      </c>
      <c r="C32" s="16">
        <v>1</v>
      </c>
      <c r="D32" s="38">
        <v>100</v>
      </c>
      <c r="E32" s="38"/>
    </row>
    <row r="33" spans="1:6" x14ac:dyDescent="0.25">
      <c r="A33" s="18" t="s">
        <v>301</v>
      </c>
      <c r="B33" s="16" t="s">
        <v>86</v>
      </c>
      <c r="C33" s="16">
        <v>1</v>
      </c>
      <c r="D33" s="38">
        <v>10</v>
      </c>
      <c r="E33" s="38"/>
    </row>
    <row r="34" spans="1:6" x14ac:dyDescent="0.25">
      <c r="A34" s="18" t="s">
        <v>226</v>
      </c>
      <c r="D34" s="38">
        <v>10500</v>
      </c>
      <c r="E34" s="38"/>
    </row>
    <row r="35" spans="1:6" x14ac:dyDescent="0.25">
      <c r="A35" s="18" t="s">
        <v>225</v>
      </c>
      <c r="D35" s="38">
        <v>21300</v>
      </c>
      <c r="E35" s="38"/>
    </row>
    <row r="36" spans="1:6" x14ac:dyDescent="0.25">
      <c r="A36" s="18" t="s">
        <v>224</v>
      </c>
      <c r="D36" s="38">
        <v>13500</v>
      </c>
      <c r="E36" s="38"/>
    </row>
    <row r="37" spans="1:6" x14ac:dyDescent="0.25">
      <c r="A37" s="78" t="s">
        <v>504</v>
      </c>
      <c r="D37" s="38">
        <v>7000</v>
      </c>
    </row>
    <row r="39" spans="1:6" x14ac:dyDescent="0.25">
      <c r="A39" s="24" t="s">
        <v>13</v>
      </c>
      <c r="B39" s="24"/>
      <c r="C39" s="36"/>
      <c r="D39" s="29"/>
      <c r="E39" s="29"/>
      <c r="F39" s="36"/>
    </row>
    <row r="40" spans="1:6" x14ac:dyDescent="0.25">
      <c r="A40" s="26" t="s">
        <v>13</v>
      </c>
      <c r="B40" s="16" t="s">
        <v>232</v>
      </c>
      <c r="C40" s="16">
        <v>1</v>
      </c>
      <c r="D40" s="38">
        <v>3000</v>
      </c>
      <c r="F40" s="6" t="s">
        <v>198</v>
      </c>
    </row>
    <row r="41" spans="1:6" x14ac:dyDescent="0.25">
      <c r="D41" s="38"/>
    </row>
    <row r="42" spans="1:6" x14ac:dyDescent="0.25">
      <c r="A42" s="24" t="s">
        <v>98</v>
      </c>
      <c r="B42" s="24"/>
      <c r="C42" s="36"/>
      <c r="D42" s="114"/>
      <c r="E42" s="29"/>
      <c r="F42" s="36"/>
    </row>
    <row r="43" spans="1:6" x14ac:dyDescent="0.25">
      <c r="A43" s="26" t="s">
        <v>87</v>
      </c>
      <c r="B43" s="16" t="s">
        <v>88</v>
      </c>
      <c r="C43" s="16">
        <v>1</v>
      </c>
      <c r="D43" s="38"/>
    </row>
    <row r="44" spans="1:6" x14ac:dyDescent="0.25">
      <c r="A44" s="3" t="s">
        <v>89</v>
      </c>
      <c r="B44" s="16" t="s">
        <v>90</v>
      </c>
      <c r="C44" s="16">
        <v>1</v>
      </c>
      <c r="D44" s="38">
        <v>500</v>
      </c>
    </row>
    <row r="45" spans="1:6" x14ac:dyDescent="0.25">
      <c r="A45" s="3" t="s">
        <v>195</v>
      </c>
      <c r="B45" s="16" t="s">
        <v>155</v>
      </c>
      <c r="C45" s="16">
        <v>1</v>
      </c>
      <c r="D45" s="38">
        <v>500</v>
      </c>
    </row>
    <row r="46" spans="1:6" x14ac:dyDescent="0.25">
      <c r="A46" s="3" t="s">
        <v>195</v>
      </c>
      <c r="B46" s="16" t="s">
        <v>156</v>
      </c>
      <c r="C46" s="16">
        <v>1</v>
      </c>
      <c r="D46" s="38">
        <v>150</v>
      </c>
    </row>
    <row r="47" spans="1:6" x14ac:dyDescent="0.25">
      <c r="A47" s="3" t="s">
        <v>157</v>
      </c>
      <c r="B47" s="16" t="s">
        <v>82</v>
      </c>
      <c r="C47" s="16">
        <v>1</v>
      </c>
      <c r="D47" s="115">
        <v>0.05</v>
      </c>
    </row>
    <row r="48" spans="1:6" x14ac:dyDescent="0.25">
      <c r="A48" s="3" t="s">
        <v>158</v>
      </c>
      <c r="B48" s="16" t="s">
        <v>82</v>
      </c>
      <c r="C48" s="16">
        <v>1</v>
      </c>
      <c r="D48" s="115">
        <v>0.02</v>
      </c>
    </row>
    <row r="49" spans="1:4" x14ac:dyDescent="0.25">
      <c r="A49" s="3" t="s">
        <v>14</v>
      </c>
      <c r="B49" s="16" t="s">
        <v>99</v>
      </c>
      <c r="C49" s="16">
        <v>1</v>
      </c>
      <c r="D49" s="38">
        <v>500</v>
      </c>
    </row>
    <row r="50" spans="1:4" x14ac:dyDescent="0.25">
      <c r="A50" s="3" t="s">
        <v>188</v>
      </c>
      <c r="B50" s="16" t="s">
        <v>186</v>
      </c>
      <c r="C50" s="16">
        <v>1</v>
      </c>
      <c r="D50" s="38">
        <v>10000</v>
      </c>
    </row>
    <row r="51" spans="1:4" x14ac:dyDescent="0.25">
      <c r="A51" s="3" t="s">
        <v>185</v>
      </c>
      <c r="B51" s="16" t="s">
        <v>186</v>
      </c>
      <c r="C51" s="16">
        <v>1</v>
      </c>
      <c r="D51" s="38">
        <v>300</v>
      </c>
    </row>
    <row r="52" spans="1:4" x14ac:dyDescent="0.25">
      <c r="A52" s="3" t="s">
        <v>182</v>
      </c>
      <c r="B52" s="16" t="s">
        <v>177</v>
      </c>
      <c r="C52" s="16">
        <v>1</v>
      </c>
      <c r="D52" s="38">
        <v>150</v>
      </c>
    </row>
    <row r="53" spans="1:4" x14ac:dyDescent="0.25">
      <c r="A53" s="3" t="s">
        <v>183</v>
      </c>
      <c r="B53" s="16" t="s">
        <v>177</v>
      </c>
      <c r="C53" s="16">
        <v>1</v>
      </c>
      <c r="D53" s="38">
        <v>20</v>
      </c>
    </row>
    <row r="54" spans="1:4" x14ac:dyDescent="0.25">
      <c r="A54" s="3" t="s">
        <v>15</v>
      </c>
      <c r="B54" s="16" t="s">
        <v>165</v>
      </c>
      <c r="C54" s="16">
        <v>1</v>
      </c>
      <c r="D54" s="38">
        <f>50*usd</f>
        <v>24.066499999999998</v>
      </c>
    </row>
    <row r="55" spans="1:4" x14ac:dyDescent="0.25">
      <c r="A55" s="3" t="s">
        <v>180</v>
      </c>
      <c r="B55" s="16" t="s">
        <v>181</v>
      </c>
      <c r="C55" s="16">
        <v>1</v>
      </c>
      <c r="D55" s="38">
        <v>300</v>
      </c>
    </row>
    <row r="57" spans="1:4" x14ac:dyDescent="0.25">
      <c r="A57" s="3" t="s">
        <v>21</v>
      </c>
    </row>
    <row r="58" spans="1:4" ht="27" x14ac:dyDescent="0.25">
      <c r="A58" s="59" t="s">
        <v>215</v>
      </c>
      <c r="B58" s="6" t="s">
        <v>152</v>
      </c>
      <c r="C58" s="6">
        <v>1</v>
      </c>
      <c r="D58" s="38">
        <v>5000</v>
      </c>
    </row>
    <row r="59" spans="1:4" ht="27" x14ac:dyDescent="0.25">
      <c r="A59" s="59" t="s">
        <v>149</v>
      </c>
      <c r="B59" s="6" t="s">
        <v>152</v>
      </c>
      <c r="C59" s="6">
        <v>1</v>
      </c>
      <c r="D59" s="38">
        <v>1500</v>
      </c>
    </row>
    <row r="60" spans="1:4" ht="27" x14ac:dyDescent="0.25">
      <c r="A60" s="59" t="s">
        <v>161</v>
      </c>
      <c r="B60" s="6" t="s">
        <v>152</v>
      </c>
      <c r="C60" s="6">
        <v>1</v>
      </c>
      <c r="D60" s="38">
        <v>200</v>
      </c>
    </row>
    <row r="61" spans="1:4" ht="27" x14ac:dyDescent="0.25">
      <c r="A61" s="59" t="s">
        <v>214</v>
      </c>
      <c r="B61" s="6" t="s">
        <v>152</v>
      </c>
      <c r="C61" s="6">
        <v>1</v>
      </c>
      <c r="D61" s="38">
        <v>50</v>
      </c>
    </row>
    <row r="63" spans="1:4" x14ac:dyDescent="0.25">
      <c r="A63" s="58"/>
    </row>
  </sheetData>
  <pageMargins left="0.7" right="0.7" top="0.75" bottom="0.75" header="0.3" footer="0.3"/>
  <pageSetup paperSize="9" scale="53" fitToHeight="0" orientation="portrait" horizontalDpi="1200" verticalDpi="120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1"/>
  <sheetViews>
    <sheetView topLeftCell="A4" workbookViewId="0">
      <selection activeCell="B11" sqref="B11"/>
    </sheetView>
  </sheetViews>
  <sheetFormatPr defaultRowHeight="13.5" x14ac:dyDescent="0.25"/>
  <cols>
    <col min="1" max="1" width="37" style="6" customWidth="1"/>
    <col min="2" max="2" width="30" style="6" customWidth="1"/>
    <col min="3" max="3" width="17" style="6" customWidth="1"/>
    <col min="4" max="4" width="19.28515625" style="6" customWidth="1"/>
    <col min="5" max="5" width="19.5703125" style="6" customWidth="1"/>
    <col min="6" max="6" width="16.140625" style="6" customWidth="1"/>
    <col min="7" max="16384" width="9.140625" style="6"/>
  </cols>
  <sheetData>
    <row r="1" spans="1:7" x14ac:dyDescent="0.25">
      <c r="A1" s="109" t="s">
        <v>33</v>
      </c>
      <c r="B1" s="109"/>
      <c r="C1" s="109"/>
      <c r="D1" s="109"/>
      <c r="E1" s="109"/>
      <c r="F1" s="109"/>
    </row>
    <row r="2" spans="1:7" x14ac:dyDescent="0.25">
      <c r="A2" s="17"/>
      <c r="B2" s="17"/>
      <c r="C2" s="17"/>
      <c r="D2" s="17"/>
      <c r="E2" s="17"/>
      <c r="F2" s="17"/>
    </row>
    <row r="3" spans="1:7" x14ac:dyDescent="0.25">
      <c r="A3" s="108" t="s">
        <v>227</v>
      </c>
      <c r="B3" s="17"/>
      <c r="C3" s="17"/>
      <c r="D3" s="17"/>
      <c r="E3" s="17"/>
      <c r="F3" s="17"/>
    </row>
    <row r="4" spans="1:7" x14ac:dyDescent="0.25">
      <c r="B4" s="17" t="s">
        <v>105</v>
      </c>
      <c r="C4" s="17" t="s">
        <v>34</v>
      </c>
      <c r="D4" s="17" t="s">
        <v>35</v>
      </c>
      <c r="E4" s="17" t="s">
        <v>106</v>
      </c>
      <c r="F4" s="17"/>
    </row>
    <row r="5" spans="1:7" x14ac:dyDescent="0.25">
      <c r="A5" s="17"/>
      <c r="B5" s="111">
        <f>2*C5+3*D5+2*E5</f>
        <v>52</v>
      </c>
      <c r="C5" s="31">
        <v>20</v>
      </c>
      <c r="D5" s="31">
        <v>3</v>
      </c>
      <c r="E5" s="107">
        <v>1.5</v>
      </c>
      <c r="F5" s="31"/>
    </row>
    <row r="6" spans="1:7" x14ac:dyDescent="0.25">
      <c r="A6" s="17"/>
      <c r="B6" s="31"/>
      <c r="C6" s="31"/>
      <c r="D6" s="31"/>
      <c r="E6" s="31"/>
      <c r="F6" s="31"/>
    </row>
    <row r="7" spans="1:7" x14ac:dyDescent="0.25">
      <c r="A7" s="108" t="s">
        <v>228</v>
      </c>
      <c r="B7" s="31"/>
      <c r="C7" s="31"/>
      <c r="D7" s="31"/>
      <c r="E7" s="31"/>
      <c r="F7" s="31"/>
    </row>
    <row r="8" spans="1:7" x14ac:dyDescent="0.25">
      <c r="A8" s="17"/>
      <c r="B8" s="31"/>
      <c r="C8" s="31" t="s">
        <v>143</v>
      </c>
      <c r="D8" s="31"/>
      <c r="E8" s="31"/>
      <c r="F8" s="31"/>
    </row>
    <row r="9" spans="1:7" x14ac:dyDescent="0.25">
      <c r="A9" s="17"/>
      <c r="B9" s="31" t="s">
        <v>103</v>
      </c>
      <c r="C9" s="31" t="s">
        <v>34</v>
      </c>
      <c r="D9" s="31" t="s">
        <v>35</v>
      </c>
      <c r="E9" s="31" t="s">
        <v>296</v>
      </c>
      <c r="F9" s="31" t="s">
        <v>104</v>
      </c>
    </row>
    <row r="10" spans="1:7" x14ac:dyDescent="0.25">
      <c r="B10" s="111">
        <f>AVERAGE(B12:B28)</f>
        <v>908.23176058823537</v>
      </c>
      <c r="C10" s="31"/>
      <c r="D10" s="31"/>
      <c r="E10" s="31"/>
      <c r="F10" s="31"/>
    </row>
    <row r="11" spans="1:7" x14ac:dyDescent="0.25">
      <c r="A11" s="16"/>
      <c r="B11" s="8"/>
      <c r="C11" s="8"/>
      <c r="D11" s="8"/>
      <c r="E11" s="8"/>
      <c r="F11" s="8"/>
    </row>
    <row r="12" spans="1:7" x14ac:dyDescent="0.25">
      <c r="A12" s="16" t="s">
        <v>279</v>
      </c>
      <c r="B12" s="38">
        <f>4*C12+5*D12+E12+F12</f>
        <v>955.22419000000002</v>
      </c>
      <c r="C12" s="38">
        <f>207*usd</f>
        <v>99.63530999999999</v>
      </c>
      <c r="D12" s="38">
        <f>163*usd</f>
        <v>78.456789999999998</v>
      </c>
      <c r="E12" s="38">
        <f>300*usd</f>
        <v>144.399</v>
      </c>
      <c r="F12" s="38">
        <v>20</v>
      </c>
      <c r="G12" s="35"/>
    </row>
    <row r="13" spans="1:7" x14ac:dyDescent="0.25">
      <c r="A13" s="16" t="s">
        <v>280</v>
      </c>
      <c r="B13" s="38">
        <f t="shared" ref="B13:B28" si="0">4*C13+5*D13+E13+F13</f>
        <v>1341.73218</v>
      </c>
      <c r="C13" s="38">
        <f>334*usd</f>
        <v>160.76421999999999</v>
      </c>
      <c r="D13" s="38">
        <f>196*usd</f>
        <v>94.340679999999992</v>
      </c>
      <c r="E13" s="38">
        <f>430*usd</f>
        <v>206.97190000000001</v>
      </c>
      <c r="F13" s="38">
        <v>20</v>
      </c>
      <c r="G13" s="35"/>
    </row>
    <row r="14" spans="1:7" x14ac:dyDescent="0.25">
      <c r="A14" s="16" t="s">
        <v>281</v>
      </c>
      <c r="B14" s="38">
        <f t="shared" si="0"/>
        <v>1172.0298399999999</v>
      </c>
      <c r="C14" s="38">
        <f>257*usd</f>
        <v>123.70180999999999</v>
      </c>
      <c r="D14" s="38">
        <f>158*usd</f>
        <v>76.050139999999999</v>
      </c>
      <c r="E14" s="38">
        <f>E13+70</f>
        <v>276.97190000000001</v>
      </c>
      <c r="F14" s="38">
        <v>20</v>
      </c>
      <c r="G14" s="35"/>
    </row>
    <row r="15" spans="1:7" x14ac:dyDescent="0.25">
      <c r="A15" s="16" t="s">
        <v>282</v>
      </c>
      <c r="B15" s="38">
        <f t="shared" si="0"/>
        <v>1077.4820099999999</v>
      </c>
      <c r="C15" s="38">
        <f>193*usd</f>
        <v>92.896689999999992</v>
      </c>
      <c r="D15" s="38">
        <f>193*usd</f>
        <v>92.896689999999992</v>
      </c>
      <c r="E15" s="38">
        <f>460*usd</f>
        <v>221.4118</v>
      </c>
      <c r="F15" s="38">
        <v>20</v>
      </c>
      <c r="G15" s="35"/>
    </row>
    <row r="16" spans="1:7" x14ac:dyDescent="0.25">
      <c r="A16" s="16" t="s">
        <v>283</v>
      </c>
      <c r="B16" s="38">
        <f t="shared" si="0"/>
        <v>1126.5776699999999</v>
      </c>
      <c r="C16" s="38">
        <f>281*usd</f>
        <v>135.25372999999999</v>
      </c>
      <c r="D16" s="38">
        <f>145*usd</f>
        <v>69.792850000000001</v>
      </c>
      <c r="E16" s="38">
        <f>450*usd</f>
        <v>216.5985</v>
      </c>
      <c r="F16" s="38">
        <v>20</v>
      </c>
      <c r="G16" s="35"/>
    </row>
    <row r="17" spans="1:7" x14ac:dyDescent="0.25">
      <c r="A17" s="16" t="s">
        <v>284</v>
      </c>
      <c r="B17" s="38">
        <f t="shared" si="0"/>
        <v>950.61804000000006</v>
      </c>
      <c r="C17" s="38">
        <f>222*usd</f>
        <v>106.85526</v>
      </c>
      <c r="D17" s="38">
        <f>90*usd</f>
        <v>43.319699999999997</v>
      </c>
      <c r="E17" s="38">
        <f>E16+70</f>
        <v>286.5985</v>
      </c>
      <c r="F17" s="38">
        <v>20</v>
      </c>
      <c r="G17" s="35"/>
    </row>
    <row r="18" spans="1:7" x14ac:dyDescent="0.25">
      <c r="A18" s="16" t="s">
        <v>285</v>
      </c>
      <c r="B18" s="38">
        <f t="shared" si="0"/>
        <v>805.15220000000011</v>
      </c>
      <c r="C18" s="38">
        <f>140*eur</f>
        <v>75.700800000000001</v>
      </c>
      <c r="D18" s="38">
        <f>125*eur</f>
        <v>67.59</v>
      </c>
      <c r="E18" s="38">
        <f>300*usd</f>
        <v>144.399</v>
      </c>
      <c r="F18" s="38">
        <v>20</v>
      </c>
    </row>
    <row r="19" spans="1:7" x14ac:dyDescent="0.25">
      <c r="A19" s="16" t="s">
        <v>286</v>
      </c>
      <c r="B19" s="38">
        <f t="shared" si="0"/>
        <v>1173.7480099999998</v>
      </c>
      <c r="C19" s="38">
        <f>218*usd</f>
        <v>104.92994</v>
      </c>
      <c r="D19" s="38">
        <f>145*usd</f>
        <v>69.792850000000001</v>
      </c>
      <c r="E19" s="38">
        <f>800*usd</f>
        <v>385.06399999999996</v>
      </c>
      <c r="F19" s="38">
        <v>20</v>
      </c>
    </row>
    <row r="20" spans="1:7" x14ac:dyDescent="0.25">
      <c r="A20" s="16" t="s">
        <v>287</v>
      </c>
      <c r="B20" s="38">
        <f t="shared" si="0"/>
        <v>1122.72703</v>
      </c>
      <c r="C20" s="38">
        <f>249*usd</f>
        <v>119.85117</v>
      </c>
      <c r="D20" s="38">
        <f>129*usd</f>
        <v>62.091569999999997</v>
      </c>
      <c r="E20" s="38">
        <f>650*usd</f>
        <v>312.86449999999996</v>
      </c>
      <c r="F20" s="38">
        <v>20</v>
      </c>
    </row>
    <row r="21" spans="1:7" x14ac:dyDescent="0.25">
      <c r="A21" s="16" t="s">
        <v>288</v>
      </c>
      <c r="B21" s="38">
        <f t="shared" si="0"/>
        <v>1080.8513199999998</v>
      </c>
      <c r="C21" s="38">
        <f>191*usd</f>
        <v>91.934029999999993</v>
      </c>
      <c r="D21" s="38">
        <f>94*usd</f>
        <v>45.245019999999997</v>
      </c>
      <c r="E21" s="38">
        <f>970*usd</f>
        <v>466.89009999999996</v>
      </c>
      <c r="F21" s="38">
        <v>20</v>
      </c>
    </row>
    <row r="22" spans="1:7" x14ac:dyDescent="0.25">
      <c r="A22" s="16" t="s">
        <v>289</v>
      </c>
      <c r="B22" s="38">
        <f t="shared" si="0"/>
        <v>946.28606999999988</v>
      </c>
      <c r="C22" s="38">
        <f>181*usd</f>
        <v>87.120729999999995</v>
      </c>
      <c r="D22" s="38">
        <f>81*usd</f>
        <v>38.987729999999999</v>
      </c>
      <c r="E22" s="38">
        <f>E20+70</f>
        <v>382.86449999999996</v>
      </c>
      <c r="F22" s="38">
        <v>20</v>
      </c>
    </row>
    <row r="23" spans="1:7" x14ac:dyDescent="0.25">
      <c r="A23" s="16" t="s">
        <v>290</v>
      </c>
      <c r="B23" s="38">
        <f t="shared" si="0"/>
        <v>833.70399999999995</v>
      </c>
      <c r="C23" s="38">
        <f>160*eur</f>
        <v>86.515199999999993</v>
      </c>
      <c r="D23" s="38">
        <f>116*eur</f>
        <v>62.723520000000001</v>
      </c>
      <c r="E23" s="38">
        <f>320*usd</f>
        <v>154.0256</v>
      </c>
      <c r="F23" s="38">
        <v>20</v>
      </c>
    </row>
    <row r="24" spans="1:7" x14ac:dyDescent="0.25">
      <c r="A24" s="16" t="s">
        <v>291</v>
      </c>
      <c r="B24" s="38">
        <f t="shared" si="0"/>
        <v>710.12624000000005</v>
      </c>
      <c r="C24" s="38">
        <f>113*eur</f>
        <v>61.10136</v>
      </c>
      <c r="D24" s="38">
        <f>82*eur</f>
        <v>44.339039999999997</v>
      </c>
      <c r="E24" s="38">
        <f>E23+70</f>
        <v>224.0256</v>
      </c>
      <c r="F24" s="38">
        <v>20</v>
      </c>
    </row>
    <row r="25" spans="1:7" x14ac:dyDescent="0.25">
      <c r="A25" s="16" t="s">
        <v>292</v>
      </c>
      <c r="B25" s="38">
        <f t="shared" si="0"/>
        <v>724.18579</v>
      </c>
      <c r="C25" s="38">
        <f>152*usd</f>
        <v>73.16216</v>
      </c>
      <c r="D25" s="38">
        <f>90*usd</f>
        <v>43.319699999999997</v>
      </c>
      <c r="E25" s="38">
        <f>405*usd</f>
        <v>194.93865</v>
      </c>
      <c r="F25" s="38">
        <v>20</v>
      </c>
    </row>
    <row r="26" spans="1:7" x14ac:dyDescent="0.25">
      <c r="A26" s="16" t="s">
        <v>293</v>
      </c>
      <c r="B26" s="38">
        <f t="shared" si="0"/>
        <v>673.37195999999994</v>
      </c>
      <c r="C26" s="38">
        <f>108*usd</f>
        <v>51.983640000000001</v>
      </c>
      <c r="D26" s="38">
        <f>75*usd</f>
        <v>36.09975</v>
      </c>
      <c r="E26" s="38">
        <f>E25+70</f>
        <v>264.93865</v>
      </c>
      <c r="F26" s="38">
        <v>20</v>
      </c>
    </row>
    <row r="27" spans="1:7" x14ac:dyDescent="0.25">
      <c r="A27" s="16" t="s">
        <v>294</v>
      </c>
      <c r="B27" s="38">
        <f t="shared" si="0"/>
        <v>429.85862999999995</v>
      </c>
      <c r="C27" s="38">
        <f>94*usd</f>
        <v>45.245019999999997</v>
      </c>
      <c r="D27" s="38">
        <f>87*usd</f>
        <v>41.875709999999998</v>
      </c>
      <c r="E27" s="38">
        <v>19.5</v>
      </c>
      <c r="F27" s="38">
        <v>20</v>
      </c>
    </row>
    <row r="28" spans="1:7" x14ac:dyDescent="0.25">
      <c r="A28" s="16" t="s">
        <v>295</v>
      </c>
      <c r="B28" s="38">
        <f t="shared" si="0"/>
        <v>316.26474999999999</v>
      </c>
      <c r="C28" s="38">
        <f>75*usd</f>
        <v>36.09975</v>
      </c>
      <c r="D28" s="38">
        <f>55*usd</f>
        <v>26.47315</v>
      </c>
      <c r="E28" s="38">
        <v>19.5</v>
      </c>
      <c r="F28" s="38">
        <v>20</v>
      </c>
    </row>
    <row r="30" spans="1:7" x14ac:dyDescent="0.25">
      <c r="A30" s="50" t="s">
        <v>229</v>
      </c>
    </row>
    <row r="31" spans="1:7" x14ac:dyDescent="0.25">
      <c r="A31" s="62" t="s">
        <v>230</v>
      </c>
    </row>
    <row r="32" spans="1:7" x14ac:dyDescent="0.25">
      <c r="A32" s="62" t="s">
        <v>297</v>
      </c>
    </row>
    <row r="34" spans="1:4" ht="27" x14ac:dyDescent="0.25">
      <c r="A34" s="110" t="s">
        <v>70</v>
      </c>
      <c r="B34" s="31" t="s">
        <v>103</v>
      </c>
      <c r="C34" s="6" t="s">
        <v>110</v>
      </c>
    </row>
    <row r="35" spans="1:4" x14ac:dyDescent="0.25">
      <c r="A35" s="16" t="s">
        <v>116</v>
      </c>
      <c r="B35" s="8">
        <v>5</v>
      </c>
    </row>
    <row r="36" spans="1:4" x14ac:dyDescent="0.25">
      <c r="A36" s="16" t="s">
        <v>34</v>
      </c>
      <c r="B36" s="8">
        <v>250</v>
      </c>
      <c r="C36" s="8"/>
      <c r="D36" s="8"/>
    </row>
    <row r="37" spans="1:4" x14ac:dyDescent="0.25">
      <c r="A37" s="16" t="s">
        <v>107</v>
      </c>
      <c r="B37" s="8">
        <f>5*C37</f>
        <v>100</v>
      </c>
      <c r="C37" s="8">
        <f>5+10+5</f>
        <v>20</v>
      </c>
      <c r="D37" s="8"/>
    </row>
    <row r="38" spans="1:4" x14ac:dyDescent="0.25">
      <c r="A38" s="16" t="s">
        <v>111</v>
      </c>
      <c r="B38" s="8">
        <f>2*C38</f>
        <v>16</v>
      </c>
      <c r="C38" s="8">
        <v>8</v>
      </c>
      <c r="D38" s="8"/>
    </row>
    <row r="39" spans="1:4" x14ac:dyDescent="0.25">
      <c r="A39" s="16" t="s">
        <v>108</v>
      </c>
      <c r="B39" s="8">
        <f>5*C39</f>
        <v>35</v>
      </c>
      <c r="C39" s="8">
        <v>7</v>
      </c>
      <c r="D39" s="8"/>
    </row>
    <row r="40" spans="1:4" x14ac:dyDescent="0.25">
      <c r="A40" s="16" t="s">
        <v>109</v>
      </c>
      <c r="B40" s="8">
        <f>C40</f>
        <v>230.70365882352942</v>
      </c>
      <c r="C40" s="38">
        <f>AVERAGE(E11:E29)</f>
        <v>230.70365882352942</v>
      </c>
      <c r="D40" s="8"/>
    </row>
    <row r="41" spans="1:4" x14ac:dyDescent="0.25">
      <c r="A41" s="17" t="s">
        <v>28</v>
      </c>
      <c r="B41" s="112">
        <f>SUM(B36:B40)</f>
        <v>631.70365882352939</v>
      </c>
    </row>
  </sheetData>
  <pageMargins left="0.7" right="0.7" top="0.75" bottom="0.75" header="0.3" footer="0.3"/>
  <pageSetup paperSize="9" scale="89" orientation="landscape" horizontalDpi="1200" verticalDpi="120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1"/>
  <sheetViews>
    <sheetView topLeftCell="A19" workbookViewId="0">
      <selection activeCell="D31" sqref="D31"/>
    </sheetView>
  </sheetViews>
  <sheetFormatPr defaultRowHeight="13.5" x14ac:dyDescent="0.25"/>
  <cols>
    <col min="1" max="1" width="57.42578125" style="6" customWidth="1"/>
    <col min="2" max="2" width="9.140625" style="6"/>
    <col min="3" max="3" width="11.140625" style="6" bestFit="1" customWidth="1"/>
    <col min="4" max="4" width="38" style="6" customWidth="1"/>
    <col min="5" max="5" width="9.140625" style="6"/>
    <col min="6" max="6" width="63" style="6" customWidth="1"/>
    <col min="7" max="16384" width="9.140625" style="6"/>
  </cols>
  <sheetData>
    <row r="1" spans="1:10" x14ac:dyDescent="0.25">
      <c r="A1" s="89" t="s">
        <v>220</v>
      </c>
      <c r="B1" s="70"/>
      <c r="C1" s="70"/>
      <c r="D1" s="70"/>
    </row>
    <row r="3" spans="1:10" s="90" customFormat="1" ht="27" x14ac:dyDescent="0.25">
      <c r="A3" s="91" t="s">
        <v>65</v>
      </c>
      <c r="B3" s="91" t="s">
        <v>221</v>
      </c>
      <c r="C3" s="91" t="s">
        <v>222</v>
      </c>
      <c r="D3" s="91" t="s">
        <v>223</v>
      </c>
    </row>
    <row r="4" spans="1:10" x14ac:dyDescent="0.25">
      <c r="A4" s="92" t="s">
        <v>202</v>
      </c>
      <c r="B4" s="93"/>
      <c r="C4" s="93"/>
      <c r="D4" s="93"/>
    </row>
    <row r="5" spans="1:10" s="12" customFormat="1" x14ac:dyDescent="0.25">
      <c r="A5" s="94" t="s">
        <v>118</v>
      </c>
      <c r="B5" s="95"/>
      <c r="C5" s="95"/>
      <c r="D5" s="95"/>
    </row>
    <row r="6" spans="1:10" x14ac:dyDescent="0.25">
      <c r="A6" s="96" t="s">
        <v>210</v>
      </c>
      <c r="B6" s="97"/>
      <c r="C6" s="101">
        <v>5</v>
      </c>
      <c r="D6" s="97" t="s">
        <v>212</v>
      </c>
    </row>
    <row r="7" spans="1:10" x14ac:dyDescent="0.25">
      <c r="A7" s="96" t="s">
        <v>211</v>
      </c>
      <c r="B7" s="97"/>
      <c r="C7" s="102">
        <v>2</v>
      </c>
      <c r="D7" s="97" t="s">
        <v>213</v>
      </c>
    </row>
    <row r="8" spans="1:10" x14ac:dyDescent="0.25">
      <c r="A8" s="96" t="s">
        <v>430</v>
      </c>
      <c r="B8" s="97" t="s">
        <v>119</v>
      </c>
      <c r="C8" s="98">
        <f>'Rates and GI'!D12/6*C6</f>
        <v>14.729166666666666</v>
      </c>
      <c r="D8" s="97" t="s">
        <v>212</v>
      </c>
      <c r="E8" s="8"/>
      <c r="F8" s="8"/>
      <c r="G8" s="8"/>
      <c r="H8" s="8"/>
      <c r="I8" s="8"/>
      <c r="J8" s="8"/>
    </row>
    <row r="9" spans="1:10" x14ac:dyDescent="0.25">
      <c r="A9" s="96" t="s">
        <v>431</v>
      </c>
      <c r="B9" s="97" t="s">
        <v>119</v>
      </c>
      <c r="C9" s="98">
        <f>'Rates and GI'!D12/6*C7</f>
        <v>5.8916666666666666</v>
      </c>
      <c r="D9" s="97" t="s">
        <v>213</v>
      </c>
      <c r="E9" s="8"/>
      <c r="F9" s="8"/>
      <c r="G9" s="8"/>
      <c r="H9" s="8"/>
      <c r="I9" s="8"/>
      <c r="J9" s="8"/>
    </row>
    <row r="10" spans="1:10" x14ac:dyDescent="0.25">
      <c r="A10" s="96" t="s">
        <v>429</v>
      </c>
      <c r="B10" s="97" t="s">
        <v>119</v>
      </c>
      <c r="C10" s="98">
        <f>'Rates and GI'!D13/6*C6</f>
        <v>135.17999999999998</v>
      </c>
      <c r="D10" s="99"/>
      <c r="E10" s="8"/>
      <c r="F10" s="8"/>
      <c r="G10" s="8"/>
      <c r="H10" s="8"/>
      <c r="I10" s="8"/>
      <c r="J10" s="8"/>
    </row>
    <row r="11" spans="1:10" x14ac:dyDescent="0.25">
      <c r="A11" s="97" t="s">
        <v>120</v>
      </c>
      <c r="B11" s="97"/>
      <c r="C11" s="98">
        <v>0</v>
      </c>
      <c r="D11" s="99"/>
      <c r="E11" s="8"/>
      <c r="F11" s="8"/>
      <c r="G11" s="8"/>
      <c r="H11" s="8"/>
      <c r="I11" s="8"/>
      <c r="J11" s="8"/>
    </row>
    <row r="12" spans="1:10" x14ac:dyDescent="0.25">
      <c r="A12" s="97" t="s">
        <v>123</v>
      </c>
      <c r="B12" s="97"/>
      <c r="C12" s="100">
        <v>0</v>
      </c>
      <c r="D12" s="99"/>
      <c r="E12" s="8"/>
      <c r="F12" s="8"/>
      <c r="G12" s="8"/>
      <c r="H12" s="8"/>
      <c r="I12" s="8"/>
      <c r="J12" s="8"/>
    </row>
    <row r="13" spans="1:10" x14ac:dyDescent="0.25">
      <c r="A13" s="97" t="s">
        <v>121</v>
      </c>
      <c r="B13" s="97"/>
      <c r="C13" s="100">
        <f>25*50*0.02</f>
        <v>25</v>
      </c>
      <c r="D13" s="99"/>
      <c r="E13" s="8"/>
      <c r="F13" s="8"/>
      <c r="G13" s="8"/>
      <c r="H13" s="8"/>
      <c r="I13" s="8"/>
      <c r="J13" s="8"/>
    </row>
    <row r="14" spans="1:10" x14ac:dyDescent="0.25">
      <c r="A14" s="97" t="s">
        <v>122</v>
      </c>
      <c r="B14" s="97"/>
      <c r="C14" s="100">
        <v>20</v>
      </c>
      <c r="D14" s="99"/>
      <c r="E14" s="8"/>
      <c r="F14" s="8"/>
      <c r="G14" s="8"/>
      <c r="H14" s="8"/>
      <c r="I14" s="8"/>
      <c r="J14" s="8"/>
    </row>
    <row r="15" spans="1:10" x14ac:dyDescent="0.25">
      <c r="A15" s="97" t="s">
        <v>201</v>
      </c>
      <c r="B15" s="97"/>
      <c r="C15" s="100">
        <f>2*25</f>
        <v>50</v>
      </c>
      <c r="D15" s="99"/>
      <c r="E15" s="8"/>
      <c r="F15" s="8"/>
      <c r="G15" s="8"/>
      <c r="H15" s="8"/>
      <c r="I15" s="8"/>
      <c r="J15" s="8"/>
    </row>
    <row r="16" spans="1:10" x14ac:dyDescent="0.25">
      <c r="A16" s="97" t="s">
        <v>124</v>
      </c>
      <c r="B16" s="97" t="s">
        <v>97</v>
      </c>
      <c r="C16" s="100">
        <f>(1+0.5)*25</f>
        <v>37.5</v>
      </c>
      <c r="D16" s="99"/>
      <c r="E16" s="8"/>
      <c r="F16" s="8"/>
      <c r="G16" s="8"/>
      <c r="H16" s="8"/>
      <c r="I16" s="8"/>
      <c r="J16" s="8"/>
    </row>
    <row r="17" spans="1:10" x14ac:dyDescent="0.25">
      <c r="A17" s="97"/>
      <c r="B17" s="97"/>
      <c r="C17" s="100"/>
      <c r="D17" s="99"/>
      <c r="E17" s="8"/>
      <c r="F17" s="8"/>
      <c r="G17" s="8"/>
      <c r="H17" s="8"/>
      <c r="I17" s="8"/>
      <c r="J17" s="8"/>
    </row>
    <row r="18" spans="1:10" x14ac:dyDescent="0.25">
      <c r="A18" s="97" t="s">
        <v>125</v>
      </c>
      <c r="B18" s="97"/>
      <c r="C18" s="100"/>
      <c r="D18" s="99"/>
      <c r="E18" s="8"/>
      <c r="F18" s="8"/>
      <c r="G18" s="8"/>
      <c r="H18" s="8"/>
      <c r="I18" s="8"/>
      <c r="J18" s="8"/>
    </row>
    <row r="19" spans="1:10" x14ac:dyDescent="0.25">
      <c r="A19" s="97" t="s">
        <v>126</v>
      </c>
      <c r="B19" s="97"/>
      <c r="C19" s="100">
        <f>C20*C21</f>
        <v>30</v>
      </c>
      <c r="D19" s="99"/>
      <c r="E19" s="8"/>
      <c r="F19" s="8"/>
      <c r="G19" s="8"/>
      <c r="H19" s="8"/>
      <c r="I19" s="8"/>
      <c r="J19" s="8"/>
    </row>
    <row r="20" spans="1:10" x14ac:dyDescent="0.25">
      <c r="A20" s="97" t="s">
        <v>128</v>
      </c>
      <c r="B20" s="97"/>
      <c r="C20" s="100">
        <v>5</v>
      </c>
      <c r="D20" s="99"/>
      <c r="E20" s="8"/>
      <c r="F20" s="8"/>
      <c r="G20" s="8"/>
      <c r="H20" s="8"/>
      <c r="I20" s="8"/>
      <c r="J20" s="8"/>
    </row>
    <row r="21" spans="1:10" x14ac:dyDescent="0.25">
      <c r="A21" s="97" t="s">
        <v>127</v>
      </c>
      <c r="B21" s="97"/>
      <c r="C21" s="100">
        <v>6</v>
      </c>
      <c r="D21" s="99"/>
      <c r="E21" s="8"/>
      <c r="F21" s="8"/>
      <c r="G21" s="8"/>
      <c r="H21" s="8"/>
      <c r="I21" s="8"/>
      <c r="J21" s="8"/>
    </row>
    <row r="22" spans="1:10" x14ac:dyDescent="0.25">
      <c r="A22" s="94"/>
      <c r="B22" s="94"/>
      <c r="C22" s="99"/>
      <c r="D22" s="99"/>
      <c r="E22" s="8"/>
      <c r="F22" s="8"/>
      <c r="G22" s="8"/>
      <c r="H22" s="8"/>
      <c r="I22" s="8"/>
      <c r="J22" s="8"/>
    </row>
    <row r="23" spans="1:10" x14ac:dyDescent="0.25">
      <c r="A23" s="92" t="s">
        <v>242</v>
      </c>
      <c r="B23" s="93"/>
      <c r="C23" s="131">
        <f>SUM(C24:C30)</f>
        <v>709.375</v>
      </c>
      <c r="D23" s="93"/>
    </row>
    <row r="24" spans="1:10" x14ac:dyDescent="0.25">
      <c r="A24" s="102" t="s">
        <v>129</v>
      </c>
      <c r="B24" s="102"/>
      <c r="C24" s="207">
        <f>C19*C8</f>
        <v>441.875</v>
      </c>
      <c r="D24" s="207"/>
      <c r="E24" s="8"/>
      <c r="F24" s="8"/>
      <c r="G24" s="8"/>
      <c r="H24" s="8"/>
      <c r="I24" s="8"/>
      <c r="J24" s="8"/>
    </row>
    <row r="25" spans="1:10" x14ac:dyDescent="0.25">
      <c r="A25" s="102" t="s">
        <v>120</v>
      </c>
      <c r="B25" s="102"/>
      <c r="C25" s="207">
        <v>0</v>
      </c>
      <c r="D25" s="207"/>
      <c r="E25" s="8"/>
      <c r="F25" s="8"/>
      <c r="G25" s="8"/>
      <c r="H25" s="8"/>
      <c r="I25" s="8"/>
      <c r="J25" s="8"/>
    </row>
    <row r="26" spans="1:10" x14ac:dyDescent="0.25">
      <c r="A26" s="102" t="s">
        <v>123</v>
      </c>
      <c r="B26" s="102"/>
      <c r="C26" s="207">
        <v>0</v>
      </c>
      <c r="D26" s="207"/>
      <c r="E26" s="8"/>
      <c r="F26" s="8"/>
      <c r="G26" s="8"/>
      <c r="H26" s="8"/>
      <c r="I26" s="8"/>
      <c r="J26" s="8"/>
    </row>
    <row r="27" spans="1:10" x14ac:dyDescent="0.25">
      <c r="A27" s="102" t="s">
        <v>121</v>
      </c>
      <c r="B27" s="102"/>
      <c r="C27" s="207">
        <f>25*50*0.02</f>
        <v>25</v>
      </c>
      <c r="D27" s="102"/>
    </row>
    <row r="28" spans="1:10" x14ac:dyDescent="0.25">
      <c r="A28" s="102" t="s">
        <v>201</v>
      </c>
      <c r="B28" s="102"/>
      <c r="C28" s="207">
        <f>C15</f>
        <v>50</v>
      </c>
      <c r="D28" s="102"/>
    </row>
    <row r="29" spans="1:10" x14ac:dyDescent="0.25">
      <c r="A29" s="102" t="s">
        <v>122</v>
      </c>
      <c r="B29" s="102"/>
      <c r="C29" s="207">
        <v>5</v>
      </c>
      <c r="D29" s="102"/>
    </row>
    <row r="30" spans="1:10" x14ac:dyDescent="0.25">
      <c r="A30" s="102" t="s">
        <v>124</v>
      </c>
      <c r="B30" s="102"/>
      <c r="C30" s="207">
        <f>C16*C20</f>
        <v>187.5</v>
      </c>
      <c r="D30" s="102"/>
    </row>
    <row r="31" spans="1:10" x14ac:dyDescent="0.25">
      <c r="A31" s="102" t="s">
        <v>13</v>
      </c>
      <c r="B31" s="102"/>
      <c r="C31" s="207"/>
      <c r="D31" s="102"/>
    </row>
    <row r="32" spans="1:10" x14ac:dyDescent="0.25">
      <c r="A32" s="102"/>
      <c r="B32" s="102"/>
      <c r="C32" s="102"/>
      <c r="D32" s="102"/>
    </row>
    <row r="33" spans="1:4" x14ac:dyDescent="0.25">
      <c r="A33" s="92" t="s">
        <v>136</v>
      </c>
      <c r="B33" s="93" t="s">
        <v>137</v>
      </c>
      <c r="C33" s="93">
        <f>150*eur</f>
        <v>81.10799999999999</v>
      </c>
      <c r="D33" s="93"/>
    </row>
    <row r="34" spans="1:4" x14ac:dyDescent="0.25">
      <c r="A34" s="94"/>
      <c r="B34" s="94"/>
      <c r="C34" s="94"/>
      <c r="D34" s="94"/>
    </row>
    <row r="35" spans="1:4" x14ac:dyDescent="0.25">
      <c r="A35" s="92" t="s">
        <v>245</v>
      </c>
      <c r="B35" s="93"/>
      <c r="C35" s="93"/>
      <c r="D35" s="93"/>
    </row>
    <row r="36" spans="1:4" ht="27" x14ac:dyDescent="0.25">
      <c r="A36" s="149" t="s">
        <v>600</v>
      </c>
      <c r="B36" s="102" t="s">
        <v>137</v>
      </c>
      <c r="C36" s="150">
        <f>36927.4/110*0</f>
        <v>0</v>
      </c>
      <c r="D36" s="102" t="s">
        <v>445</v>
      </c>
    </row>
    <row r="37" spans="1:4" ht="27" x14ac:dyDescent="0.25">
      <c r="A37" s="149" t="s">
        <v>599</v>
      </c>
      <c r="B37" s="102" t="s">
        <v>137</v>
      </c>
      <c r="C37" s="150">
        <f>(36927.4+28000)/220*0</f>
        <v>0</v>
      </c>
      <c r="D37" s="102" t="s">
        <v>445</v>
      </c>
    </row>
    <row r="38" spans="1:4" x14ac:dyDescent="0.25">
      <c r="A38" s="102" t="s">
        <v>598</v>
      </c>
      <c r="B38" s="102" t="s">
        <v>137</v>
      </c>
      <c r="C38" s="102">
        <f>360*1560/1000</f>
        <v>561.6</v>
      </c>
      <c r="D38" s="102" t="s">
        <v>446</v>
      </c>
    </row>
    <row r="39" spans="1:4" x14ac:dyDescent="0.25">
      <c r="A39" s="149" t="s">
        <v>442</v>
      </c>
      <c r="B39" s="102" t="s">
        <v>137</v>
      </c>
      <c r="C39" s="102">
        <f>360*1560/1000</f>
        <v>561.6</v>
      </c>
      <c r="D39" s="102" t="s">
        <v>443</v>
      </c>
    </row>
    <row r="40" spans="1:4" x14ac:dyDescent="0.25">
      <c r="A40" s="102" t="s">
        <v>597</v>
      </c>
      <c r="B40" s="102" t="s">
        <v>137</v>
      </c>
      <c r="C40" s="102">
        <v>994.68</v>
      </c>
      <c r="D40" s="102" t="s">
        <v>447</v>
      </c>
    </row>
    <row r="41" spans="1:4" x14ac:dyDescent="0.25">
      <c r="A41" s="102" t="s">
        <v>596</v>
      </c>
      <c r="B41" s="102" t="s">
        <v>137</v>
      </c>
      <c r="C41" s="102">
        <v>994.68</v>
      </c>
      <c r="D41" s="102" t="s">
        <v>448</v>
      </c>
    </row>
    <row r="42" spans="1:4" x14ac:dyDescent="0.25">
      <c r="A42" s="102" t="s">
        <v>595</v>
      </c>
      <c r="B42" s="102" t="s">
        <v>137</v>
      </c>
      <c r="C42" s="150">
        <f>(8147400+C9*6*21*3)/130/1000</f>
        <v>62.689438846153848</v>
      </c>
      <c r="D42" s="102" t="s">
        <v>444</v>
      </c>
    </row>
    <row r="43" spans="1:4" ht="27.75" customHeight="1" x14ac:dyDescent="0.25">
      <c r="A43" s="149" t="s">
        <v>546</v>
      </c>
      <c r="B43" s="102" t="s">
        <v>137</v>
      </c>
      <c r="C43" s="102">
        <v>240</v>
      </c>
      <c r="D43" s="102" t="s">
        <v>547</v>
      </c>
    </row>
    <row r="44" spans="1:4" ht="40.5" x14ac:dyDescent="0.25">
      <c r="A44" s="149" t="s">
        <v>548</v>
      </c>
      <c r="B44" s="102" t="s">
        <v>137</v>
      </c>
      <c r="C44" s="102">
        <f>900*1500/1000</f>
        <v>1350</v>
      </c>
      <c r="D44" s="102" t="s">
        <v>547</v>
      </c>
    </row>
    <row r="45" spans="1:4" x14ac:dyDescent="0.25">
      <c r="A45" s="149" t="s">
        <v>248</v>
      </c>
      <c r="B45" s="149" t="s">
        <v>137</v>
      </c>
      <c r="C45" s="149">
        <v>20</v>
      </c>
      <c r="D45" s="102"/>
    </row>
    <row r="46" spans="1:4" x14ac:dyDescent="0.25">
      <c r="A46" s="102"/>
      <c r="B46" s="102"/>
      <c r="C46" s="102"/>
      <c r="D46" s="102"/>
    </row>
    <row r="47" spans="1:4" x14ac:dyDescent="0.25">
      <c r="A47" s="92" t="s">
        <v>611</v>
      </c>
      <c r="B47" s="93"/>
      <c r="C47" s="211">
        <f>C48+C54</f>
        <v>1040</v>
      </c>
      <c r="D47" s="93" t="s">
        <v>443</v>
      </c>
    </row>
    <row r="48" spans="1:4" x14ac:dyDescent="0.25">
      <c r="A48" s="205" t="s">
        <v>601</v>
      </c>
      <c r="B48" s="207"/>
      <c r="C48" s="207">
        <f>C49*B51*B50</f>
        <v>288</v>
      </c>
      <c r="D48" s="128"/>
    </row>
    <row r="49" spans="1:4" x14ac:dyDescent="0.25">
      <c r="A49" s="206" t="s">
        <v>602</v>
      </c>
      <c r="B49" s="208"/>
      <c r="C49" s="207">
        <v>3</v>
      </c>
      <c r="D49" s="129"/>
    </row>
    <row r="50" spans="1:4" x14ac:dyDescent="0.25">
      <c r="A50" s="206" t="s">
        <v>603</v>
      </c>
      <c r="B50" s="210">
        <v>2</v>
      </c>
      <c r="C50" s="208"/>
      <c r="D50" s="129"/>
    </row>
    <row r="51" spans="1:4" x14ac:dyDescent="0.25">
      <c r="A51" s="206" t="s">
        <v>604</v>
      </c>
      <c r="B51" s="210">
        <v>48</v>
      </c>
      <c r="C51" s="208"/>
      <c r="D51" s="129"/>
    </row>
    <row r="52" spans="1:4" x14ac:dyDescent="0.25">
      <c r="A52" s="206" t="s">
        <v>605</v>
      </c>
      <c r="B52" s="210">
        <v>6</v>
      </c>
      <c r="C52" s="208"/>
      <c r="D52" s="137" t="s">
        <v>97</v>
      </c>
    </row>
    <row r="53" spans="1:4" x14ac:dyDescent="0.25">
      <c r="A53" s="206" t="s">
        <v>606</v>
      </c>
      <c r="B53" s="210">
        <v>24</v>
      </c>
      <c r="C53" s="208"/>
      <c r="D53" s="129"/>
    </row>
    <row r="54" spans="1:4" ht="27" x14ac:dyDescent="0.25">
      <c r="A54" s="209" t="s">
        <v>607</v>
      </c>
      <c r="B54" s="207"/>
      <c r="C54" s="207">
        <f>SUM(C55:C58)</f>
        <v>752</v>
      </c>
      <c r="D54" s="128"/>
    </row>
    <row r="55" spans="1:4" ht="27" x14ac:dyDescent="0.25">
      <c r="A55" s="206" t="s">
        <v>612</v>
      </c>
      <c r="B55" s="207"/>
      <c r="C55" s="207">
        <v>120</v>
      </c>
      <c r="D55" s="129"/>
    </row>
    <row r="56" spans="1:4" x14ac:dyDescent="0.25">
      <c r="A56" s="206" t="s">
        <v>608</v>
      </c>
      <c r="B56" s="207"/>
      <c r="C56" s="207">
        <v>185</v>
      </c>
      <c r="D56" s="129"/>
    </row>
    <row r="57" spans="1:4" x14ac:dyDescent="0.25">
      <c r="A57" s="206" t="s">
        <v>609</v>
      </c>
      <c r="B57" s="207"/>
      <c r="C57" s="207">
        <v>15</v>
      </c>
      <c r="D57" s="129"/>
    </row>
    <row r="58" spans="1:4" x14ac:dyDescent="0.25">
      <c r="A58" s="206" t="s">
        <v>610</v>
      </c>
      <c r="B58" s="207"/>
      <c r="C58" s="207">
        <f>B53*B52*3</f>
        <v>432</v>
      </c>
      <c r="D58" s="129"/>
    </row>
    <row r="59" spans="1:4" x14ac:dyDescent="0.25">
      <c r="A59" s="206"/>
      <c r="B59" s="208"/>
      <c r="C59" s="208"/>
      <c r="D59" s="129"/>
    </row>
    <row r="60" spans="1:4" x14ac:dyDescent="0.25">
      <c r="A60" s="206"/>
      <c r="B60" s="208"/>
      <c r="C60" s="208"/>
      <c r="D60" s="129"/>
    </row>
    <row r="61" spans="1:4" x14ac:dyDescent="0.25">
      <c r="A61" s="206"/>
      <c r="B61" s="208"/>
      <c r="C61" s="208"/>
      <c r="D61" s="129"/>
    </row>
  </sheetData>
  <pageMargins left="0.7" right="0.7" top="0.75" bottom="0.75" header="0.3" footer="0.3"/>
  <pageSetup paperSize="9" scale="76" fitToHeight="0" orientation="portrait" horizontalDpi="1200" verticalDpi="120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workbookViewId="0">
      <selection activeCell="B21" sqref="B21"/>
    </sheetView>
  </sheetViews>
  <sheetFormatPr defaultRowHeight="15" x14ac:dyDescent="0.25"/>
  <cols>
    <col min="1" max="1" width="28.85546875" style="153" customWidth="1"/>
    <col min="2" max="2" width="22.42578125" style="153" customWidth="1"/>
    <col min="3" max="3" width="23.5703125" style="153" customWidth="1"/>
    <col min="4" max="15" width="9.140625" style="153"/>
  </cols>
  <sheetData>
    <row r="1" spans="1:3" ht="36" customHeight="1" x14ac:dyDescent="0.25">
      <c r="A1" s="155" t="s">
        <v>353</v>
      </c>
    </row>
    <row r="2" spans="1:3" ht="36" customHeight="1" x14ac:dyDescent="0.25">
      <c r="A2" s="68"/>
      <c r="B2" s="69" t="s">
        <v>350</v>
      </c>
      <c r="C2" s="68" t="s">
        <v>351</v>
      </c>
    </row>
    <row r="3" spans="1:3" x14ac:dyDescent="0.25">
      <c r="A3" s="41" t="s">
        <v>352</v>
      </c>
      <c r="B3" s="154">
        <v>200</v>
      </c>
      <c r="C3" s="154">
        <v>6</v>
      </c>
    </row>
    <row r="4" spans="1:3" x14ac:dyDescent="0.25">
      <c r="A4" s="41" t="s">
        <v>346</v>
      </c>
      <c r="B4" s="154">
        <v>144</v>
      </c>
      <c r="C4" s="154">
        <v>7</v>
      </c>
    </row>
    <row r="5" spans="1:3" x14ac:dyDescent="0.25">
      <c r="A5" s="41" t="s">
        <v>344</v>
      </c>
      <c r="B5" s="154">
        <v>205</v>
      </c>
      <c r="C5" s="154">
        <v>8</v>
      </c>
    </row>
    <row r="6" spans="1:3" x14ac:dyDescent="0.25">
      <c r="A6" s="41" t="s">
        <v>348</v>
      </c>
      <c r="B6" s="154">
        <v>276</v>
      </c>
      <c r="C6" s="154">
        <v>13</v>
      </c>
    </row>
    <row r="7" spans="1:3" x14ac:dyDescent="0.25">
      <c r="A7" s="41" t="s">
        <v>341</v>
      </c>
      <c r="B7" s="154">
        <v>103</v>
      </c>
      <c r="C7" s="154">
        <v>4</v>
      </c>
    </row>
    <row r="8" spans="1:3" ht="27" x14ac:dyDescent="0.25">
      <c r="A8" s="63" t="s">
        <v>345</v>
      </c>
      <c r="B8" s="154">
        <v>166</v>
      </c>
      <c r="C8" s="154">
        <v>5</v>
      </c>
    </row>
    <row r="9" spans="1:3" x14ac:dyDescent="0.25">
      <c r="A9" s="41" t="s">
        <v>347</v>
      </c>
      <c r="B9" s="154">
        <v>47</v>
      </c>
      <c r="C9" s="154">
        <v>3</v>
      </c>
    </row>
    <row r="10" spans="1:3" x14ac:dyDescent="0.25">
      <c r="A10" s="41" t="s">
        <v>343</v>
      </c>
      <c r="B10" s="154">
        <v>171</v>
      </c>
      <c r="C10" s="154">
        <v>9</v>
      </c>
    </row>
    <row r="11" spans="1:3" x14ac:dyDescent="0.25">
      <c r="A11" s="41" t="s">
        <v>349</v>
      </c>
      <c r="B11" s="154">
        <v>122</v>
      </c>
      <c r="C11" s="154">
        <v>4</v>
      </c>
    </row>
    <row r="12" spans="1:3" x14ac:dyDescent="0.25">
      <c r="A12" s="41" t="s">
        <v>338</v>
      </c>
      <c r="B12" s="154">
        <v>240</v>
      </c>
      <c r="C12" s="154">
        <v>11</v>
      </c>
    </row>
    <row r="13" spans="1:3" x14ac:dyDescent="0.25">
      <c r="A13" s="41" t="s">
        <v>342</v>
      </c>
      <c r="B13" s="154">
        <v>185</v>
      </c>
      <c r="C13" s="154">
        <v>9</v>
      </c>
    </row>
    <row r="14" spans="1:3" x14ac:dyDescent="0.25">
      <c r="A14" s="41" t="s">
        <v>339</v>
      </c>
      <c r="B14" s="154">
        <v>172</v>
      </c>
      <c r="C14" s="154">
        <v>6</v>
      </c>
    </row>
    <row r="15" spans="1:3" x14ac:dyDescent="0.25">
      <c r="A15" s="41" t="s">
        <v>340</v>
      </c>
      <c r="B15" s="154">
        <v>152</v>
      </c>
      <c r="C15" s="154">
        <v>5</v>
      </c>
    </row>
    <row r="16" spans="1:3" x14ac:dyDescent="0.25">
      <c r="A16" s="103" t="s">
        <v>28</v>
      </c>
      <c r="B16" s="104">
        <v>2183</v>
      </c>
      <c r="C16" s="103">
        <v>90</v>
      </c>
    </row>
    <row r="18" spans="1:2" x14ac:dyDescent="0.25">
      <c r="A18" s="41" t="s">
        <v>358</v>
      </c>
      <c r="B18" s="153">
        <v>108</v>
      </c>
    </row>
    <row r="21" spans="1:2" x14ac:dyDescent="0.25">
      <c r="B21" s="156"/>
    </row>
  </sheetData>
  <sortState ref="A3:C14">
    <sortCondition ref="A3"/>
  </sortState>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53</vt:i4>
      </vt:variant>
      <vt:variant>
        <vt:lpstr>Named Ranges</vt:lpstr>
      </vt:variant>
      <vt:variant>
        <vt:i4>5</vt:i4>
      </vt:variant>
    </vt:vector>
  </HeadingPairs>
  <TitlesOfParts>
    <vt:vector size="58" baseType="lpstr">
      <vt:lpstr>Summary</vt:lpstr>
      <vt:lpstr>a1</vt:lpstr>
      <vt:lpstr>a2</vt:lpstr>
      <vt:lpstr>a3</vt:lpstr>
      <vt:lpstr>a7</vt:lpstr>
      <vt:lpstr>a8</vt:lpstr>
      <vt:lpstr>a9</vt:lpstr>
      <vt:lpstr>a10</vt:lpstr>
      <vt:lpstr>a11</vt:lpstr>
      <vt:lpstr>a12</vt:lpstr>
      <vt:lpstr>a14</vt:lpstr>
      <vt:lpstr>a15</vt:lpstr>
      <vt:lpstr>a17</vt:lpstr>
      <vt:lpstr>a18</vt:lpstr>
      <vt:lpstr>a19</vt:lpstr>
      <vt:lpstr>a20</vt:lpstr>
      <vt:lpstr>a21</vt:lpstr>
      <vt:lpstr>a22</vt:lpstr>
      <vt:lpstr>a23</vt:lpstr>
      <vt:lpstr>a24</vt:lpstr>
      <vt:lpstr>a25</vt:lpstr>
      <vt:lpstr>a26</vt:lpstr>
      <vt:lpstr>a27</vt:lpstr>
      <vt:lpstr>a28</vt:lpstr>
      <vt:lpstr>a29</vt:lpstr>
      <vt:lpstr>a31</vt:lpstr>
      <vt:lpstr>a32</vt:lpstr>
      <vt:lpstr>a33</vt:lpstr>
      <vt:lpstr>a34</vt:lpstr>
      <vt:lpstr>a38</vt:lpstr>
      <vt:lpstr>a39</vt:lpstr>
      <vt:lpstr>a40</vt:lpstr>
      <vt:lpstr>a41</vt:lpstr>
      <vt:lpstr>a42</vt:lpstr>
      <vt:lpstr>a43</vt:lpstr>
      <vt:lpstr>a44</vt:lpstr>
      <vt:lpstr>a45</vt:lpstr>
      <vt:lpstr>a47</vt:lpstr>
      <vt:lpstr>a48</vt:lpstr>
      <vt:lpstr>a49</vt:lpstr>
      <vt:lpstr>a50</vt:lpstr>
      <vt:lpstr>a51</vt:lpstr>
      <vt:lpstr>a52</vt:lpstr>
      <vt:lpstr>a53</vt:lpstr>
      <vt:lpstr>a54</vt:lpstr>
      <vt:lpstr>a55</vt:lpstr>
      <vt:lpstr>a56</vt:lpstr>
      <vt:lpstr>a57</vt:lpstr>
      <vt:lpstr>a58</vt:lpstr>
      <vt:lpstr>Rates and GI</vt:lpstr>
      <vt:lpstr>Trips</vt:lpstr>
      <vt:lpstr>Training</vt:lpstr>
      <vt:lpstr>Emp</vt:lpstr>
      <vt:lpstr>eur</vt:lpstr>
      <vt:lpstr>index</vt:lpstr>
      <vt:lpstr>Summary!Print_Titles</vt:lpstr>
      <vt:lpstr>start</vt:lpstr>
      <vt:lpstr>usd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
  <cp:lastModifiedBy/>
  <dcterms:created xsi:type="dcterms:W3CDTF">2015-06-05T18:17:20Z</dcterms:created>
  <dcterms:modified xsi:type="dcterms:W3CDTF">2019-11-01T19:32:31Z</dcterms:modified>
  <cp:keywords>Mulberry 2.0</cp:keywords>
</cp:coreProperties>
</file>