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belag\Downloads\Police strategy\"/>
    </mc:Choice>
  </mc:AlternateContent>
  <xr:revisionPtr revIDLastSave="0" documentId="13_ncr:1_{7033525A-AF59-4824-9A07-A8F1BAA3AEE8}" xr6:coauthVersionLast="45" xr6:coauthVersionMax="45" xr10:uidLastSave="{00000000-0000-0000-0000-000000000000}"/>
  <bookViews>
    <workbookView xWindow="-120" yWindow="-120" windowWidth="20730" windowHeight="11160" xr2:uid="{CBA20E2E-6691-4A12-8237-2D9B0BD55BBA}"/>
  </bookViews>
  <sheets>
    <sheet name="Police" sheetId="1" r:id="rId1"/>
    <sheet name="Patrol" sheetId="2" r:id="rId2"/>
    <sheet name="Cost estimates" sheetId="3" r:id="rId3"/>
  </sheets>
  <definedNames>
    <definedName name="_xlnm._FilterDatabase" localSheetId="0" hidden="1">Police!$J$1:$J$102</definedName>
    <definedName name="_ftnref1" localSheetId="0">Police!$A$5</definedName>
    <definedName name="_xlnm.Print_Area" localSheetId="0">Police!$A$1:$I$136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4" i="1" l="1"/>
  <c r="E38" i="1"/>
  <c r="D38" i="1"/>
  <c r="F59" i="3"/>
  <c r="F58" i="3"/>
  <c r="D42" i="1" l="1"/>
  <c r="C16" i="3"/>
  <c r="E42" i="1" l="1"/>
  <c r="E16" i="3"/>
  <c r="F16" i="3" s="1"/>
  <c r="D35" i="1" s="1"/>
  <c r="G132" i="1" l="1"/>
  <c r="F122" i="1" l="1"/>
  <c r="F125" i="1"/>
  <c r="D125" i="1"/>
  <c r="E43" i="1"/>
  <c r="C83" i="3" l="1"/>
  <c r="C85" i="3" s="1"/>
  <c r="D77" i="3"/>
  <c r="D79" i="3" s="1"/>
  <c r="E11" i="1" s="1"/>
  <c r="E73" i="3"/>
  <c r="F73" i="3" s="1"/>
  <c r="E72" i="3"/>
  <c r="F72" i="3" s="1"/>
  <c r="E33" i="1" s="1"/>
  <c r="F83" i="1"/>
  <c r="F102" i="1"/>
  <c r="F116" i="1" s="1"/>
  <c r="F73" i="1"/>
  <c r="F113" i="1" s="1"/>
  <c r="D73" i="1"/>
  <c r="D113" i="1" s="1"/>
  <c r="E62" i="1"/>
  <c r="F65" i="1"/>
  <c r="F112" i="1" s="1"/>
  <c r="D65" i="1"/>
  <c r="D112" i="1" s="1"/>
  <c r="D13" i="1"/>
  <c r="D123" i="1" s="1"/>
  <c r="F22" i="1"/>
  <c r="F109" i="1" s="1"/>
  <c r="E22" i="1"/>
  <c r="E109" i="1" s="1"/>
  <c r="F15" i="1"/>
  <c r="F108" i="1" s="1"/>
  <c r="E10" i="1"/>
  <c r="D10" i="1"/>
  <c r="F92" i="1"/>
  <c r="F94" i="1" s="1"/>
  <c r="F115" i="1" s="1"/>
  <c r="E92" i="1"/>
  <c r="E94" i="1" s="1"/>
  <c r="E115" i="1" s="1"/>
  <c r="E63" i="1"/>
  <c r="F65" i="3"/>
  <c r="F63" i="3" s="1"/>
  <c r="F40" i="1" s="1"/>
  <c r="E69" i="3"/>
  <c r="F69" i="3" s="1"/>
  <c r="D39" i="1" s="1"/>
  <c r="C53" i="3"/>
  <c r="E57" i="3"/>
  <c r="E60" i="3" s="1"/>
  <c r="F60" i="3" s="1"/>
  <c r="E51" i="3"/>
  <c r="C48" i="3"/>
  <c r="F48" i="3" s="1"/>
  <c r="E47" i="3"/>
  <c r="F47" i="3" s="1"/>
  <c r="F28" i="3"/>
  <c r="D101" i="1"/>
  <c r="E101" i="1" s="1"/>
  <c r="E102" i="1" s="1"/>
  <c r="E116" i="1" s="1"/>
  <c r="F40" i="3"/>
  <c r="F39" i="3"/>
  <c r="C23" i="3"/>
  <c r="F29" i="3" s="1"/>
  <c r="D11" i="3"/>
  <c r="C11" i="3"/>
  <c r="E10" i="3"/>
  <c r="D6" i="3"/>
  <c r="E6" i="3" s="1"/>
  <c r="D80" i="1" s="1"/>
  <c r="D83" i="1" s="1"/>
  <c r="C6" i="3"/>
  <c r="E5" i="3"/>
  <c r="F33" i="1" l="1"/>
  <c r="F74" i="3"/>
  <c r="F52" i="1"/>
  <c r="F53" i="1" s="1"/>
  <c r="F111" i="1" s="1"/>
  <c r="E52" i="1"/>
  <c r="E53" i="1" s="1"/>
  <c r="E111" i="1" s="1"/>
  <c r="E80" i="1"/>
  <c r="E83" i="1" s="1"/>
  <c r="E114" i="1" s="1"/>
  <c r="F57" i="3"/>
  <c r="C49" i="3"/>
  <c r="E40" i="1"/>
  <c r="E125" i="1"/>
  <c r="G125" i="1" s="1"/>
  <c r="E39" i="1"/>
  <c r="D114" i="1"/>
  <c r="F114" i="1"/>
  <c r="F126" i="1"/>
  <c r="F134" i="1" s="1"/>
  <c r="D102" i="1"/>
  <c r="D116" i="1" s="1"/>
  <c r="G116" i="1" s="1"/>
  <c r="F27" i="3"/>
  <c r="F30" i="3" s="1"/>
  <c r="F42" i="3" s="1"/>
  <c r="F36" i="1" s="1"/>
  <c r="E11" i="3"/>
  <c r="E126" i="1" l="1"/>
  <c r="F49" i="3"/>
  <c r="C50" i="3"/>
  <c r="E64" i="1"/>
  <c r="E14" i="1"/>
  <c r="E59" i="1"/>
  <c r="D9" i="1"/>
  <c r="D51" i="1"/>
  <c r="D53" i="1" s="1"/>
  <c r="D111" i="1" s="1"/>
  <c r="G111" i="1" s="1"/>
  <c r="E71" i="1"/>
  <c r="E73" i="1" s="1"/>
  <c r="E113" i="1" s="1"/>
  <c r="G113" i="1" s="1"/>
  <c r="D41" i="1"/>
  <c r="D20" i="1"/>
  <c r="E61" i="1"/>
  <c r="D91" i="1"/>
  <c r="D94" i="1" s="1"/>
  <c r="D115" i="1" s="1"/>
  <c r="G115" i="1" s="1"/>
  <c r="D19" i="1"/>
  <c r="E123" i="1"/>
  <c r="F123" i="1"/>
  <c r="F131" i="1"/>
  <c r="F34" i="1"/>
  <c r="F124" i="1" s="1"/>
  <c r="D126" i="1"/>
  <c r="G114" i="1"/>
  <c r="E36" i="1"/>
  <c r="G123" i="1" l="1"/>
  <c r="D122" i="1"/>
  <c r="D15" i="1"/>
  <c r="D108" i="1" s="1"/>
  <c r="D22" i="1"/>
  <c r="D109" i="1" s="1"/>
  <c r="G109" i="1" s="1"/>
  <c r="E65" i="1"/>
  <c r="E112" i="1" s="1"/>
  <c r="G112" i="1" s="1"/>
  <c r="C51" i="3"/>
  <c r="F51" i="3" s="1"/>
  <c r="F50" i="3"/>
  <c r="F53" i="3" s="1"/>
  <c r="E15" i="1"/>
  <c r="E108" i="1" s="1"/>
  <c r="E122" i="1"/>
  <c r="E134" i="1" s="1"/>
  <c r="D134" i="1"/>
  <c r="G126" i="1"/>
  <c r="F127" i="1"/>
  <c r="F130" i="1" s="1"/>
  <c r="F135" i="1" s="1"/>
  <c r="F44" i="1"/>
  <c r="F110" i="1" s="1"/>
  <c r="F117" i="1" s="1"/>
  <c r="G108" i="1" l="1"/>
  <c r="D133" i="1"/>
  <c r="E133" i="1"/>
  <c r="E131" i="1" s="1"/>
  <c r="G134" i="1"/>
  <c r="G122" i="1"/>
  <c r="G133" i="1" l="1"/>
  <c r="D131" i="1"/>
  <c r="G131" i="1" l="1"/>
  <c r="F55" i="3" l="1"/>
  <c r="E37" i="1" s="1"/>
  <c r="F54" i="3"/>
  <c r="D37" i="1" s="1"/>
  <c r="D34" i="1" s="1"/>
  <c r="E124" i="1" l="1"/>
  <c r="E127" i="1" s="1"/>
  <c r="E130" i="1" s="1"/>
  <c r="E135" i="1" s="1"/>
  <c r="E44" i="1"/>
  <c r="E110" i="1" s="1"/>
  <c r="E117" i="1" s="1"/>
  <c r="D124" i="1"/>
  <c r="D44" i="1"/>
  <c r="D110" i="1" s="1"/>
  <c r="G124" i="1" l="1"/>
  <c r="G127" i="1" s="1"/>
  <c r="D127" i="1"/>
  <c r="D130" i="1" s="1"/>
  <c r="D117" i="1"/>
  <c r="G110" i="1"/>
  <c r="G117" i="1" s="1"/>
  <c r="D135" i="1" l="1"/>
  <c r="G130" i="1"/>
  <c r="G135" i="1" s="1"/>
</calcChain>
</file>

<file path=xl/sharedStrings.xml><?xml version="1.0" encoding="utf-8"?>
<sst xmlns="http://schemas.openxmlformats.org/spreadsheetml/2006/main" count="491" uniqueCount="333">
  <si>
    <t xml:space="preserve"> N</t>
  </si>
  <si>
    <t>Գործողություն</t>
  </si>
  <si>
    <t>Թիրախն ըստ ժամկետի</t>
  </si>
  <si>
    <t>Համակատարող</t>
  </si>
  <si>
    <t>Արդյունք/Վերստուգիչ ցուցանիշ</t>
  </si>
  <si>
    <t>Ֆինանսավորման աղբյուր</t>
  </si>
  <si>
    <t>Ոստիկանության կրթահամալիրի ուսումնական ծրագրերի աուդիտ</t>
  </si>
  <si>
    <t>Երկրորդ կիսամյակ</t>
  </si>
  <si>
    <t>ՀՀ արդարադատության նախարարություն</t>
  </si>
  <si>
    <t>Ֆինանսավորում չի պահանջում</t>
  </si>
  <si>
    <t xml:space="preserve">Նոր կրթական ծրագրերի մշակում, գործողների՝ վերանայում </t>
  </si>
  <si>
    <t>Առաջին կիսամյակ</t>
  </si>
  <si>
    <t xml:space="preserve">Տարեկան բյուջեով նախատեսված, ինչպես նաև օրենքով չարգելված միջոցներ </t>
  </si>
  <si>
    <t xml:space="preserve">Կրթական միջավայրի բարեփոխում </t>
  </si>
  <si>
    <t xml:space="preserve">Կրթահամալիրի միջավայրը  համապատասխանեցվել է նոր ոստիկանության գաղափարախոսական ուղղություններին ՝ համալիրի կրթական և մյուս տարածքների  ձևավորման եղանակով   </t>
  </si>
  <si>
    <t>Տարեկան բյուջեով նախատեսված, ինչպես նաև օրենքով չարգելված միջոցներ</t>
  </si>
  <si>
    <t>Ոստիկանության ղեկավար կազմի վերապատրաստումների իրականացում</t>
  </si>
  <si>
    <t>Ոստիկանության ծառայողների վարձատրության և սոցիալական երաշխիքների բարելավում</t>
  </si>
  <si>
    <t>-</t>
  </si>
  <si>
    <t>Տարեկան բյուջեով նախատեսված միջոցներ</t>
  </si>
  <si>
    <t>Ուսումնասիրությունների անցկացում ոստիկանության կառուցվածքային ստորաբաժանումների արդյունավետությունը պարզելու նպատակով</t>
  </si>
  <si>
    <t>Ուսումնասիրությունը կատարվել է, առաջարկությունները ներկայացվել են Վարչապետի աշխատակազմ</t>
  </si>
  <si>
    <t>Ոստիկանության ընթացիկ գործառույթների աուդիտ</t>
  </si>
  <si>
    <t xml:space="preserve">Աուդիտի եզրակացությամբ տարանջատվել են ոստիկանության հիմնական և աջակցող գործառույթները </t>
  </si>
  <si>
    <t xml:space="preserve">Նոր նախարարության ձևավորում՝ Ոստիկանության և Միգրացիայի ծառայությունների հիմքով </t>
  </si>
  <si>
    <t>Ելակետ՝ չկա նման ծառայություն</t>
  </si>
  <si>
    <t>Թիրախ՝ 2021 1-ին կիսամյակ՝ Երևանում</t>
  </si>
  <si>
    <t xml:space="preserve">                2022 թ. 1-ին կիսամյակ՝ ամբողջ հանրապետությունում</t>
  </si>
  <si>
    <t xml:space="preserve">«Ոստիկանության մասին» և «Ոստիկանությունում ծառայության մասին» օրենքների փոփոխություն </t>
  </si>
  <si>
    <t>Պարեկային ոստիկանություն ծառայության կազմավորման իրավական հիմքերը ստեղծվել են, նախագիծը ներկայացվել է Վարչապետի աշխատակազմ</t>
  </si>
  <si>
    <t xml:space="preserve">Պարեկային ծառայության կանոնադրությունն ու կառուցվածքը հաստատելու և ծառայության գործարկման նպատակով այլ ենթաօրենսդրական ակտերի փոփոխություն, ներառյալ նոր ծառայություն ընդունելության կարգի հաստատում </t>
  </si>
  <si>
    <t>Ֆինանսավորում չի պահանջվում</t>
  </si>
  <si>
    <t>Պարեկային ծառայության կրթական չափորոշիչի հաստատում</t>
  </si>
  <si>
    <t>Պարեկային ծառայողների կրթության իրականացում</t>
  </si>
  <si>
    <t>Առկա ՏՏ համակարգերի ու անհրաժեշտ ցանցերի աուդիտ</t>
  </si>
  <si>
    <t>Առկա ՏՏ համակարգերի ու անհրաժեշտ ցանցերի աուդիտն իրականացվել է, արդյունքները տրամադրվել են ՀՀ Վարչապետի գրասենյակ</t>
  </si>
  <si>
    <t>Օպերատիվ կառավարման կենտրոնի փուլային ներդրում</t>
  </si>
  <si>
    <t>Օպերատիվ կառավարման կենտրոնի ներդրում մարզերում</t>
  </si>
  <si>
    <t>«Ոստիկանության զորքերի մասին» օրենքն ուժը կորցրած ճանաչելու և «Ոստիկանության մասին» օրենքում փոփոխություններ կատարելու մասին օրենքների նախագծերի փաթեթի մշակում</t>
  </si>
  <si>
    <t>«Ոստիկանության զորքերի մասին» օրենքն ուժը կորցրած ճանաչելու և «Ոստիկանության մասին» օրենքում փոփոխություններ կատարելու մասին օրենքների նախագծերի փաթեթը ներկայացվել է Վարչապետի աշխատակազմ</t>
  </si>
  <si>
    <t>Ոստիկանության զորքերի՝ իրենց վերապահված գործառույթների իրականացման համար ծառայողների թվաքանակի աուդիտ</t>
  </si>
  <si>
    <t xml:space="preserve">Ոստիկանության զորքերի առնվազն 30%-ը վերապատրաստվել են հասարակական կարգի պահպանության համար նախատեսված արդի տակտիկաների կիրառմամբ  </t>
  </si>
  <si>
    <t>Ոստիկանության կողմից նախապատրաստված նյութերի թվի և քրեական գործերի վիճակագրության ուսումնասիրություն</t>
  </si>
  <si>
    <t>Ուսումնասիրությունը ներկայացվել է Վարչապետի աշխատակազմ՝ հստակեցնելով այն հանցագործությունները, որոնցով ոստիկանության կողմից վարույթ է իրականցվում</t>
  </si>
  <si>
    <t>Հանցագործությունների քննության մեթոդաբանության մշակում</t>
  </si>
  <si>
    <t>Հանցագործությունների միասնական հանրային հասանելի տվյալների բազայի ստեղծում, որը կպարունակի դասակարգված տվյալներ</t>
  </si>
  <si>
    <t>Անձին  արգելանքի վերցնելու համապարփակ, միասնական էլեկտրոնային գրանցամատյանի ներդնում,որում արտացոլվում են ոստիկանության կողմից արգելանքի վերցնելու գործընթացի բոլոր փուլերն ու ասպեկտները՝ փաստացի բերման ենթարկելու պահից մինչև արգելանքի վերցված անձին մեկ այլ հաստատություն տեղափոխելը կամ ազատ արձակելը</t>
  </si>
  <si>
    <t>Խոշտանգումների մասին հաղորդումների ուղղորդող մեխանիզմների ներդնում</t>
  </si>
  <si>
    <t>Համայնքային ոստիկանության բաժանմունքների գործառութային և օրենսդրական աուդիտ</t>
  </si>
  <si>
    <t>Համայնքային ոստիկանների գործունեության վերաբերյալ աուդիտի արդյունքները և առաջարկությունները ներկայացվել են Վարչապետի աշխատակազմ</t>
  </si>
  <si>
    <t>Ոստիկանության պարեկային ծառայության կողմից համայնքային ոստիկանության գործառույթի իրականացում</t>
  </si>
  <si>
    <t xml:space="preserve">Սկզբնական աստիճան 2017թ -  29% (ամբողջական և մասնակի վստահության համախառն ցուցիչ), 2023թ – 40% </t>
  </si>
  <si>
    <t>Հաղորդակցության արշավներ՝ ուղղված ոստիկանության միջազգային իմիջի ու նոր ոստիկանության կերպարի բարձրացմանը</t>
  </si>
  <si>
    <t>Եվրոպոլի ու Եվրոջասթի հետ համագործակցության ակտիվացում</t>
  </si>
  <si>
    <t>Ապահովել միջազգային գործընկերների ներգրավումը բարեփոխումների գործընթացում</t>
  </si>
  <si>
    <t>Բարեփոխումներն իրականացվում են միջազգային գործընկերների համակարգված ներգրավվածությամբ:</t>
  </si>
  <si>
    <t>Ոստիկանության բարեփոխումների լրամշակման միջգերատեսչական աշխատանքային խմբի ձևավորում</t>
  </si>
  <si>
    <t>Ոստիկանության բարեփոխումների մշակման և իրականացման միջգերատեսչական խումբը ձևավորված է</t>
  </si>
  <si>
    <t>Ոստիկանության բարեփոխումների մշակման և իրականացման Համակարգող խորհրդի ձևավորում</t>
  </si>
  <si>
    <t xml:space="preserve">Հանրային վստահության մակարդակի և ոստիկանության միջոցառումների ազդեցության վերաբերյալ պարբերական հարցումների իրականացման մեթոդաբանության մշակում </t>
  </si>
  <si>
    <t xml:space="preserve">Օրենքով չարգելված միջոցներ </t>
  </si>
  <si>
    <t>Հանրային վստահության մակարդակի և ոստիկանության միջոցառումների ազդեցության վերաբերյալ պարբերական հարցումների իրականացում</t>
  </si>
  <si>
    <t xml:space="preserve">Ոստիկանության բարեփոխումների և միջոցառումների վերաբերյալ իրականացվել է տարեկան 2 հարցում </t>
  </si>
  <si>
    <t>Օրենքով չարգելված միջոցներ</t>
  </si>
  <si>
    <t>Բարեփոխումների ընթացքի վերաբերյալ կիսամյակային հաշվետվությունների ներկայացում Խորհրդին</t>
  </si>
  <si>
    <t>Ոստիկանության բարեփոխումների և միջոցառումների վերաբերյալ ներկայացվել է առնվազն 5 հաշվետվություն</t>
  </si>
  <si>
    <t>Բարեփոխումների ռազմավարական հաղորդակցության մշակում և իրականացում</t>
  </si>
  <si>
    <t>Հաղորդակցության արշավի իրականացում պարեկային ծառայության ներդրման մասով (թիրախ՝ Երևանի, ապա մարզերի  պարեկային ծառայության մասով)</t>
  </si>
  <si>
    <t>Աուդիտի եզրակացությունը՝ հետագա միջոցառումների առաջարկություններով ներկայացվել է Վարչապետի աշխատակազմ
Հիմքային՝ 0, 2022թ.՝ 1</t>
  </si>
  <si>
    <t>Պարեկային ծառայության կրթա
կան ծրագիրը հաստատվել է 
Հիմքային՝ 0, 2022թ.՝ 1
Ոստիկանության այլ ծառայությունների փոփոխված կրթական ծրագրերը հաստատվել են
Հիմքային՝ XX, 2022թ.՝ YY
Ենթաօրենսդրական ակտերը փոփոխվել են ու հաստատվել</t>
  </si>
  <si>
    <t>Դասախոսական կազմի համալրման գործընթացը հաստատվել է 
Հիմքային՝ 0, 2022թ.՝ 1
XX դասախոսներն ընտրվել են և իրականացնում են 6-ամսյա կրթական ծրագրի ուսուցումը 
Հիմքային՝ 0, 2022թ.՝ 1</t>
  </si>
  <si>
    <t>Վերապատրաստման ծրագիրը հաստատված է
Վերապատրաստումներ իրականացվել են
Հիմքային՝ 0, 2022թ.՝ 1</t>
  </si>
  <si>
    <t>Ոստիկանության ծառայողների վարձատրության և սոցիալական երաշխիքների համադրված իրավիճակային վերլուծությունը ներկայացվել է Վարչապետի աշխատակազմ
Ուսումնասիրության արդյունքներով առաջարկություններ են ներկայացվել Ոստիկանության տարեկան բյուջետային հայտերի շրջանակներում</t>
  </si>
  <si>
    <t>Ապահովվել է նոր նախարարության ստեղծման օրենսդրական հիմքը 
Հաստատվել է Նախարարության կանոնադրությունն ու կառուցվածքը
Ձևավորվել և գործում է ներքին գործերի նախարարությունը
Հիմքային՝ 0, 2022թ.՝ 1</t>
  </si>
  <si>
    <t>Պարեկային ծառայության կանոնադրությունն ու կառուցվածքը հաստատվել է,
Ընդունվել են անհրաժեշտ ենթաօրենսդրական ակտերը
Հիմքային՝ 0, 2022թ.՝ 1</t>
  </si>
  <si>
    <t>Կրթական չափորոշիչը հաստատվել է
Հիմքային՝ 0, 2022թ.՝ 1</t>
  </si>
  <si>
    <t>600 ծառայող պատրաստվել է- 2021թ. 1-ին կիսամյակ
1200 ծառայող պատրաստվել է- 2022թ. 1-ին կիսամյակ
1800 ծառայող պատրաստվել է- 2022թ. 2-րդ կիսամյակ</t>
  </si>
  <si>
    <t>Երևան – 2021թ. 1-ին կիսամյակ
Լոռի և Շիրակ – 2021թ. 2-րդ կիսամյակ
Ամբողջ հանրապետություն – 2022թ. 1-ին կիսամյակ</t>
  </si>
  <si>
    <t>Երևանի (հանրապետական) ՕԿԿ-ն գործարկվել է՝ ներառյալ տեխնիկական ու ծրագրային ապահովումն ու մասնագետների վերապատրաստումը:
Կատարվել են փոփոխություններ «Ոստիկանության մասին» և «Ոստիկանությունում ծառայության մասին» օրենքներում։ Փոփոխվել է ոստիկանության կանոնադրությունը՝ կառուցվածքի մասով, ինչպես նաև ընդունվել է պարեկային ոստիկանության կանոնադրությունը։ Գերատեսչական ակտերը համապատասխանեցվել են
Հիմքային՝ 0, 2022թ.՝ 1</t>
  </si>
  <si>
    <t>XX Մարզերում ՕԿԿ  տարածքային ստորաբաժանումները գործարկվել են՝  ներառյալ տեխնիկական ու ծրագրային ապահովումն ու մասնագետների վերապատրաստումը
Հիմքային՝ 0, 2022թ.՝ XX</t>
  </si>
  <si>
    <t>Ոստիկանության զորքերի՝ իրենց վերապահված գործառույթների իրականացման համար ծառայողների թվաքանակի աուդիտն իրականացվել և ներկայացվել է Վարչապետի աշխատակազմ
Հիմքային՝ 0, 2022թ.՝ 1</t>
  </si>
  <si>
    <t>Ոստիկանության զորքերի վերապատրաստում՝ հասարակական կարգի պահպանության համար նախատեսված արդի տակտիկաների և վերլուծական կանխատեսման մասնագիտական հնարավորությամբ</t>
  </si>
  <si>
    <t>Ոստիկանությունում դետեկտիվների ինստիտուտի ներդնում
-      Քրեական դատավարության օրենսգրքում ոստիկանության՝ նախաքննություն իրականացնելու լիազորության սահմանում
-      Ենթաօրենսդրական ակտերի համապատասխանեցում
-      Ծառայության նյութատեխնիկական ապահովում</t>
  </si>
  <si>
    <t>Կատարվել է ինստիտուտի ներդրման նպատակահարմարության ուսումնասիրություն և արդյունքները ներկայացվել են Վարչապետի աշխատակազմ
 Կատարվել են անհրաժեշտ օրենսդրական բազայի ապահովման փոփոխությունները
Ոստիկանության կազմում ներդրվել են օպերատիվ և քննչական գործառույթներ իրականացնող ծառայողների հաստիքները
Հիմքային՝ 0, 2022թ.՝ 1</t>
  </si>
  <si>
    <t>Կատարվել է միջազգային փորձի ուսումնասիրություն
Հանցագործությունների քննության մեթոդաբանությունը քննարկվել է բոլոր շահառուների հետ ու ներկայացվել ՀՀ վարչապետի աշխատակազմ
Հիմքային՝ 0, 2022թ.՝ 1</t>
  </si>
  <si>
    <t xml:space="preserve">Կատարվել է միջազգային փորձի ուսումնասիրություն
Մշակվել է տվյալների բազայի ձևավորման տեխնիկական առաջադրանքը
Ներդրվել է  հանցագործությունների միասնական հանրային հասանելի տվյալների բազա
Հիմքային՝ 0, 2022թ.՝ 1   </t>
  </si>
  <si>
    <t>Կատարվել է  անձին  արգելանքի վերցնելու համապարփակ, միասնական էլեկտրոնային գրանցամատյանի ներդրման նպատակահարմարությանն ուղղված ուսումնասիրություն և արդյունքները ներկայացվել են Վարչապետի աշխատակազմ:
Աձին  արգելանքի վերցնելու համապարփակ, միասնական էլեկտրոնային գրանցամատյանը ներդրվել է
Հիմքային՝ 0, 2022թ.՝ 1</t>
  </si>
  <si>
    <t>Կատարվել է  խոշտանգումների մասին հաղորդումների ուղղորդող մեխանիզմների ներդրման նպատակահարմարությանն ուղղված ուսումնասիրություն և արդյունքները ներկայացվել են Վարչապետի աշխատակազմ
Կատարվել են անհրաժեշտ օրենսդրական փոփոխությունները 
Ներդրվել են խոշտանգումների մասին հաղորդումների ուղղորդող մեխանիզմներ
Հիմքային՝ 0, 2022թ.՝ 1</t>
  </si>
  <si>
    <t>Պարեկային ոստիկանության կողմից համայնքային ոստիկանության գործառույթների իրականացման նպատակահարմարության ուսումնասիրությունը ներկայացվել է Վարչապետի աշխատակազմ
Օրենդրական փոփոխությունների նախագծերը ներկայացվել են Վարչապետի աշխատակազմ
Համայնքային ոստիկանության վերապատրաստման ծրագրերը վերանայվել են՝ եվրոպական լավագույն ստանդարտների տեսանկյունից
Համայնքային ոստիկանության գործառույթներ կատարող ծառայողների առնվազն 30%-ը հաջողությամբ անցել է հատուկ վերապատրաստման կուրս</t>
  </si>
  <si>
    <t>Հաղորդակցության արշավն իրականացվել է 
Հիմքային՝ 0, 2022թ.՝ 1</t>
  </si>
  <si>
    <t xml:space="preserve">Եվրոպոլի հետ կնքվել է աշխատանքային համագործակցության իրավական շրջանակը
Եվրոջասթի հետ մեկնարկել են համգործակցության համաձայնագրի բանակցությունները </t>
  </si>
  <si>
    <t>Ոստիկանության բարեփոխումների մշտադիտարկման և գնահատման Համակարգող խորհուրդը ձևավորված է
Իրականացվել է Համակարգող խորհրդի առնվազն 4 հանդիպում</t>
  </si>
  <si>
    <t>Հանրային վստահության մակարդակի և ոստիկանության միջոցառումների ազդեցության վերաբերյալ պարբերական հարցումների իրականացման մեթոդաբանությունը մշակվել է
Հիմքային՝ 0, 2022թ.՝ 1</t>
  </si>
  <si>
    <t>Ոստիկանության բարեփոխումների ռազմավարության
ԳՈՐԾՈՂՈՒԹՅՈՒՆՆԵՐԻ ԾՐԱԳԻՐ
 (2020-2022թթ.)</t>
  </si>
  <si>
    <r>
      <t xml:space="preserve">Խնդիր՝ </t>
    </r>
    <r>
      <rPr>
        <sz val="11"/>
        <color theme="1"/>
        <rFont val="GHEA Grapalat"/>
        <family val="3"/>
      </rPr>
      <t xml:space="preserve"> Պետության հարկադրանք կիրառող, օրվա իշխանությանը ծառայող մարմնի իմիջի փոխություն հանրությանը ծառայող, վստահելի և հարգանքի արժանի հանրային ծառայության տեսակի</t>
    </r>
  </si>
  <si>
    <r>
      <t xml:space="preserve">Թիրախ՝ </t>
    </r>
    <r>
      <rPr>
        <sz val="11"/>
        <color rgb="FF222222"/>
        <rFont val="GHEA Grapalat"/>
        <family val="3"/>
      </rPr>
      <t xml:space="preserve"> Ոստիկանության</t>
    </r>
    <r>
      <rPr>
        <sz val="11"/>
        <color rgb="FF222222"/>
        <rFont val="Calibri"/>
        <family val="2"/>
        <charset val="204"/>
        <scheme val="minor"/>
      </rPr>
      <t> </t>
    </r>
    <r>
      <rPr>
        <sz val="11"/>
        <color rgb="FF222222"/>
        <rFont val="GHEA Grapalat"/>
        <family val="3"/>
      </rPr>
      <t>ծառայության</t>
    </r>
    <r>
      <rPr>
        <sz val="11"/>
        <color rgb="FF222222"/>
        <rFont val="Calibri"/>
        <family val="2"/>
        <charset val="204"/>
        <scheme val="minor"/>
      </rPr>
      <t> </t>
    </r>
    <r>
      <rPr>
        <sz val="11"/>
        <color rgb="FF222222"/>
        <rFont val="GHEA Grapalat"/>
        <family val="3"/>
      </rPr>
      <t>հանդեպ</t>
    </r>
    <r>
      <rPr>
        <sz val="11"/>
        <color rgb="FF222222"/>
        <rFont val="Calibri"/>
        <family val="2"/>
        <charset val="204"/>
        <scheme val="minor"/>
      </rPr>
      <t> </t>
    </r>
    <r>
      <rPr>
        <sz val="11"/>
        <color rgb="FF222222"/>
        <rFont val="GHEA Grapalat"/>
        <family val="3"/>
      </rPr>
      <t>վստահության</t>
    </r>
    <r>
      <rPr>
        <sz val="11"/>
        <color rgb="FF222222"/>
        <rFont val="Calibri"/>
        <family val="2"/>
        <charset val="204"/>
        <scheme val="minor"/>
      </rPr>
      <t> </t>
    </r>
    <r>
      <rPr>
        <sz val="11"/>
        <color rgb="FF222222"/>
        <rFont val="GHEA Grapalat"/>
        <family val="3"/>
      </rPr>
      <t>բարձրացում</t>
    </r>
  </si>
  <si>
    <r>
      <t>Ուղղություն՝</t>
    </r>
    <r>
      <rPr>
        <b/>
        <sz val="11"/>
        <color theme="1"/>
        <rFont val="GHEA Grapalat"/>
        <family val="3"/>
      </rPr>
      <t xml:space="preserve"> Ոստիկանության կառուցվածքային մոդել</t>
    </r>
  </si>
  <si>
    <r>
      <t>Խնդիր՝</t>
    </r>
    <r>
      <rPr>
        <b/>
        <sz val="11"/>
        <color theme="1"/>
        <rFont val="GHEA Grapalat"/>
        <family val="3"/>
      </rPr>
      <t xml:space="preserve"> Ցածր արդյունավետություն ապահովող կառուցվածք</t>
    </r>
  </si>
  <si>
    <r>
      <t>Թիրախ՝</t>
    </r>
    <r>
      <rPr>
        <b/>
        <sz val="11"/>
        <color theme="1"/>
        <rFont val="GHEA Grapalat"/>
        <family val="3"/>
      </rPr>
      <t xml:space="preserve"> Քաղաքական պատասխանատվությամբ և ոլորտի քաղաքականության մշակման ու իրականացման գործառույթներով օժտված հաշվետու մարմին </t>
    </r>
  </si>
  <si>
    <r>
      <t>ՀՀ</t>
    </r>
    <r>
      <rPr>
        <sz val="11"/>
        <color theme="1"/>
        <rFont val="Calibri"/>
        <family val="2"/>
        <charset val="204"/>
        <scheme val="minor"/>
      </rPr>
      <t> </t>
    </r>
    <r>
      <rPr>
        <sz val="11"/>
        <color theme="1"/>
        <rFont val="GHEA Grapalat"/>
        <family val="3"/>
      </rPr>
      <t>արդարադատության նախարարություն</t>
    </r>
  </si>
  <si>
    <r>
      <t>Խնդիր՝</t>
    </r>
    <r>
      <rPr>
        <b/>
        <sz val="11"/>
        <color theme="1"/>
        <rFont val="GHEA Grapalat"/>
        <family val="3"/>
      </rPr>
      <t xml:space="preserve"> </t>
    </r>
    <r>
      <rPr>
        <sz val="11"/>
        <color theme="1"/>
        <rFont val="GHEA Grapalat"/>
        <family val="3"/>
      </rPr>
      <t xml:space="preserve"> Ոստիկանության արտաքին ծառայության և ռեսուրսների օգտագործման  անարդյունավետություն   </t>
    </r>
  </si>
  <si>
    <r>
      <t xml:space="preserve">Թիրախ՝ </t>
    </r>
    <r>
      <rPr>
        <b/>
        <sz val="11"/>
        <color theme="1"/>
        <rFont val="GHEA Grapalat"/>
        <family val="3"/>
      </rPr>
      <t>Հարգանքի արժանի</t>
    </r>
    <r>
      <rPr>
        <b/>
        <sz val="11"/>
        <color rgb="FFC00000"/>
        <rFont val="GHEA Grapalat"/>
        <family val="3"/>
      </rPr>
      <t xml:space="preserve"> </t>
    </r>
    <r>
      <rPr>
        <b/>
        <sz val="11"/>
        <color theme="1"/>
        <rFont val="GHEA Grapalat"/>
        <family val="3"/>
      </rPr>
      <t xml:space="preserve">ոստիկանության արտաքին ծառայության՝ պարեկային ոստիակնության ստեղծում </t>
    </r>
  </si>
  <si>
    <r>
      <t>ՀՀ</t>
    </r>
    <r>
      <rPr>
        <sz val="11"/>
        <color theme="1"/>
        <rFont val="Calibri"/>
        <family val="2"/>
        <charset val="204"/>
        <scheme val="minor"/>
      </rPr>
      <t> </t>
    </r>
    <r>
      <rPr>
        <sz val="11"/>
        <color theme="1"/>
        <rFont val="GHEA Grapalat"/>
        <family val="3"/>
      </rPr>
      <t>արդարադատության նախարարություն
ՀՀ կրթության, գիտության, սպորտի և երիտասարդության հարցերի նախարություն</t>
    </r>
  </si>
  <si>
    <r>
      <t>Խնդիր՝</t>
    </r>
    <r>
      <rPr>
        <b/>
        <sz val="11"/>
        <color theme="1"/>
        <rFont val="GHEA Grapalat"/>
        <family val="3"/>
      </rPr>
      <t xml:space="preserve"> </t>
    </r>
    <r>
      <rPr>
        <sz val="11"/>
        <color theme="1"/>
        <rFont val="GHEA Grapalat"/>
        <family val="3"/>
      </rPr>
      <t xml:space="preserve"> Ոստիկանության զորքերի կարգավիճակի, զորքերի գործնական ներգրավվածության ու զբաղվածության անհստակություն  </t>
    </r>
  </si>
  <si>
    <r>
      <t xml:space="preserve">Թիրախ՝ </t>
    </r>
    <r>
      <rPr>
        <b/>
        <sz val="11"/>
        <color theme="1"/>
        <rFont val="GHEA Grapalat"/>
        <family val="3"/>
      </rPr>
      <t xml:space="preserve">Քաղաքացիական վերահսկողության տակ գտնվող և մասնագիտացված ոստիկանության զորքերի ապահովում </t>
    </r>
  </si>
  <si>
    <r>
      <t>Ուղղություն՝</t>
    </r>
    <r>
      <rPr>
        <b/>
        <sz val="11"/>
        <color theme="1"/>
        <rFont val="GHEA Grapalat"/>
        <family val="3"/>
      </rPr>
      <t xml:space="preserve"> Քրեական ոստիկանության զարգացում</t>
    </r>
  </si>
  <si>
    <r>
      <t>Խնդիր՝</t>
    </r>
    <r>
      <rPr>
        <b/>
        <sz val="11"/>
        <color theme="1"/>
        <rFont val="GHEA Grapalat"/>
        <family val="3"/>
      </rPr>
      <t xml:space="preserve"> Հանցագործության դեպքերի արձագանքման և քրեական գործերի քննության ընթացքում ոստիկանության դերի արհեստական նվազեցում և ռեսուրսների ոչ արդյունավետ օգտագործում</t>
    </r>
  </si>
  <si>
    <r>
      <t>Թիրախ՝</t>
    </r>
    <r>
      <rPr>
        <b/>
        <sz val="11"/>
        <color theme="1"/>
        <rFont val="GHEA Grapalat"/>
        <family val="3"/>
      </rPr>
      <t xml:space="preserve"> Հանցագործությունների կանխման ու քրեական գործերի քննության արդյունավետության բարձրացում քրեական ոստիկանության առավել արդյունավետ ներգրավվածության միջոցով</t>
    </r>
  </si>
  <si>
    <r>
      <t>Ուղղություն՝</t>
    </r>
    <r>
      <rPr>
        <b/>
        <sz val="11"/>
        <color theme="1"/>
        <rFont val="GHEA Grapalat"/>
        <family val="3"/>
      </rPr>
      <t xml:space="preserve"> Համայնքային ոստիկանության վերաիմաստավորում</t>
    </r>
  </si>
  <si>
    <r>
      <t>Խնդիր՝</t>
    </r>
    <r>
      <rPr>
        <b/>
        <sz val="11"/>
        <color theme="1"/>
        <rFont val="GHEA Grapalat"/>
        <family val="3"/>
      </rPr>
      <t xml:space="preserve"> Համայնքային ոստիկանների կողմից ինստիտուտին ոչ վերաբերելի և այլ մարմիններին հատուկ գործառույթների իրականացում</t>
    </r>
  </si>
  <si>
    <r>
      <t>Թիրախ՝</t>
    </r>
    <r>
      <rPr>
        <b/>
        <sz val="11"/>
        <color theme="1"/>
        <rFont val="GHEA Grapalat"/>
        <family val="3"/>
      </rPr>
      <t xml:space="preserve"> Գործառութային իմաստով համայնքային ոստիկանության կայացում</t>
    </r>
  </si>
  <si>
    <r>
      <t>ՀՀ</t>
    </r>
    <r>
      <rPr>
        <sz val="11"/>
        <color theme="1"/>
        <rFont val="Calibri"/>
        <family val="2"/>
        <charset val="204"/>
        <scheme val="minor"/>
      </rPr>
      <t> </t>
    </r>
    <r>
      <rPr>
        <sz val="11"/>
        <color theme="1"/>
        <rFont val="GHEA Grapalat"/>
        <family val="3"/>
      </rPr>
      <t xml:space="preserve">արդարադատության նախարարություն </t>
    </r>
  </si>
  <si>
    <r>
      <t>Ուղղություն՝</t>
    </r>
    <r>
      <rPr>
        <b/>
        <sz val="11"/>
        <color theme="1"/>
        <rFont val="GHEA Grapalat"/>
        <family val="3"/>
      </rPr>
      <t xml:space="preserve">    Ոստիկանություն ռեֆորմի իրականացման ընթացք և միջազգային համագործակցություն</t>
    </r>
  </si>
  <si>
    <r>
      <t>Խնդիր՝</t>
    </r>
    <r>
      <rPr>
        <b/>
        <sz val="11"/>
        <color theme="1"/>
        <rFont val="GHEA Grapalat"/>
        <family val="3"/>
      </rPr>
      <t xml:space="preserve"> </t>
    </r>
    <r>
      <rPr>
        <sz val="11"/>
        <color theme="1"/>
        <rFont val="GHEA Grapalat"/>
        <family val="3"/>
      </rPr>
      <t xml:space="preserve"> Ոստիկանության՝ ոչ լիարժեք մասնակցություն/անդամակցություն/համագործակցություն միջազգային հարթակներում; ոստիկանության միջազգային իմիջի ու միջազգային գնահատումների ոչ բավարար մակարդակ</t>
    </r>
  </si>
  <si>
    <r>
      <t xml:space="preserve">Թիրախ՝ </t>
    </r>
    <r>
      <rPr>
        <sz val="11"/>
        <color theme="1"/>
        <rFont val="GHEA Grapalat"/>
        <family val="3"/>
      </rPr>
      <t xml:space="preserve">Կովկասյան բարոմետրի հարցումների արդյունքներով ՀՀ ոստիկանության նկատմամբ վստահության աստիճանի բարձրացում </t>
    </r>
  </si>
  <si>
    <r>
      <t>Ուղղություն՝</t>
    </r>
    <r>
      <rPr>
        <b/>
        <sz val="11"/>
        <color theme="1"/>
        <rFont val="GHEA Grapalat"/>
        <family val="3"/>
      </rPr>
      <t xml:space="preserve"> Բարեփոխումների իրականացման ներառականություն, գործողությունների մշտադիտարկում և համակարգում</t>
    </r>
  </si>
  <si>
    <r>
      <t>Խնդիր՝</t>
    </r>
    <r>
      <rPr>
        <b/>
        <sz val="11"/>
        <color theme="1"/>
        <rFont val="GHEA Grapalat"/>
        <family val="3"/>
      </rPr>
      <t xml:space="preserve"> </t>
    </r>
    <r>
      <rPr>
        <sz val="11"/>
        <color theme="1"/>
        <rFont val="GHEA Grapalat"/>
        <family val="3"/>
      </rPr>
      <t xml:space="preserve"> </t>
    </r>
    <r>
      <rPr>
        <b/>
        <sz val="11"/>
        <color theme="1"/>
        <rFont val="GHEA Grapalat"/>
        <family val="3"/>
      </rPr>
      <t>Ոստիկանության գործողությունների մշտադիտարկման ու համակարգման համապարփակ համակարգի բացակայություն, ոչ մասնակցային ու ներառական գործընթացների առկայություն</t>
    </r>
  </si>
  <si>
    <r>
      <t xml:space="preserve">Թիրախ՝ </t>
    </r>
    <r>
      <rPr>
        <b/>
        <sz val="11"/>
        <color theme="1"/>
        <rFont val="GHEA Grapalat"/>
        <family val="3"/>
      </rPr>
      <t>Բարեփոխումների իրականացումը մշտադիտարկող և գնահատող բազմաշահառու խորհրդի կողմից գործընթացի պատշաճ համակարգում</t>
    </r>
    <r>
      <rPr>
        <b/>
        <sz val="11"/>
        <color rgb="FFC00000"/>
        <rFont val="GHEA Grapalat"/>
        <family val="3"/>
      </rPr>
      <t xml:space="preserve"> </t>
    </r>
  </si>
  <si>
    <r>
      <t>Ուղղություն՝</t>
    </r>
    <r>
      <rPr>
        <b/>
        <sz val="11"/>
        <color theme="1"/>
        <rFont val="GHEA Grapalat"/>
        <family val="3"/>
      </rPr>
      <t xml:space="preserve"> Ռազմավարական հաղորդակցություն</t>
    </r>
  </si>
  <si>
    <r>
      <t>Խնդիր՝</t>
    </r>
    <r>
      <rPr>
        <b/>
        <sz val="11"/>
        <color theme="1"/>
        <rFont val="GHEA Grapalat"/>
        <family val="3"/>
      </rPr>
      <t>Ոստիկանության մասին հանրային կարծիքի և վստահության խնդիրներ</t>
    </r>
  </si>
  <si>
    <r>
      <t>Թիրախ՝</t>
    </r>
    <r>
      <rPr>
        <b/>
        <sz val="11"/>
        <color theme="1"/>
        <rFont val="GHEA Grapalat"/>
        <family val="3"/>
      </rPr>
      <t>Ոստիկանության նկատմամբ վերաբերմունքի դրական փոփոխություն՝ բարեփոխումների միջոցով բարձր մասնագիտական և արժեքային կադրերի ներգրավման և ծառայության մասնագիտացման բարձրացման միջոցով</t>
    </r>
  </si>
  <si>
    <t xml:space="preserve">
</t>
  </si>
  <si>
    <t>Հանրային կարծիքի հարցում. ելակետային 2019թ.՝ 4.4, ըստ Համաշխարհային բանկի Գլոբալ մրցունակության ցուցիչի,թիրախ 2023թ – առնվազն՝ 6</t>
  </si>
  <si>
    <t xml:space="preserve">Ռազմավարական հաղորդակցության ծրագիրը մշակվել և ներկայացվել է Վարչապետի աշխատակազմ
Հիմքային՝ 0, 2022թ.՝ 1
</t>
  </si>
  <si>
    <t>Պարեկային ծառայության և Օպերատիվ կառավարման կենտրոնի ստեղծման գործողությունների ծրագիր</t>
  </si>
  <si>
    <t>N</t>
  </si>
  <si>
    <t>Ժամկետ 2020-ին[1]</t>
  </si>
  <si>
    <t>Նշում/Կարիք</t>
  </si>
  <si>
    <t>Պարեկային ծառայողների ընդունելություն և պատրաստում</t>
  </si>
  <si>
    <t>ՊԾ գործառույթների վերջնականացում</t>
  </si>
  <si>
    <t>Փետրվար 2-րդ շաբաթ</t>
  </si>
  <si>
    <t xml:space="preserve">Հասարակական կարգի ու հավաքների ընթացքում հստակեցնել ներգրավման աստիճանը, ինչ քրեական բնույթի արարքների ինչ խմբի հայտնաբերման դեպքում որոնք են  իրավասության սահմանները, </t>
  </si>
  <si>
    <t>Ոստիկանություն</t>
  </si>
  <si>
    <t>Ոստիկանությունում ծառայության մասին օրենքի և հարակից օրենսդրության փոփոխություն</t>
  </si>
  <si>
    <t>Փետրվար 3-րդ շաբաթ</t>
  </si>
  <si>
    <t>Կրթության մասին օրենսդրության փոփոխություն, ըստ որի ոստիկանությունը մասնագիտություն կսահմանվի</t>
  </si>
  <si>
    <t>ԱՆ, Ոստիկանություն</t>
  </si>
  <si>
    <t>Ստանդարտ օպերացիոն ընթացակարգի (SOP)  նախագծում՝ ըստ որոշված ֆունկցիաների</t>
  </si>
  <si>
    <t>Փետրվար 4-րդ-մարտ 1 շաբաթ</t>
  </si>
  <si>
    <t>Ուկրաինական SOP-ների օրինակ</t>
  </si>
  <si>
    <t>ԱՆ, Ոստիկանության կրթահամալիր</t>
  </si>
  <si>
    <t>Հաղորդակցության ռազմավարական մեսիջների, թիրախային խմբերի ու փոփոխությունների հիմնական դեմքերի որոշում</t>
  </si>
  <si>
    <t>Մեդիա և հաղորդակցության թիմ, սոցմեդիայի  (SMM) մասնագետներ</t>
  </si>
  <si>
    <t>ԱՆ</t>
  </si>
  <si>
    <t>Պարեկների թվի որոշում՝ ըստ տարածքների, բնակչության թվի, առևտրային օբյեկտների խտության և հանցավորության ռիսկերի</t>
  </si>
  <si>
    <t xml:space="preserve">Ըստ փորձագետի 150 ավտո  (2 պարեկով) Երևան, </t>
  </si>
  <si>
    <t>Ընդունելության պատրաստում</t>
  </si>
  <si>
    <t>Փետրվար 3-րդ շաբաթ – մարտի 1-ին շաբաթ</t>
  </si>
  <si>
    <r>
      <t>-</t>
    </r>
    <r>
      <rPr>
        <sz val="7"/>
        <color theme="1"/>
        <rFont val="Times New Roman"/>
        <family val="1"/>
        <charset val="204"/>
      </rPr>
      <t xml:space="preserve">        </t>
    </r>
    <r>
      <rPr>
        <sz val="12"/>
        <color theme="1"/>
        <rFont val="Sylfaen"/>
        <family val="1"/>
        <charset val="204"/>
      </rPr>
      <t>Ընդունելության չափանիշների հստակեցում</t>
    </r>
  </si>
  <si>
    <t xml:space="preserve">Օր. Հասակի հետ կապված խտրական մոտեցում է մեր չափանիշները ըստ փորձագետի </t>
  </si>
  <si>
    <r>
      <t>-</t>
    </r>
    <r>
      <rPr>
        <sz val="7"/>
        <color theme="1"/>
        <rFont val="Times New Roman"/>
        <family val="1"/>
        <charset val="204"/>
      </rPr>
      <t xml:space="preserve">        </t>
    </r>
    <r>
      <rPr>
        <sz val="12"/>
        <color theme="1"/>
        <rFont val="Sylfaen"/>
        <family val="1"/>
        <charset val="204"/>
      </rPr>
      <t>Ֆիզիկական պատրաստվածության ստուգման չափանիշների որոշում</t>
    </r>
  </si>
  <si>
    <t>Ոստիկանության կրթահամալիր</t>
  </si>
  <si>
    <r>
      <t>-</t>
    </r>
    <r>
      <rPr>
        <sz val="7"/>
        <color theme="1"/>
        <rFont val="Times New Roman"/>
        <family val="1"/>
        <charset val="204"/>
      </rPr>
      <t xml:space="preserve">        </t>
    </r>
    <r>
      <rPr>
        <sz val="12"/>
        <color theme="1"/>
        <rFont val="Sylfaen"/>
        <family val="1"/>
        <charset val="204"/>
      </rPr>
      <t>Առողջության ստուգման խիստ ընթացակարգ ու վերահսկողության մեխանիզմ</t>
    </r>
  </si>
  <si>
    <t>Ամենամեծ հովանավորչությունը այս փուլում կարող է լինել</t>
  </si>
  <si>
    <r>
      <t>-</t>
    </r>
    <r>
      <rPr>
        <sz val="7"/>
        <color theme="1"/>
        <rFont val="Times New Roman"/>
        <family val="1"/>
        <charset val="204"/>
      </rPr>
      <t xml:space="preserve">        </t>
    </r>
    <r>
      <rPr>
        <sz val="12"/>
        <color theme="1"/>
        <rFont val="Sylfaen"/>
        <family val="1"/>
        <charset val="204"/>
      </rPr>
      <t>Հիմնական հարցաշարերի պատրաստում  (տեսական ու տակտիկական հարցեր)</t>
    </r>
  </si>
  <si>
    <t>Փետրվար 3-մարտ 1-ին շաբաթ</t>
  </si>
  <si>
    <t xml:space="preserve">Տեսական հարցերի մեջ օրենսդրության հարցերը կարող են լինել 10 %-ից ոչ ավել </t>
  </si>
  <si>
    <t>Ոստիկանության կրթահամալիր, ԱՆ</t>
  </si>
  <si>
    <r>
      <t>-</t>
    </r>
    <r>
      <rPr>
        <sz val="7"/>
        <color theme="1"/>
        <rFont val="Times New Roman"/>
        <family val="1"/>
        <charset val="204"/>
      </rPr>
      <t xml:space="preserve">        </t>
    </r>
    <r>
      <rPr>
        <sz val="12"/>
        <color theme="1"/>
        <rFont val="Sylfaen"/>
        <family val="1"/>
        <charset val="204"/>
      </rPr>
      <t>Ընդհանուր հմտությունների տեստի մշակում (հաղորդակցության և այլ հմտություններ)</t>
    </r>
  </si>
  <si>
    <t>Ուկրաինական և վրացական օրինակները</t>
  </si>
  <si>
    <r>
      <t>-</t>
    </r>
    <r>
      <rPr>
        <sz val="7"/>
        <color theme="1"/>
        <rFont val="Times New Roman"/>
        <family val="1"/>
        <charset val="204"/>
      </rPr>
      <t xml:space="preserve">        </t>
    </r>
    <r>
      <rPr>
        <sz val="12"/>
        <color theme="1"/>
        <rFont val="Sylfaen"/>
        <family val="1"/>
        <charset val="204"/>
      </rPr>
      <t>Հոգեբանական տեստերի ձևավորում</t>
    </r>
  </si>
  <si>
    <r>
      <t xml:space="preserve">MMPI- ի տեստեր, INL-ը կարող է գնել, հեղինակային իրավունքի օբյեկտ է, կարող ենք ընտրել ինչ տևողության, </t>
    </r>
    <r>
      <rPr>
        <b/>
        <sz val="12"/>
        <color theme="1"/>
        <rFont val="Sylfaen"/>
        <family val="1"/>
        <charset val="204"/>
      </rPr>
      <t>ավտոմատ հարցաշար է</t>
    </r>
    <r>
      <rPr>
        <sz val="12"/>
        <color theme="1"/>
        <rFont val="Sylfaen"/>
        <family val="1"/>
        <charset val="204"/>
      </rPr>
      <t>, համակարգչով իրականացվող, նաև հաջորդ փուլի համար տեղեկատվություն կտա (բարեվարքության, առաջնորդության, պատասխանատվության հարցերին դիմորդի վերաբերմունքի մասին)</t>
    </r>
  </si>
  <si>
    <r>
      <t>-</t>
    </r>
    <r>
      <rPr>
        <sz val="7"/>
        <color theme="1"/>
        <rFont val="Times New Roman"/>
        <family val="1"/>
        <charset val="204"/>
      </rPr>
      <t xml:space="preserve">        </t>
    </r>
    <r>
      <rPr>
        <sz val="12"/>
        <color theme="1"/>
        <rFont val="Sylfaen"/>
        <family val="1"/>
        <charset val="204"/>
      </rPr>
      <t>Հարցազրույցի հարցերի ձևավորում և պատասխանների հնարավոր տարբերակների ձևավորում ու աստիճանավորում
Առավելագույն տևողության որոշում</t>
    </r>
  </si>
  <si>
    <t>Հարցազրուցավարները պետք է սահմանված ձևաթղթի մեջ պատասխանների հնարավոր տարբերակների խմբի համար նախատեսված գնահատականը ընտրեն</t>
  </si>
  <si>
    <r>
      <t>-</t>
    </r>
    <r>
      <rPr>
        <sz val="7"/>
        <color theme="1"/>
        <rFont val="Times New Roman"/>
        <family val="1"/>
        <charset val="204"/>
      </rPr>
      <t xml:space="preserve">        </t>
    </r>
    <r>
      <rPr>
        <sz val="12"/>
        <color theme="1"/>
        <rFont val="Sylfaen"/>
        <family val="1"/>
        <charset val="204"/>
      </rPr>
      <t>Հարցազրուցավարների պանելների (կախված թե քանի պարեկ ենք թիրախավորում և ժամկետները) ձևավորում</t>
    </r>
  </si>
  <si>
    <t>Մարտ 2-րդ շաբաթ</t>
  </si>
  <si>
    <t>Ոստիկանություն, ԱՆ, հոգեբան կամ հոգեբույժ, ՔՀԿ-ներ, որպես դիտորդ ոստիկանության ընտրված ցածր ու միջին մակարդակի ծառայողների ներգրավում, ովքեր կարող են հարցեր տալ, սակայն չեն գնահատում</t>
  </si>
  <si>
    <r>
      <t>-</t>
    </r>
    <r>
      <rPr>
        <sz val="7"/>
        <color theme="1"/>
        <rFont val="Times New Roman"/>
        <family val="1"/>
        <charset val="204"/>
      </rPr>
      <t xml:space="preserve">        </t>
    </r>
    <r>
      <rPr>
        <sz val="12"/>
        <color theme="1"/>
        <rFont val="Sylfaen"/>
        <family val="1"/>
        <charset val="204"/>
      </rPr>
      <t>Բողոքարկման հանձնաժողովի ձևավորում</t>
    </r>
  </si>
  <si>
    <r>
      <t>-</t>
    </r>
    <r>
      <rPr>
        <sz val="7"/>
        <color theme="1"/>
        <rFont val="Times New Roman"/>
        <family val="1"/>
        <charset val="204"/>
      </rPr>
      <t xml:space="preserve">        </t>
    </r>
    <r>
      <rPr>
        <sz val="12"/>
        <color theme="1"/>
        <rFont val="Sylfaen"/>
        <family val="1"/>
        <charset val="204"/>
      </rPr>
      <t>Դիմումների հայտարարության ու ձևաթղթերի մշակում</t>
    </r>
  </si>
  <si>
    <t>Մարտ 3-րդ շաբաթ</t>
  </si>
  <si>
    <r>
      <t>-</t>
    </r>
    <r>
      <rPr>
        <sz val="7"/>
        <color theme="1"/>
        <rFont val="Times New Roman"/>
        <family val="1"/>
        <charset val="204"/>
      </rPr>
      <t xml:space="preserve">        </t>
    </r>
    <r>
      <rPr>
        <sz val="12"/>
        <color theme="1"/>
        <rFont val="Sylfaen"/>
        <family val="1"/>
        <charset val="204"/>
      </rPr>
      <t>Ընդունելության պայմանների ապահովում (շենք, կահավորում, նվազագույն պայմաններ)</t>
    </r>
  </si>
  <si>
    <r>
      <t>-</t>
    </r>
    <r>
      <rPr>
        <sz val="7"/>
        <color theme="1"/>
        <rFont val="Times New Roman"/>
        <family val="1"/>
        <charset val="204"/>
      </rPr>
      <t xml:space="preserve">        </t>
    </r>
    <r>
      <rPr>
        <sz val="12"/>
        <color theme="1"/>
        <rFont val="Sylfaen"/>
        <family val="1"/>
        <charset val="204"/>
      </rPr>
      <t>Փոքրիկ աջակցող կամավորների թիմի ձևավորում դիմումների ընդունելության վայրում</t>
    </r>
  </si>
  <si>
    <r>
      <t>-</t>
    </r>
    <r>
      <rPr>
        <sz val="7"/>
        <color theme="1"/>
        <rFont val="Times New Roman"/>
        <family val="1"/>
        <charset val="204"/>
      </rPr>
      <t xml:space="preserve">        </t>
    </r>
    <r>
      <rPr>
        <sz val="12"/>
        <color theme="1"/>
        <rFont val="Sylfaen"/>
        <family val="1"/>
        <charset val="204"/>
      </rPr>
      <t>Հարցերի ու բողոքների հեռախոսագծի ապահովում, կամավորների ներգրավմամբ փոքրիկ թիմի պատրաստում, FAQ-ի ապահովում</t>
    </r>
  </si>
  <si>
    <t>Մարտ 4-րդ շաբաթ</t>
  </si>
  <si>
    <r>
      <t>-</t>
    </r>
    <r>
      <rPr>
        <sz val="7"/>
        <color theme="1"/>
        <rFont val="Times New Roman"/>
        <family val="1"/>
        <charset val="204"/>
      </rPr>
      <t xml:space="preserve">        </t>
    </r>
    <r>
      <rPr>
        <sz val="12"/>
        <color theme="1"/>
        <rFont val="Sylfaen"/>
        <family val="1"/>
        <charset val="204"/>
      </rPr>
      <t>Դասախոսների ընտրություն</t>
    </r>
  </si>
  <si>
    <t>Փետրվար 4-րդ շաբաթ</t>
  </si>
  <si>
    <t>Ցանկալի է մրցույթի ձևով անել – կուրիկուլաները գրելու առաջադրանքով</t>
  </si>
  <si>
    <r>
      <t>-</t>
    </r>
    <r>
      <rPr>
        <sz val="7"/>
        <color theme="1"/>
        <rFont val="Times New Roman"/>
        <family val="1"/>
        <charset val="204"/>
      </rPr>
      <t xml:space="preserve">        </t>
    </r>
    <r>
      <rPr>
        <sz val="12"/>
        <color theme="1"/>
        <rFont val="Sylfaen"/>
        <family val="1"/>
        <charset val="204"/>
      </rPr>
      <t>Ընտրված դասախոսների կողմից ուսումնական նյութերի մշակում՝ հիմք ընդունելով ՊԾ հիմնական գործառույթները և մշակված SOP-ները</t>
    </r>
  </si>
  <si>
    <t>Մարտ 3-4-րդ շաբաթ</t>
  </si>
  <si>
    <r>
      <t>-</t>
    </r>
    <r>
      <rPr>
        <sz val="7"/>
        <color theme="1"/>
        <rFont val="Times New Roman"/>
        <family val="1"/>
        <charset val="204"/>
      </rPr>
      <t xml:space="preserve">        </t>
    </r>
    <r>
      <rPr>
        <sz val="12"/>
        <color theme="1"/>
        <rFont val="Sylfaen"/>
        <family val="1"/>
        <charset val="204"/>
      </rPr>
      <t>Դիմորդների հոսքերի մաքսիմալ թվին համապատասխան շենքային ու կեցության պայմանների ապահովման հարց</t>
    </r>
  </si>
  <si>
    <t>Մարտ-Ապրիլ</t>
  </si>
  <si>
    <t>Ընդունելություն</t>
  </si>
  <si>
    <t>Ապրիլ - մայիս</t>
  </si>
  <si>
    <r>
      <t>-</t>
    </r>
    <r>
      <rPr>
        <sz val="7"/>
        <color theme="1"/>
        <rFont val="Times New Roman"/>
        <family val="1"/>
        <charset val="204"/>
      </rPr>
      <t xml:space="preserve">        </t>
    </r>
    <r>
      <rPr>
        <sz val="12"/>
        <color theme="1"/>
        <rFont val="Sylfaen"/>
        <family val="1"/>
        <charset val="204"/>
      </rPr>
      <t>Հայտարարություն դիմումների համար
Դիմումների ընդունելության ժամկետ</t>
    </r>
  </si>
  <si>
    <t>Ապրիլ 1-3-րդ շաբաթ</t>
  </si>
  <si>
    <r>
      <t>-</t>
    </r>
    <r>
      <rPr>
        <sz val="7"/>
        <color theme="1"/>
        <rFont val="Times New Roman"/>
        <family val="1"/>
        <charset val="204"/>
      </rPr>
      <t xml:space="preserve">        </t>
    </r>
    <r>
      <rPr>
        <sz val="12"/>
        <color theme="1"/>
        <rFont val="Sylfaen"/>
        <family val="1"/>
        <charset val="204"/>
      </rPr>
      <t>Դիմումների ֆորմալ (փաստաթղթային) ստուգում</t>
    </r>
  </si>
  <si>
    <t>Ապրիլ 3-4-րդ շաբաթ</t>
  </si>
  <si>
    <t>Ըստ ընդունելության պահանջների</t>
  </si>
  <si>
    <r>
      <t>-</t>
    </r>
    <r>
      <rPr>
        <sz val="7"/>
        <color theme="1"/>
        <rFont val="Times New Roman"/>
        <family val="1"/>
        <charset val="204"/>
      </rPr>
      <t xml:space="preserve">        </t>
    </r>
    <r>
      <rPr>
        <sz val="12"/>
        <color theme="1"/>
        <rFont val="Sylfaen"/>
        <family val="1"/>
        <charset val="204"/>
      </rPr>
      <t>Քննությունների կազմակերպում
(տեսական, թեստ, հմտությունների թեստ, հոգեբանական թեստ, հարցազրույց)</t>
    </r>
  </si>
  <si>
    <t>Մայիս 1-4-րդ շաբաթ</t>
  </si>
  <si>
    <t>Կրթության իրականացում (5 ամիսով)</t>
  </si>
  <si>
    <t>Հունիս-հոկտեմբեր</t>
  </si>
  <si>
    <r>
      <t>-</t>
    </r>
    <r>
      <rPr>
        <sz val="7"/>
        <color theme="1"/>
        <rFont val="Times New Roman"/>
        <family val="1"/>
        <charset val="204"/>
      </rPr>
      <t>  </t>
    </r>
    <r>
      <rPr>
        <sz val="12"/>
        <color theme="1"/>
        <rFont val="Sylfaen"/>
        <family val="1"/>
        <charset val="204"/>
      </rPr>
      <t>Անհրաժեշտ պարագաների ձեռքբերում
- Ֆինանսական գնահատում և ձեռքբերման գործընթաց</t>
    </r>
  </si>
  <si>
    <t>Պարեկի ամբողջական հանդերձանքի մի քանի օրինակ, ավտոմեքենաներ, տեխնիկական սարքեր պրակտիկ վարժությունների կազմակերպման նաև PR արշավի համար
Ծրագրում նաև նախատեսել իրենց տրամադրվող սարքերից, որոնք բազաներին հասանելիություն ունեն օգտագործման պրակտիկ դասընթաց։</t>
  </si>
  <si>
    <t>Ոստիկանություն, ԱՆ
Ֆինանսավորման հարցի լուծում
(ԵՄ ֆինանսավորումը հասանելի է լինելու 2020-ի վերջին միայն)</t>
  </si>
  <si>
    <r>
      <t>-</t>
    </r>
    <r>
      <rPr>
        <sz val="7"/>
        <color theme="1"/>
        <rFont val="Times New Roman"/>
        <family val="1"/>
        <charset val="204"/>
      </rPr>
      <t xml:space="preserve">        </t>
    </r>
    <r>
      <rPr>
        <sz val="12"/>
        <color theme="1"/>
        <rFont val="Sylfaen"/>
        <family val="1"/>
        <charset val="204"/>
      </rPr>
      <t>Կրթության ծրագրի, դասացուցակների ձևավորում ըստ ֆունկցիաների, SOP-ների և մշակված ուսումնական ծրագրերի</t>
    </r>
  </si>
  <si>
    <t>Կրթության կազմակերպումը պետք է ենթադրի շաբաթական quiz-երի և ամսական թեստերի իրականացմամաբ՝ ամապոհվելով ինտերակտիվությունը
Ավարտական թեստ կամ քննություն պետք չի լինի, եթե ամսեկան թեստերն ապահովենք</t>
  </si>
  <si>
    <r>
      <t>-</t>
    </r>
    <r>
      <rPr>
        <sz val="7"/>
        <color theme="1"/>
        <rFont val="Times New Roman"/>
        <family val="1"/>
        <charset val="204"/>
      </rPr>
      <t xml:space="preserve">        </t>
    </r>
    <r>
      <rPr>
        <sz val="12"/>
        <color theme="1"/>
        <rFont val="Sylfaen"/>
        <family val="1"/>
        <charset val="204"/>
      </rPr>
      <t>Նախատեսել առաջնորդության դասախոսություններ առնվազն մեկ-երկու շաբաթը մեկ</t>
    </r>
  </si>
  <si>
    <t>Նախարար, ոստիկանության պետ, քաղաքական ղեկավարներ, ովքեր կոգևորեն ու կխոսեն արժեքներից, փոփոխության մեծ կոնցեպտից</t>
  </si>
  <si>
    <t>Ոստիկանություն, ԱՆ</t>
  </si>
  <si>
    <r>
      <t>-</t>
    </r>
    <r>
      <rPr>
        <sz val="7"/>
        <color theme="1"/>
        <rFont val="Times New Roman"/>
        <family val="1"/>
        <charset val="204"/>
      </rPr>
      <t xml:space="preserve">        </t>
    </r>
    <r>
      <rPr>
        <sz val="12"/>
        <color theme="1"/>
        <rFont val="Sylfaen"/>
        <family val="1"/>
        <charset val="204"/>
      </rPr>
      <t xml:space="preserve">Նախատեսել ՊԾ ցածր ու միջին մակարդակի մենեջերների համար լրացուցիչ 2 շաբաթ թրեյնինգ </t>
    </r>
  </si>
  <si>
    <t xml:space="preserve">Ընտրել պահանջվող թվից  20% ավել, Կենտրոնանալ ղեկավարաման հմտությունների վրա  </t>
  </si>
  <si>
    <t xml:space="preserve">Կրթության իրականացմանը զուգահեռ մշակել SOP-իների դետալացված պարտադիր գործողությունների ցանկ՝ checklist </t>
  </si>
  <si>
    <t>Հունիս-հուլիս</t>
  </si>
  <si>
    <t>Նշանակում և ծառայության գործարկում</t>
  </si>
  <si>
    <t>Նոյեմբերի 2-րդ շաբաթ</t>
  </si>
  <si>
    <t>Կրթությունից հետո անմիջապես պետք է գործարկել. Խուսափել ամենապիկ ամիսներին գործարկելուց (օրինակ՝ սեպտեմբերին կամ դեկտեմբերին)</t>
  </si>
  <si>
    <t>Երևան +Շիրակ ? ամբողջ երկիր?</t>
  </si>
  <si>
    <t>Կառուցվածքի իրավական ֆորմալացում՝ նկատի ուենալով ներքին մոնիտորինգի բաժնի ստեղծման հանգամանքը</t>
  </si>
  <si>
    <t>Հուլիս-Օգոստոս</t>
  </si>
  <si>
    <t xml:space="preserve">Մենթորների կցում յուրաքանչյուր թիմի </t>
  </si>
  <si>
    <t>Գործարկման առաջին շաբաթ</t>
  </si>
  <si>
    <t>Կարող են լինել դասախոսներից կամ օտարերկրյա պրակտիկներ</t>
  </si>
  <si>
    <t>Ավտոմեքենաների, սարքավորումների ու հանդերձանքի ձեռքբերում</t>
  </si>
  <si>
    <t>Ավտոմեքենաների ու սարքավորումների թվի որոշում</t>
  </si>
  <si>
    <t>Ֆինանսավորման հարցի լուծում</t>
  </si>
  <si>
    <t>Հանդերձանքի մոդելի վերջնականացում</t>
  </si>
  <si>
    <t>Ավտոմեքենաների ու սարքավորումների ձեռքբերում</t>
  </si>
  <si>
    <r>
      <t>(ԵՄ ֆինանսավորումը հասանելի է լինելու 2020-ի վերջին միայն</t>
    </r>
    <r>
      <rPr>
        <sz val="12"/>
        <color theme="1"/>
        <rFont val="Sylfaen"/>
        <family val="1"/>
        <charset val="204"/>
      </rPr>
      <t>)</t>
    </r>
  </si>
  <si>
    <t>Օպերատիվ կառավարման կենտրոնի ստեղծում</t>
  </si>
  <si>
    <t xml:space="preserve">ՕԿԿ անհրաժեշտ սարքավորումների ու ֆիզիկական տարածքի հստակեցում </t>
  </si>
  <si>
    <t>Մարտի 1-ին շաբաթ</t>
  </si>
  <si>
    <t>ՕԿԿ անհրաժեշտ սարքավորումների ձեռքբերման պլան</t>
  </si>
  <si>
    <t>ՕԿԿ ենթակայության իրավական ապահովում ուղղակիորեն Ոստիկանության պետին</t>
  </si>
  <si>
    <t>ՕԿԿ աշխատողների ընտրություն</t>
  </si>
  <si>
    <t>Մայիս- Հունիս</t>
  </si>
  <si>
    <t>Հեռախոսագծի կամավորները կարող են դիտարվել որպես հիմքային թիմ, արդեն կունենան փորձառություն</t>
  </si>
  <si>
    <t>ՕԿԿ ֆիզիկական ինստալյացիա</t>
  </si>
  <si>
    <t>Հուլիս</t>
  </si>
  <si>
    <t xml:space="preserve">ՕԿԿ + Փրկարարներ կապ </t>
  </si>
  <si>
    <t>ՕԿԿ գործարկում, պիլոտ</t>
  </si>
  <si>
    <t>Օգոստոս- Սեպտեմբեր</t>
  </si>
  <si>
    <t>Մինչ ՊԾ գործարկումը կարող է մյուս ծառայություններից զանգեր ստանալ ու փորձ հավաքել</t>
  </si>
  <si>
    <t>ՕԿԿ + ՊԾ փորձաշրջանային աշխատանք</t>
  </si>
  <si>
    <t>Սեպտեմբեր-հոկտեմբեր</t>
  </si>
  <si>
    <t xml:space="preserve">Պետք է լինի պարեկների կրթական ծրագրի մաս </t>
  </si>
  <si>
    <t>USD/AMD</t>
  </si>
  <si>
    <t>EUR/AMD</t>
  </si>
  <si>
    <t>Min</t>
  </si>
  <si>
    <t>Max</t>
  </si>
  <si>
    <t>Average</t>
  </si>
  <si>
    <t>ՊԾ աշխատակիցների քանակ</t>
  </si>
  <si>
    <t>Երևան</t>
  </si>
  <si>
    <t>ՀՀ մարզեր</t>
  </si>
  <si>
    <t xml:space="preserve">ՊԾ համախառն միջին աշխատավարձ, ՀՀ դրամ, ամսական, </t>
  </si>
  <si>
    <t>այդ թվում՝ աշխատավարձի գծով</t>
  </si>
  <si>
    <t>Ընդամենը Աշխատավարձին հատկացվող գումարներ (10% չնախատեսված)</t>
  </si>
  <si>
    <t>Մեքենաներ</t>
  </si>
  <si>
    <t>Մեքենաների ձեռքբերում</t>
  </si>
  <si>
    <t>Քանակ</t>
  </si>
  <si>
    <t>Ընդամենը</t>
  </si>
  <si>
    <t>Տարեկան աշխատավարձի գումար, հազար դրամ</t>
  </si>
  <si>
    <t>2020թ․ պետբյուջեով ՃՈ հատկացումը, հազար դրամ</t>
  </si>
  <si>
    <t>2020թ․ պետբյուջեով ՊՊԾ հատկացումը, հազար դրամ</t>
  </si>
  <si>
    <t>2020թ․ պետբյուջեով ՃՈ+ՊՊԾ հատկացումը, հազար դրամ</t>
  </si>
  <si>
    <t>Տարեկան խնայողությունը աշխատավարձի գծով, հազար դրամ</t>
  </si>
  <si>
    <t>Գին, ԱՄՆ դոլար</t>
  </si>
  <si>
    <t>Գին, ՀՀ դրամ</t>
  </si>
  <si>
    <t>Ընդամենը, հազար դրամ</t>
  </si>
  <si>
    <t>Ձևավորում</t>
  </si>
  <si>
    <t>Անվադողեր</t>
  </si>
  <si>
    <t>Ապահովագրություն և տեխզննում</t>
  </si>
  <si>
    <t>Տեխնիկական կահավորում</t>
  </si>
  <si>
    <t>Մարզեր</t>
  </si>
  <si>
    <t>Համազգեստ-հանդերձանք</t>
  </si>
  <si>
    <t>Սարքավորումների և տեխնիկական միջողների սպասարկում և շահագործում</t>
  </si>
  <si>
    <t>ՕԿԿ</t>
  </si>
  <si>
    <t>Այլ</t>
  </si>
  <si>
    <t>Կրթական ծրագրերի մշակում, հազար դրամ</t>
  </si>
  <si>
    <t>Ուսւոմնասիրություն, ԱՄՆ դոլար</t>
  </si>
  <si>
    <t>Ուսումնասիրություն, հազար դրամ</t>
  </si>
  <si>
    <t>Հաղորդակցության միջոցառումներ, ԱՄՆ դոլար</t>
  </si>
  <si>
    <t>Հաղորդակցության միջոցառումներ, հազար դրամ</t>
  </si>
  <si>
    <t xml:space="preserve"> Նոր ոստիկանության նկարագիրը</t>
  </si>
  <si>
    <t>Ոստիկանության կառուցվածքային մոդել</t>
  </si>
  <si>
    <t>Պարեկային ծառայության և ՕԿԿ ներդրում</t>
  </si>
  <si>
    <t>Ոստիկանության զորքերի ապառազմականացում, հասարակական կարգի պահպանություն</t>
  </si>
  <si>
    <t>Քրեական ոստիկանության զարգացում</t>
  </si>
  <si>
    <t xml:space="preserve"> Համայնքային ոստիկանության վերաիմաստավորում</t>
  </si>
  <si>
    <t>Ոստիկանություն ռեֆորմի իրականացման ընթացք և միջազգային համագործակցություն</t>
  </si>
  <si>
    <t>Բարեփոխումների իրականացման ներառականություն, գործողությունների մշտադիտարկում և համակարգում</t>
  </si>
  <si>
    <t>Ռազմավարական հաղորդակցություն</t>
  </si>
  <si>
    <t>2020թ․</t>
  </si>
  <si>
    <t>2021թ․</t>
  </si>
  <si>
    <t>2022թ․</t>
  </si>
  <si>
    <t>Աշխատակազմի վրա կատարվող լրացուցիչծախսեր</t>
  </si>
  <si>
    <t>Համազգեստի և հանդերձանքի ձեռքբերում</t>
  </si>
  <si>
    <t xml:space="preserve">Պարեկային ծառայության փուլային գործարկում, այդ թվում՝ </t>
  </si>
  <si>
    <t>ՕԿԿ և սարքավորումների տարեկան սպասարկման ծախսեր</t>
  </si>
  <si>
    <t>Ուղղություն՝ Ոստիկանության զորքերի ապառազմականացում, հասարակական կարգի պահպանություն</t>
  </si>
  <si>
    <r>
      <t>Ուղղություն՝</t>
    </r>
    <r>
      <rPr>
        <b/>
        <sz val="11"/>
        <color theme="1"/>
        <rFont val="GHEA Grapalat"/>
        <family val="3"/>
      </rPr>
      <t xml:space="preserve">  Պարեկային ոստիկանության ծառայության և Օպերատիվ կառավարման կենտրոնի ներդրում</t>
    </r>
  </si>
  <si>
    <t>Պարեկների կրթություն</t>
  </si>
  <si>
    <t>Հրաձգարան</t>
  </si>
  <si>
    <t>մեկ գծի գինը</t>
  </si>
  <si>
    <t>ԱՄՆ դոլար</t>
  </si>
  <si>
    <t>ՀՀ դրամ</t>
  </si>
  <si>
    <t>Գծերի քանակը</t>
  </si>
  <si>
    <t>հազար դրամ</t>
  </si>
  <si>
    <t>Ոստիկանության բարեփոխումների ռազմավարության գործողությունների ծրագրի ծախսերի ամփոփում՝ ըստ ուղղությունների</t>
  </si>
  <si>
    <t>Ոստիկանության բարեփոխումների ռազմավարության գործողությունների ծրագրի ծախսերի ամփոփում՝ ըստ ծախսերի հիմնական տեսակների</t>
  </si>
  <si>
    <t>Ուսումնասիրություններ</t>
  </si>
  <si>
    <t>Կրթական ծախսեր և վերապատրաստումներ</t>
  </si>
  <si>
    <t>Ռազմական ոստիկանների վերապատրաստում</t>
  </si>
  <si>
    <t>Ռազմական ոստիկանների քանակ</t>
  </si>
  <si>
    <t>Վերապատրաստվածների քանակը</t>
  </si>
  <si>
    <t>Մեկ մասնակցի գծով վերապատրաստման ծախսը, դրամ</t>
  </si>
  <si>
    <t>Հանրային վստահություն և հաղորդակցման արշավներ</t>
  </si>
  <si>
    <t>Ուղղություն՝ Նոր ոստիկանության նկարագիրը</t>
  </si>
  <si>
    <t xml:space="preserve">Oրենքով չարգելված միջոցներ </t>
  </si>
  <si>
    <t>Ծառայողների սպառազինության գծով ակնկալվող օժանդակություն</t>
  </si>
  <si>
    <t>St</t>
  </si>
  <si>
    <t>Tr</t>
  </si>
  <si>
    <t>Նոր կրթական ծրագրերը ժամանակակից մեթոդաբանությամբ դասավանդող դասախոսական կազմի համալրում (գումարնը ներառված է ՊԾ աշխատակիցների կրթության գործողության ծախսերի մեջ)</t>
  </si>
  <si>
    <t>PT</t>
  </si>
  <si>
    <t>Շենքերի և շինությունների հիմնանորոգում (360 ԱՄՆ դոլար 1 ք․ մ․ հաշվով)</t>
  </si>
  <si>
    <t>օրենքով չարգելված միջոցներ</t>
  </si>
  <si>
    <t>IT</t>
  </si>
  <si>
    <t>PR</t>
  </si>
  <si>
    <t>Տվյալների բազաներ</t>
  </si>
  <si>
    <t>Ընդամենը ծախսեր</t>
  </si>
  <si>
    <t>Ընդամենը ակնկալվող ֆինանսավորում, այդ թվում`</t>
  </si>
  <si>
    <t>Այլ դոնորներ/միջազգային կազմակերպություններ</t>
  </si>
  <si>
    <t>Ավելցուկ/պակասուրդ (+/-)</t>
  </si>
  <si>
    <t>Ֆինանսավորման աղբյուրների գնահատական, հազար դրամ</t>
  </si>
  <si>
    <t>ՕԿԿ գծով օժանդակություն</t>
  </si>
  <si>
    <t>ՊԾ հիմնադրմանն ուղղված աջակցություն</t>
  </si>
  <si>
    <t>ՊԾ վարչական շենքի հիմնանորոգում</t>
  </si>
  <si>
    <t>Մակերես, ք․ մ․</t>
  </si>
  <si>
    <t>Գինը, ԱՄՆ դոլար</t>
  </si>
  <si>
    <t>Գինը, դրամ</t>
  </si>
  <si>
    <t>Մեքենաների ձեռքբերում, ձևավորում և սարքավորումներվ կահավորում,</t>
  </si>
  <si>
    <t>Ծառայողների սպառազինություն, այդ թվում՝</t>
  </si>
  <si>
    <t>Պարեկների սպառազինություն և անհատական սարքավորումներ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</si>
</sst>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font>
      <sz val="11"/>
      <color theme="1"/>
      <name val="Calibri"/>
      <family val="2"/>
      <charset val="204"/>
      <scheme val="minor"/>
    </font>
    <font>
      <sz val="12"/>
      <color theme="1"/>
      <name val="Calibri"/>
      <family val="2"/>
      <charset val="204"/>
      <scheme val="minor"/>
    </font>
    <font>
      <sz val="10"/>
      <color theme="1"/>
      <name val="Calibri"/>
      <family val="2"/>
      <charset val="204"/>
      <scheme val="minor"/>
    </font>
    <font>
      <u/>
      <sz val="11"/>
      <color theme="10"/>
      <name val="Calibri"/>
      <family val="2"/>
      <charset val="204"/>
      <scheme val="minor"/>
    </font>
    <font>
      <b/>
      <sz val="11"/>
      <color rgb="FFC00000"/>
      <name val="GHEA Grapalat"/>
      <family val="3"/>
    </font>
    <font>
      <sz val="11"/>
      <color rgb="FF000000"/>
      <name val="GHEA Grapalat"/>
      <family val="3"/>
    </font>
    <font>
      <sz val="11"/>
      <color theme="1"/>
      <name val="GHEA Grapalat"/>
      <family val="3"/>
    </font>
    <font>
      <sz val="11"/>
      <color rgb="FF222222"/>
      <name val="GHEA Grapalat"/>
      <family val="3"/>
    </font>
    <font>
      <sz val="11"/>
      <color rgb="FF222222"/>
      <name val="Calibri"/>
      <family val="2"/>
      <charset val="204"/>
      <scheme val="minor"/>
    </font>
    <font>
      <b/>
      <sz val="11"/>
      <color theme="1"/>
      <name val="GHEA Grapalat"/>
      <family val="3"/>
    </font>
    <font>
      <b/>
      <sz val="12"/>
      <color theme="1"/>
      <name val="Calibri"/>
      <family val="2"/>
      <charset val="204"/>
      <scheme val="minor"/>
    </font>
    <font>
      <b/>
      <sz val="12"/>
      <color theme="1"/>
      <name val="Sylfaen"/>
      <family val="1"/>
      <charset val="204"/>
    </font>
    <font>
      <sz val="12"/>
      <color theme="1"/>
      <name val="Sylfaen"/>
      <family val="1"/>
      <charset val="204"/>
    </font>
    <font>
      <sz val="12"/>
      <color rgb="FF000000"/>
      <name val="Sylfaen"/>
      <family val="1"/>
      <charset val="204"/>
    </font>
    <font>
      <sz val="7"/>
      <color theme="1"/>
      <name val="Times New Roman"/>
      <family val="1"/>
      <charset val="204"/>
    </font>
    <font>
      <sz val="12"/>
      <color rgb="FFC00000"/>
      <name val="Sylfaen"/>
      <family val="1"/>
      <charset val="204"/>
    </font>
    <font>
      <b/>
      <sz val="13"/>
      <name val="GHEA Grapalat"/>
      <family val="3"/>
    </font>
    <font>
      <b/>
      <sz val="11"/>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rgb="FFFFC000"/>
        <bgColor indexed="64"/>
      </patternFill>
    </fill>
  </fills>
  <borders count="5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auto="1"/>
      </left>
      <right/>
      <top style="thin">
        <color auto="1"/>
      </top>
      <bottom style="medium">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s>
  <cellStyleXfs count="2">
    <xf numFmtId="0" fontId="0" fillId="0" borderId="0"/>
    <xf numFmtId="0" fontId="3" fillId="0" borderId="0" applyNumberFormat="0" applyFill="0" applyBorder="0" applyAlignment="0" applyProtection="0"/>
  </cellStyleXfs>
  <cellXfs count="203">
    <xf numFmtId="0" fontId="0" fillId="0" borderId="0" xfId="0"/>
    <xf numFmtId="0" fontId="0" fillId="0" borderId="0" xfId="0" applyAlignment="1">
      <alignment vertical="top"/>
    </xf>
    <xf numFmtId="0" fontId="4" fillId="2" borderId="5" xfId="0" applyFont="1" applyFill="1" applyBorder="1" applyAlignment="1">
      <alignment vertical="top" wrapText="1"/>
    </xf>
    <xf numFmtId="0" fontId="4" fillId="2" borderId="0" xfId="0" applyFont="1" applyFill="1" applyBorder="1" applyAlignment="1">
      <alignment vertical="top" wrapText="1"/>
    </xf>
    <xf numFmtId="0" fontId="6" fillId="2" borderId="5" xfId="0" applyFont="1" applyFill="1" applyBorder="1" applyAlignment="1">
      <alignment vertical="top" wrapText="1"/>
    </xf>
    <xf numFmtId="0" fontId="6" fillId="2" borderId="0" xfId="0" applyFont="1" applyFill="1" applyBorder="1" applyAlignment="1">
      <alignment vertical="top" wrapText="1"/>
    </xf>
    <xf numFmtId="0" fontId="0" fillId="0" borderId="17" xfId="0" applyFont="1" applyBorder="1" applyAlignment="1">
      <alignment vertical="top"/>
    </xf>
    <xf numFmtId="0" fontId="4" fillId="0" borderId="17" xfId="0" applyFont="1" applyBorder="1" applyAlignment="1">
      <alignment vertical="top" wrapText="1"/>
    </xf>
    <xf numFmtId="0" fontId="6" fillId="0" borderId="17" xfId="0" applyFont="1" applyBorder="1" applyAlignment="1">
      <alignment vertical="top" wrapText="1"/>
    </xf>
    <xf numFmtId="0" fontId="6" fillId="0" borderId="17" xfId="0" applyFont="1" applyBorder="1" applyAlignment="1">
      <alignment horizontal="justify" vertical="top" wrapText="1"/>
    </xf>
    <xf numFmtId="0" fontId="9" fillId="0" borderId="17" xfId="0" applyFont="1" applyBorder="1" applyAlignment="1">
      <alignment horizontal="center" vertical="center" wrapText="1"/>
    </xf>
    <xf numFmtId="0" fontId="0" fillId="0" borderId="0" xfId="0"/>
    <xf numFmtId="0" fontId="10" fillId="2" borderId="1"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 fillId="0" borderId="0" xfId="0" applyFont="1" applyAlignment="1">
      <alignment vertical="center" wrapText="1"/>
    </xf>
    <xf numFmtId="0" fontId="12" fillId="0" borderId="8" xfId="0" applyFont="1" applyBorder="1" applyAlignment="1">
      <alignment vertical="center" wrapText="1"/>
    </xf>
    <xf numFmtId="0" fontId="1" fillId="0" borderId="10" xfId="0" applyFont="1" applyBorder="1" applyAlignment="1">
      <alignment vertical="center" wrapText="1"/>
    </xf>
    <xf numFmtId="0" fontId="12" fillId="0" borderId="9" xfId="0" applyFont="1" applyBorder="1" applyAlignment="1">
      <alignment vertical="center" wrapText="1"/>
    </xf>
    <xf numFmtId="0" fontId="3" fillId="0" borderId="0" xfId="1" applyAlignment="1">
      <alignment vertical="center"/>
    </xf>
    <xf numFmtId="0" fontId="1" fillId="0" borderId="15" xfId="0" applyFont="1" applyBorder="1" applyAlignment="1">
      <alignment vertical="center" wrapText="1"/>
    </xf>
    <xf numFmtId="0" fontId="12" fillId="0" borderId="15" xfId="0" applyFont="1" applyBorder="1" applyAlignment="1">
      <alignment vertical="center" wrapText="1"/>
    </xf>
    <xf numFmtId="0" fontId="11" fillId="2" borderId="9" xfId="0" applyFont="1" applyFill="1" applyBorder="1" applyAlignment="1">
      <alignment vertical="center" wrapText="1"/>
    </xf>
    <xf numFmtId="0" fontId="1" fillId="2" borderId="10" xfId="0" applyFont="1" applyFill="1" applyBorder="1" applyAlignment="1">
      <alignment vertical="center" wrapText="1"/>
    </xf>
    <xf numFmtId="0" fontId="10" fillId="2" borderId="10" xfId="0" applyFont="1" applyFill="1" applyBorder="1" applyAlignment="1">
      <alignment vertical="center" wrapText="1"/>
    </xf>
    <xf numFmtId="0" fontId="12" fillId="2" borderId="9" xfId="0" applyFont="1" applyFill="1" applyBorder="1" applyAlignment="1">
      <alignment vertical="center" wrapText="1"/>
    </xf>
    <xf numFmtId="0" fontId="1" fillId="0" borderId="8" xfId="0" applyFont="1" applyBorder="1" applyAlignment="1">
      <alignment vertical="center" wrapText="1"/>
    </xf>
    <xf numFmtId="49" fontId="11" fillId="2" borderId="14" xfId="0" applyNumberFormat="1" applyFont="1" applyFill="1" applyBorder="1" applyAlignment="1">
      <alignment horizontal="center" vertical="center" wrapText="1"/>
    </xf>
    <xf numFmtId="49" fontId="12" fillId="0" borderId="9" xfId="0" applyNumberFormat="1" applyFont="1" applyBorder="1" applyAlignment="1">
      <alignment horizontal="left" vertical="center" wrapText="1"/>
    </xf>
    <xf numFmtId="49" fontId="11" fillId="2" borderId="9" xfId="0" applyNumberFormat="1" applyFont="1" applyFill="1" applyBorder="1" applyAlignment="1">
      <alignment vertical="center" wrapText="1"/>
    </xf>
    <xf numFmtId="49" fontId="12" fillId="0" borderId="9" xfId="0" applyNumberFormat="1" applyFont="1" applyBorder="1" applyAlignment="1">
      <alignment vertical="center" wrapText="1"/>
    </xf>
    <xf numFmtId="49" fontId="12" fillId="2" borderId="6" xfId="0" applyNumberFormat="1" applyFont="1" applyFill="1" applyBorder="1" applyAlignment="1">
      <alignment vertical="center" wrapText="1"/>
    </xf>
    <xf numFmtId="49" fontId="12" fillId="2" borderId="9" xfId="0" applyNumberFormat="1" applyFont="1" applyFill="1" applyBorder="1" applyAlignment="1">
      <alignment vertical="center" wrapText="1"/>
    </xf>
    <xf numFmtId="0" fontId="1" fillId="0" borderId="5" xfId="0" applyFont="1" applyBorder="1" applyAlignment="1">
      <alignment vertical="center" wrapText="1"/>
    </xf>
    <xf numFmtId="0" fontId="1" fillId="0" borderId="7" xfId="0" applyFont="1" applyBorder="1" applyAlignment="1">
      <alignment vertical="center" wrapText="1"/>
    </xf>
    <xf numFmtId="49" fontId="12" fillId="0" borderId="8" xfId="0" applyNumberFormat="1" applyFont="1" applyBorder="1" applyAlignment="1">
      <alignment vertical="center" wrapText="1"/>
    </xf>
    <xf numFmtId="0" fontId="1" fillId="0" borderId="17" xfId="0" applyFont="1" applyBorder="1" applyAlignment="1">
      <alignment horizontal="left" vertical="top" wrapText="1"/>
    </xf>
    <xf numFmtId="49" fontId="12" fillId="0" borderId="17" xfId="0" applyNumberFormat="1" applyFont="1" applyBorder="1" applyAlignment="1">
      <alignment horizontal="left" vertical="top" wrapText="1"/>
    </xf>
    <xf numFmtId="0" fontId="12" fillId="0" borderId="17" xfId="0" applyFont="1" applyBorder="1" applyAlignment="1">
      <alignment horizontal="left" vertical="top" wrapText="1"/>
    </xf>
    <xf numFmtId="49" fontId="13" fillId="0" borderId="17" xfId="0" applyNumberFormat="1" applyFont="1" applyBorder="1" applyAlignment="1">
      <alignment horizontal="left" vertical="top" wrapText="1"/>
    </xf>
    <xf numFmtId="0" fontId="1" fillId="0" borderId="10" xfId="0" applyFont="1" applyBorder="1" applyAlignment="1">
      <alignment vertical="top" wrapText="1"/>
    </xf>
    <xf numFmtId="49" fontId="12" fillId="0" borderId="9" xfId="0" applyNumberFormat="1" applyFont="1" applyBorder="1" applyAlignment="1">
      <alignment horizontal="left" vertical="top" wrapText="1"/>
    </xf>
    <xf numFmtId="0" fontId="12" fillId="0" borderId="9" xfId="0" applyFont="1" applyBorder="1" applyAlignment="1">
      <alignment vertical="top" wrapText="1"/>
    </xf>
    <xf numFmtId="0" fontId="1" fillId="0" borderId="15" xfId="0" applyFont="1" applyBorder="1" applyAlignment="1">
      <alignment vertical="top" wrapText="1"/>
    </xf>
    <xf numFmtId="0" fontId="12" fillId="0" borderId="15" xfId="0" applyFont="1" applyBorder="1" applyAlignment="1">
      <alignment vertical="top" wrapText="1"/>
    </xf>
    <xf numFmtId="0" fontId="12" fillId="0" borderId="6" xfId="0" applyFont="1" applyBorder="1" applyAlignment="1">
      <alignment vertical="top" wrapText="1"/>
    </xf>
    <xf numFmtId="0" fontId="1" fillId="0" borderId="9" xfId="0" applyFont="1" applyBorder="1" applyAlignment="1">
      <alignment vertical="top" wrapText="1"/>
    </xf>
    <xf numFmtId="49" fontId="12" fillId="0" borderId="15" xfId="0" applyNumberFormat="1" applyFont="1" applyBorder="1" applyAlignment="1">
      <alignment vertical="top" wrapText="1"/>
    </xf>
    <xf numFmtId="0" fontId="11" fillId="2" borderId="14" xfId="0" applyFont="1" applyFill="1" applyBorder="1" applyAlignment="1">
      <alignment vertical="center" wrapText="1"/>
    </xf>
    <xf numFmtId="0" fontId="1" fillId="0" borderId="16" xfId="0" applyFont="1" applyBorder="1" applyAlignment="1">
      <alignment vertical="center" wrapText="1"/>
    </xf>
    <xf numFmtId="49" fontId="12" fillId="0" borderId="16" xfId="0" applyNumberFormat="1" applyFont="1" applyBorder="1" applyAlignment="1">
      <alignment vertical="top" wrapText="1"/>
    </xf>
    <xf numFmtId="0" fontId="12" fillId="0" borderId="16" xfId="0" applyFont="1" applyBorder="1" applyAlignment="1">
      <alignment vertical="top" wrapText="1"/>
    </xf>
    <xf numFmtId="49" fontId="12" fillId="0" borderId="9" xfId="0" applyNumberFormat="1" applyFont="1" applyBorder="1" applyAlignment="1">
      <alignment vertical="top" wrapText="1"/>
    </xf>
    <xf numFmtId="3" fontId="0" fillId="0" borderId="0" xfId="0" applyNumberFormat="1"/>
    <xf numFmtId="3" fontId="0" fillId="0" borderId="17" xfId="0" applyNumberFormat="1" applyBorder="1"/>
    <xf numFmtId="4" fontId="0" fillId="0" borderId="0" xfId="0" applyNumberFormat="1"/>
    <xf numFmtId="3" fontId="6" fillId="0" borderId="17" xfId="0" applyNumberFormat="1" applyFont="1" applyBorder="1" applyAlignment="1">
      <alignment vertical="top" wrapText="1"/>
    </xf>
    <xf numFmtId="164" fontId="0" fillId="0" borderId="0" xfId="0" applyNumberFormat="1"/>
    <xf numFmtId="164" fontId="6" fillId="0" borderId="17" xfId="0" applyNumberFormat="1" applyFont="1" applyBorder="1" applyAlignment="1">
      <alignment vertical="top" wrapText="1"/>
    </xf>
    <xf numFmtId="0" fontId="0" fillId="0" borderId="25" xfId="0" applyBorder="1"/>
    <xf numFmtId="0" fontId="0" fillId="0" borderId="26" xfId="0" applyBorder="1"/>
    <xf numFmtId="0" fontId="0" fillId="0" borderId="27" xfId="0" applyBorder="1"/>
    <xf numFmtId="0" fontId="0" fillId="0" borderId="28" xfId="0" applyBorder="1"/>
    <xf numFmtId="0" fontId="0" fillId="0" borderId="0" xfId="0" applyBorder="1"/>
    <xf numFmtId="0" fontId="0" fillId="0" borderId="29" xfId="0" applyBorder="1"/>
    <xf numFmtId="164" fontId="0" fillId="0" borderId="29" xfId="0" applyNumberFormat="1" applyBorder="1"/>
    <xf numFmtId="0" fontId="0" fillId="0" borderId="28" xfId="0" applyBorder="1" applyAlignment="1">
      <alignment horizontal="left" indent="3"/>
    </xf>
    <xf numFmtId="0" fontId="0" fillId="0" borderId="30" xfId="0" applyBorder="1"/>
    <xf numFmtId="0" fontId="0" fillId="0" borderId="31" xfId="0" applyBorder="1"/>
    <xf numFmtId="164" fontId="0" fillId="0" borderId="32" xfId="0" applyNumberFormat="1" applyBorder="1"/>
    <xf numFmtId="3" fontId="0" fillId="0" borderId="0" xfId="0" applyNumberFormat="1" applyBorder="1"/>
    <xf numFmtId="164" fontId="0" fillId="0" borderId="0" xfId="0" applyNumberFormat="1" applyBorder="1"/>
    <xf numFmtId="3" fontId="0" fillId="0" borderId="31" xfId="0" applyNumberFormat="1" applyBorder="1"/>
    <xf numFmtId="164" fontId="0" fillId="0" borderId="31" xfId="0" applyNumberFormat="1" applyBorder="1"/>
    <xf numFmtId="3" fontId="0" fillId="0" borderId="26" xfId="0" applyNumberFormat="1" applyBorder="1"/>
    <xf numFmtId="164" fontId="0" fillId="0" borderId="26" xfId="0" applyNumberFormat="1" applyBorder="1"/>
    <xf numFmtId="164" fontId="0" fillId="0" borderId="27" xfId="0" applyNumberFormat="1" applyBorder="1"/>
    <xf numFmtId="1" fontId="0" fillId="0" borderId="31" xfId="0" applyNumberFormat="1" applyBorder="1"/>
    <xf numFmtId="0" fontId="0" fillId="0" borderId="25" xfId="0" applyFill="1" applyBorder="1"/>
    <xf numFmtId="0" fontId="0" fillId="0" borderId="28" xfId="0" applyFill="1" applyBorder="1"/>
    <xf numFmtId="0" fontId="0" fillId="0" borderId="30" xfId="0" applyFill="1" applyBorder="1"/>
    <xf numFmtId="3" fontId="4" fillId="2" borderId="0" xfId="0" applyNumberFormat="1" applyFont="1" applyFill="1" applyBorder="1" applyAlignment="1">
      <alignment vertical="top" wrapText="1"/>
    </xf>
    <xf numFmtId="0" fontId="6" fillId="0" borderId="17" xfId="0" applyFont="1" applyBorder="1" applyAlignment="1">
      <alignment horizontal="left" vertical="top" wrapText="1" indent="2"/>
    </xf>
    <xf numFmtId="0" fontId="6" fillId="0" borderId="17" xfId="0" applyFont="1" applyFill="1" applyBorder="1" applyAlignment="1">
      <alignment vertical="top" wrapText="1"/>
    </xf>
    <xf numFmtId="0" fontId="5" fillId="0" borderId="17" xfId="0" applyFont="1" applyBorder="1" applyAlignment="1">
      <alignment vertical="top" wrapText="1"/>
    </xf>
    <xf numFmtId="0" fontId="4" fillId="2" borderId="17" xfId="0" applyFont="1" applyFill="1" applyBorder="1" applyAlignment="1">
      <alignment vertical="top" wrapText="1"/>
    </xf>
    <xf numFmtId="3" fontId="4" fillId="2" borderId="17" xfId="0" applyNumberFormat="1" applyFont="1" applyFill="1" applyBorder="1" applyAlignment="1">
      <alignment vertical="top" wrapText="1"/>
    </xf>
    <xf numFmtId="0" fontId="0" fillId="0" borderId="34" xfId="0" applyBorder="1"/>
    <xf numFmtId="0" fontId="0" fillId="0" borderId="35" xfId="0" applyBorder="1"/>
    <xf numFmtId="0" fontId="0" fillId="0" borderId="36" xfId="0" applyBorder="1"/>
    <xf numFmtId="0" fontId="0" fillId="0" borderId="19" xfId="0" applyBorder="1" applyAlignment="1">
      <alignment vertical="top"/>
    </xf>
    <xf numFmtId="3" fontId="0" fillId="0" borderId="18" xfId="0" applyNumberFormat="1" applyBorder="1"/>
    <xf numFmtId="0" fontId="2" fillId="0" borderId="19" xfId="0" applyFont="1" applyBorder="1" applyAlignment="1">
      <alignment vertical="top"/>
    </xf>
    <xf numFmtId="0" fontId="0" fillId="0" borderId="37" xfId="0" applyBorder="1"/>
    <xf numFmtId="0" fontId="0" fillId="0" borderId="38" xfId="0" applyBorder="1"/>
    <xf numFmtId="3" fontId="0" fillId="0" borderId="38" xfId="0" applyNumberFormat="1" applyBorder="1"/>
    <xf numFmtId="3" fontId="0" fillId="0" borderId="39" xfId="0" applyNumberFormat="1" applyBorder="1"/>
    <xf numFmtId="0" fontId="4" fillId="0" borderId="0" xfId="0" applyFont="1" applyFill="1" applyBorder="1" applyAlignment="1">
      <alignment vertical="top" wrapText="1"/>
    </xf>
    <xf numFmtId="0" fontId="4" fillId="0" borderId="0" xfId="0" applyFont="1" applyFill="1" applyBorder="1" applyAlignment="1">
      <alignment horizontal="center" vertical="top" wrapText="1"/>
    </xf>
    <xf numFmtId="3" fontId="4" fillId="0" borderId="0" xfId="0" applyNumberFormat="1" applyFont="1" applyFill="1" applyBorder="1" applyAlignment="1">
      <alignment vertical="top" wrapText="1"/>
    </xf>
    <xf numFmtId="0" fontId="4" fillId="0" borderId="0" xfId="0" applyFont="1" applyFill="1" applyBorder="1" applyAlignment="1">
      <alignment vertical="top"/>
    </xf>
    <xf numFmtId="0" fontId="6" fillId="0" borderId="17" xfId="0" applyFont="1" applyBorder="1" applyAlignment="1">
      <alignment vertical="top" wrapText="1"/>
    </xf>
    <xf numFmtId="0" fontId="6" fillId="0" borderId="33" xfId="0" applyFont="1" applyFill="1" applyBorder="1" applyAlignment="1">
      <alignment vertical="top" wrapText="1"/>
    </xf>
    <xf numFmtId="0" fontId="0" fillId="0" borderId="43" xfId="0" applyBorder="1"/>
    <xf numFmtId="0" fontId="17" fillId="0" borderId="42" xfId="0" applyFont="1" applyBorder="1"/>
    <xf numFmtId="0" fontId="17" fillId="0" borderId="43" xfId="0" applyFont="1" applyBorder="1"/>
    <xf numFmtId="164" fontId="17" fillId="0" borderId="17" xfId="0" applyNumberFormat="1" applyFont="1" applyBorder="1"/>
    <xf numFmtId="0" fontId="18" fillId="0" borderId="42" xfId="0" applyFont="1" applyBorder="1" applyAlignment="1">
      <alignment horizontal="left" indent="2"/>
    </xf>
    <xf numFmtId="164" fontId="18" fillId="0" borderId="17" xfId="0" applyNumberFormat="1" applyFont="1" applyBorder="1"/>
    <xf numFmtId="0" fontId="17" fillId="0" borderId="44" xfId="0" applyFont="1" applyBorder="1"/>
    <xf numFmtId="0" fontId="17" fillId="0" borderId="45" xfId="0" applyFont="1" applyBorder="1"/>
    <xf numFmtId="164" fontId="17" fillId="0" borderId="38" xfId="0" applyNumberFormat="1" applyFont="1" applyBorder="1"/>
    <xf numFmtId="164" fontId="18" fillId="0" borderId="46" xfId="0" applyNumberFormat="1" applyFont="1" applyBorder="1"/>
    <xf numFmtId="0" fontId="0" fillId="0" borderId="40" xfId="0" applyBorder="1"/>
    <xf numFmtId="164" fontId="17" fillId="0" borderId="46" xfId="0" applyNumberFormat="1" applyFont="1" applyBorder="1"/>
    <xf numFmtId="164" fontId="17" fillId="0" borderId="47" xfId="0" applyNumberFormat="1" applyFont="1" applyBorder="1"/>
    <xf numFmtId="0" fontId="0" fillId="0" borderId="16" xfId="0" applyBorder="1"/>
    <xf numFmtId="3" fontId="17" fillId="0" borderId="48" xfId="0" applyNumberFormat="1" applyFont="1" applyBorder="1"/>
    <xf numFmtId="3" fontId="0" fillId="0" borderId="48" xfId="0" applyNumberFormat="1" applyBorder="1"/>
    <xf numFmtId="164" fontId="17" fillId="0" borderId="49" xfId="0" applyNumberFormat="1" applyFont="1" applyBorder="1"/>
    <xf numFmtId="0" fontId="0" fillId="0" borderId="22" xfId="0" applyBorder="1"/>
    <xf numFmtId="0" fontId="0" fillId="0" borderId="23" xfId="0" applyBorder="1"/>
    <xf numFmtId="0" fontId="0" fillId="0" borderId="37" xfId="0" applyBorder="1" applyAlignment="1">
      <alignment vertical="top"/>
    </xf>
    <xf numFmtId="3" fontId="17" fillId="0" borderId="38" xfId="0" applyNumberFormat="1" applyFont="1" applyBorder="1"/>
    <xf numFmtId="3" fontId="17" fillId="0" borderId="39" xfId="0" applyNumberFormat="1" applyFont="1" applyBorder="1"/>
    <xf numFmtId="164" fontId="6" fillId="0" borderId="17" xfId="0" applyNumberFormat="1" applyFont="1" applyFill="1" applyBorder="1" applyAlignment="1">
      <alignment vertical="top" wrapText="1"/>
    </xf>
    <xf numFmtId="0" fontId="4" fillId="2" borderId="5" xfId="0" applyFont="1" applyFill="1" applyBorder="1" applyAlignment="1">
      <alignment horizontal="left" vertical="top" wrapText="1"/>
    </xf>
    <xf numFmtId="0" fontId="4" fillId="2" borderId="0" xfId="0" applyFont="1" applyFill="1" applyBorder="1" applyAlignment="1">
      <alignment horizontal="left" vertical="top" wrapText="1"/>
    </xf>
    <xf numFmtId="0" fontId="4" fillId="2" borderId="6" xfId="0" applyFont="1" applyFill="1" applyBorder="1" applyAlignment="1">
      <alignment horizontal="left" vertical="top" wrapText="1"/>
    </xf>
    <xf numFmtId="0" fontId="0" fillId="0" borderId="8" xfId="0" applyBorder="1" applyAlignment="1">
      <alignment horizontal="center" vertical="center" wrapText="1"/>
    </xf>
    <xf numFmtId="0" fontId="6" fillId="0" borderId="17" xfId="0" applyFont="1" applyBorder="1" applyAlignment="1">
      <alignment vertical="top" wrapText="1"/>
    </xf>
    <xf numFmtId="0" fontId="6" fillId="0" borderId="17" xfId="0" applyFont="1" applyBorder="1" applyAlignment="1">
      <alignment horizontal="left" vertical="top" wrapText="1"/>
    </xf>
    <xf numFmtId="0" fontId="9" fillId="0" borderId="17" xfId="0" applyFont="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0" xfId="0" applyFont="1" applyFill="1" applyBorder="1" applyAlignment="1">
      <alignment horizontal="left" vertical="center" wrapText="1"/>
    </xf>
    <xf numFmtId="0" fontId="3" fillId="2" borderId="5" xfId="1" applyFont="1" applyFill="1" applyBorder="1" applyAlignment="1">
      <alignment horizontal="left" vertical="center" wrapText="1"/>
    </xf>
    <xf numFmtId="0" fontId="3" fillId="2" borderId="0" xfId="1" applyFont="1" applyFill="1" applyBorder="1" applyAlignment="1">
      <alignment horizontal="left" vertical="center" wrapText="1"/>
    </xf>
    <xf numFmtId="0" fontId="6" fillId="0" borderId="20" xfId="0" applyFont="1" applyBorder="1" applyAlignment="1">
      <alignment horizontal="center" vertical="top" wrapText="1"/>
    </xf>
    <xf numFmtId="0" fontId="6" fillId="0" borderId="21" xfId="0" applyFont="1" applyBorder="1" applyAlignment="1">
      <alignment horizontal="center" vertical="top" wrapText="1"/>
    </xf>
    <xf numFmtId="0" fontId="4" fillId="2" borderId="17" xfId="0" applyFont="1" applyFill="1" applyBorder="1" applyAlignment="1">
      <alignment horizontal="center" vertical="top" wrapText="1"/>
    </xf>
    <xf numFmtId="0" fontId="4" fillId="2" borderId="26" xfId="0" applyFont="1" applyFill="1" applyBorder="1" applyAlignment="1">
      <alignment horizontal="center" vertical="top" wrapText="1"/>
    </xf>
    <xf numFmtId="0" fontId="6" fillId="0" borderId="20" xfId="0" applyFont="1" applyBorder="1" applyAlignment="1">
      <alignment horizontal="left" vertical="top" wrapText="1"/>
    </xf>
    <xf numFmtId="0" fontId="6" fillId="0" borderId="33" xfId="0" applyFont="1" applyBorder="1" applyAlignment="1">
      <alignment horizontal="left" vertical="top" wrapText="1"/>
    </xf>
    <xf numFmtId="0" fontId="6" fillId="0" borderId="21" xfId="0" applyFont="1" applyBorder="1" applyAlignment="1">
      <alignment horizontal="left" vertical="top" wrapText="1"/>
    </xf>
    <xf numFmtId="0" fontId="6" fillId="0" borderId="33" xfId="0" applyFont="1" applyBorder="1" applyAlignment="1">
      <alignment horizontal="center" vertical="top" wrapText="1"/>
    </xf>
    <xf numFmtId="0" fontId="0" fillId="0" borderId="20" xfId="0" applyFont="1" applyBorder="1" applyAlignment="1">
      <alignment horizontal="center" vertical="top"/>
    </xf>
    <xf numFmtId="0" fontId="0" fillId="0" borderId="33" xfId="0" applyFont="1" applyBorder="1" applyAlignment="1">
      <alignment horizontal="center" vertical="top"/>
    </xf>
    <xf numFmtId="0" fontId="0" fillId="0" borderId="21" xfId="0" applyFont="1" applyBorder="1" applyAlignment="1">
      <alignment horizontal="center" vertical="top"/>
    </xf>
    <xf numFmtId="0" fontId="0" fillId="0" borderId="17" xfId="0" applyBorder="1" applyAlignment="1">
      <alignment horizontal="left" vertical="top" wrapText="1"/>
    </xf>
    <xf numFmtId="0" fontId="17" fillId="0" borderId="38" xfId="0" applyFont="1" applyBorder="1" applyAlignment="1">
      <alignment horizontal="left" vertical="top" wrapText="1"/>
    </xf>
    <xf numFmtId="0" fontId="0" fillId="0" borderId="40" xfId="0" applyBorder="1" applyAlignment="1">
      <alignment horizontal="right"/>
    </xf>
    <xf numFmtId="0" fontId="0" fillId="0" borderId="41" xfId="0" applyBorder="1" applyAlignment="1">
      <alignment horizontal="right"/>
    </xf>
    <xf numFmtId="0" fontId="16" fillId="0" borderId="0" xfId="0" applyFont="1" applyFill="1" applyBorder="1" applyAlignment="1">
      <alignment horizontal="center" vertical="top" wrapText="1"/>
    </xf>
    <xf numFmtId="0" fontId="0" fillId="0" borderId="35" xfId="0" applyBorder="1" applyAlignment="1">
      <alignment horizontal="right"/>
    </xf>
    <xf numFmtId="0" fontId="0" fillId="0" borderId="8" xfId="0" applyBorder="1" applyAlignment="1">
      <alignment horizontal="center" vertical="center"/>
    </xf>
    <xf numFmtId="0" fontId="1" fillId="2" borderId="15" xfId="0" applyFont="1" applyFill="1" applyBorder="1" applyAlignment="1">
      <alignment vertical="center" wrapText="1"/>
    </xf>
    <xf numFmtId="0" fontId="1" fillId="2" borderId="10" xfId="0" applyFont="1" applyFill="1" applyBorder="1" applyAlignment="1">
      <alignment vertical="center" wrapText="1"/>
    </xf>
    <xf numFmtId="49" fontId="11" fillId="2" borderId="15" xfId="0" applyNumberFormat="1" applyFont="1" applyFill="1" applyBorder="1" applyAlignment="1">
      <alignment vertical="center" wrapText="1"/>
    </xf>
    <xf numFmtId="49" fontId="11" fillId="2" borderId="10" xfId="0" applyNumberFormat="1" applyFont="1" applyFill="1" applyBorder="1" applyAlignment="1">
      <alignment vertical="center" wrapText="1"/>
    </xf>
    <xf numFmtId="0" fontId="12" fillId="2" borderId="15" xfId="0" applyFont="1" applyFill="1" applyBorder="1" applyAlignment="1">
      <alignment vertical="center" wrapText="1"/>
    </xf>
    <xf numFmtId="0" fontId="12" fillId="2" borderId="10" xfId="0" applyFont="1" applyFill="1" applyBorder="1" applyAlignment="1">
      <alignment vertical="center" wrapText="1"/>
    </xf>
    <xf numFmtId="0" fontId="12" fillId="2" borderId="2" xfId="0" applyFont="1" applyFill="1" applyBorder="1" applyAlignment="1">
      <alignment vertical="center" wrapText="1"/>
    </xf>
    <xf numFmtId="0" fontId="12" fillId="2" borderId="4" xfId="0" applyFont="1" applyFill="1" applyBorder="1" applyAlignment="1">
      <alignment vertical="center" wrapText="1"/>
    </xf>
    <xf numFmtId="0" fontId="12" fillId="2" borderId="7" xfId="0" applyFont="1" applyFill="1" applyBorder="1" applyAlignment="1">
      <alignment vertical="center" wrapText="1"/>
    </xf>
    <xf numFmtId="0" fontId="12" fillId="2" borderId="9" xfId="0" applyFont="1" applyFill="1" applyBorder="1" applyAlignment="1">
      <alignment vertical="center" wrapText="1"/>
    </xf>
    <xf numFmtId="0" fontId="12" fillId="0" borderId="12" xfId="0" applyFont="1" applyBorder="1" applyAlignment="1">
      <alignment vertical="top" wrapText="1"/>
    </xf>
    <xf numFmtId="0" fontId="12" fillId="0" borderId="14" xfId="0" applyFont="1" applyBorder="1" applyAlignment="1">
      <alignment vertical="top" wrapText="1"/>
    </xf>
    <xf numFmtId="0" fontId="12" fillId="0" borderId="2" xfId="0" applyFont="1" applyBorder="1" applyAlignment="1">
      <alignment vertical="top" wrapText="1"/>
    </xf>
    <xf numFmtId="0" fontId="12" fillId="0" borderId="4" xfId="0" applyFont="1" applyBorder="1" applyAlignment="1">
      <alignment vertical="top" wrapText="1"/>
    </xf>
    <xf numFmtId="0" fontId="1" fillId="0" borderId="5" xfId="0" applyFont="1" applyBorder="1" applyAlignment="1">
      <alignment vertical="center" wrapText="1"/>
    </xf>
    <xf numFmtId="0" fontId="12" fillId="2" borderId="12" xfId="0" applyFont="1" applyFill="1" applyBorder="1" applyAlignment="1">
      <alignment vertical="center" wrapText="1"/>
    </xf>
    <xf numFmtId="0" fontId="12" fillId="2" borderId="14" xfId="0" applyFont="1" applyFill="1" applyBorder="1" applyAlignment="1">
      <alignment vertical="center" wrapText="1"/>
    </xf>
    <xf numFmtId="0" fontId="12" fillId="0" borderId="2" xfId="0" applyFont="1" applyBorder="1" applyAlignment="1">
      <alignment vertical="center" wrapText="1"/>
    </xf>
    <xf numFmtId="0" fontId="12" fillId="0" borderId="4" xfId="0" applyFont="1" applyBorder="1" applyAlignment="1">
      <alignment vertical="center" wrapText="1"/>
    </xf>
    <xf numFmtId="0" fontId="12" fillId="0" borderId="15" xfId="0" applyFont="1" applyBorder="1" applyAlignment="1">
      <alignment vertical="center" wrapText="1"/>
    </xf>
    <xf numFmtId="0" fontId="12" fillId="0" borderId="11" xfId="0" applyFont="1" applyBorder="1" applyAlignment="1">
      <alignment vertical="center" wrapText="1"/>
    </xf>
    <xf numFmtId="0" fontId="12" fillId="0" borderId="15" xfId="0" applyFont="1" applyBorder="1" applyAlignment="1">
      <alignment vertical="top" wrapText="1"/>
    </xf>
    <xf numFmtId="0" fontId="12" fillId="0" borderId="11" xfId="0" applyFont="1" applyBorder="1" applyAlignment="1">
      <alignment vertical="top" wrapText="1"/>
    </xf>
    <xf numFmtId="0" fontId="12" fillId="0" borderId="10" xfId="0" applyFont="1" applyBorder="1" applyAlignment="1">
      <alignment vertical="top" wrapText="1"/>
    </xf>
    <xf numFmtId="0" fontId="1" fillId="0" borderId="2" xfId="0" applyFont="1" applyBorder="1" applyAlignment="1">
      <alignment vertical="center"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2" fillId="0" borderId="5" xfId="0" applyFont="1" applyBorder="1" applyAlignment="1">
      <alignment vertical="top" wrapText="1"/>
    </xf>
    <xf numFmtId="0" fontId="12" fillId="0" borderId="6" xfId="0" applyFont="1" applyBorder="1" applyAlignment="1">
      <alignment vertical="top" wrapText="1"/>
    </xf>
    <xf numFmtId="0" fontId="12" fillId="0" borderId="7" xfId="0" applyFont="1" applyBorder="1" applyAlignment="1">
      <alignment vertical="top" wrapText="1"/>
    </xf>
    <xf numFmtId="0" fontId="12" fillId="0" borderId="9" xfId="0" applyFont="1" applyBorder="1" applyAlignment="1">
      <alignment vertical="top" wrapText="1"/>
    </xf>
    <xf numFmtId="0" fontId="1" fillId="0" borderId="15" xfId="0" applyFont="1" applyBorder="1" applyAlignment="1">
      <alignment vertical="center" wrapText="1"/>
    </xf>
    <xf numFmtId="0" fontId="1" fillId="0" borderId="10" xfId="0" applyFont="1" applyBorder="1" applyAlignment="1">
      <alignment vertical="center" wrapText="1"/>
    </xf>
    <xf numFmtId="49" fontId="12" fillId="0" borderId="15" xfId="0" applyNumberFormat="1" applyFont="1" applyBorder="1" applyAlignment="1">
      <alignment vertical="center" wrapText="1"/>
    </xf>
    <xf numFmtId="49" fontId="12" fillId="0" borderId="10" xfId="0" applyNumberFormat="1" applyFont="1" applyBorder="1" applyAlignment="1">
      <alignment vertical="center" wrapText="1"/>
    </xf>
    <xf numFmtId="0" fontId="12" fillId="0" borderId="10" xfId="0" applyFont="1" applyBorder="1" applyAlignment="1">
      <alignment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2" fillId="0" borderId="22" xfId="0" applyFont="1" applyBorder="1" applyAlignment="1">
      <alignment vertical="top" wrapText="1"/>
    </xf>
    <xf numFmtId="0" fontId="12" fillId="0" borderId="24" xfId="0" applyFont="1" applyBorder="1" applyAlignment="1">
      <alignment vertical="top" wrapText="1"/>
    </xf>
    <xf numFmtId="0" fontId="12" fillId="0" borderId="12" xfId="0" applyFont="1" applyBorder="1" applyAlignment="1">
      <alignment vertical="center" wrapText="1"/>
    </xf>
    <xf numFmtId="0" fontId="12" fillId="0" borderId="14"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49719-1B2B-4F49-9A36-92B88FE302F3}">
  <dimension ref="A1:J135"/>
  <sheetViews>
    <sheetView tabSelected="1" view="pageBreakPreview" topLeftCell="A33" zoomScale="82" zoomScaleNormal="100" zoomScaleSheetLayoutView="82" workbookViewId="0">
      <selection activeCell="D36" sqref="D36"/>
    </sheetView>
  </sheetViews>
  <sheetFormatPr defaultRowHeight="15"/>
  <cols>
    <col min="1" max="2" width="5.5703125" customWidth="1"/>
    <col min="3" max="3" width="47.85546875" customWidth="1"/>
    <col min="4" max="4" width="14.7109375" customWidth="1"/>
    <col min="5" max="5" width="16.5703125" customWidth="1"/>
    <col min="6" max="6" width="15.85546875" customWidth="1"/>
    <col min="7" max="7" width="25" customWidth="1"/>
    <col min="8" max="8" width="47.7109375" customWidth="1"/>
    <col min="9" max="9" width="38.7109375" customWidth="1"/>
  </cols>
  <sheetData>
    <row r="1" spans="1:10" ht="66.599999999999994" customHeight="1" thickBot="1">
      <c r="A1" s="128" t="s">
        <v>93</v>
      </c>
      <c r="B1" s="128"/>
      <c r="C1" s="128"/>
      <c r="D1" s="128"/>
      <c r="E1" s="128"/>
      <c r="F1" s="128"/>
      <c r="G1" s="128"/>
      <c r="H1" s="128"/>
      <c r="I1" s="128"/>
    </row>
    <row r="2" spans="1:10" ht="18" customHeight="1">
      <c r="A2" s="132" t="s">
        <v>307</v>
      </c>
      <c r="B2" s="133"/>
      <c r="C2" s="133"/>
      <c r="D2" s="133"/>
      <c r="E2" s="133"/>
      <c r="F2" s="133"/>
      <c r="G2" s="133"/>
      <c r="H2" s="133"/>
      <c r="I2" s="133"/>
    </row>
    <row r="3" spans="1:10" ht="15.75">
      <c r="A3" s="134" t="s">
        <v>94</v>
      </c>
      <c r="B3" s="135"/>
      <c r="C3" s="135"/>
      <c r="D3" s="135"/>
      <c r="E3" s="135"/>
      <c r="F3" s="135"/>
      <c r="G3" s="135"/>
      <c r="H3" s="135"/>
      <c r="I3" s="135"/>
    </row>
    <row r="4" spans="1:10" ht="18" customHeight="1">
      <c r="A4" s="134" t="s">
        <v>95</v>
      </c>
      <c r="B4" s="135"/>
      <c r="C4" s="135"/>
      <c r="D4" s="135"/>
      <c r="E4" s="135"/>
      <c r="F4" s="135"/>
      <c r="G4" s="135"/>
      <c r="H4" s="135"/>
      <c r="I4" s="135"/>
    </row>
    <row r="5" spans="1:10" ht="14.45" customHeight="1">
      <c r="A5" s="136" t="s">
        <v>121</v>
      </c>
      <c r="B5" s="137"/>
      <c r="C5" s="137"/>
      <c r="D5" s="137"/>
      <c r="E5" s="137"/>
      <c r="F5" s="137"/>
      <c r="G5" s="137"/>
      <c r="H5" s="137"/>
      <c r="I5" s="137"/>
    </row>
    <row r="6" spans="1:10" ht="15.75">
      <c r="A6" s="134" t="s">
        <v>122</v>
      </c>
      <c r="B6" s="135"/>
      <c r="C6" s="135"/>
      <c r="D6" s="135"/>
      <c r="E6" s="135"/>
      <c r="F6" s="135"/>
      <c r="G6" s="135"/>
      <c r="H6" s="135"/>
      <c r="I6" s="135"/>
    </row>
    <row r="7" spans="1:10" ht="15.75">
      <c r="A7" s="130" t="s">
        <v>0</v>
      </c>
      <c r="B7" s="130"/>
      <c r="C7" s="131" t="s">
        <v>1</v>
      </c>
      <c r="D7" s="131" t="s">
        <v>2</v>
      </c>
      <c r="E7" s="131"/>
      <c r="F7" s="131"/>
      <c r="G7" s="10" t="s">
        <v>3</v>
      </c>
      <c r="H7" s="10" t="s">
        <v>4</v>
      </c>
      <c r="I7" s="10" t="s">
        <v>5</v>
      </c>
    </row>
    <row r="8" spans="1:10" ht="15.75">
      <c r="A8" s="130"/>
      <c r="B8" s="130"/>
      <c r="C8" s="131"/>
      <c r="D8" s="10">
        <v>2020</v>
      </c>
      <c r="E8" s="10">
        <v>2021</v>
      </c>
      <c r="F8" s="10">
        <v>2022</v>
      </c>
      <c r="G8" s="10"/>
      <c r="H8" s="10"/>
      <c r="I8" s="10"/>
    </row>
    <row r="9" spans="1:10" ht="60">
      <c r="A9" s="6">
        <v>1</v>
      </c>
      <c r="B9" s="8">
        <v>1</v>
      </c>
      <c r="C9" s="8" t="s">
        <v>6</v>
      </c>
      <c r="D9" s="55">
        <f>'Cost estimates'!E11</f>
        <v>12500</v>
      </c>
      <c r="E9" s="8"/>
      <c r="F9" s="8"/>
      <c r="G9" s="8" t="s">
        <v>8</v>
      </c>
      <c r="H9" s="8" t="s">
        <v>68</v>
      </c>
      <c r="I9" s="100" t="s">
        <v>308</v>
      </c>
      <c r="J9" s="1" t="s">
        <v>310</v>
      </c>
    </row>
    <row r="10" spans="1:10" ht="144.75" customHeight="1">
      <c r="A10" s="6">
        <v>1</v>
      </c>
      <c r="B10" s="8">
        <v>2</v>
      </c>
      <c r="C10" s="8" t="s">
        <v>10</v>
      </c>
      <c r="D10" s="55">
        <f>'Cost estimates'!E13</f>
        <v>15000</v>
      </c>
      <c r="E10" s="55">
        <f>'Cost estimates'!E13</f>
        <v>15000</v>
      </c>
      <c r="F10" s="8"/>
      <c r="G10" s="8" t="s">
        <v>8</v>
      </c>
      <c r="H10" s="8" t="s">
        <v>69</v>
      </c>
      <c r="I10" s="8" t="s">
        <v>12</v>
      </c>
      <c r="J10" s="1" t="s">
        <v>310</v>
      </c>
    </row>
    <row r="11" spans="1:10" ht="90">
      <c r="A11" s="6">
        <v>1</v>
      </c>
      <c r="B11" s="8">
        <v>3</v>
      </c>
      <c r="C11" s="8" t="s">
        <v>13</v>
      </c>
      <c r="D11" s="55">
        <v>40000</v>
      </c>
      <c r="E11" s="55">
        <f>'Cost estimates'!D79</f>
        <v>350000</v>
      </c>
      <c r="F11" s="8"/>
      <c r="G11" s="8" t="s">
        <v>8</v>
      </c>
      <c r="H11" s="8" t="s">
        <v>14</v>
      </c>
      <c r="I11" s="8" t="s">
        <v>15</v>
      </c>
      <c r="J11" s="1" t="s">
        <v>311</v>
      </c>
    </row>
    <row r="12" spans="1:10" ht="156.75" customHeight="1">
      <c r="A12" s="6">
        <v>1</v>
      </c>
      <c r="B12" s="8">
        <v>4</v>
      </c>
      <c r="C12" s="8" t="s">
        <v>312</v>
      </c>
      <c r="D12" s="8"/>
      <c r="E12" s="8"/>
      <c r="F12" s="8"/>
      <c r="G12" s="8" t="s">
        <v>8</v>
      </c>
      <c r="H12" s="8" t="s">
        <v>70</v>
      </c>
      <c r="I12" s="8" t="s">
        <v>15</v>
      </c>
      <c r="J12" s="1"/>
    </row>
    <row r="13" spans="1:10" ht="90" customHeight="1">
      <c r="A13" s="6">
        <v>1</v>
      </c>
      <c r="B13" s="8">
        <v>5</v>
      </c>
      <c r="C13" s="8" t="s">
        <v>16</v>
      </c>
      <c r="D13" s="55">
        <f>50*150000/1000</f>
        <v>7500</v>
      </c>
      <c r="E13" s="8"/>
      <c r="F13" s="8"/>
      <c r="G13" s="8" t="s">
        <v>8</v>
      </c>
      <c r="H13" s="8" t="s">
        <v>71</v>
      </c>
      <c r="I13" s="8"/>
      <c r="J13" s="1" t="s">
        <v>311</v>
      </c>
    </row>
    <row r="14" spans="1:10" ht="150">
      <c r="A14" s="6">
        <v>1</v>
      </c>
      <c r="B14" s="8">
        <v>6</v>
      </c>
      <c r="C14" s="8" t="s">
        <v>17</v>
      </c>
      <c r="D14" s="8"/>
      <c r="E14" s="55">
        <f>'Cost estimates'!E11</f>
        <v>12500</v>
      </c>
      <c r="F14" s="8"/>
      <c r="G14" s="8" t="s">
        <v>18</v>
      </c>
      <c r="H14" s="8" t="s">
        <v>72</v>
      </c>
      <c r="I14" s="8" t="s">
        <v>19</v>
      </c>
      <c r="J14" s="1" t="s">
        <v>310</v>
      </c>
    </row>
    <row r="15" spans="1:10" ht="15.75">
      <c r="A15" s="84"/>
      <c r="B15" s="140" t="s">
        <v>250</v>
      </c>
      <c r="C15" s="140"/>
      <c r="D15" s="85">
        <f>SUM(D9:D14)</f>
        <v>75000</v>
      </c>
      <c r="E15" s="85">
        <f>SUM(E9:E14)</f>
        <v>377500</v>
      </c>
      <c r="F15" s="85">
        <f>SUM(F9:F14)</f>
        <v>0</v>
      </c>
      <c r="G15" s="84"/>
      <c r="H15" s="84"/>
      <c r="I15" s="84"/>
      <c r="J15" s="1"/>
    </row>
    <row r="16" spans="1:10" ht="18" customHeight="1">
      <c r="A16" s="125" t="s">
        <v>96</v>
      </c>
      <c r="B16" s="126"/>
      <c r="C16" s="126"/>
      <c r="D16" s="126"/>
      <c r="E16" s="126"/>
      <c r="F16" s="126"/>
      <c r="G16" s="126"/>
      <c r="H16" s="126"/>
      <c r="I16" s="126"/>
      <c r="J16" s="1"/>
    </row>
    <row r="17" spans="1:10" ht="18" customHeight="1">
      <c r="A17" s="125" t="s">
        <v>97</v>
      </c>
      <c r="B17" s="126"/>
      <c r="C17" s="126"/>
      <c r="D17" s="126"/>
      <c r="E17" s="126"/>
      <c r="F17" s="126"/>
      <c r="G17" s="126"/>
      <c r="H17" s="126"/>
      <c r="I17" s="126"/>
      <c r="J17" s="1"/>
    </row>
    <row r="18" spans="1:10" ht="17.25" customHeight="1">
      <c r="A18" s="125" t="s">
        <v>98</v>
      </c>
      <c r="B18" s="126"/>
      <c r="C18" s="126"/>
      <c r="D18" s="126"/>
      <c r="E18" s="126"/>
      <c r="F18" s="126"/>
      <c r="G18" s="126"/>
      <c r="H18" s="126"/>
      <c r="I18" s="126"/>
      <c r="J18" s="1"/>
    </row>
    <row r="19" spans="1:10" ht="88.5" customHeight="1">
      <c r="A19" s="6">
        <v>2</v>
      </c>
      <c r="B19" s="8">
        <v>1</v>
      </c>
      <c r="C19" s="8" t="s">
        <v>20</v>
      </c>
      <c r="D19" s="55">
        <f>'Cost estimates'!E11</f>
        <v>12500</v>
      </c>
      <c r="E19" s="8"/>
      <c r="F19" s="8"/>
      <c r="G19" s="8" t="s">
        <v>99</v>
      </c>
      <c r="H19" s="8" t="s">
        <v>21</v>
      </c>
      <c r="I19" s="8"/>
      <c r="J19" t="s">
        <v>310</v>
      </c>
    </row>
    <row r="20" spans="1:10" ht="52.5" customHeight="1">
      <c r="A20" s="6">
        <v>2</v>
      </c>
      <c r="B20" s="8">
        <v>2</v>
      </c>
      <c r="C20" s="8" t="s">
        <v>22</v>
      </c>
      <c r="D20" s="55">
        <f>'Cost estimates'!E11</f>
        <v>12500</v>
      </c>
      <c r="E20" s="8"/>
      <c r="F20" s="8"/>
      <c r="G20" s="8" t="s">
        <v>99</v>
      </c>
      <c r="H20" s="8" t="s">
        <v>23</v>
      </c>
      <c r="I20" s="8"/>
      <c r="J20" t="s">
        <v>310</v>
      </c>
    </row>
    <row r="21" spans="1:10" ht="166.5" customHeight="1">
      <c r="A21" s="6">
        <v>2</v>
      </c>
      <c r="B21" s="8">
        <v>3</v>
      </c>
      <c r="C21" s="9" t="s">
        <v>24</v>
      </c>
      <c r="D21" s="8">
        <v>0</v>
      </c>
      <c r="E21" s="8"/>
      <c r="F21" s="8"/>
      <c r="G21" s="8" t="s">
        <v>99</v>
      </c>
      <c r="H21" s="8" t="s">
        <v>73</v>
      </c>
      <c r="I21" s="8"/>
    </row>
    <row r="22" spans="1:10" s="11" customFormat="1" ht="15.75">
      <c r="A22" s="84"/>
      <c r="B22" s="140" t="s">
        <v>250</v>
      </c>
      <c r="C22" s="140"/>
      <c r="D22" s="85">
        <f>SUM(D19:D21)</f>
        <v>25000</v>
      </c>
      <c r="E22" s="85">
        <f>SUM(E19:E21)</f>
        <v>0</v>
      </c>
      <c r="F22" s="85">
        <f>SUM(F19:F21)</f>
        <v>0</v>
      </c>
      <c r="G22" s="84"/>
      <c r="H22" s="84"/>
      <c r="I22" s="84"/>
      <c r="J22" s="1"/>
    </row>
    <row r="23" spans="1:10" ht="18" customHeight="1">
      <c r="A23" s="125" t="s">
        <v>290</v>
      </c>
      <c r="B23" s="126"/>
      <c r="C23" s="126"/>
      <c r="D23" s="126"/>
      <c r="E23" s="126"/>
      <c r="F23" s="126"/>
      <c r="G23" s="126"/>
      <c r="H23" s="126"/>
      <c r="I23" s="127"/>
    </row>
    <row r="24" spans="1:10" ht="18" customHeight="1">
      <c r="A24" s="125" t="s">
        <v>100</v>
      </c>
      <c r="B24" s="126"/>
      <c r="C24" s="126"/>
      <c r="D24" s="126"/>
      <c r="E24" s="126"/>
      <c r="F24" s="126"/>
      <c r="G24" s="126"/>
      <c r="H24" s="126"/>
      <c r="I24" s="127"/>
    </row>
    <row r="25" spans="1:10" ht="18" customHeight="1">
      <c r="A25" s="125" t="s">
        <v>101</v>
      </c>
      <c r="B25" s="126"/>
      <c r="C25" s="126"/>
      <c r="D25" s="126"/>
      <c r="E25" s="126"/>
      <c r="F25" s="126"/>
      <c r="G25" s="126"/>
      <c r="H25" s="126"/>
      <c r="I25" s="127"/>
    </row>
    <row r="26" spans="1:10" ht="15.75">
      <c r="A26" s="125"/>
      <c r="B26" s="126"/>
      <c r="C26" s="126"/>
      <c r="D26" s="126"/>
      <c r="E26" s="126"/>
      <c r="F26" s="126"/>
      <c r="G26" s="126"/>
      <c r="H26" s="126"/>
      <c r="I26" s="127"/>
    </row>
    <row r="27" spans="1:10" ht="18" customHeight="1">
      <c r="A27" s="125" t="s">
        <v>25</v>
      </c>
      <c r="B27" s="126"/>
      <c r="C27" s="126"/>
      <c r="D27" s="126"/>
      <c r="E27" s="126"/>
      <c r="F27" s="126"/>
      <c r="G27" s="126"/>
      <c r="H27" s="126"/>
      <c r="I27" s="127"/>
    </row>
    <row r="28" spans="1:10" ht="18" customHeight="1">
      <c r="A28" s="125" t="s">
        <v>26</v>
      </c>
      <c r="B28" s="126"/>
      <c r="C28" s="126"/>
      <c r="D28" s="126"/>
      <c r="E28" s="126"/>
      <c r="F28" s="126"/>
      <c r="G28" s="126"/>
      <c r="H28" s="126"/>
      <c r="I28" s="127"/>
    </row>
    <row r="29" spans="1:10" ht="17.25" customHeight="1">
      <c r="A29" s="125" t="s">
        <v>27</v>
      </c>
      <c r="B29" s="126"/>
      <c r="C29" s="126"/>
      <c r="D29" s="126"/>
      <c r="E29" s="126"/>
      <c r="F29" s="126"/>
      <c r="G29" s="126"/>
      <c r="H29" s="126"/>
      <c r="I29" s="127"/>
    </row>
    <row r="30" spans="1:10" ht="60">
      <c r="A30" s="6">
        <v>3</v>
      </c>
      <c r="B30" s="6">
        <v>1</v>
      </c>
      <c r="C30" s="8" t="s">
        <v>28</v>
      </c>
      <c r="D30" s="8">
        <v>0</v>
      </c>
      <c r="E30" s="7">
        <v>0</v>
      </c>
      <c r="F30" s="7">
        <v>0</v>
      </c>
      <c r="G30" s="8" t="s">
        <v>99</v>
      </c>
      <c r="H30" s="8" t="s">
        <v>29</v>
      </c>
      <c r="I30" s="8" t="s">
        <v>15</v>
      </c>
    </row>
    <row r="31" spans="1:10" ht="120">
      <c r="A31" s="6">
        <v>3</v>
      </c>
      <c r="B31" s="6">
        <v>2</v>
      </c>
      <c r="C31" s="8" t="s">
        <v>30</v>
      </c>
      <c r="D31" s="8">
        <v>0</v>
      </c>
      <c r="E31" s="7">
        <v>0</v>
      </c>
      <c r="F31" s="7">
        <v>0</v>
      </c>
      <c r="G31" s="8" t="s">
        <v>99</v>
      </c>
      <c r="H31" s="8" t="s">
        <v>74</v>
      </c>
      <c r="I31" s="8" t="s">
        <v>31</v>
      </c>
    </row>
    <row r="32" spans="1:10" ht="51.6" customHeight="1">
      <c r="A32" s="6">
        <v>3</v>
      </c>
      <c r="B32" s="6">
        <v>3</v>
      </c>
      <c r="C32" s="8" t="s">
        <v>32</v>
      </c>
      <c r="D32" s="8">
        <v>0</v>
      </c>
      <c r="E32" s="7">
        <v>0</v>
      </c>
      <c r="F32" s="7">
        <v>0</v>
      </c>
      <c r="G32" s="8" t="s">
        <v>102</v>
      </c>
      <c r="H32" s="8" t="s">
        <v>75</v>
      </c>
      <c r="I32" s="8" t="s">
        <v>15</v>
      </c>
    </row>
    <row r="33" spans="1:10" ht="130.5" customHeight="1">
      <c r="A33" s="6">
        <v>3</v>
      </c>
      <c r="B33" s="6">
        <v>4</v>
      </c>
      <c r="C33" s="8" t="s">
        <v>33</v>
      </c>
      <c r="D33" s="57"/>
      <c r="E33" s="57">
        <f>'Cost estimates'!F72</f>
        <v>720000</v>
      </c>
      <c r="F33" s="57">
        <f>'Cost estimates'!F73</f>
        <v>1440000</v>
      </c>
      <c r="G33" s="8" t="s">
        <v>99</v>
      </c>
      <c r="H33" s="82" t="s">
        <v>76</v>
      </c>
      <c r="I33" s="8" t="s">
        <v>15</v>
      </c>
      <c r="J33" s="101" t="s">
        <v>311</v>
      </c>
    </row>
    <row r="34" spans="1:10" ht="45" customHeight="1">
      <c r="A34" s="146">
        <v>3</v>
      </c>
      <c r="B34" s="146">
        <v>5</v>
      </c>
      <c r="C34" s="8" t="s">
        <v>287</v>
      </c>
      <c r="D34" s="57">
        <f>SUM(D35:D40)</f>
        <v>3384900</v>
      </c>
      <c r="E34" s="57">
        <f>SUM(E35:E40)</f>
        <v>5845706.3499999996</v>
      </c>
      <c r="F34" s="57">
        <f>SUM(F35:F40)</f>
        <v>174812.70000000019</v>
      </c>
      <c r="G34" s="138" t="s">
        <v>99</v>
      </c>
      <c r="H34" s="142" t="s">
        <v>77</v>
      </c>
      <c r="I34" s="142" t="s">
        <v>15</v>
      </c>
      <c r="J34" t="s">
        <v>313</v>
      </c>
    </row>
    <row r="35" spans="1:10" s="11" customFormat="1" ht="45" customHeight="1">
      <c r="A35" s="147"/>
      <c r="B35" s="147"/>
      <c r="C35" s="81" t="s">
        <v>314</v>
      </c>
      <c r="D35" s="124">
        <f>'Cost estimates'!F16</f>
        <v>351000</v>
      </c>
      <c r="E35" s="57"/>
      <c r="F35" s="57"/>
      <c r="G35" s="145"/>
      <c r="H35" s="143"/>
      <c r="I35" s="143"/>
    </row>
    <row r="36" spans="1:10" s="11" customFormat="1" ht="30">
      <c r="A36" s="147"/>
      <c r="B36" s="147"/>
      <c r="C36" s="81" t="s">
        <v>285</v>
      </c>
      <c r="D36" s="57"/>
      <c r="E36" s="57">
        <f>'Cost estimates'!F42/2</f>
        <v>-551093.64999999991</v>
      </c>
      <c r="F36" s="57">
        <f>'Cost estimates'!F42</f>
        <v>-1102187.2999999998</v>
      </c>
      <c r="G36" s="145"/>
      <c r="H36" s="143"/>
      <c r="I36" s="143"/>
    </row>
    <row r="37" spans="1:10" s="11" customFormat="1" ht="30">
      <c r="A37" s="147"/>
      <c r="B37" s="147"/>
      <c r="C37" s="81" t="s">
        <v>330</v>
      </c>
      <c r="D37" s="57">
        <f>'Cost estimates'!F54</f>
        <v>2162940</v>
      </c>
      <c r="E37" s="57">
        <f>'Cost estimates'!F55</f>
        <v>4325880</v>
      </c>
      <c r="F37" s="57"/>
      <c r="G37" s="145"/>
      <c r="H37" s="143"/>
      <c r="I37" s="143"/>
    </row>
    <row r="38" spans="1:10" s="11" customFormat="1" ht="30">
      <c r="A38" s="147"/>
      <c r="B38" s="147"/>
      <c r="C38" s="81" t="s">
        <v>332</v>
      </c>
      <c r="D38" s="57">
        <f>'Cost estimates'!F58</f>
        <v>570960</v>
      </c>
      <c r="E38" s="57">
        <f>'Cost estimates'!F59</f>
        <v>1141920</v>
      </c>
      <c r="F38" s="57"/>
      <c r="G38" s="145"/>
      <c r="H38" s="143"/>
      <c r="I38" s="143"/>
    </row>
    <row r="39" spans="1:10" s="11" customFormat="1" ht="30">
      <c r="A39" s="147"/>
      <c r="B39" s="147"/>
      <c r="C39" s="81" t="s">
        <v>286</v>
      </c>
      <c r="D39" s="57">
        <f>600*'Cost estimates'!F69/1500</f>
        <v>300000</v>
      </c>
      <c r="E39" s="57">
        <f>'Cost estimates'!F69-Police!D39</f>
        <v>450000</v>
      </c>
      <c r="G39" s="145"/>
      <c r="H39" s="143"/>
      <c r="I39" s="143"/>
    </row>
    <row r="40" spans="1:10" s="11" customFormat="1" ht="30">
      <c r="A40" s="148"/>
      <c r="B40" s="148"/>
      <c r="C40" s="81" t="s">
        <v>288</v>
      </c>
      <c r="D40" s="57"/>
      <c r="E40" s="57">
        <f>'Cost estimates'!F64+'Cost estimates'!F65*'Cost estimates'!C54/'Cost estimates'!C53</f>
        <v>479000</v>
      </c>
      <c r="F40" s="57">
        <f>'Cost estimates'!F63</f>
        <v>1277000</v>
      </c>
      <c r="G40" s="139"/>
      <c r="H40" s="144"/>
      <c r="I40" s="144"/>
    </row>
    <row r="41" spans="1:10" ht="60">
      <c r="A41" s="6">
        <v>3</v>
      </c>
      <c r="B41" s="6">
        <v>6</v>
      </c>
      <c r="C41" s="8" t="s">
        <v>34</v>
      </c>
      <c r="D41" s="57">
        <f>'Cost estimates'!E11</f>
        <v>12500</v>
      </c>
      <c r="E41" s="57"/>
      <c r="F41" s="57"/>
      <c r="G41" s="8"/>
      <c r="H41" s="8" t="s">
        <v>35</v>
      </c>
      <c r="I41" s="8" t="s">
        <v>15</v>
      </c>
      <c r="J41" t="s">
        <v>310</v>
      </c>
    </row>
    <row r="42" spans="1:10" ht="255">
      <c r="A42" s="6">
        <v>3</v>
      </c>
      <c r="B42" s="6">
        <v>7</v>
      </c>
      <c r="C42" s="8" t="s">
        <v>36</v>
      </c>
      <c r="D42" s="57">
        <f>377000+150000</f>
        <v>527000</v>
      </c>
      <c r="E42" s="57">
        <f>2524476-D42</f>
        <v>1997476</v>
      </c>
      <c r="F42" s="57"/>
      <c r="G42" s="8"/>
      <c r="H42" s="8" t="s">
        <v>78</v>
      </c>
      <c r="I42" s="8" t="s">
        <v>15</v>
      </c>
      <c r="J42" t="s">
        <v>313</v>
      </c>
    </row>
    <row r="43" spans="1:10" ht="105">
      <c r="A43" s="6">
        <v>3</v>
      </c>
      <c r="B43" s="6">
        <v>8</v>
      </c>
      <c r="C43" s="8" t="s">
        <v>37</v>
      </c>
      <c r="D43" s="57"/>
      <c r="E43" s="57">
        <f>2000*'Cost estimates'!C1</f>
        <v>1000000</v>
      </c>
      <c r="F43" s="57"/>
      <c r="G43" s="8"/>
      <c r="H43" s="8" t="s">
        <v>79</v>
      </c>
      <c r="I43" s="8" t="s">
        <v>15</v>
      </c>
      <c r="J43" t="s">
        <v>313</v>
      </c>
    </row>
    <row r="44" spans="1:10" s="11" customFormat="1" ht="15.75">
      <c r="A44" s="84"/>
      <c r="B44" s="140" t="s">
        <v>250</v>
      </c>
      <c r="C44" s="140"/>
      <c r="D44" s="85">
        <f>D30+D31+D32+D33+D34+D41+D42+D43</f>
        <v>3924400</v>
      </c>
      <c r="E44" s="85">
        <f>E30+E31+E32+E33+E34+E41+E42+E43</f>
        <v>9563182.3499999996</v>
      </c>
      <c r="F44" s="85">
        <f>F30+F31+F32+F33+F34+F41+F42+F43</f>
        <v>1614812.7000000002</v>
      </c>
      <c r="G44" s="84"/>
      <c r="H44" s="84"/>
      <c r="I44" s="84"/>
      <c r="J44" s="1"/>
    </row>
    <row r="45" spans="1:10" ht="15.75">
      <c r="A45" s="125"/>
      <c r="B45" s="126"/>
      <c r="C45" s="126"/>
      <c r="D45" s="126"/>
      <c r="E45" s="126"/>
      <c r="F45" s="126"/>
      <c r="G45" s="126"/>
      <c r="H45" s="126"/>
      <c r="I45" s="127"/>
      <c r="J45" s="1"/>
    </row>
    <row r="46" spans="1:10" ht="18" customHeight="1">
      <c r="A46" s="125" t="s">
        <v>289</v>
      </c>
      <c r="B46" s="126"/>
      <c r="C46" s="126"/>
      <c r="D46" s="126"/>
      <c r="E46" s="126"/>
      <c r="F46" s="126"/>
      <c r="G46" s="126"/>
      <c r="H46" s="126"/>
      <c r="I46" s="127"/>
      <c r="J46" s="1"/>
    </row>
    <row r="47" spans="1:10" ht="18" customHeight="1">
      <c r="A47" s="125" t="s">
        <v>103</v>
      </c>
      <c r="B47" s="126"/>
      <c r="C47" s="126"/>
      <c r="D47" s="126"/>
      <c r="E47" s="126"/>
      <c r="F47" s="126"/>
      <c r="G47" s="126"/>
      <c r="H47" s="126"/>
      <c r="I47" s="127"/>
      <c r="J47" s="1"/>
    </row>
    <row r="48" spans="1:10" ht="18" customHeight="1">
      <c r="A48" s="125" t="s">
        <v>104</v>
      </c>
      <c r="B48" s="126"/>
      <c r="C48" s="126"/>
      <c r="D48" s="126"/>
      <c r="E48" s="126"/>
      <c r="F48" s="126"/>
      <c r="G48" s="126"/>
      <c r="H48" s="126"/>
      <c r="I48" s="127"/>
      <c r="J48" s="1"/>
    </row>
    <row r="49" spans="1:10" ht="15.75">
      <c r="A49" s="125"/>
      <c r="B49" s="126"/>
      <c r="C49" s="126"/>
      <c r="D49" s="126"/>
      <c r="E49" s="126"/>
      <c r="F49" s="126"/>
      <c r="G49" s="126"/>
      <c r="H49" s="126"/>
      <c r="I49" s="127"/>
      <c r="J49" s="1"/>
    </row>
    <row r="50" spans="1:10" ht="90">
      <c r="A50" s="6">
        <v>4</v>
      </c>
      <c r="B50" s="8">
        <v>1</v>
      </c>
      <c r="C50" s="8" t="s">
        <v>38</v>
      </c>
      <c r="D50" s="8">
        <v>0</v>
      </c>
      <c r="E50" s="8">
        <v>0</v>
      </c>
      <c r="F50" s="8">
        <v>0</v>
      </c>
      <c r="G50" s="8" t="s">
        <v>8</v>
      </c>
      <c r="H50" s="8" t="s">
        <v>39</v>
      </c>
      <c r="I50" s="8" t="s">
        <v>9</v>
      </c>
      <c r="J50" s="1"/>
    </row>
    <row r="51" spans="1:10" ht="117" customHeight="1">
      <c r="A51" s="6">
        <v>4</v>
      </c>
      <c r="B51" s="8">
        <v>2</v>
      </c>
      <c r="C51" s="8" t="s">
        <v>40</v>
      </c>
      <c r="D51" s="55">
        <f>'Cost estimates'!E11</f>
        <v>12500</v>
      </c>
      <c r="E51" s="8"/>
      <c r="F51" s="8"/>
      <c r="G51" s="8" t="s">
        <v>8</v>
      </c>
      <c r="H51" s="8" t="s">
        <v>80</v>
      </c>
      <c r="I51" s="8" t="s">
        <v>9</v>
      </c>
      <c r="J51" s="1" t="s">
        <v>310</v>
      </c>
    </row>
    <row r="52" spans="1:10" ht="90">
      <c r="A52" s="6">
        <v>4</v>
      </c>
      <c r="B52" s="8">
        <v>3</v>
      </c>
      <c r="C52" s="82" t="s">
        <v>81</v>
      </c>
      <c r="D52" s="8"/>
      <c r="E52" s="55">
        <f>'Cost estimates'!C85/3</f>
        <v>21000</v>
      </c>
      <c r="F52" s="55">
        <f>'Cost estimates'!C85*2/3</f>
        <v>42000</v>
      </c>
      <c r="G52" s="8" t="s">
        <v>8</v>
      </c>
      <c r="H52" s="8" t="s">
        <v>41</v>
      </c>
      <c r="I52" s="8" t="s">
        <v>15</v>
      </c>
      <c r="J52" s="1" t="s">
        <v>311</v>
      </c>
    </row>
    <row r="53" spans="1:10" s="11" customFormat="1" ht="15.75">
      <c r="A53" s="84"/>
      <c r="B53" s="140" t="s">
        <v>250</v>
      </c>
      <c r="C53" s="140"/>
      <c r="D53" s="85">
        <f>SUM(D50:D52)</f>
        <v>12500</v>
      </c>
      <c r="E53" s="85">
        <f>SUM(E50:E52)</f>
        <v>21000</v>
      </c>
      <c r="F53" s="85">
        <f>SUM(F50:F52)</f>
        <v>42000</v>
      </c>
      <c r="G53" s="84"/>
      <c r="H53" s="84"/>
      <c r="I53" s="84"/>
      <c r="J53" s="1"/>
    </row>
    <row r="54" spans="1:10" ht="15.75">
      <c r="A54" s="125"/>
      <c r="B54" s="126"/>
      <c r="C54" s="126"/>
      <c r="D54" s="126"/>
      <c r="E54" s="126"/>
      <c r="F54" s="126"/>
      <c r="G54" s="126"/>
      <c r="H54" s="126"/>
      <c r="I54" s="127"/>
      <c r="J54" s="1"/>
    </row>
    <row r="55" spans="1:10" ht="18" customHeight="1">
      <c r="A55" s="125" t="s">
        <v>105</v>
      </c>
      <c r="B55" s="126"/>
      <c r="C55" s="126"/>
      <c r="D55" s="126"/>
      <c r="E55" s="126"/>
      <c r="F55" s="126"/>
      <c r="G55" s="126"/>
      <c r="H55" s="126"/>
      <c r="I55" s="127"/>
      <c r="J55" s="1"/>
    </row>
    <row r="56" spans="1:10" ht="36" customHeight="1">
      <c r="A56" s="125" t="s">
        <v>106</v>
      </c>
      <c r="B56" s="126"/>
      <c r="C56" s="126"/>
      <c r="D56" s="126"/>
      <c r="E56" s="126"/>
      <c r="F56" s="126"/>
      <c r="G56" s="126"/>
      <c r="H56" s="126"/>
      <c r="I56" s="127"/>
      <c r="J56" s="1"/>
    </row>
    <row r="57" spans="1:10" ht="36" customHeight="1">
      <c r="A57" s="125" t="s">
        <v>107</v>
      </c>
      <c r="B57" s="126"/>
      <c r="C57" s="126"/>
      <c r="D57" s="126"/>
      <c r="E57" s="126"/>
      <c r="F57" s="126"/>
      <c r="G57" s="126"/>
      <c r="H57" s="126"/>
      <c r="I57" s="127"/>
      <c r="J57" s="1"/>
    </row>
    <row r="58" spans="1:10" ht="15.75">
      <c r="A58" s="125"/>
      <c r="B58" s="126"/>
      <c r="C58" s="126"/>
      <c r="D58" s="126"/>
      <c r="E58" s="126"/>
      <c r="F58" s="126"/>
      <c r="G58" s="126"/>
      <c r="H58" s="126"/>
      <c r="I58" s="127"/>
      <c r="J58" s="1"/>
    </row>
    <row r="59" spans="1:10" ht="84.75" customHeight="1">
      <c r="A59" s="6">
        <v>5</v>
      </c>
      <c r="B59" s="8">
        <v>1</v>
      </c>
      <c r="C59" s="8" t="s">
        <v>42</v>
      </c>
      <c r="D59" s="8"/>
      <c r="E59" s="55">
        <f>'Cost estimates'!E11</f>
        <v>12500</v>
      </c>
      <c r="F59" s="82"/>
      <c r="G59" s="8" t="s">
        <v>99</v>
      </c>
      <c r="H59" s="8" t="s">
        <v>43</v>
      </c>
      <c r="I59" s="100" t="s">
        <v>315</v>
      </c>
      <c r="J59" s="1" t="s">
        <v>310</v>
      </c>
    </row>
    <row r="60" spans="1:10" ht="197.25" customHeight="1">
      <c r="A60" s="6">
        <v>5</v>
      </c>
      <c r="B60" s="8">
        <v>2</v>
      </c>
      <c r="C60" s="8" t="s">
        <v>82</v>
      </c>
      <c r="D60" s="82">
        <v>0</v>
      </c>
      <c r="E60" s="82">
        <v>0</v>
      </c>
      <c r="F60" s="82">
        <v>0</v>
      </c>
      <c r="G60" s="8" t="s">
        <v>99</v>
      </c>
      <c r="H60" s="8" t="s">
        <v>83</v>
      </c>
      <c r="I60" s="8" t="s">
        <v>15</v>
      </c>
      <c r="J60" s="1"/>
    </row>
    <row r="61" spans="1:10" ht="148.5" customHeight="1">
      <c r="A61" s="6">
        <v>5</v>
      </c>
      <c r="B61" s="8">
        <v>3</v>
      </c>
      <c r="C61" s="8" t="s">
        <v>44</v>
      </c>
      <c r="D61" s="8"/>
      <c r="E61" s="55">
        <f>'Cost estimates'!E11</f>
        <v>12500</v>
      </c>
      <c r="F61" s="8"/>
      <c r="G61" s="8" t="s">
        <v>8</v>
      </c>
      <c r="H61" s="9" t="s">
        <v>84</v>
      </c>
      <c r="I61" s="8" t="s">
        <v>15</v>
      </c>
      <c r="J61" s="1" t="s">
        <v>310</v>
      </c>
    </row>
    <row r="62" spans="1:10" ht="174" customHeight="1">
      <c r="A62" s="6">
        <v>5</v>
      </c>
      <c r="B62" s="8">
        <v>4</v>
      </c>
      <c r="C62" s="83" t="s">
        <v>45</v>
      </c>
      <c r="D62" s="8"/>
      <c r="E62" s="57">
        <f>50000*'Cost estimates'!C1/1000</f>
        <v>25000</v>
      </c>
      <c r="F62" s="8"/>
      <c r="G62" s="8" t="s">
        <v>8</v>
      </c>
      <c r="H62" s="9" t="s">
        <v>85</v>
      </c>
      <c r="I62" s="8" t="s">
        <v>15</v>
      </c>
      <c r="J62" s="1" t="s">
        <v>316</v>
      </c>
    </row>
    <row r="63" spans="1:10" ht="187.5" customHeight="1">
      <c r="A63" s="6">
        <v>5</v>
      </c>
      <c r="B63" s="8">
        <v>5</v>
      </c>
      <c r="C63" s="8" t="s">
        <v>46</v>
      </c>
      <c r="D63" s="8"/>
      <c r="E63" s="57">
        <f>50000*'Cost estimates'!C1/1000</f>
        <v>25000</v>
      </c>
      <c r="F63" s="8"/>
      <c r="G63" s="8" t="s">
        <v>8</v>
      </c>
      <c r="H63" s="9" t="s">
        <v>86</v>
      </c>
      <c r="I63" s="8" t="s">
        <v>15</v>
      </c>
      <c r="J63" s="1" t="s">
        <v>316</v>
      </c>
    </row>
    <row r="64" spans="1:10" ht="199.5" customHeight="1">
      <c r="A64" s="6">
        <v>5</v>
      </c>
      <c r="B64" s="8">
        <v>6</v>
      </c>
      <c r="C64" s="9" t="s">
        <v>47</v>
      </c>
      <c r="D64" s="8"/>
      <c r="E64" s="57">
        <f>'Cost estimates'!E11</f>
        <v>12500</v>
      </c>
      <c r="F64" s="8"/>
      <c r="G64" s="8" t="s">
        <v>8</v>
      </c>
      <c r="H64" s="9" t="s">
        <v>87</v>
      </c>
      <c r="I64" s="8" t="s">
        <v>15</v>
      </c>
      <c r="J64" s="1" t="s">
        <v>310</v>
      </c>
    </row>
    <row r="65" spans="1:10" s="11" customFormat="1" ht="15.75">
      <c r="A65" s="84"/>
      <c r="B65" s="140" t="s">
        <v>250</v>
      </c>
      <c r="C65" s="140"/>
      <c r="D65" s="85">
        <f>SUM(D59:D64)</f>
        <v>0</v>
      </c>
      <c r="E65" s="85">
        <f>SUM(E59:E64)</f>
        <v>87500</v>
      </c>
      <c r="F65" s="85">
        <f>SUM(F59:F64)</f>
        <v>0</v>
      </c>
      <c r="G65" s="84"/>
      <c r="H65" s="84"/>
      <c r="I65" s="84"/>
      <c r="J65" s="1"/>
    </row>
    <row r="66" spans="1:10" ht="15.75">
      <c r="A66" s="125"/>
      <c r="B66" s="126"/>
      <c r="C66" s="126"/>
      <c r="D66" s="126"/>
      <c r="E66" s="126"/>
      <c r="F66" s="126"/>
      <c r="G66" s="126"/>
      <c r="H66" s="126"/>
      <c r="I66" s="127"/>
      <c r="J66" s="1"/>
    </row>
    <row r="67" spans="1:10" ht="18" customHeight="1">
      <c r="A67" s="125" t="s">
        <v>108</v>
      </c>
      <c r="B67" s="126"/>
      <c r="C67" s="126"/>
      <c r="D67" s="126"/>
      <c r="E67" s="126"/>
      <c r="F67" s="126"/>
      <c r="G67" s="126"/>
      <c r="H67" s="126"/>
      <c r="I67" s="127"/>
      <c r="J67" s="1"/>
    </row>
    <row r="68" spans="1:10" ht="18" customHeight="1">
      <c r="A68" s="125" t="s">
        <v>109</v>
      </c>
      <c r="B68" s="126"/>
      <c r="C68" s="126"/>
      <c r="D68" s="126"/>
      <c r="E68" s="126"/>
      <c r="F68" s="126"/>
      <c r="G68" s="126"/>
      <c r="H68" s="126"/>
      <c r="I68" s="127"/>
      <c r="J68" s="1"/>
    </row>
    <row r="69" spans="1:10" ht="18" customHeight="1">
      <c r="A69" s="125" t="s">
        <v>110</v>
      </c>
      <c r="B69" s="126"/>
      <c r="C69" s="126"/>
      <c r="D69" s="126"/>
      <c r="E69" s="126"/>
      <c r="F69" s="126"/>
      <c r="G69" s="126"/>
      <c r="H69" s="126"/>
      <c r="I69" s="127"/>
      <c r="J69" s="1"/>
    </row>
    <row r="70" spans="1:10" ht="15.75">
      <c r="A70" s="125"/>
      <c r="B70" s="126"/>
      <c r="C70" s="126"/>
      <c r="D70" s="126"/>
      <c r="E70" s="126"/>
      <c r="F70" s="126"/>
      <c r="G70" s="126"/>
      <c r="H70" s="126"/>
      <c r="I70" s="127"/>
      <c r="J70" s="1"/>
    </row>
    <row r="71" spans="1:10" ht="60">
      <c r="A71" s="6">
        <v>6</v>
      </c>
      <c r="B71" s="8">
        <v>1</v>
      </c>
      <c r="C71" s="8" t="s">
        <v>48</v>
      </c>
      <c r="D71" s="8"/>
      <c r="E71" s="55">
        <f>'Cost estimates'!E11</f>
        <v>12500</v>
      </c>
      <c r="F71" s="8"/>
      <c r="G71" s="8" t="s">
        <v>99</v>
      </c>
      <c r="H71" s="8" t="s">
        <v>49</v>
      </c>
      <c r="I71" s="100" t="s">
        <v>315</v>
      </c>
      <c r="J71" s="1" t="s">
        <v>310</v>
      </c>
    </row>
    <row r="72" spans="1:10" ht="303" customHeight="1">
      <c r="A72" s="6">
        <v>6</v>
      </c>
      <c r="B72" s="8">
        <v>2</v>
      </c>
      <c r="C72" s="8" t="s">
        <v>50</v>
      </c>
      <c r="D72" s="8"/>
      <c r="E72" s="8" t="s">
        <v>7</v>
      </c>
      <c r="F72" s="8" t="s">
        <v>11</v>
      </c>
      <c r="G72" s="8" t="s">
        <v>111</v>
      </c>
      <c r="H72" s="8" t="s">
        <v>88</v>
      </c>
      <c r="I72" s="8" t="s">
        <v>15</v>
      </c>
      <c r="J72" s="1"/>
    </row>
    <row r="73" spans="1:10" s="11" customFormat="1" ht="15.75">
      <c r="A73" s="2"/>
      <c r="B73" s="141" t="s">
        <v>250</v>
      </c>
      <c r="C73" s="141"/>
      <c r="D73" s="80">
        <f>SUM(D71:D72)</f>
        <v>0</v>
      </c>
      <c r="E73" s="80">
        <f>SUM(E71:E72)</f>
        <v>12500</v>
      </c>
      <c r="F73" s="80">
        <f>SUM(F71:F72)</f>
        <v>0</v>
      </c>
      <c r="G73" s="3"/>
      <c r="H73" s="3"/>
      <c r="I73" s="3"/>
      <c r="J73" s="1"/>
    </row>
    <row r="74" spans="1:10" ht="15.75">
      <c r="A74" s="125"/>
      <c r="B74" s="126"/>
      <c r="C74" s="126"/>
      <c r="D74" s="126"/>
      <c r="E74" s="126"/>
      <c r="F74" s="126"/>
      <c r="G74" s="126"/>
      <c r="H74" s="126"/>
      <c r="I74" s="127"/>
      <c r="J74" s="1"/>
    </row>
    <row r="75" spans="1:10" ht="18" customHeight="1">
      <c r="A75" s="125" t="s">
        <v>112</v>
      </c>
      <c r="B75" s="126"/>
      <c r="C75" s="126"/>
      <c r="D75" s="126"/>
      <c r="E75" s="126"/>
      <c r="F75" s="126"/>
      <c r="G75" s="126"/>
      <c r="H75" s="126"/>
      <c r="I75" s="127"/>
      <c r="J75" s="1"/>
    </row>
    <row r="76" spans="1:10" ht="35.450000000000003" customHeight="1">
      <c r="A76" s="125" t="s">
        <v>113</v>
      </c>
      <c r="B76" s="126"/>
      <c r="C76" s="126"/>
      <c r="D76" s="126"/>
      <c r="E76" s="126"/>
      <c r="F76" s="126"/>
      <c r="G76" s="126"/>
      <c r="H76" s="126"/>
      <c r="I76" s="127"/>
      <c r="J76" s="1"/>
    </row>
    <row r="77" spans="1:10" ht="18" customHeight="1">
      <c r="A77" s="125" t="s">
        <v>114</v>
      </c>
      <c r="B77" s="126"/>
      <c r="C77" s="126"/>
      <c r="D77" s="126"/>
      <c r="E77" s="126"/>
      <c r="F77" s="126"/>
      <c r="G77" s="126"/>
      <c r="H77" s="126"/>
      <c r="I77" s="127"/>
      <c r="J77" s="1"/>
    </row>
    <row r="78" spans="1:10" ht="17.45" customHeight="1">
      <c r="A78" s="125" t="s">
        <v>51</v>
      </c>
      <c r="B78" s="126"/>
      <c r="C78" s="126"/>
      <c r="D78" s="126"/>
      <c r="E78" s="126"/>
      <c r="F78" s="126"/>
      <c r="G78" s="126"/>
      <c r="H78" s="126"/>
      <c r="I78" s="127"/>
      <c r="J78" s="1"/>
    </row>
    <row r="79" spans="1:10">
      <c r="A79" s="4"/>
      <c r="B79" s="5"/>
      <c r="C79" s="5"/>
      <c r="D79" s="5"/>
      <c r="E79" s="5"/>
      <c r="F79" s="5"/>
      <c r="G79" s="5"/>
      <c r="H79" s="5"/>
      <c r="I79" s="5"/>
      <c r="J79" s="1"/>
    </row>
    <row r="80" spans="1:10" ht="60">
      <c r="A80" s="6">
        <v>7</v>
      </c>
      <c r="B80" s="8">
        <v>1</v>
      </c>
      <c r="C80" s="82" t="s">
        <v>52</v>
      </c>
      <c r="D80" s="55">
        <f>'Cost estimates'!E6</f>
        <v>18750</v>
      </c>
      <c r="E80" s="55">
        <f>'Cost estimates'!E6</f>
        <v>18750</v>
      </c>
      <c r="F80" s="8"/>
      <c r="G80" s="8" t="s">
        <v>8</v>
      </c>
      <c r="H80" s="8" t="s">
        <v>89</v>
      </c>
      <c r="I80" s="8" t="s">
        <v>15</v>
      </c>
      <c r="J80" s="1"/>
    </row>
    <row r="81" spans="1:10" ht="90">
      <c r="A81" s="6">
        <v>7</v>
      </c>
      <c r="B81" s="8">
        <v>2</v>
      </c>
      <c r="C81" s="8" t="s">
        <v>53</v>
      </c>
      <c r="D81" s="8">
        <v>0</v>
      </c>
      <c r="E81" s="8"/>
      <c r="F81" s="8"/>
      <c r="G81" s="8" t="s">
        <v>8</v>
      </c>
      <c r="H81" s="8" t="s">
        <v>90</v>
      </c>
      <c r="I81" s="8" t="s">
        <v>15</v>
      </c>
      <c r="J81" s="1"/>
    </row>
    <row r="82" spans="1:10" ht="45">
      <c r="A82" s="6">
        <v>7</v>
      </c>
      <c r="B82" s="8">
        <v>3</v>
      </c>
      <c r="C82" s="8" t="s">
        <v>54</v>
      </c>
      <c r="D82" s="8">
        <v>0</v>
      </c>
      <c r="E82" s="8">
        <v>0</v>
      </c>
      <c r="F82" s="8">
        <v>0</v>
      </c>
      <c r="G82" s="8" t="s">
        <v>8</v>
      </c>
      <c r="H82" s="8" t="s">
        <v>55</v>
      </c>
      <c r="I82" s="8" t="s">
        <v>31</v>
      </c>
      <c r="J82" s="1"/>
    </row>
    <row r="83" spans="1:10" s="11" customFormat="1" ht="15.75">
      <c r="A83" s="84"/>
      <c r="B83" s="140" t="s">
        <v>250</v>
      </c>
      <c r="C83" s="140"/>
      <c r="D83" s="85">
        <f>SUM(D80:D82)</f>
        <v>18750</v>
      </c>
      <c r="E83" s="85">
        <f>SUM(E80:E82)</f>
        <v>18750</v>
      </c>
      <c r="F83" s="85">
        <f>SUM(F80:F82)</f>
        <v>0</v>
      </c>
      <c r="G83" s="84"/>
      <c r="H83" s="84"/>
      <c r="I83" s="84"/>
      <c r="J83" s="1" t="s">
        <v>317</v>
      </c>
    </row>
    <row r="84" spans="1:10" ht="15.75">
      <c r="A84" s="125"/>
      <c r="B84" s="126"/>
      <c r="C84" s="126"/>
      <c r="D84" s="126"/>
      <c r="E84" s="126"/>
      <c r="F84" s="126"/>
      <c r="G84" s="126"/>
      <c r="H84" s="126"/>
      <c r="I84" s="127"/>
      <c r="J84" s="1"/>
    </row>
    <row r="85" spans="1:10" ht="18" customHeight="1">
      <c r="A85" s="125" t="s">
        <v>115</v>
      </c>
      <c r="B85" s="126"/>
      <c r="C85" s="126"/>
      <c r="D85" s="126"/>
      <c r="E85" s="126"/>
      <c r="F85" s="126"/>
      <c r="G85" s="126"/>
      <c r="H85" s="126"/>
      <c r="I85" s="127"/>
      <c r="J85" s="1"/>
    </row>
    <row r="86" spans="1:10" ht="36" customHeight="1">
      <c r="A86" s="125" t="s">
        <v>116</v>
      </c>
      <c r="B86" s="126"/>
      <c r="C86" s="126"/>
      <c r="D86" s="126"/>
      <c r="E86" s="126"/>
      <c r="F86" s="126"/>
      <c r="G86" s="126"/>
      <c r="H86" s="126"/>
      <c r="I86" s="127"/>
      <c r="J86" s="1"/>
    </row>
    <row r="87" spans="1:10" ht="18" customHeight="1">
      <c r="A87" s="125" t="s">
        <v>117</v>
      </c>
      <c r="B87" s="126"/>
      <c r="C87" s="126"/>
      <c r="D87" s="126"/>
      <c r="E87" s="126"/>
      <c r="F87" s="126"/>
      <c r="G87" s="126"/>
      <c r="H87" s="126"/>
      <c r="I87" s="127"/>
      <c r="J87" s="1"/>
    </row>
    <row r="88" spans="1:10" ht="15.75">
      <c r="A88" s="125"/>
      <c r="B88" s="126"/>
      <c r="C88" s="126"/>
      <c r="D88" s="126"/>
      <c r="E88" s="126"/>
      <c r="F88" s="126"/>
      <c r="G88" s="126"/>
      <c r="H88" s="126"/>
      <c r="I88" s="127"/>
      <c r="J88" s="1"/>
    </row>
    <row r="89" spans="1:10" ht="45">
      <c r="A89" s="8">
        <v>8</v>
      </c>
      <c r="B89" s="8">
        <v>1</v>
      </c>
      <c r="C89" s="8" t="s">
        <v>56</v>
      </c>
      <c r="D89" s="8">
        <v>0</v>
      </c>
      <c r="E89" s="8">
        <v>0</v>
      </c>
      <c r="F89" s="8">
        <v>0</v>
      </c>
      <c r="G89" s="8" t="s">
        <v>8</v>
      </c>
      <c r="H89" s="8" t="s">
        <v>57</v>
      </c>
      <c r="I89" s="8" t="s">
        <v>31</v>
      </c>
      <c r="J89" s="1"/>
    </row>
    <row r="90" spans="1:10" ht="103.9" customHeight="1">
      <c r="A90" s="8">
        <v>8</v>
      </c>
      <c r="B90" s="8">
        <v>2</v>
      </c>
      <c r="C90" s="8" t="s">
        <v>58</v>
      </c>
      <c r="D90" s="8">
        <v>0</v>
      </c>
      <c r="E90" s="8">
        <v>0</v>
      </c>
      <c r="F90" s="8">
        <v>0</v>
      </c>
      <c r="G90" s="8" t="s">
        <v>8</v>
      </c>
      <c r="H90" s="8" t="s">
        <v>91</v>
      </c>
      <c r="I90" s="8" t="s">
        <v>31</v>
      </c>
      <c r="J90" s="1"/>
    </row>
    <row r="91" spans="1:10" ht="105">
      <c r="A91" s="8">
        <v>8</v>
      </c>
      <c r="B91" s="8">
        <v>3</v>
      </c>
      <c r="C91" s="8" t="s">
        <v>59</v>
      </c>
      <c r="D91" s="55">
        <f>'Cost estimates'!E11</f>
        <v>12500</v>
      </c>
      <c r="E91" s="8"/>
      <c r="F91" s="8"/>
      <c r="G91" s="8" t="s">
        <v>8</v>
      </c>
      <c r="H91" s="8" t="s">
        <v>92</v>
      </c>
      <c r="I91" s="8" t="s">
        <v>60</v>
      </c>
      <c r="J91" s="1" t="s">
        <v>310</v>
      </c>
    </row>
    <row r="92" spans="1:10" ht="60">
      <c r="A92" s="8">
        <v>8</v>
      </c>
      <c r="B92" s="8">
        <v>4</v>
      </c>
      <c r="C92" s="8" t="s">
        <v>61</v>
      </c>
      <c r="D92" s="55"/>
      <c r="E92" s="55">
        <f>2*10000*'Cost estimates'!C1/1000</f>
        <v>10000</v>
      </c>
      <c r="F92" s="55">
        <f>2*10000*'Cost estimates'!C1/1000</f>
        <v>10000</v>
      </c>
      <c r="G92" s="8" t="s">
        <v>8</v>
      </c>
      <c r="H92" s="8" t="s">
        <v>62</v>
      </c>
      <c r="I92" s="8" t="s">
        <v>63</v>
      </c>
      <c r="J92" s="1" t="s">
        <v>317</v>
      </c>
    </row>
    <row r="93" spans="1:10" ht="60">
      <c r="A93" s="8">
        <v>8</v>
      </c>
      <c r="B93" s="8">
        <v>5</v>
      </c>
      <c r="C93" s="8" t="s">
        <v>64</v>
      </c>
      <c r="D93" s="8">
        <v>0</v>
      </c>
      <c r="E93" s="8">
        <v>0</v>
      </c>
      <c r="F93" s="8">
        <v>0</v>
      </c>
      <c r="G93" s="8" t="s">
        <v>8</v>
      </c>
      <c r="H93" s="8" t="s">
        <v>65</v>
      </c>
      <c r="I93" s="8" t="s">
        <v>31</v>
      </c>
      <c r="J93" s="1"/>
    </row>
    <row r="94" spans="1:10" s="11" customFormat="1" ht="15.75">
      <c r="A94" s="84"/>
      <c r="B94" s="140" t="s">
        <v>250</v>
      </c>
      <c r="C94" s="140"/>
      <c r="D94" s="85">
        <f>SUM(D89:D93)</f>
        <v>12500</v>
      </c>
      <c r="E94" s="85">
        <f>SUM(E89:E93)</f>
        <v>10000</v>
      </c>
      <c r="F94" s="85">
        <f>SUM(F89:F93)</f>
        <v>10000</v>
      </c>
      <c r="G94" s="84"/>
      <c r="H94" s="84"/>
      <c r="I94" s="84"/>
      <c r="J94" s="1"/>
    </row>
    <row r="95" spans="1:10" ht="15.75">
      <c r="A95" s="125"/>
      <c r="B95" s="126"/>
      <c r="C95" s="126"/>
      <c r="D95" s="126"/>
      <c r="E95" s="126"/>
      <c r="F95" s="126"/>
      <c r="G95" s="126"/>
      <c r="H95" s="126"/>
      <c r="I95" s="127"/>
      <c r="J95" s="1"/>
    </row>
    <row r="96" spans="1:10" ht="18" customHeight="1">
      <c r="A96" s="125" t="s">
        <v>118</v>
      </c>
      <c r="B96" s="126"/>
      <c r="C96" s="126"/>
      <c r="D96" s="126"/>
      <c r="E96" s="126"/>
      <c r="F96" s="126"/>
      <c r="G96" s="126"/>
      <c r="H96" s="126"/>
      <c r="I96" s="127"/>
      <c r="J96" s="1"/>
    </row>
    <row r="97" spans="1:10" ht="18" customHeight="1">
      <c r="A97" s="125" t="s">
        <v>119</v>
      </c>
      <c r="B97" s="126"/>
      <c r="C97" s="126"/>
      <c r="D97" s="126"/>
      <c r="E97" s="126"/>
      <c r="F97" s="126"/>
      <c r="G97" s="126"/>
      <c r="H97" s="126"/>
      <c r="I97" s="127"/>
      <c r="J97" s="1"/>
    </row>
    <row r="98" spans="1:10" ht="36" customHeight="1">
      <c r="A98" s="125" t="s">
        <v>120</v>
      </c>
      <c r="B98" s="126"/>
      <c r="C98" s="126"/>
      <c r="D98" s="126"/>
      <c r="E98" s="126"/>
      <c r="F98" s="126"/>
      <c r="G98" s="126"/>
      <c r="H98" s="126"/>
      <c r="I98" s="127"/>
      <c r="J98" s="1"/>
    </row>
    <row r="99" spans="1:10" ht="15.75">
      <c r="A99" s="125"/>
      <c r="B99" s="126"/>
      <c r="C99" s="126"/>
      <c r="D99" s="126"/>
      <c r="E99" s="126"/>
      <c r="F99" s="126"/>
      <c r="G99" s="126"/>
      <c r="H99" s="126"/>
      <c r="I99" s="127"/>
      <c r="J99" s="1"/>
    </row>
    <row r="100" spans="1:10" ht="90">
      <c r="A100" s="138">
        <v>9</v>
      </c>
      <c r="B100" s="138">
        <v>1</v>
      </c>
      <c r="C100" s="129" t="s">
        <v>66</v>
      </c>
      <c r="D100" s="8">
        <v>0</v>
      </c>
      <c r="E100" s="8"/>
      <c r="F100" s="8"/>
      <c r="G100" s="8" t="s">
        <v>8</v>
      </c>
      <c r="H100" s="8" t="s">
        <v>123</v>
      </c>
      <c r="I100" s="8" t="s">
        <v>63</v>
      </c>
      <c r="J100" s="1"/>
    </row>
    <row r="101" spans="1:10" ht="60">
      <c r="A101" s="139"/>
      <c r="B101" s="139"/>
      <c r="C101" s="129"/>
      <c r="D101" s="57">
        <f>500*'Cost estimates'!C1</f>
        <v>250000</v>
      </c>
      <c r="E101" s="57">
        <f>D101</f>
        <v>250000</v>
      </c>
      <c r="F101" s="8"/>
      <c r="G101" s="8" t="s">
        <v>8</v>
      </c>
      <c r="H101" s="8" t="s">
        <v>67</v>
      </c>
      <c r="I101" s="8"/>
      <c r="J101" s="1"/>
    </row>
    <row r="102" spans="1:10" s="11" customFormat="1" ht="15.75">
      <c r="A102" s="84"/>
      <c r="B102" s="140" t="s">
        <v>250</v>
      </c>
      <c r="C102" s="140"/>
      <c r="D102" s="85">
        <f>SUM(D100:D101)</f>
        <v>250000</v>
      </c>
      <c r="E102" s="85">
        <f>SUM(E100:E101)</f>
        <v>250000</v>
      </c>
      <c r="F102" s="85">
        <f>SUM(F100:F101)</f>
        <v>0</v>
      </c>
      <c r="G102" s="84"/>
      <c r="H102" s="84"/>
      <c r="I102" s="84"/>
      <c r="J102" s="1" t="s">
        <v>317</v>
      </c>
    </row>
    <row r="103" spans="1:10" s="11" customFormat="1" ht="15.75">
      <c r="A103" s="96"/>
      <c r="B103" s="97"/>
      <c r="C103" s="97"/>
      <c r="D103" s="98"/>
      <c r="E103" s="98"/>
      <c r="F103" s="98"/>
      <c r="G103" s="96"/>
      <c r="H103" s="96"/>
      <c r="I103" s="96"/>
      <c r="J103" s="1"/>
    </row>
    <row r="104" spans="1:10" s="11" customFormat="1" ht="15.75">
      <c r="A104" s="96"/>
      <c r="B104" s="97"/>
      <c r="C104" s="97"/>
      <c r="D104" s="98"/>
      <c r="E104" s="98"/>
      <c r="F104" s="98"/>
      <c r="G104" s="96"/>
      <c r="H104" s="96"/>
      <c r="I104" s="96"/>
      <c r="J104" s="1"/>
    </row>
    <row r="105" spans="1:10" s="11" customFormat="1" ht="57.75" customHeight="1">
      <c r="A105" s="96"/>
      <c r="B105" s="153" t="s">
        <v>298</v>
      </c>
      <c r="C105" s="153"/>
      <c r="D105" s="153"/>
      <c r="E105" s="153"/>
      <c r="F105" s="153"/>
      <c r="G105" s="153"/>
      <c r="H105" s="99"/>
      <c r="I105" s="96"/>
      <c r="J105" s="1"/>
    </row>
    <row r="106" spans="1:10" ht="15.75" thickBot="1"/>
    <row r="107" spans="1:10">
      <c r="A107" s="86"/>
      <c r="B107" s="151" t="s">
        <v>297</v>
      </c>
      <c r="C107" s="152"/>
      <c r="D107" s="87" t="s">
        <v>282</v>
      </c>
      <c r="E107" s="87" t="s">
        <v>283</v>
      </c>
      <c r="F107" s="87" t="s">
        <v>284</v>
      </c>
      <c r="G107" s="88" t="s">
        <v>250</v>
      </c>
    </row>
    <row r="108" spans="1:10">
      <c r="A108" s="89">
        <v>1</v>
      </c>
      <c r="B108" s="149" t="s">
        <v>273</v>
      </c>
      <c r="C108" s="149"/>
      <c r="D108" s="53">
        <f>D15</f>
        <v>75000</v>
      </c>
      <c r="E108" s="53">
        <f>E15</f>
        <v>377500</v>
      </c>
      <c r="F108" s="53">
        <f>F15</f>
        <v>0</v>
      </c>
      <c r="G108" s="90">
        <f t="shared" ref="G108:G116" si="0">SUM(D108:F108)</f>
        <v>452500</v>
      </c>
    </row>
    <row r="109" spans="1:10">
      <c r="A109" s="91">
        <v>2</v>
      </c>
      <c r="B109" s="149" t="s">
        <v>274</v>
      </c>
      <c r="C109" s="149"/>
      <c r="D109" s="53">
        <f>D22</f>
        <v>25000</v>
      </c>
      <c r="E109" s="53">
        <f>E22</f>
        <v>0</v>
      </c>
      <c r="F109" s="53">
        <f>F22</f>
        <v>0</v>
      </c>
      <c r="G109" s="90">
        <f t="shared" si="0"/>
        <v>25000</v>
      </c>
    </row>
    <row r="110" spans="1:10">
      <c r="A110" s="89">
        <v>3</v>
      </c>
      <c r="B110" s="149" t="s">
        <v>275</v>
      </c>
      <c r="C110" s="149"/>
      <c r="D110" s="53">
        <f>D44</f>
        <v>3924400</v>
      </c>
      <c r="E110" s="53">
        <f>E44</f>
        <v>9563182.3499999996</v>
      </c>
      <c r="F110" s="53">
        <f>F44</f>
        <v>1614812.7000000002</v>
      </c>
      <c r="G110" s="90">
        <f t="shared" si="0"/>
        <v>15102395.050000001</v>
      </c>
    </row>
    <row r="111" spans="1:10" ht="36.75" customHeight="1">
      <c r="A111" s="89">
        <v>4</v>
      </c>
      <c r="B111" s="149" t="s">
        <v>276</v>
      </c>
      <c r="C111" s="149"/>
      <c r="D111" s="53">
        <f>D53</f>
        <v>12500</v>
      </c>
      <c r="E111" s="53">
        <f>E53</f>
        <v>21000</v>
      </c>
      <c r="F111" s="53">
        <f>F53</f>
        <v>42000</v>
      </c>
      <c r="G111" s="90">
        <f t="shared" si="0"/>
        <v>75500</v>
      </c>
    </row>
    <row r="112" spans="1:10">
      <c r="A112" s="89">
        <v>5</v>
      </c>
      <c r="B112" s="149" t="s">
        <v>277</v>
      </c>
      <c r="C112" s="149"/>
      <c r="D112" s="53">
        <f>D65</f>
        <v>0</v>
      </c>
      <c r="E112" s="53">
        <f>E65</f>
        <v>87500</v>
      </c>
      <c r="F112" s="53">
        <f>F65</f>
        <v>0</v>
      </c>
      <c r="G112" s="90">
        <f t="shared" si="0"/>
        <v>87500</v>
      </c>
    </row>
    <row r="113" spans="1:7">
      <c r="A113" s="89">
        <v>6</v>
      </c>
      <c r="B113" s="149" t="s">
        <v>278</v>
      </c>
      <c r="C113" s="149"/>
      <c r="D113" s="53">
        <f>D73</f>
        <v>0</v>
      </c>
      <c r="E113" s="53">
        <f>E73</f>
        <v>12500</v>
      </c>
      <c r="F113" s="53">
        <f>F73</f>
        <v>0</v>
      </c>
      <c r="G113" s="90">
        <f t="shared" si="0"/>
        <v>12500</v>
      </c>
    </row>
    <row r="114" spans="1:7" ht="33.75" customHeight="1">
      <c r="A114" s="89">
        <v>7</v>
      </c>
      <c r="B114" s="149" t="s">
        <v>279</v>
      </c>
      <c r="C114" s="149"/>
      <c r="D114" s="53">
        <f>D83</f>
        <v>18750</v>
      </c>
      <c r="E114" s="53">
        <f>E83</f>
        <v>18750</v>
      </c>
      <c r="F114" s="53">
        <f>F83</f>
        <v>0</v>
      </c>
      <c r="G114" s="90">
        <f t="shared" si="0"/>
        <v>37500</v>
      </c>
    </row>
    <row r="115" spans="1:7" ht="42.75" customHeight="1">
      <c r="A115" s="89">
        <v>8</v>
      </c>
      <c r="B115" s="149" t="s">
        <v>280</v>
      </c>
      <c r="C115" s="149"/>
      <c r="D115" s="53">
        <f>D94</f>
        <v>12500</v>
      </c>
      <c r="E115" s="53">
        <f>E94</f>
        <v>10000</v>
      </c>
      <c r="F115" s="53">
        <f>F94</f>
        <v>10000</v>
      </c>
      <c r="G115" s="90">
        <f t="shared" si="0"/>
        <v>32500</v>
      </c>
    </row>
    <row r="116" spans="1:7">
      <c r="A116" s="89">
        <v>9</v>
      </c>
      <c r="B116" s="149" t="s">
        <v>281</v>
      </c>
      <c r="C116" s="149"/>
      <c r="D116" s="53">
        <f>D102</f>
        <v>250000</v>
      </c>
      <c r="E116" s="53">
        <f>E102</f>
        <v>250000</v>
      </c>
      <c r="F116" s="53">
        <f>F102</f>
        <v>0</v>
      </c>
      <c r="G116" s="90">
        <f t="shared" si="0"/>
        <v>500000</v>
      </c>
    </row>
    <row r="117" spans="1:7" ht="15.75" thickBot="1">
      <c r="A117" s="92"/>
      <c r="B117" s="93" t="s">
        <v>250</v>
      </c>
      <c r="C117" s="93"/>
      <c r="D117" s="94">
        <f>SUM(D108:D116)</f>
        <v>4318150</v>
      </c>
      <c r="E117" s="94">
        <f>SUM(E108:E116)</f>
        <v>10340432.35</v>
      </c>
      <c r="F117" s="94">
        <f>SUM(F108:F116)</f>
        <v>1666812.7000000002</v>
      </c>
      <c r="G117" s="95">
        <f>SUM(G108:G116)</f>
        <v>16325395.050000001</v>
      </c>
    </row>
    <row r="120" spans="1:7" ht="59.25" customHeight="1" thickBot="1">
      <c r="B120" s="153" t="s">
        <v>299</v>
      </c>
      <c r="C120" s="153"/>
      <c r="D120" s="153"/>
      <c r="E120" s="153"/>
      <c r="F120" s="153"/>
      <c r="G120" s="153"/>
    </row>
    <row r="121" spans="1:7">
      <c r="A121" s="86"/>
      <c r="B121" s="154" t="s">
        <v>297</v>
      </c>
      <c r="C121" s="154"/>
      <c r="D121" s="87" t="s">
        <v>282</v>
      </c>
      <c r="E121" s="87" t="s">
        <v>283</v>
      </c>
      <c r="F121" s="87" t="s">
        <v>284</v>
      </c>
      <c r="G121" s="88" t="s">
        <v>250</v>
      </c>
    </row>
    <row r="122" spans="1:7">
      <c r="A122" s="89">
        <v>1</v>
      </c>
      <c r="B122" s="149" t="s">
        <v>300</v>
      </c>
      <c r="C122" s="149"/>
      <c r="D122" s="53">
        <f>D9+D10+D14+D19+D20+D41+D51+D59+D61+D64+D71+D91</f>
        <v>90000</v>
      </c>
      <c r="E122" s="53">
        <f>E9+E10+E14+E19+E20+E41+E51+E59+E61+E64+E71+E91</f>
        <v>77500</v>
      </c>
      <c r="F122" s="53">
        <f>F9+F10+F14+F19+F20+F41+F51+F59+F61+F64+F71+F91</f>
        <v>0</v>
      </c>
      <c r="G122" s="90">
        <f t="shared" ref="G122:G126" si="1">SUM(D122:F122)</f>
        <v>167500</v>
      </c>
    </row>
    <row r="123" spans="1:7">
      <c r="A123" s="91">
        <v>2</v>
      </c>
      <c r="B123" s="149" t="s">
        <v>301</v>
      </c>
      <c r="C123" s="149"/>
      <c r="D123" s="53">
        <f>D11+D13+D33+D52</f>
        <v>47500</v>
      </c>
      <c r="E123" s="53">
        <f>E11+E13+E33+E52</f>
        <v>1091000</v>
      </c>
      <c r="F123" s="53">
        <f>F11+F13+F33+F52</f>
        <v>1482000</v>
      </c>
      <c r="G123" s="90">
        <f t="shared" si="1"/>
        <v>2620500</v>
      </c>
    </row>
    <row r="124" spans="1:7">
      <c r="A124" s="89">
        <v>3</v>
      </c>
      <c r="B124" s="149" t="s">
        <v>275</v>
      </c>
      <c r="C124" s="149"/>
      <c r="D124" s="53">
        <f>D34+D42+D43</f>
        <v>3911900</v>
      </c>
      <c r="E124" s="53">
        <f>E34+E42+E43</f>
        <v>8843182.3499999996</v>
      </c>
      <c r="F124" s="53">
        <f>F34+F42+F43</f>
        <v>174812.70000000019</v>
      </c>
      <c r="G124" s="90">
        <f t="shared" si="1"/>
        <v>12929895.050000001</v>
      </c>
    </row>
    <row r="125" spans="1:7">
      <c r="A125" s="89">
        <v>4</v>
      </c>
      <c r="B125" s="149" t="s">
        <v>318</v>
      </c>
      <c r="C125" s="149"/>
      <c r="D125" s="53">
        <f>D63+D62</f>
        <v>0</v>
      </c>
      <c r="E125" s="53">
        <f>E63+E62</f>
        <v>50000</v>
      </c>
      <c r="F125" s="53">
        <f>F63+F62</f>
        <v>0</v>
      </c>
      <c r="G125" s="90">
        <f t="shared" si="1"/>
        <v>50000</v>
      </c>
    </row>
    <row r="126" spans="1:7">
      <c r="A126" s="89">
        <v>5</v>
      </c>
      <c r="B126" s="149" t="s">
        <v>306</v>
      </c>
      <c r="C126" s="149"/>
      <c r="D126" s="53">
        <f>D83+D92+D102</f>
        <v>268750</v>
      </c>
      <c r="E126" s="53">
        <f>E83+E92+E102</f>
        <v>278750</v>
      </c>
      <c r="F126" s="53">
        <f>F83+F92+F102</f>
        <v>10000</v>
      </c>
      <c r="G126" s="90">
        <f t="shared" si="1"/>
        <v>557500</v>
      </c>
    </row>
    <row r="127" spans="1:7" ht="15.75" thickBot="1">
      <c r="A127" s="121"/>
      <c r="B127" s="150" t="s">
        <v>250</v>
      </c>
      <c r="C127" s="150"/>
      <c r="D127" s="122">
        <f>SUBTOTAL(9,D122:D126)</f>
        <v>4318150</v>
      </c>
      <c r="E127" s="122">
        <f>SUBTOTAL(9,E122:E126)</f>
        <v>10340432.35</v>
      </c>
      <c r="F127" s="122">
        <f>SUBTOTAL(9,F122:F126)</f>
        <v>1666812.7000000002</v>
      </c>
      <c r="G127" s="123">
        <f>SUBTOTAL(9,G122:G126)</f>
        <v>16325395.050000001</v>
      </c>
    </row>
    <row r="128" spans="1:7" ht="15.75" thickBot="1"/>
    <row r="129" spans="1:7">
      <c r="A129" s="119" t="s">
        <v>323</v>
      </c>
      <c r="B129" s="120"/>
      <c r="C129" s="120"/>
      <c r="D129" s="87" t="s">
        <v>282</v>
      </c>
      <c r="E129" s="87" t="s">
        <v>283</v>
      </c>
      <c r="F129" s="112" t="s">
        <v>284</v>
      </c>
      <c r="G129" s="115" t="s">
        <v>250</v>
      </c>
    </row>
    <row r="130" spans="1:7">
      <c r="A130" s="103" t="s">
        <v>319</v>
      </c>
      <c r="B130" s="104"/>
      <c r="C130" s="104"/>
      <c r="D130" s="105">
        <f>D127</f>
        <v>4318150</v>
      </c>
      <c r="E130" s="105">
        <f>E127</f>
        <v>10340432.35</v>
      </c>
      <c r="F130" s="113">
        <f>F127</f>
        <v>1666812.7000000002</v>
      </c>
      <c r="G130" s="116">
        <f t="shared" ref="G130:G131" si="2">SUM(D130:F130)</f>
        <v>16325395.050000001</v>
      </c>
    </row>
    <row r="131" spans="1:7">
      <c r="A131" s="103" t="s">
        <v>320</v>
      </c>
      <c r="B131" s="104"/>
      <c r="C131" s="104"/>
      <c r="D131" s="105">
        <f>SUM(D132:D134)</f>
        <v>2181150</v>
      </c>
      <c r="E131" s="105">
        <f>SUM(E132:E134)</f>
        <v>3082050</v>
      </c>
      <c r="F131" s="113">
        <f>SUM(F132:F134)</f>
        <v>10000</v>
      </c>
      <c r="G131" s="116">
        <f t="shared" si="2"/>
        <v>5273200</v>
      </c>
    </row>
    <row r="132" spans="1:7">
      <c r="A132" s="106" t="s">
        <v>324</v>
      </c>
      <c r="B132" s="102"/>
      <c r="C132" s="102"/>
      <c r="D132" s="107">
        <v>377000</v>
      </c>
      <c r="F132" s="111">
        <v>0</v>
      </c>
      <c r="G132" s="117">
        <f>SUM(D132:F132)</f>
        <v>377000</v>
      </c>
    </row>
    <row r="133" spans="1:7">
      <c r="A133" s="106" t="s">
        <v>325</v>
      </c>
      <c r="B133" s="102"/>
      <c r="C133" s="102"/>
      <c r="D133" s="107">
        <f>D39+'Cost estimates'!F51/3+'Cost estimates'!F60/3</f>
        <v>1437900</v>
      </c>
      <c r="E133" s="111">
        <f>E39+'Cost estimates'!F51*2/3+'Cost estimates'!F60*2/3</f>
        <v>2725800</v>
      </c>
      <c r="F133" s="111">
        <v>0</v>
      </c>
      <c r="G133" s="117">
        <f>SUM(D133:F133)</f>
        <v>4163700</v>
      </c>
    </row>
    <row r="134" spans="1:7">
      <c r="A134" s="106" t="s">
        <v>321</v>
      </c>
      <c r="B134" s="102"/>
      <c r="C134" s="102"/>
      <c r="D134" s="107">
        <f>D122+D126+D13</f>
        <v>366250</v>
      </c>
      <c r="E134" s="107">
        <f>E122+E126+E13</f>
        <v>356250</v>
      </c>
      <c r="F134" s="111">
        <f>F122+F126+F13</f>
        <v>10000</v>
      </c>
      <c r="G134" s="117">
        <f>SUM(D134:F134)</f>
        <v>732500</v>
      </c>
    </row>
    <row r="135" spans="1:7" ht="15.75" thickBot="1">
      <c r="A135" s="108" t="s">
        <v>322</v>
      </c>
      <c r="B135" s="109"/>
      <c r="C135" s="109"/>
      <c r="D135" s="110">
        <f>D131-D130</f>
        <v>-2137000</v>
      </c>
      <c r="E135" s="110">
        <f>E131-E130</f>
        <v>-7258382.3499999996</v>
      </c>
      <c r="F135" s="114">
        <f>F131-F130</f>
        <v>-1656812.7000000002</v>
      </c>
      <c r="G135" s="118">
        <f>G131-G130</f>
        <v>-11052195.050000001</v>
      </c>
    </row>
  </sheetData>
  <autoFilter ref="J1:J102" xr:uid="{F9C02884-E76D-4D92-AAC0-F70F88ADC41E}"/>
  <mergeCells count="85">
    <mergeCell ref="B120:G120"/>
    <mergeCell ref="B121:C121"/>
    <mergeCell ref="B122:C122"/>
    <mergeCell ref="B123:C123"/>
    <mergeCell ref="B124:C124"/>
    <mergeCell ref="B125:C125"/>
    <mergeCell ref="B126:C126"/>
    <mergeCell ref="B127:C127"/>
    <mergeCell ref="B116:C116"/>
    <mergeCell ref="B83:C83"/>
    <mergeCell ref="B107:C107"/>
    <mergeCell ref="B105:G105"/>
    <mergeCell ref="B102:C102"/>
    <mergeCell ref="B111:C111"/>
    <mergeCell ref="B114:C114"/>
    <mergeCell ref="B115:C115"/>
    <mergeCell ref="B108:C108"/>
    <mergeCell ref="B109:C109"/>
    <mergeCell ref="B110:C110"/>
    <mergeCell ref="B112:C112"/>
    <mergeCell ref="B113:C113"/>
    <mergeCell ref="H34:H40"/>
    <mergeCell ref="G34:G40"/>
    <mergeCell ref="A34:A40"/>
    <mergeCell ref="B34:B40"/>
    <mergeCell ref="I34:I40"/>
    <mergeCell ref="A100:A101"/>
    <mergeCell ref="B100:B101"/>
    <mergeCell ref="B15:C15"/>
    <mergeCell ref="B22:C22"/>
    <mergeCell ref="B44:C44"/>
    <mergeCell ref="B53:C53"/>
    <mergeCell ref="B65:C65"/>
    <mergeCell ref="B73:C73"/>
    <mergeCell ref="B94:C94"/>
    <mergeCell ref="A85:I85"/>
    <mergeCell ref="A86:I86"/>
    <mergeCell ref="A87:I87"/>
    <mergeCell ref="A88:I88"/>
    <mergeCell ref="A96:I96"/>
    <mergeCell ref="A97:I97"/>
    <mergeCell ref="A98:I98"/>
    <mergeCell ref="A95:I95"/>
    <mergeCell ref="A99:I99"/>
    <mergeCell ref="A67:I67"/>
    <mergeCell ref="A68:I68"/>
    <mergeCell ref="A69:I69"/>
    <mergeCell ref="A70:I70"/>
    <mergeCell ref="A74:I74"/>
    <mergeCell ref="A75:I75"/>
    <mergeCell ref="A76:I76"/>
    <mergeCell ref="A77:I77"/>
    <mergeCell ref="A78:I78"/>
    <mergeCell ref="A57:I57"/>
    <mergeCell ref="A58:I58"/>
    <mergeCell ref="A66:I66"/>
    <mergeCell ref="A24:I24"/>
    <mergeCell ref="A25:I25"/>
    <mergeCell ref="A26:I26"/>
    <mergeCell ref="A27:I27"/>
    <mergeCell ref="A28:I28"/>
    <mergeCell ref="A29:I29"/>
    <mergeCell ref="A45:I45"/>
    <mergeCell ref="A46:I46"/>
    <mergeCell ref="A47:I47"/>
    <mergeCell ref="A48:I48"/>
    <mergeCell ref="A49:I49"/>
    <mergeCell ref="A54:I54"/>
    <mergeCell ref="A55:I55"/>
    <mergeCell ref="A23:I23"/>
    <mergeCell ref="A84:I84"/>
    <mergeCell ref="A1:I1"/>
    <mergeCell ref="C100:C101"/>
    <mergeCell ref="A16:I16"/>
    <mergeCell ref="A17:I17"/>
    <mergeCell ref="A18:I18"/>
    <mergeCell ref="A7:B8"/>
    <mergeCell ref="C7:C8"/>
    <mergeCell ref="D7:F7"/>
    <mergeCell ref="A2:I2"/>
    <mergeCell ref="A3:I3"/>
    <mergeCell ref="A4:I4"/>
    <mergeCell ref="A5:I5"/>
    <mergeCell ref="A6:I6"/>
    <mergeCell ref="A56:I56"/>
  </mergeCells>
  <printOptions horizontalCentered="1" verticalCentered="1"/>
  <pageMargins left="0.7" right="0.7" top="0.75" bottom="0.75" header="0.3" footer="0.3"/>
  <pageSetup paperSize="9" scale="55" orientation="landscape" verticalDpi="0" r:id="rId1"/>
  <rowBreaks count="2" manualBreakCount="2">
    <brk id="15" max="8" man="1"/>
    <brk id="33"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436C8-A35B-4ACA-B7D3-554C23A26320}">
  <dimension ref="A1:G60"/>
  <sheetViews>
    <sheetView workbookViewId="0">
      <selection activeCell="B4" sqref="B4"/>
    </sheetView>
  </sheetViews>
  <sheetFormatPr defaultRowHeight="15"/>
  <cols>
    <col min="1" max="1" width="4.5703125" customWidth="1"/>
    <col min="2" max="2" width="46.28515625" customWidth="1"/>
    <col min="3" max="3" width="14.5703125" customWidth="1"/>
    <col min="4" max="4" width="35" customWidth="1"/>
    <col min="5" max="5" width="18.7109375" customWidth="1"/>
    <col min="6" max="6" width="20.28515625" customWidth="1"/>
  </cols>
  <sheetData>
    <row r="1" spans="1:7" ht="15.75" thickBot="1">
      <c r="A1" s="155" t="s">
        <v>124</v>
      </c>
      <c r="B1" s="155"/>
      <c r="C1" s="155"/>
      <c r="D1" s="155"/>
      <c r="E1" s="155"/>
      <c r="F1" s="11"/>
      <c r="G1" s="11"/>
    </row>
    <row r="2" spans="1:7" ht="36.75" thickBot="1">
      <c r="A2" s="12" t="s">
        <v>125</v>
      </c>
      <c r="B2" s="26" t="s">
        <v>1</v>
      </c>
      <c r="C2" s="13" t="s">
        <v>126</v>
      </c>
      <c r="D2" s="13" t="s">
        <v>127</v>
      </c>
      <c r="E2" s="13"/>
      <c r="F2" s="13"/>
      <c r="G2" s="11"/>
    </row>
    <row r="3" spans="1:7" ht="18">
      <c r="A3" s="195" t="s">
        <v>128</v>
      </c>
      <c r="B3" s="196"/>
      <c r="C3" s="196"/>
      <c r="D3" s="196"/>
      <c r="E3" s="196"/>
      <c r="F3" s="196"/>
      <c r="G3" s="11"/>
    </row>
    <row r="4" spans="1:7" ht="137.25" customHeight="1">
      <c r="A4" s="35"/>
      <c r="B4" s="36" t="s">
        <v>129</v>
      </c>
      <c r="C4" s="37" t="s">
        <v>130</v>
      </c>
      <c r="D4" s="37" t="s">
        <v>131</v>
      </c>
      <c r="E4" s="37" t="s">
        <v>132</v>
      </c>
      <c r="F4" s="37" t="s">
        <v>132</v>
      </c>
      <c r="G4" s="11"/>
    </row>
    <row r="5" spans="1:7" s="1" customFormat="1" ht="74.25" customHeight="1">
      <c r="A5" s="35"/>
      <c r="B5" s="36" t="s">
        <v>133</v>
      </c>
      <c r="C5" s="37" t="s">
        <v>134</v>
      </c>
      <c r="D5" s="37" t="s">
        <v>135</v>
      </c>
      <c r="E5" s="37" t="s">
        <v>136</v>
      </c>
      <c r="F5" s="37" t="s">
        <v>136</v>
      </c>
    </row>
    <row r="6" spans="1:7" ht="54">
      <c r="A6" s="35"/>
      <c r="B6" s="36" t="s">
        <v>137</v>
      </c>
      <c r="C6" s="37" t="s">
        <v>138</v>
      </c>
      <c r="D6" s="37" t="s">
        <v>139</v>
      </c>
      <c r="E6" s="37" t="s">
        <v>140</v>
      </c>
      <c r="F6" s="37" t="s">
        <v>140</v>
      </c>
      <c r="G6" s="11"/>
    </row>
    <row r="7" spans="1:7" s="1" customFormat="1" ht="72">
      <c r="A7" s="35"/>
      <c r="B7" s="36" t="s">
        <v>141</v>
      </c>
      <c r="C7" s="37" t="s">
        <v>134</v>
      </c>
      <c r="D7" s="37" t="s">
        <v>142</v>
      </c>
      <c r="E7" s="37" t="s">
        <v>143</v>
      </c>
      <c r="F7" s="37" t="s">
        <v>143</v>
      </c>
    </row>
    <row r="8" spans="1:7" ht="72">
      <c r="A8" s="35"/>
      <c r="B8" s="38" t="s">
        <v>144</v>
      </c>
      <c r="C8" s="37" t="s">
        <v>134</v>
      </c>
      <c r="D8" s="37" t="s">
        <v>145</v>
      </c>
      <c r="E8" s="37" t="s">
        <v>132</v>
      </c>
      <c r="F8" s="37" t="s">
        <v>132</v>
      </c>
      <c r="G8" s="11"/>
    </row>
    <row r="11" spans="1:7">
      <c r="A11" s="18"/>
      <c r="B11" s="11"/>
      <c r="C11" s="11"/>
      <c r="D11" s="11"/>
      <c r="E11" s="11"/>
      <c r="F11" s="11"/>
      <c r="G11" s="11"/>
    </row>
    <row r="13" spans="1:7" ht="15.75" thickBot="1">
      <c r="A13" s="11"/>
      <c r="B13" s="11"/>
      <c r="C13" s="11"/>
      <c r="D13" s="11"/>
      <c r="E13" s="11"/>
      <c r="F13" s="11"/>
      <c r="G13" s="11"/>
    </row>
    <row r="14" spans="1:7">
      <c r="A14" s="156"/>
      <c r="B14" s="158" t="s">
        <v>146</v>
      </c>
      <c r="C14" s="160" t="s">
        <v>147</v>
      </c>
      <c r="D14" s="162"/>
      <c r="E14" s="163"/>
      <c r="F14" s="160"/>
      <c r="G14" s="170"/>
    </row>
    <row r="15" spans="1:7" ht="15.75" thickBot="1">
      <c r="A15" s="157"/>
      <c r="B15" s="159"/>
      <c r="C15" s="161"/>
      <c r="D15" s="164"/>
      <c r="E15" s="165"/>
      <c r="F15" s="161"/>
      <c r="G15" s="170"/>
    </row>
    <row r="16" spans="1:7" ht="36.75" thickBot="1">
      <c r="A16" s="39"/>
      <c r="B16" s="40" t="s">
        <v>148</v>
      </c>
      <c r="C16" s="41" t="s">
        <v>134</v>
      </c>
      <c r="D16" s="166" t="s">
        <v>149</v>
      </c>
      <c r="E16" s="167"/>
      <c r="F16" s="41" t="s">
        <v>132</v>
      </c>
      <c r="G16" s="14"/>
    </row>
    <row r="17" spans="1:7" ht="36.75" thickBot="1">
      <c r="A17" s="39"/>
      <c r="B17" s="40" t="s">
        <v>150</v>
      </c>
      <c r="C17" s="41" t="s">
        <v>134</v>
      </c>
      <c r="D17" s="166"/>
      <c r="E17" s="167"/>
      <c r="F17" s="41" t="s">
        <v>151</v>
      </c>
      <c r="G17" s="14"/>
    </row>
    <row r="18" spans="1:7" ht="54.75" thickBot="1">
      <c r="A18" s="39"/>
      <c r="B18" s="40" t="s">
        <v>152</v>
      </c>
      <c r="C18" s="41" t="s">
        <v>134</v>
      </c>
      <c r="D18" s="166" t="s">
        <v>153</v>
      </c>
      <c r="E18" s="167"/>
      <c r="F18" s="41" t="s">
        <v>151</v>
      </c>
      <c r="G18" s="14"/>
    </row>
    <row r="19" spans="1:7" ht="54.75" thickBot="1">
      <c r="A19" s="39"/>
      <c r="B19" s="40" t="s">
        <v>154</v>
      </c>
      <c r="C19" s="41" t="s">
        <v>155</v>
      </c>
      <c r="D19" s="166" t="s">
        <v>156</v>
      </c>
      <c r="E19" s="167"/>
      <c r="F19" s="41" t="s">
        <v>157</v>
      </c>
      <c r="G19" s="14"/>
    </row>
    <row r="20" spans="1:7" ht="54.75" thickBot="1">
      <c r="A20" s="39"/>
      <c r="B20" s="40" t="s">
        <v>158</v>
      </c>
      <c r="C20" s="41" t="s">
        <v>155</v>
      </c>
      <c r="D20" s="166" t="s">
        <v>159</v>
      </c>
      <c r="E20" s="167"/>
      <c r="F20" s="41" t="s">
        <v>157</v>
      </c>
      <c r="G20" s="14"/>
    </row>
    <row r="21" spans="1:7" ht="54.75" thickBot="1">
      <c r="A21" s="39"/>
      <c r="B21" s="40" t="s">
        <v>160</v>
      </c>
      <c r="C21" s="41" t="s">
        <v>155</v>
      </c>
      <c r="D21" s="166" t="s">
        <v>161</v>
      </c>
      <c r="E21" s="167"/>
      <c r="F21" s="41" t="s">
        <v>140</v>
      </c>
      <c r="G21" s="14"/>
    </row>
    <row r="22" spans="1:7" ht="116.25" customHeight="1" thickBot="1">
      <c r="A22" s="42"/>
      <c r="B22" s="40" t="s">
        <v>162</v>
      </c>
      <c r="C22" s="43" t="s">
        <v>155</v>
      </c>
      <c r="D22" s="168" t="s">
        <v>163</v>
      </c>
      <c r="E22" s="169"/>
      <c r="F22" s="43" t="s">
        <v>140</v>
      </c>
      <c r="G22" s="32"/>
    </row>
    <row r="23" spans="1:7" ht="72.75" thickBot="1">
      <c r="A23" s="39"/>
      <c r="B23" s="40" t="s">
        <v>164</v>
      </c>
      <c r="C23" s="41" t="s">
        <v>165</v>
      </c>
      <c r="D23" s="166" t="s">
        <v>166</v>
      </c>
      <c r="E23" s="167"/>
      <c r="F23" s="177" t="s">
        <v>157</v>
      </c>
      <c r="G23" s="14"/>
    </row>
    <row r="24" spans="1:7" ht="36.75" thickBot="1">
      <c r="A24" s="39"/>
      <c r="B24" s="40" t="s">
        <v>167</v>
      </c>
      <c r="C24" s="41" t="s">
        <v>165</v>
      </c>
      <c r="D24" s="166"/>
      <c r="E24" s="167"/>
      <c r="F24" s="178"/>
      <c r="G24" s="14"/>
    </row>
    <row r="25" spans="1:7" ht="36.75" thickBot="1">
      <c r="A25" s="39"/>
      <c r="B25" s="40" t="s">
        <v>168</v>
      </c>
      <c r="C25" s="41" t="s">
        <v>169</v>
      </c>
      <c r="D25" s="166"/>
      <c r="E25" s="167"/>
      <c r="F25" s="178"/>
      <c r="G25" s="14"/>
    </row>
    <row r="26" spans="1:7" ht="54.75" thickBot="1">
      <c r="A26" s="39"/>
      <c r="B26" s="40" t="s">
        <v>170</v>
      </c>
      <c r="C26" s="41" t="s">
        <v>169</v>
      </c>
      <c r="D26" s="166"/>
      <c r="E26" s="167"/>
      <c r="F26" s="178"/>
      <c r="G26" s="14"/>
    </row>
    <row r="27" spans="1:7" ht="54.75" thickBot="1">
      <c r="A27" s="39"/>
      <c r="B27" s="40" t="s">
        <v>171</v>
      </c>
      <c r="C27" s="41" t="s">
        <v>169</v>
      </c>
      <c r="D27" s="166"/>
      <c r="E27" s="167"/>
      <c r="F27" s="178"/>
      <c r="G27" s="14"/>
    </row>
    <row r="28" spans="1:7" ht="75.75" customHeight="1" thickBot="1">
      <c r="A28" s="39"/>
      <c r="B28" s="40" t="s">
        <v>172</v>
      </c>
      <c r="C28" s="41" t="s">
        <v>173</v>
      </c>
      <c r="D28" s="166"/>
      <c r="E28" s="167"/>
      <c r="F28" s="178"/>
      <c r="G28" s="14"/>
    </row>
    <row r="29" spans="1:7" ht="36.75" thickBot="1">
      <c r="A29" s="39"/>
      <c r="B29" s="40" t="s">
        <v>174</v>
      </c>
      <c r="C29" s="41" t="s">
        <v>175</v>
      </c>
      <c r="D29" s="166" t="s">
        <v>176</v>
      </c>
      <c r="E29" s="167"/>
      <c r="F29" s="178"/>
      <c r="G29" s="14"/>
    </row>
    <row r="30" spans="1:7" ht="75.75" customHeight="1" thickBot="1">
      <c r="A30" s="39"/>
      <c r="B30" s="40" t="s">
        <v>177</v>
      </c>
      <c r="C30" s="41" t="s">
        <v>178</v>
      </c>
      <c r="D30" s="166"/>
      <c r="E30" s="167"/>
      <c r="F30" s="179"/>
      <c r="G30" s="14"/>
    </row>
    <row r="31" spans="1:7" ht="60" customHeight="1" thickBot="1">
      <c r="A31" s="39"/>
      <c r="B31" s="40" t="s">
        <v>179</v>
      </c>
      <c r="C31" s="41" t="s">
        <v>180</v>
      </c>
      <c r="D31" s="166"/>
      <c r="E31" s="167"/>
      <c r="F31" s="41"/>
      <c r="G31" s="14"/>
    </row>
    <row r="32" spans="1:7" ht="36.75" thickBot="1">
      <c r="A32" s="23"/>
      <c r="B32" s="28" t="s">
        <v>181</v>
      </c>
      <c r="C32" s="24" t="s">
        <v>182</v>
      </c>
      <c r="D32" s="171"/>
      <c r="E32" s="172"/>
      <c r="F32" s="24"/>
      <c r="G32" s="14"/>
    </row>
    <row r="33" spans="1:7" ht="72" customHeight="1" thickBot="1">
      <c r="A33" s="19"/>
      <c r="B33" s="27" t="s">
        <v>183</v>
      </c>
      <c r="C33" s="20" t="s">
        <v>184</v>
      </c>
      <c r="D33" s="173"/>
      <c r="E33" s="174"/>
      <c r="F33" s="175" t="s">
        <v>157</v>
      </c>
      <c r="G33" s="32"/>
    </row>
    <row r="34" spans="1:7" ht="36.75" thickBot="1">
      <c r="A34" s="16"/>
      <c r="B34" s="27" t="s">
        <v>185</v>
      </c>
      <c r="C34" s="17" t="s">
        <v>186</v>
      </c>
      <c r="D34" s="201" t="s">
        <v>187</v>
      </c>
      <c r="E34" s="202"/>
      <c r="F34" s="176"/>
      <c r="G34" s="14"/>
    </row>
    <row r="35" spans="1:7" ht="105.75" customHeight="1" thickBot="1">
      <c r="A35" s="19"/>
      <c r="B35" s="27" t="s">
        <v>188</v>
      </c>
      <c r="C35" s="20" t="s">
        <v>189</v>
      </c>
      <c r="D35" s="173"/>
      <c r="E35" s="174"/>
      <c r="F35" s="176"/>
      <c r="G35" s="32"/>
    </row>
    <row r="36" spans="1:7" ht="36.75" thickBot="1">
      <c r="A36" s="22"/>
      <c r="B36" s="28" t="s">
        <v>190</v>
      </c>
      <c r="C36" s="21" t="s">
        <v>191</v>
      </c>
      <c r="D36" s="171"/>
      <c r="E36" s="172"/>
      <c r="F36" s="24"/>
      <c r="G36" s="14"/>
    </row>
    <row r="37" spans="1:7" ht="201.75" customHeight="1" thickBot="1">
      <c r="A37" s="42"/>
      <c r="B37" s="40" t="s">
        <v>192</v>
      </c>
      <c r="C37" s="42"/>
      <c r="D37" s="168" t="s">
        <v>193</v>
      </c>
      <c r="E37" s="169"/>
      <c r="F37" s="44" t="s">
        <v>194</v>
      </c>
      <c r="G37" s="32"/>
    </row>
    <row r="38" spans="1:7" ht="142.69999999999999" customHeight="1" thickBot="1">
      <c r="A38" s="42"/>
      <c r="B38" s="40" t="s">
        <v>195</v>
      </c>
      <c r="C38" s="42"/>
      <c r="D38" s="168" t="s">
        <v>196</v>
      </c>
      <c r="E38" s="169"/>
      <c r="F38" s="43" t="s">
        <v>157</v>
      </c>
      <c r="G38" s="32"/>
    </row>
    <row r="39" spans="1:7" ht="54.75" thickBot="1">
      <c r="A39" s="42"/>
      <c r="B39" s="40" t="s">
        <v>197</v>
      </c>
      <c r="C39" s="42"/>
      <c r="D39" s="168" t="s">
        <v>198</v>
      </c>
      <c r="E39" s="169"/>
      <c r="F39" s="43" t="s">
        <v>199</v>
      </c>
      <c r="G39" s="32"/>
    </row>
    <row r="40" spans="1:7" ht="54.75" thickBot="1">
      <c r="A40" s="39"/>
      <c r="B40" s="40" t="s">
        <v>200</v>
      </c>
      <c r="C40" s="45"/>
      <c r="D40" s="166" t="s">
        <v>201</v>
      </c>
      <c r="E40" s="167"/>
      <c r="F40" s="41" t="s">
        <v>151</v>
      </c>
      <c r="G40" s="14"/>
    </row>
    <row r="41" spans="1:7" ht="72.75" thickBot="1">
      <c r="A41" s="39"/>
      <c r="B41" s="40" t="s">
        <v>202</v>
      </c>
      <c r="C41" s="41" t="s">
        <v>203</v>
      </c>
      <c r="D41" s="166"/>
      <c r="E41" s="167"/>
      <c r="F41" s="41" t="s">
        <v>157</v>
      </c>
      <c r="G41" s="14"/>
    </row>
    <row r="42" spans="1:7" ht="18">
      <c r="A42" s="156"/>
      <c r="B42" s="30" t="s">
        <v>204</v>
      </c>
      <c r="C42" s="160" t="s">
        <v>205</v>
      </c>
      <c r="D42" s="162" t="s">
        <v>206</v>
      </c>
      <c r="E42" s="163"/>
      <c r="F42" s="160" t="s">
        <v>199</v>
      </c>
      <c r="G42" s="170"/>
    </row>
    <row r="43" spans="1:7" ht="18.75" thickBot="1">
      <c r="A43" s="157"/>
      <c r="B43" s="31" t="s">
        <v>207</v>
      </c>
      <c r="C43" s="161"/>
      <c r="D43" s="164"/>
      <c r="E43" s="165"/>
      <c r="F43" s="161"/>
      <c r="G43" s="170"/>
    </row>
    <row r="44" spans="1:7" ht="63" customHeight="1" thickBot="1">
      <c r="A44" s="19"/>
      <c r="B44" s="46" t="s">
        <v>208</v>
      </c>
      <c r="C44" s="43" t="s">
        <v>209</v>
      </c>
      <c r="D44" s="168"/>
      <c r="E44" s="169"/>
      <c r="F44" s="43" t="s">
        <v>199</v>
      </c>
      <c r="G44" s="32"/>
    </row>
    <row r="45" spans="1:7" ht="54">
      <c r="A45" s="48"/>
      <c r="B45" s="49" t="s">
        <v>210</v>
      </c>
      <c r="C45" s="50" t="s">
        <v>211</v>
      </c>
      <c r="D45" s="199" t="s">
        <v>212</v>
      </c>
      <c r="E45" s="200"/>
      <c r="F45" s="50" t="s">
        <v>199</v>
      </c>
      <c r="G45" s="32"/>
    </row>
    <row r="46" spans="1:7" ht="18.75" thickBot="1">
      <c r="A46" s="33"/>
      <c r="B46" s="34"/>
      <c r="C46" s="15"/>
      <c r="D46" s="15"/>
      <c r="E46" s="15"/>
      <c r="F46" s="15"/>
      <c r="G46" s="25"/>
    </row>
    <row r="47" spans="1:7" ht="18.75" customHeight="1" thickBot="1">
      <c r="A47" s="181" t="s">
        <v>213</v>
      </c>
      <c r="B47" s="182"/>
      <c r="C47" s="182"/>
      <c r="D47" s="182"/>
      <c r="E47" s="182"/>
      <c r="F47" s="182"/>
      <c r="G47" s="47"/>
    </row>
    <row r="48" spans="1:7" ht="18">
      <c r="A48" s="188"/>
      <c r="B48" s="190" t="s">
        <v>214</v>
      </c>
      <c r="C48" s="175" t="s">
        <v>134</v>
      </c>
      <c r="D48" s="175"/>
      <c r="E48" s="173" t="s">
        <v>199</v>
      </c>
      <c r="F48" s="174"/>
      <c r="G48" s="180"/>
    </row>
    <row r="49" spans="1:7" ht="18.75" thickBot="1">
      <c r="A49" s="189"/>
      <c r="B49" s="191"/>
      <c r="C49" s="192"/>
      <c r="D49" s="192"/>
      <c r="E49" s="193" t="s">
        <v>215</v>
      </c>
      <c r="F49" s="194"/>
      <c r="G49" s="170"/>
    </row>
    <row r="50" spans="1:7" ht="36.75" thickBot="1">
      <c r="A50" s="16"/>
      <c r="B50" s="29" t="s">
        <v>216</v>
      </c>
      <c r="C50" s="17" t="s">
        <v>175</v>
      </c>
      <c r="D50" s="17"/>
      <c r="E50" s="193"/>
      <c r="F50" s="194"/>
      <c r="G50" s="14"/>
    </row>
    <row r="51" spans="1:7" ht="36.75" thickBot="1">
      <c r="A51" s="16"/>
      <c r="B51" s="29" t="s">
        <v>217</v>
      </c>
      <c r="C51" s="17"/>
      <c r="D51" s="17"/>
      <c r="E51" s="197" t="s">
        <v>218</v>
      </c>
      <c r="F51" s="198"/>
      <c r="G51" s="25"/>
    </row>
    <row r="52" spans="1:7" ht="18.75" thickBot="1">
      <c r="A52" s="181" t="s">
        <v>219</v>
      </c>
      <c r="B52" s="182"/>
      <c r="C52" s="182"/>
      <c r="D52" s="182"/>
      <c r="E52" s="182"/>
      <c r="F52" s="182"/>
      <c r="G52" s="183"/>
    </row>
    <row r="53" spans="1:7" ht="36.75" thickBot="1">
      <c r="A53" s="16"/>
      <c r="B53" s="51" t="s">
        <v>220</v>
      </c>
      <c r="C53" s="41" t="s">
        <v>221</v>
      </c>
      <c r="D53" s="41"/>
      <c r="E53" s="168" t="s">
        <v>199</v>
      </c>
      <c r="F53" s="169"/>
      <c r="G53" s="14"/>
    </row>
    <row r="54" spans="1:7" ht="36.75" thickBot="1">
      <c r="A54" s="16"/>
      <c r="B54" s="51" t="s">
        <v>222</v>
      </c>
      <c r="C54" s="41" t="s">
        <v>221</v>
      </c>
      <c r="D54" s="41"/>
      <c r="E54" s="184"/>
      <c r="F54" s="185"/>
      <c r="G54" s="14"/>
    </row>
    <row r="55" spans="1:7" ht="54.75" thickBot="1">
      <c r="A55" s="16"/>
      <c r="B55" s="51" t="s">
        <v>223</v>
      </c>
      <c r="C55" s="41" t="s">
        <v>180</v>
      </c>
      <c r="D55" s="41"/>
      <c r="E55" s="184"/>
      <c r="F55" s="185"/>
      <c r="G55" s="14"/>
    </row>
    <row r="56" spans="1:7" ht="79.5" customHeight="1" thickBot="1">
      <c r="A56" s="16"/>
      <c r="B56" s="51" t="s">
        <v>224</v>
      </c>
      <c r="C56" s="41" t="s">
        <v>225</v>
      </c>
      <c r="D56" s="41" t="s">
        <v>226</v>
      </c>
      <c r="E56" s="186"/>
      <c r="F56" s="187"/>
      <c r="G56" s="14"/>
    </row>
    <row r="57" spans="1:7" ht="18.75" thickBot="1">
      <c r="A57" s="16"/>
      <c r="B57" s="51" t="s">
        <v>227</v>
      </c>
      <c r="C57" s="41" t="s">
        <v>228</v>
      </c>
      <c r="D57" s="41"/>
      <c r="E57" s="166" t="s">
        <v>132</v>
      </c>
      <c r="F57" s="167"/>
      <c r="G57" s="14"/>
    </row>
    <row r="58" spans="1:7" ht="18.75" thickBot="1">
      <c r="A58" s="16"/>
      <c r="B58" s="51" t="s">
        <v>229</v>
      </c>
      <c r="C58" s="41" t="s">
        <v>228</v>
      </c>
      <c r="D58" s="41"/>
      <c r="E58" s="166" t="s">
        <v>132</v>
      </c>
      <c r="F58" s="167"/>
      <c r="G58" s="14"/>
    </row>
    <row r="59" spans="1:7" ht="72.75" thickBot="1">
      <c r="A59" s="16"/>
      <c r="B59" s="51" t="s">
        <v>230</v>
      </c>
      <c r="C59" s="41" t="s">
        <v>231</v>
      </c>
      <c r="D59" s="41" t="s">
        <v>232</v>
      </c>
      <c r="E59" s="166" t="s">
        <v>132</v>
      </c>
      <c r="F59" s="167"/>
      <c r="G59" s="14"/>
    </row>
    <row r="60" spans="1:7" ht="36.75" thickBot="1">
      <c r="A60" s="16"/>
      <c r="B60" s="51" t="s">
        <v>233</v>
      </c>
      <c r="C60" s="41" t="s">
        <v>234</v>
      </c>
      <c r="D60" s="41" t="s">
        <v>235</v>
      </c>
      <c r="E60" s="166" t="s">
        <v>132</v>
      </c>
      <c r="F60" s="167"/>
      <c r="G60" s="14"/>
    </row>
  </sheetData>
  <mergeCells count="59">
    <mergeCell ref="E58:F58"/>
    <mergeCell ref="E59:F59"/>
    <mergeCell ref="E60:F60"/>
    <mergeCell ref="A3:F3"/>
    <mergeCell ref="E50:F50"/>
    <mergeCell ref="E51:F51"/>
    <mergeCell ref="D45:E45"/>
    <mergeCell ref="D40:E40"/>
    <mergeCell ref="D41:E41"/>
    <mergeCell ref="D39:E39"/>
    <mergeCell ref="D38:E38"/>
    <mergeCell ref="A47:F47"/>
    <mergeCell ref="D36:E36"/>
    <mergeCell ref="D37:E37"/>
    <mergeCell ref="D34:E34"/>
    <mergeCell ref="D35:E35"/>
    <mergeCell ref="G48:G49"/>
    <mergeCell ref="A52:G52"/>
    <mergeCell ref="E53:F56"/>
    <mergeCell ref="E57:F57"/>
    <mergeCell ref="A48:A49"/>
    <mergeCell ref="B48:B49"/>
    <mergeCell ref="C48:C49"/>
    <mergeCell ref="D48:D49"/>
    <mergeCell ref="E48:F48"/>
    <mergeCell ref="E49:F49"/>
    <mergeCell ref="G42:G43"/>
    <mergeCell ref="D44:E44"/>
    <mergeCell ref="A42:A43"/>
    <mergeCell ref="C42:C43"/>
    <mergeCell ref="D42:E43"/>
    <mergeCell ref="F42:F43"/>
    <mergeCell ref="D31:E31"/>
    <mergeCell ref="D32:E32"/>
    <mergeCell ref="D33:E33"/>
    <mergeCell ref="F33:F35"/>
    <mergeCell ref="D23:E23"/>
    <mergeCell ref="F23:F30"/>
    <mergeCell ref="D24:E24"/>
    <mergeCell ref="D25:E25"/>
    <mergeCell ref="D26:E26"/>
    <mergeCell ref="D27:E27"/>
    <mergeCell ref="D28:E28"/>
    <mergeCell ref="D29:E29"/>
    <mergeCell ref="D30:E30"/>
    <mergeCell ref="D20:E20"/>
    <mergeCell ref="D21:E21"/>
    <mergeCell ref="D22:E22"/>
    <mergeCell ref="F14:F15"/>
    <mergeCell ref="G14:G15"/>
    <mergeCell ref="D16:E16"/>
    <mergeCell ref="D17:E17"/>
    <mergeCell ref="D18:E18"/>
    <mergeCell ref="D19:E19"/>
    <mergeCell ref="A1:E1"/>
    <mergeCell ref="A14:A15"/>
    <mergeCell ref="B14:B15"/>
    <mergeCell ref="C14:C15"/>
    <mergeCell ref="D14:E15"/>
  </mergeCells>
  <hyperlinks>
    <hyperlink ref="C2" location="_ftn1" display="_ftn1" xr:uid="{8C797AA8-A25C-44E4-838B-CA5674CA3682}"/>
  </hyperlinks>
  <pageMargins left="0.7" right="0.7" top="0.75" bottom="0.75" header="0.3" footer="0.3"/>
  <pageSetup orientation="portrait" horizontalDpi="300" verticalDpi="0" copies="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1704B-3405-4562-BD7C-50B2CD245A7C}">
  <dimension ref="A1:F85"/>
  <sheetViews>
    <sheetView topLeftCell="A39" workbookViewId="0">
      <selection activeCell="F57" activeCellId="1" sqref="F53 F57"/>
    </sheetView>
  </sheetViews>
  <sheetFormatPr defaultRowHeight="15"/>
  <cols>
    <col min="2" max="2" width="55.85546875" customWidth="1"/>
    <col min="3" max="3" width="11" customWidth="1"/>
    <col min="4" max="4" width="11.85546875" customWidth="1"/>
    <col min="5" max="5" width="11.42578125" customWidth="1"/>
    <col min="6" max="6" width="14.42578125" bestFit="1" customWidth="1"/>
    <col min="8" max="8" width="10" bestFit="1" customWidth="1"/>
  </cols>
  <sheetData>
    <row r="1" spans="1:6">
      <c r="A1" s="11" t="s">
        <v>236</v>
      </c>
      <c r="B1" s="11"/>
      <c r="C1" s="11">
        <v>500</v>
      </c>
      <c r="D1" s="11"/>
      <c r="E1" s="11"/>
    </row>
    <row r="2" spans="1:6">
      <c r="A2" s="11" t="s">
        <v>237</v>
      </c>
      <c r="B2" s="11"/>
      <c r="C2" s="11">
        <v>550</v>
      </c>
      <c r="D2" s="11"/>
      <c r="E2" s="11"/>
    </row>
    <row r="3" spans="1:6">
      <c r="A3" s="11"/>
      <c r="B3" s="11"/>
      <c r="C3" s="11"/>
      <c r="D3" s="11"/>
      <c r="E3" s="11"/>
    </row>
    <row r="4" spans="1:6">
      <c r="A4" s="11"/>
      <c r="B4" s="11"/>
      <c r="C4" s="11" t="s">
        <v>238</v>
      </c>
      <c r="D4" s="11" t="s">
        <v>239</v>
      </c>
      <c r="E4" s="11" t="s">
        <v>240</v>
      </c>
    </row>
    <row r="5" spans="1:6">
      <c r="A5" s="11"/>
      <c r="B5" s="11" t="s">
        <v>271</v>
      </c>
      <c r="C5" s="52">
        <v>25000</v>
      </c>
      <c r="D5" s="52">
        <v>50000</v>
      </c>
      <c r="E5" s="53">
        <f>(D5+C5)/2</f>
        <v>37500</v>
      </c>
    </row>
    <row r="6" spans="1:6">
      <c r="A6" s="11"/>
      <c r="B6" s="11" t="s">
        <v>272</v>
      </c>
      <c r="C6" s="53">
        <f>C5*$C$1/1000</f>
        <v>12500</v>
      </c>
      <c r="D6" s="53">
        <f>D5*$C$1/1000</f>
        <v>25000</v>
      </c>
      <c r="E6" s="53">
        <f>(D6+C6)/2</f>
        <v>18750</v>
      </c>
    </row>
    <row r="7" spans="1:6">
      <c r="A7" s="11"/>
      <c r="B7" s="11"/>
      <c r="C7" s="54"/>
      <c r="D7" s="54"/>
      <c r="E7" s="11"/>
    </row>
    <row r="8" spans="1:6">
      <c r="A8" s="11"/>
      <c r="B8" s="11"/>
      <c r="C8" s="54"/>
      <c r="D8" s="54"/>
      <c r="E8" s="11"/>
    </row>
    <row r="9" spans="1:6">
      <c r="A9" s="11"/>
      <c r="B9" s="11"/>
      <c r="C9" s="11" t="s">
        <v>238</v>
      </c>
      <c r="D9" s="11" t="s">
        <v>239</v>
      </c>
      <c r="E9" s="11" t="s">
        <v>240</v>
      </c>
    </row>
    <row r="10" spans="1:6">
      <c r="A10" s="11"/>
      <c r="B10" s="11" t="s">
        <v>269</v>
      </c>
      <c r="C10" s="52">
        <v>20000</v>
      </c>
      <c r="D10" s="52">
        <v>30000</v>
      </c>
      <c r="E10" s="53">
        <f>(D10+C10)/2</f>
        <v>25000</v>
      </c>
    </row>
    <row r="11" spans="1:6">
      <c r="A11" s="11"/>
      <c r="B11" s="11" t="s">
        <v>270</v>
      </c>
      <c r="C11" s="53">
        <f>C10*$C$1/1000</f>
        <v>10000</v>
      </c>
      <c r="D11" s="53">
        <f>D10*$C$1/1000</f>
        <v>15000</v>
      </c>
      <c r="E11" s="53">
        <f>(D11+C11)/2</f>
        <v>12500</v>
      </c>
    </row>
    <row r="13" spans="1:6">
      <c r="B13" t="s">
        <v>268</v>
      </c>
      <c r="E13" s="53">
        <v>15000</v>
      </c>
    </row>
    <row r="15" spans="1:6" s="11" customFormat="1">
      <c r="C15" s="11" t="s">
        <v>327</v>
      </c>
      <c r="D15" s="11" t="s">
        <v>328</v>
      </c>
      <c r="E15" s="11" t="s">
        <v>329</v>
      </c>
      <c r="F15" s="11" t="s">
        <v>258</v>
      </c>
    </row>
    <row r="16" spans="1:6" s="11" customFormat="1">
      <c r="B16" s="11" t="s">
        <v>326</v>
      </c>
      <c r="C16" s="11">
        <f>3*650</f>
        <v>1950</v>
      </c>
      <c r="D16" s="11">
        <v>360</v>
      </c>
      <c r="E16" s="56">
        <f>D16*C1</f>
        <v>180000</v>
      </c>
      <c r="F16" s="56">
        <f>E16*C16/1000</f>
        <v>351000</v>
      </c>
    </row>
    <row r="17" spans="2:6" s="11" customFormat="1"/>
    <row r="18" spans="2:6" s="11" customFormat="1"/>
    <row r="19" spans="2:6" s="11" customFormat="1"/>
    <row r="20" spans="2:6" s="11" customFormat="1"/>
    <row r="21" spans="2:6">
      <c r="B21" s="58" t="s">
        <v>241</v>
      </c>
      <c r="C21" s="59"/>
      <c r="D21" s="59"/>
      <c r="E21" s="59"/>
      <c r="F21" s="60"/>
    </row>
    <row r="22" spans="2:6">
      <c r="B22" s="61" t="s">
        <v>242</v>
      </c>
      <c r="C22" s="62">
        <v>650</v>
      </c>
      <c r="D22" s="62"/>
      <c r="E22" s="62"/>
      <c r="F22" s="63"/>
    </row>
    <row r="23" spans="2:6">
      <c r="B23" s="61" t="s">
        <v>243</v>
      </c>
      <c r="C23" s="62">
        <f>1500-C22</f>
        <v>850</v>
      </c>
      <c r="D23" s="62"/>
      <c r="E23" s="62"/>
      <c r="F23" s="63"/>
    </row>
    <row r="24" spans="2:6">
      <c r="B24" s="61"/>
      <c r="C24" s="62"/>
      <c r="D24" s="62"/>
      <c r="E24" s="62"/>
      <c r="F24" s="63"/>
    </row>
    <row r="25" spans="2:6">
      <c r="B25" s="61" t="s">
        <v>244</v>
      </c>
      <c r="C25" s="62"/>
      <c r="D25" s="62"/>
      <c r="E25" s="62"/>
      <c r="F25" s="64">
        <v>340000</v>
      </c>
    </row>
    <row r="26" spans="2:6" s="11" customFormat="1">
      <c r="B26" s="61"/>
      <c r="C26" s="62"/>
      <c r="D26" s="62"/>
      <c r="E26" s="62"/>
      <c r="F26" s="64"/>
    </row>
    <row r="27" spans="2:6">
      <c r="B27" s="61" t="s">
        <v>251</v>
      </c>
      <c r="C27" s="62"/>
      <c r="D27" s="62"/>
      <c r="E27" s="62"/>
      <c r="F27" s="64">
        <f>F28+F29</f>
        <v>6120000</v>
      </c>
    </row>
    <row r="28" spans="2:6">
      <c r="B28" s="65" t="s">
        <v>242</v>
      </c>
      <c r="C28" s="62"/>
      <c r="D28" s="62"/>
      <c r="E28" s="62"/>
      <c r="F28" s="64">
        <f>F25*12*C22/1000</f>
        <v>2652000</v>
      </c>
    </row>
    <row r="29" spans="2:6">
      <c r="B29" s="65" t="s">
        <v>243</v>
      </c>
      <c r="C29" s="62"/>
      <c r="D29" s="62"/>
      <c r="E29" s="62"/>
      <c r="F29" s="64">
        <f>F25*12*C23/1000</f>
        <v>3468000</v>
      </c>
    </row>
    <row r="30" spans="2:6" s="11" customFormat="1">
      <c r="B30" s="65" t="s">
        <v>246</v>
      </c>
      <c r="C30" s="62"/>
      <c r="D30" s="62"/>
      <c r="E30" s="62"/>
      <c r="F30" s="64">
        <f>F27*1.1</f>
        <v>6732000.0000000009</v>
      </c>
    </row>
    <row r="31" spans="2:6">
      <c r="B31" s="61"/>
      <c r="C31" s="62"/>
      <c r="D31" s="62"/>
      <c r="E31" s="62"/>
      <c r="F31" s="63"/>
    </row>
    <row r="32" spans="2:6">
      <c r="B32" s="61"/>
      <c r="C32" s="62"/>
      <c r="D32" s="62"/>
      <c r="E32" s="62"/>
      <c r="F32" s="63"/>
    </row>
    <row r="33" spans="2:6">
      <c r="B33" s="61" t="s">
        <v>252</v>
      </c>
      <c r="C33" s="62"/>
      <c r="D33" s="62"/>
      <c r="E33" s="62"/>
      <c r="F33" s="64">
        <v>12955642.4</v>
      </c>
    </row>
    <row r="34" spans="2:6">
      <c r="B34" s="65" t="s">
        <v>245</v>
      </c>
      <c r="C34" s="62"/>
      <c r="D34" s="62"/>
      <c r="E34" s="62"/>
      <c r="F34" s="64">
        <v>5169656.4000000004</v>
      </c>
    </row>
    <row r="35" spans="2:6">
      <c r="B35" s="61"/>
      <c r="C35" s="62"/>
      <c r="D35" s="62"/>
      <c r="E35" s="62"/>
      <c r="F35" s="64"/>
    </row>
    <row r="36" spans="2:6">
      <c r="B36" s="61" t="s">
        <v>253</v>
      </c>
      <c r="C36" s="62"/>
      <c r="D36" s="62"/>
      <c r="E36" s="62"/>
      <c r="F36" s="64">
        <v>3882419.6</v>
      </c>
    </row>
    <row r="37" spans="2:6">
      <c r="B37" s="65" t="s">
        <v>245</v>
      </c>
      <c r="C37" s="62"/>
      <c r="D37" s="62"/>
      <c r="E37" s="62"/>
      <c r="F37" s="64">
        <v>2664530.9</v>
      </c>
    </row>
    <row r="38" spans="2:6">
      <c r="B38" s="61"/>
      <c r="C38" s="62"/>
      <c r="D38" s="62"/>
      <c r="E38" s="62"/>
      <c r="F38" s="64"/>
    </row>
    <row r="39" spans="2:6">
      <c r="B39" s="61" t="s">
        <v>254</v>
      </c>
      <c r="C39" s="62"/>
      <c r="D39" s="62"/>
      <c r="E39" s="62"/>
      <c r="F39" s="64">
        <f>F36+F33</f>
        <v>16838062</v>
      </c>
    </row>
    <row r="40" spans="2:6">
      <c r="B40" s="65" t="s">
        <v>245</v>
      </c>
      <c r="C40" s="62"/>
      <c r="D40" s="62"/>
      <c r="E40" s="62"/>
      <c r="F40" s="64">
        <f>F37+F34</f>
        <v>7834187.3000000007</v>
      </c>
    </row>
    <row r="41" spans="2:6">
      <c r="B41" s="61"/>
      <c r="C41" s="62"/>
      <c r="D41" s="62"/>
      <c r="E41" s="62"/>
      <c r="F41" s="63"/>
    </row>
    <row r="42" spans="2:6">
      <c r="B42" s="66" t="s">
        <v>255</v>
      </c>
      <c r="C42" s="67"/>
      <c r="D42" s="67"/>
      <c r="E42" s="67"/>
      <c r="F42" s="68">
        <f>F30-F40</f>
        <v>-1102187.2999999998</v>
      </c>
    </row>
    <row r="45" spans="2:6">
      <c r="B45" t="s">
        <v>247</v>
      </c>
    </row>
    <row r="46" spans="2:6">
      <c r="B46" s="58"/>
      <c r="C46" s="59" t="s">
        <v>249</v>
      </c>
      <c r="D46" s="59" t="s">
        <v>256</v>
      </c>
      <c r="E46" s="59" t="s">
        <v>257</v>
      </c>
      <c r="F46" s="60" t="s">
        <v>258</v>
      </c>
    </row>
    <row r="47" spans="2:6">
      <c r="B47" s="61" t="s">
        <v>248</v>
      </c>
      <c r="C47" s="69">
        <v>450</v>
      </c>
      <c r="D47" s="70">
        <v>17500</v>
      </c>
      <c r="E47" s="70">
        <f>D47*C1</f>
        <v>8750000</v>
      </c>
      <c r="F47" s="64">
        <f>C47*E47/1000</f>
        <v>3937500</v>
      </c>
    </row>
    <row r="48" spans="2:6">
      <c r="B48" s="61" t="s">
        <v>259</v>
      </c>
      <c r="C48" s="69">
        <f>C47</f>
        <v>450</v>
      </c>
      <c r="D48" s="70"/>
      <c r="E48" s="70">
        <v>30000</v>
      </c>
      <c r="F48" s="64">
        <f>E48*C48/1000</f>
        <v>13500</v>
      </c>
    </row>
    <row r="49" spans="2:6">
      <c r="B49" s="61" t="s">
        <v>260</v>
      </c>
      <c r="C49" s="69">
        <f>C48</f>
        <v>450</v>
      </c>
      <c r="D49" s="70"/>
      <c r="E49" s="70">
        <v>120000</v>
      </c>
      <c r="F49" s="64">
        <f>E49*C49/1000</f>
        <v>54000</v>
      </c>
    </row>
    <row r="50" spans="2:6">
      <c r="B50" s="61" t="s">
        <v>261</v>
      </c>
      <c r="C50" s="69">
        <f>C49</f>
        <v>450</v>
      </c>
      <c r="D50" s="70"/>
      <c r="E50" s="70">
        <v>40000</v>
      </c>
      <c r="F50" s="64">
        <f>E50*C50/1000</f>
        <v>18000</v>
      </c>
    </row>
    <row r="51" spans="2:6">
      <c r="B51" s="61" t="s">
        <v>262</v>
      </c>
      <c r="C51" s="69">
        <f>C50</f>
        <v>450</v>
      </c>
      <c r="D51" s="70"/>
      <c r="E51" s="70">
        <f>3726128000/680</f>
        <v>5479600</v>
      </c>
      <c r="F51" s="64">
        <f>E51*C51/1000</f>
        <v>2465820</v>
      </c>
    </row>
    <row r="52" spans="2:6">
      <c r="B52" s="61"/>
      <c r="C52" s="70"/>
      <c r="D52" s="70"/>
      <c r="E52" s="70"/>
      <c r="F52" s="64"/>
    </row>
    <row r="53" spans="2:6">
      <c r="B53" s="58" t="s">
        <v>250</v>
      </c>
      <c r="C53" s="73">
        <f>C54+C55</f>
        <v>450</v>
      </c>
      <c r="D53" s="74"/>
      <c r="E53" s="74"/>
      <c r="F53" s="75">
        <f>SUM(F47:F51)</f>
        <v>6488820</v>
      </c>
    </row>
    <row r="54" spans="2:6">
      <c r="B54" s="61" t="s">
        <v>242</v>
      </c>
      <c r="C54" s="69">
        <v>150</v>
      </c>
      <c r="D54" s="70"/>
      <c r="E54" s="70"/>
      <c r="F54" s="64">
        <f>F53*C54/C53</f>
        <v>2162940</v>
      </c>
    </row>
    <row r="55" spans="2:6">
      <c r="B55" s="66" t="s">
        <v>263</v>
      </c>
      <c r="C55" s="71">
        <v>300</v>
      </c>
      <c r="D55" s="72"/>
      <c r="E55" s="72"/>
      <c r="F55" s="68">
        <f>F53*C55/C53</f>
        <v>4325880</v>
      </c>
    </row>
    <row r="56" spans="2:6" s="11" customFormat="1">
      <c r="B56" s="62"/>
      <c r="C56" s="69"/>
      <c r="D56" s="70"/>
      <c r="E56" s="70"/>
      <c r="F56" s="70"/>
    </row>
    <row r="57" spans="2:6">
      <c r="B57" s="58" t="s">
        <v>331</v>
      </c>
      <c r="C57" s="74">
        <v>1800</v>
      </c>
      <c r="D57" s="74"/>
      <c r="E57" s="74">
        <f>2518885200/2647</f>
        <v>951600</v>
      </c>
      <c r="F57" s="75">
        <f>E57*C57/1000</f>
        <v>1712880</v>
      </c>
    </row>
    <row r="58" spans="2:6" s="11" customFormat="1">
      <c r="B58" s="61" t="s">
        <v>242</v>
      </c>
      <c r="C58" s="70">
        <v>600</v>
      </c>
      <c r="D58" s="70"/>
      <c r="E58" s="70"/>
      <c r="F58" s="64">
        <f>E57*C58/1000</f>
        <v>570960</v>
      </c>
    </row>
    <row r="59" spans="2:6" s="11" customFormat="1">
      <c r="B59" s="66" t="s">
        <v>263</v>
      </c>
      <c r="C59" s="70">
        <v>1200</v>
      </c>
      <c r="D59" s="70"/>
      <c r="E59" s="70"/>
      <c r="F59" s="64">
        <f>E57*C59/1000</f>
        <v>1141920</v>
      </c>
    </row>
    <row r="60" spans="2:6" s="11" customFormat="1">
      <c r="B60" s="79" t="s">
        <v>309</v>
      </c>
      <c r="C60" s="71"/>
      <c r="D60" s="72"/>
      <c r="E60" s="72">
        <f>E57-425000</f>
        <v>526600</v>
      </c>
      <c r="F60" s="68">
        <f>E60*C57/1000</f>
        <v>947880</v>
      </c>
    </row>
    <row r="61" spans="2:6" s="11" customFormat="1">
      <c r="B61" s="62"/>
      <c r="C61" s="69"/>
      <c r="D61" s="70"/>
      <c r="E61" s="70"/>
      <c r="F61" s="70"/>
    </row>
    <row r="62" spans="2:6" s="11" customFormat="1">
      <c r="B62" s="62"/>
      <c r="C62" s="69"/>
      <c r="D62" s="70"/>
      <c r="E62" s="70"/>
      <c r="F62" s="70"/>
    </row>
    <row r="63" spans="2:6" s="11" customFormat="1">
      <c r="B63" s="77" t="s">
        <v>265</v>
      </c>
      <c r="C63" s="73"/>
      <c r="D63" s="74"/>
      <c r="E63" s="74"/>
      <c r="F63" s="75">
        <f>+F64+F65</f>
        <v>1277000</v>
      </c>
    </row>
    <row r="64" spans="2:6">
      <c r="B64" s="78" t="s">
        <v>266</v>
      </c>
      <c r="C64" s="70"/>
      <c r="D64" s="70"/>
      <c r="E64" s="70"/>
      <c r="F64" s="64">
        <v>80000</v>
      </c>
    </row>
    <row r="65" spans="2:6" s="11" customFormat="1">
      <c r="B65" s="79" t="s">
        <v>267</v>
      </c>
      <c r="C65" s="72"/>
      <c r="D65" s="72"/>
      <c r="E65" s="72"/>
      <c r="F65" s="68">
        <f>1808800/680*450</f>
        <v>1197000</v>
      </c>
    </row>
    <row r="66" spans="2:6" s="11" customFormat="1">
      <c r="C66" s="56"/>
      <c r="D66" s="56"/>
      <c r="E66" s="56"/>
      <c r="F66" s="56"/>
    </row>
    <row r="67" spans="2:6" s="11" customFormat="1">
      <c r="C67" s="56"/>
      <c r="D67" s="56"/>
      <c r="E67" s="56"/>
      <c r="F67" s="56"/>
    </row>
    <row r="68" spans="2:6">
      <c r="B68" s="58"/>
      <c r="C68" s="59" t="s">
        <v>249</v>
      </c>
      <c r="D68" s="59" t="s">
        <v>256</v>
      </c>
      <c r="E68" s="59" t="s">
        <v>257</v>
      </c>
      <c r="F68" s="60" t="s">
        <v>258</v>
      </c>
    </row>
    <row r="69" spans="2:6">
      <c r="B69" s="66" t="s">
        <v>264</v>
      </c>
      <c r="C69" s="76">
        <v>1500</v>
      </c>
      <c r="D69" s="72">
        <v>1000</v>
      </c>
      <c r="E69" s="72">
        <f>D69*C1</f>
        <v>500000</v>
      </c>
      <c r="F69" s="68">
        <f>E69*C69/1000</f>
        <v>750000</v>
      </c>
    </row>
    <row r="71" spans="2:6">
      <c r="B71" s="58"/>
      <c r="C71" s="59" t="s">
        <v>249</v>
      </c>
      <c r="D71" s="59"/>
      <c r="E71" s="59" t="s">
        <v>257</v>
      </c>
      <c r="F71" s="60" t="s">
        <v>258</v>
      </c>
    </row>
    <row r="72" spans="2:6">
      <c r="B72" s="61" t="s">
        <v>291</v>
      </c>
      <c r="C72" s="62">
        <v>600</v>
      </c>
      <c r="D72" s="62"/>
      <c r="E72" s="72">
        <f>150000*8</f>
        <v>1200000</v>
      </c>
      <c r="F72" s="68">
        <f>E72*C72/1000</f>
        <v>720000</v>
      </c>
    </row>
    <row r="73" spans="2:6">
      <c r="B73" s="61"/>
      <c r="C73" s="62">
        <v>1200</v>
      </c>
      <c r="D73" s="62"/>
      <c r="E73" s="72">
        <f>150000*8</f>
        <v>1200000</v>
      </c>
      <c r="F73" s="68">
        <f>E73*C73/1000</f>
        <v>1440000</v>
      </c>
    </row>
    <row r="74" spans="2:6">
      <c r="B74" s="66" t="s">
        <v>250</v>
      </c>
      <c r="C74" s="67"/>
      <c r="D74" s="67"/>
      <c r="E74" s="67"/>
      <c r="F74" s="68">
        <f>F73+F72</f>
        <v>2160000</v>
      </c>
    </row>
    <row r="76" spans="2:6">
      <c r="B76" s="58" t="s">
        <v>292</v>
      </c>
      <c r="C76" s="59" t="s">
        <v>294</v>
      </c>
      <c r="D76" s="60" t="s">
        <v>295</v>
      </c>
    </row>
    <row r="77" spans="2:6">
      <c r="B77" s="61" t="s">
        <v>293</v>
      </c>
      <c r="C77" s="70">
        <v>35000</v>
      </c>
      <c r="D77" s="64">
        <f>C77*C1</f>
        <v>17500000</v>
      </c>
    </row>
    <row r="78" spans="2:6">
      <c r="B78" s="61" t="s">
        <v>296</v>
      </c>
      <c r="C78" s="62"/>
      <c r="D78" s="63">
        <v>20</v>
      </c>
    </row>
    <row r="79" spans="2:6">
      <c r="B79" s="66" t="s">
        <v>258</v>
      </c>
      <c r="C79" s="67"/>
      <c r="D79" s="68">
        <f>D78*D77/1000</f>
        <v>350000</v>
      </c>
    </row>
    <row r="81" spans="2:3">
      <c r="B81" t="s">
        <v>302</v>
      </c>
    </row>
    <row r="82" spans="2:3">
      <c r="B82" t="s">
        <v>303</v>
      </c>
      <c r="C82">
        <v>1400</v>
      </c>
    </row>
    <row r="83" spans="2:3">
      <c r="B83" t="s">
        <v>304</v>
      </c>
      <c r="C83">
        <f>C82*0.3</f>
        <v>420</v>
      </c>
    </row>
    <row r="84" spans="2:3">
      <c r="B84" t="s">
        <v>305</v>
      </c>
      <c r="C84" s="70">
        <v>150000</v>
      </c>
    </row>
    <row r="85" spans="2:3">
      <c r="B85" t="s">
        <v>250</v>
      </c>
      <c r="C85" s="70">
        <f>C84*C83/1000</f>
        <v>63000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Police</vt:lpstr>
      <vt:lpstr>Patrol</vt:lpstr>
      <vt:lpstr>Cost estimates</vt:lpstr>
      <vt:lpstr>Police!_ftnref1</vt:lpstr>
      <vt:lpstr>Police!Print_Area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Garaseferyan, Karen</dc:creator>
  <cp:lastModifiedBy>belag</cp:lastModifiedBy>
  <cp:lastPrinted>2020-03-17T07:08:40Z</cp:lastPrinted>
  <dcterms:created xsi:type="dcterms:W3CDTF">2020-03-16T07:30:51Z</dcterms:created>
  <dcterms:modified xsi:type="dcterms:W3CDTF">2020-03-21T06:29:07Z</dcterms:modified>
</cp:coreProperties>
</file>