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 activeTab="2"/>
  </bookViews>
  <sheets>
    <sheet name="բակալավր" sheetId="6" r:id="rId1"/>
    <sheet name="Մագիստր" sheetId="7" r:id="rId2"/>
    <sheet name="Sheet1" sheetId="8" r:id="rId3"/>
    <sheet name="օրդինատուրա" sheetId="9" r:id="rId4"/>
  </sheets>
  <calcPr calcId="152511"/>
</workbook>
</file>

<file path=xl/calcChain.xml><?xml version="1.0" encoding="utf-8"?>
<calcChain xmlns="http://schemas.openxmlformats.org/spreadsheetml/2006/main">
  <c r="G78" i="7" l="1"/>
  <c r="G77" i="7"/>
  <c r="G79" i="7" s="1"/>
  <c r="G136" i="6"/>
  <c r="C136" i="6"/>
  <c r="D136" i="6"/>
  <c r="E136" i="6"/>
  <c r="F136" i="6"/>
  <c r="B136" i="6"/>
  <c r="B46" i="6"/>
  <c r="G53" i="6"/>
  <c r="G52" i="6"/>
  <c r="G46" i="6"/>
  <c r="G45" i="6"/>
  <c r="C22" i="8"/>
  <c r="B22" i="8"/>
  <c r="G74" i="7" l="1"/>
  <c r="G73" i="7"/>
  <c r="G70" i="7"/>
  <c r="G69" i="7"/>
  <c r="G66" i="7"/>
  <c r="G65" i="7"/>
  <c r="G62" i="7"/>
  <c r="G61" i="7"/>
  <c r="G58" i="7"/>
  <c r="G57" i="7"/>
  <c r="G54" i="7"/>
  <c r="G53" i="7"/>
  <c r="G50" i="7"/>
  <c r="G49" i="7"/>
  <c r="G46" i="7"/>
  <c r="G45" i="7"/>
  <c r="G42" i="7"/>
  <c r="G41" i="7"/>
  <c r="G37" i="7"/>
  <c r="G38" i="7"/>
  <c r="G34" i="7"/>
  <c r="G30" i="7"/>
  <c r="G29" i="7"/>
  <c r="G26" i="7"/>
  <c r="G25" i="7"/>
  <c r="G22" i="7"/>
  <c r="G21" i="7"/>
  <c r="G18" i="7"/>
  <c r="G17" i="7"/>
  <c r="G14" i="7"/>
  <c r="H13" i="7"/>
  <c r="G129" i="6"/>
  <c r="G127" i="6"/>
  <c r="G126" i="6"/>
  <c r="G125" i="6"/>
  <c r="G128" i="6" s="1"/>
  <c r="G122" i="6"/>
  <c r="G120" i="6"/>
  <c r="G119" i="6"/>
  <c r="G118" i="6"/>
  <c r="G115" i="6"/>
  <c r="G113" i="6"/>
  <c r="G112" i="6"/>
  <c r="G111" i="6"/>
  <c r="G114" i="6" s="1"/>
  <c r="G108" i="6"/>
  <c r="G106" i="6"/>
  <c r="G105" i="6"/>
  <c r="G104" i="6"/>
  <c r="G101" i="6"/>
  <c r="G99" i="6"/>
  <c r="G94" i="6"/>
  <c r="G92" i="6"/>
  <c r="G91" i="6"/>
  <c r="G90" i="6"/>
  <c r="G87" i="6"/>
  <c r="G85" i="6"/>
  <c r="G84" i="6"/>
  <c r="G83" i="6"/>
  <c r="G80" i="6"/>
  <c r="G78" i="6"/>
  <c r="G77" i="6"/>
  <c r="G76" i="6"/>
  <c r="G73" i="6"/>
  <c r="G71" i="6"/>
  <c r="G70" i="6"/>
  <c r="G69" i="6"/>
  <c r="G66" i="6"/>
  <c r="G64" i="6"/>
  <c r="G63" i="6"/>
  <c r="G62" i="6"/>
  <c r="G59" i="6"/>
  <c r="G57" i="6"/>
  <c r="G56" i="6"/>
  <c r="G55" i="6"/>
  <c r="G43" i="6"/>
  <c r="G42" i="6"/>
  <c r="G41" i="6"/>
  <c r="G38" i="6"/>
  <c r="G36" i="6"/>
  <c r="G35" i="6"/>
  <c r="G34" i="6"/>
  <c r="G31" i="6"/>
  <c r="G29" i="6"/>
  <c r="G28" i="6"/>
  <c r="G27" i="6"/>
  <c r="G17" i="6"/>
  <c r="G15" i="6"/>
  <c r="G14" i="6"/>
  <c r="G13" i="6"/>
  <c r="G37" i="6" l="1"/>
  <c r="G65" i="6"/>
  <c r="G16" i="6"/>
  <c r="G18" i="6" s="1"/>
  <c r="G107" i="6"/>
  <c r="G109" i="6" s="1"/>
  <c r="G121" i="6"/>
  <c r="G123" i="6" s="1"/>
  <c r="G39" i="6"/>
  <c r="G67" i="6"/>
  <c r="G30" i="6"/>
  <c r="G32" i="6" s="1"/>
  <c r="G44" i="6"/>
  <c r="G58" i="6"/>
  <c r="G60" i="6" s="1"/>
  <c r="G72" i="6"/>
  <c r="G74" i="6" s="1"/>
  <c r="G79" i="6"/>
  <c r="G81" i="6" s="1"/>
  <c r="G86" i="6"/>
  <c r="G88" i="6" s="1"/>
  <c r="G93" i="6"/>
  <c r="G95" i="6" s="1"/>
  <c r="G116" i="6"/>
  <c r="G130" i="6"/>
  <c r="H21" i="6"/>
  <c r="H22" i="6"/>
  <c r="H20" i="6"/>
  <c r="E81" i="7" l="1"/>
  <c r="F82" i="7"/>
  <c r="F81" i="7"/>
  <c r="G75" i="7"/>
  <c r="G71" i="7"/>
  <c r="G67" i="7"/>
  <c r="G63" i="7"/>
  <c r="G59" i="7"/>
  <c r="G55" i="7"/>
  <c r="G51" i="7"/>
  <c r="G47" i="7"/>
  <c r="G43" i="7"/>
  <c r="G39" i="7"/>
  <c r="G35" i="7"/>
  <c r="G31" i="7"/>
  <c r="G27" i="7"/>
  <c r="G23" i="7"/>
  <c r="G19" i="7"/>
  <c r="H73" i="7"/>
  <c r="H75" i="7" s="1"/>
  <c r="H74" i="7"/>
  <c r="H69" i="7"/>
  <c r="H70" i="7"/>
  <c r="H65" i="7"/>
  <c r="H66" i="7"/>
  <c r="H61" i="7"/>
  <c r="H62" i="7"/>
  <c r="H63" i="7" s="1"/>
  <c r="H57" i="7"/>
  <c r="H58" i="7"/>
  <c r="H59" i="7"/>
  <c r="H53" i="7"/>
  <c r="H55" i="7" s="1"/>
  <c r="H54" i="7"/>
  <c r="H49" i="7"/>
  <c r="H50" i="7"/>
  <c r="H45" i="7"/>
  <c r="H47" i="7" s="1"/>
  <c r="H46" i="7"/>
  <c r="H41" i="7"/>
  <c r="H42" i="7"/>
  <c r="H37" i="7"/>
  <c r="H38" i="7"/>
  <c r="H33" i="7"/>
  <c r="H34" i="7"/>
  <c r="H29" i="7"/>
  <c r="H30" i="7"/>
  <c r="H31" i="7"/>
  <c r="H25" i="7"/>
  <c r="H27" i="7" s="1"/>
  <c r="H26" i="7"/>
  <c r="H21" i="7"/>
  <c r="H22" i="7"/>
  <c r="H23" i="7" s="1"/>
  <c r="H17" i="7"/>
  <c r="H18" i="7"/>
  <c r="H19" i="7"/>
  <c r="H14" i="7"/>
  <c r="D11" i="9"/>
  <c r="D10" i="9"/>
  <c r="D6" i="9"/>
  <c r="D5" i="9"/>
  <c r="D7" i="9" s="1"/>
  <c r="D9" i="9"/>
  <c r="B11" i="9"/>
  <c r="B7" i="9"/>
  <c r="B12" i="9"/>
  <c r="B13" i="8" s="1"/>
  <c r="C11" i="9"/>
  <c r="C7" i="9"/>
  <c r="C12" i="9"/>
  <c r="F97" i="6"/>
  <c r="G97" i="6" s="1"/>
  <c r="D48" i="6"/>
  <c r="G48" i="6" s="1"/>
  <c r="D20" i="6"/>
  <c r="E20" i="6"/>
  <c r="E132" i="6" s="1"/>
  <c r="D6" i="6"/>
  <c r="G6" i="6" s="1"/>
  <c r="F98" i="6"/>
  <c r="G98" i="6" s="1"/>
  <c r="D49" i="6"/>
  <c r="G49" i="6" s="1"/>
  <c r="D21" i="6"/>
  <c r="E21" i="6"/>
  <c r="F21" i="6" s="1"/>
  <c r="D7" i="6"/>
  <c r="G7" i="6" s="1"/>
  <c r="D50" i="6"/>
  <c r="G50" i="6" s="1"/>
  <c r="D22" i="6"/>
  <c r="D134" i="6" s="1"/>
  <c r="E22" i="6"/>
  <c r="F22" i="6"/>
  <c r="I22" i="6" s="1"/>
  <c r="D8" i="6"/>
  <c r="G8" i="6" s="1"/>
  <c r="F44" i="6"/>
  <c r="E24" i="6"/>
  <c r="F24" i="6"/>
  <c r="I24" i="6" s="1"/>
  <c r="D52" i="6"/>
  <c r="D44" i="6"/>
  <c r="D24" i="6"/>
  <c r="G24" i="6" s="1"/>
  <c r="D10" i="6"/>
  <c r="G10" i="6" s="1"/>
  <c r="E44" i="6"/>
  <c r="D82" i="7"/>
  <c r="E82" i="7"/>
  <c r="E83" i="7" s="1"/>
  <c r="F83" i="7"/>
  <c r="D33" i="7"/>
  <c r="G33" i="7" s="1"/>
  <c r="D13" i="7"/>
  <c r="G13" i="7" s="1"/>
  <c r="G15" i="7" s="1"/>
  <c r="B97" i="6"/>
  <c r="B6" i="6"/>
  <c r="B98" i="6"/>
  <c r="B7" i="6"/>
  <c r="B133" i="6" s="1"/>
  <c r="B99" i="6"/>
  <c r="B134" i="6" s="1"/>
  <c r="B8" i="6"/>
  <c r="B101" i="6"/>
  <c r="B44" i="6"/>
  <c r="B10" i="6"/>
  <c r="B13" i="7"/>
  <c r="B81" i="7"/>
  <c r="B10" i="8" s="1"/>
  <c r="B82" i="7"/>
  <c r="B83" i="7" s="1"/>
  <c r="F9" i="6"/>
  <c r="F11" i="6"/>
  <c r="F16" i="6"/>
  <c r="F18" i="6" s="1"/>
  <c r="F30" i="6"/>
  <c r="F32" i="6" s="1"/>
  <c r="F37" i="6"/>
  <c r="F39" i="6"/>
  <c r="F46" i="6"/>
  <c r="F51" i="6"/>
  <c r="F53" i="6" s="1"/>
  <c r="F58" i="6"/>
  <c r="F60" i="6"/>
  <c r="F65" i="6"/>
  <c r="F67" i="6" s="1"/>
  <c r="F72" i="6"/>
  <c r="F74" i="6" s="1"/>
  <c r="F79" i="6"/>
  <c r="F81" i="6" s="1"/>
  <c r="F86" i="6"/>
  <c r="F88" i="6"/>
  <c r="F93" i="6"/>
  <c r="F95" i="6" s="1"/>
  <c r="F107" i="6"/>
  <c r="F109" i="6" s="1"/>
  <c r="C82" i="7"/>
  <c r="G82" i="7"/>
  <c r="C11" i="8" s="1"/>
  <c r="C81" i="7"/>
  <c r="H78" i="7"/>
  <c r="F79" i="7"/>
  <c r="E79" i="7"/>
  <c r="D79" i="7"/>
  <c r="C79" i="7"/>
  <c r="B79" i="7"/>
  <c r="F75" i="7"/>
  <c r="E75" i="7"/>
  <c r="D75" i="7"/>
  <c r="C75" i="7"/>
  <c r="B75" i="7"/>
  <c r="F71" i="7"/>
  <c r="E71" i="7"/>
  <c r="D71" i="7"/>
  <c r="C71" i="7"/>
  <c r="B71" i="7"/>
  <c r="F67" i="7"/>
  <c r="E67" i="7"/>
  <c r="D67" i="7"/>
  <c r="C67" i="7"/>
  <c r="B67" i="7"/>
  <c r="F63" i="7"/>
  <c r="C63" i="7"/>
  <c r="D63" i="7"/>
  <c r="E63" i="7"/>
  <c r="B63" i="7"/>
  <c r="C15" i="7"/>
  <c r="D15" i="7"/>
  <c r="E15" i="7"/>
  <c r="F15" i="7"/>
  <c r="C19" i="7"/>
  <c r="D19" i="7"/>
  <c r="E19" i="7"/>
  <c r="F19" i="7"/>
  <c r="B19" i="7"/>
  <c r="C23" i="7"/>
  <c r="D23" i="7"/>
  <c r="E23" i="7"/>
  <c r="F23" i="7"/>
  <c r="B23" i="7"/>
  <c r="C35" i="7"/>
  <c r="D35" i="7"/>
  <c r="E35" i="7"/>
  <c r="F35" i="7"/>
  <c r="B35" i="7"/>
  <c r="F43" i="7"/>
  <c r="E43" i="7"/>
  <c r="D43" i="7"/>
  <c r="C43" i="7"/>
  <c r="B43" i="7"/>
  <c r="C47" i="7"/>
  <c r="D47" i="7"/>
  <c r="E47" i="7"/>
  <c r="F47" i="7"/>
  <c r="B47" i="7"/>
  <c r="C51" i="7"/>
  <c r="D51" i="7"/>
  <c r="E51" i="7"/>
  <c r="F51" i="7"/>
  <c r="B51" i="7"/>
  <c r="C55" i="7"/>
  <c r="D55" i="7"/>
  <c r="E55" i="7"/>
  <c r="F55" i="7"/>
  <c r="B55" i="7"/>
  <c r="C59" i="7"/>
  <c r="D59" i="7"/>
  <c r="E59" i="7"/>
  <c r="F59" i="7"/>
  <c r="B59" i="7"/>
  <c r="F39" i="7"/>
  <c r="E39" i="7"/>
  <c r="D39" i="7"/>
  <c r="C39" i="7"/>
  <c r="B39" i="7"/>
  <c r="F27" i="7"/>
  <c r="E27" i="7"/>
  <c r="D27" i="7"/>
  <c r="C27" i="7"/>
  <c r="B27" i="7"/>
  <c r="E46" i="6"/>
  <c r="D46" i="6"/>
  <c r="F128" i="6"/>
  <c r="F130" i="6"/>
  <c r="F121" i="6"/>
  <c r="F123" i="6" s="1"/>
  <c r="F114" i="6"/>
  <c r="F116" i="6"/>
  <c r="B15" i="7"/>
  <c r="C44" i="6"/>
  <c r="E134" i="6"/>
  <c r="C134" i="6"/>
  <c r="C133" i="6"/>
  <c r="D133" i="6"/>
  <c r="E133" i="6"/>
  <c r="C97" i="6"/>
  <c r="C132" i="6"/>
  <c r="C135" i="6" s="1"/>
  <c r="C137" i="6" s="1"/>
  <c r="E128" i="6"/>
  <c r="E130" i="6" s="1"/>
  <c r="D128" i="6"/>
  <c r="D130" i="6"/>
  <c r="C128" i="6"/>
  <c r="C130" i="6" s="1"/>
  <c r="B128" i="6"/>
  <c r="B130" i="6" s="1"/>
  <c r="E121" i="6"/>
  <c r="E123" i="6" s="1"/>
  <c r="D121" i="6"/>
  <c r="D123" i="6"/>
  <c r="C121" i="6"/>
  <c r="C123" i="6" s="1"/>
  <c r="B121" i="6"/>
  <c r="B123" i="6"/>
  <c r="E114" i="6"/>
  <c r="E116" i="6" s="1"/>
  <c r="D114" i="6"/>
  <c r="D116" i="6" s="1"/>
  <c r="C114" i="6"/>
  <c r="C116" i="6" s="1"/>
  <c r="B114" i="6"/>
  <c r="B116" i="6" s="1"/>
  <c r="C46" i="6"/>
  <c r="C107" i="6"/>
  <c r="C109" i="6" s="1"/>
  <c r="D107" i="6"/>
  <c r="D109" i="6"/>
  <c r="E107" i="6"/>
  <c r="E109" i="6" s="1"/>
  <c r="B107" i="6"/>
  <c r="B109" i="6"/>
  <c r="C100" i="6"/>
  <c r="C102" i="6" s="1"/>
  <c r="D100" i="6"/>
  <c r="D102" i="6" s="1"/>
  <c r="E100" i="6"/>
  <c r="E102" i="6" s="1"/>
  <c r="C93" i="6"/>
  <c r="C95" i="6" s="1"/>
  <c r="D93" i="6"/>
  <c r="D95" i="6" s="1"/>
  <c r="E93" i="6"/>
  <c r="E95" i="6" s="1"/>
  <c r="B93" i="6"/>
  <c r="B95" i="6"/>
  <c r="C86" i="6"/>
  <c r="C88" i="6" s="1"/>
  <c r="D86" i="6"/>
  <c r="D88" i="6"/>
  <c r="E86" i="6"/>
  <c r="E88" i="6" s="1"/>
  <c r="B86" i="6"/>
  <c r="B88" i="6"/>
  <c r="C79" i="6"/>
  <c r="C81" i="6" s="1"/>
  <c r="D79" i="6"/>
  <c r="D81" i="6" s="1"/>
  <c r="E79" i="6"/>
  <c r="E81" i="6" s="1"/>
  <c r="B79" i="6"/>
  <c r="B81" i="6"/>
  <c r="C72" i="6"/>
  <c r="C74" i="6" s="1"/>
  <c r="D72" i="6"/>
  <c r="D74" i="6"/>
  <c r="E72" i="6"/>
  <c r="E74" i="6" s="1"/>
  <c r="B72" i="6"/>
  <c r="B74" i="6"/>
  <c r="C65" i="6"/>
  <c r="C67" i="6" s="1"/>
  <c r="D65" i="6"/>
  <c r="D67" i="6" s="1"/>
  <c r="E65" i="6"/>
  <c r="E67" i="6" s="1"/>
  <c r="B65" i="6"/>
  <c r="B67" i="6"/>
  <c r="C58" i="6"/>
  <c r="C60" i="6" s="1"/>
  <c r="D58" i="6"/>
  <c r="D60" i="6"/>
  <c r="E58" i="6"/>
  <c r="E60" i="6" s="1"/>
  <c r="B58" i="6"/>
  <c r="B60" i="6"/>
  <c r="C51" i="6"/>
  <c r="C53" i="6" s="1"/>
  <c r="E51" i="6"/>
  <c r="E53" i="6" s="1"/>
  <c r="B51" i="6"/>
  <c r="B53" i="6"/>
  <c r="C37" i="6"/>
  <c r="C39" i="6" s="1"/>
  <c r="D37" i="6"/>
  <c r="D39" i="6" s="1"/>
  <c r="E37" i="6"/>
  <c r="E39" i="6"/>
  <c r="B37" i="6"/>
  <c r="B39" i="6" s="1"/>
  <c r="C30" i="6"/>
  <c r="C32" i="6"/>
  <c r="D30" i="6"/>
  <c r="D32" i="6" s="1"/>
  <c r="E30" i="6"/>
  <c r="E32" i="6"/>
  <c r="B30" i="6"/>
  <c r="B32" i="6" s="1"/>
  <c r="C23" i="6"/>
  <c r="C25" i="6" s="1"/>
  <c r="B23" i="6"/>
  <c r="B25" i="6" s="1"/>
  <c r="C16" i="6"/>
  <c r="C18" i="6" s="1"/>
  <c r="D16" i="6"/>
  <c r="D18" i="6" s="1"/>
  <c r="E16" i="6"/>
  <c r="E18" i="6"/>
  <c r="B16" i="6"/>
  <c r="B18" i="6" s="1"/>
  <c r="E9" i="6"/>
  <c r="E11" i="6" s="1"/>
  <c r="C9" i="6"/>
  <c r="C11" i="6"/>
  <c r="I21" i="6" l="1"/>
  <c r="F133" i="6"/>
  <c r="D12" i="9"/>
  <c r="C13" i="8" s="1"/>
  <c r="B100" i="6"/>
  <c r="B102" i="6" s="1"/>
  <c r="E135" i="6"/>
  <c r="H43" i="7"/>
  <c r="D81" i="7"/>
  <c r="D83" i="7"/>
  <c r="D132" i="6"/>
  <c r="D135" i="6" s="1"/>
  <c r="D137" i="6" s="1"/>
  <c r="G21" i="6"/>
  <c r="G133" i="6" s="1"/>
  <c r="H35" i="7"/>
  <c r="H71" i="7"/>
  <c r="D23" i="6"/>
  <c r="D25" i="6" s="1"/>
  <c r="B9" i="6"/>
  <c r="B11" i="6" s="1"/>
  <c r="C83" i="7"/>
  <c r="G81" i="7"/>
  <c r="C10" i="8" s="1"/>
  <c r="E137" i="6"/>
  <c r="C7" i="8"/>
  <c r="F134" i="6"/>
  <c r="H39" i="7"/>
  <c r="H67" i="7"/>
  <c r="G100" i="6"/>
  <c r="G102" i="6" s="1"/>
  <c r="B7" i="8"/>
  <c r="F20" i="6"/>
  <c r="D9" i="6"/>
  <c r="D11" i="6" s="1"/>
  <c r="E23" i="6"/>
  <c r="E25" i="6" s="1"/>
  <c r="B132" i="6"/>
  <c r="B135" i="6" s="1"/>
  <c r="F132" i="6"/>
  <c r="F135" i="6" s="1"/>
  <c r="G22" i="6"/>
  <c r="G134" i="6" s="1"/>
  <c r="G9" i="6"/>
  <c r="G11" i="6" s="1"/>
  <c r="G51" i="6"/>
  <c r="D51" i="6"/>
  <c r="D53" i="6" s="1"/>
  <c r="F100" i="6"/>
  <c r="F102" i="6" s="1"/>
  <c r="G20" i="6"/>
  <c r="H77" i="7"/>
  <c r="H79" i="7" s="1"/>
  <c r="B11" i="8"/>
  <c r="B9" i="8" s="1"/>
  <c r="H51" i="7"/>
  <c r="H82" i="7"/>
  <c r="H15" i="7"/>
  <c r="G83" i="7" l="1"/>
  <c r="F137" i="6"/>
  <c r="B8" i="8"/>
  <c r="B6" i="8" s="1"/>
  <c r="B5" i="8" s="1"/>
  <c r="B15" i="8" s="1"/>
  <c r="B25" i="8" s="1"/>
  <c r="B137" i="6"/>
  <c r="I20" i="6"/>
  <c r="I23" i="6" s="1"/>
  <c r="I25" i="6" s="1"/>
  <c r="F23" i="6"/>
  <c r="F25" i="6" s="1"/>
  <c r="G23" i="6"/>
  <c r="G25" i="6" s="1"/>
  <c r="G132" i="6"/>
  <c r="G135" i="6" s="1"/>
  <c r="H81" i="7"/>
  <c r="H83" i="7" s="1"/>
  <c r="C9" i="8"/>
  <c r="G137" i="6" l="1"/>
  <c r="C8" i="8"/>
  <c r="C6" i="8" s="1"/>
  <c r="C5" i="8" s="1"/>
  <c r="C15" i="8" s="1"/>
  <c r="C25" i="8" s="1"/>
</calcChain>
</file>

<file path=xl/comments1.xml><?xml version="1.0" encoding="utf-8"?>
<comments xmlns="http://schemas.openxmlformats.org/spreadsheetml/2006/main">
  <authors>
    <author>Gurgen Muradyan</author>
  </authors>
  <commentList>
    <comment ref="F41" authorId="0" shapeId="0">
      <text>
        <r>
          <rPr>
            <b/>
            <sz val="9"/>
            <color indexed="81"/>
            <rFont val="Tahoma"/>
            <family val="2"/>
          </rPr>
          <t>Gurgen Muradyan:</t>
        </r>
        <r>
          <rPr>
            <sz val="9"/>
            <color indexed="81"/>
            <rFont val="Tahoma"/>
            <family val="2"/>
          </rPr>
          <t xml:space="preserve">
27,5 partq e mnum</t>
        </r>
      </text>
    </comment>
    <comment ref="F53" authorId="0" shapeId="0">
      <text>
        <r>
          <rPr>
            <b/>
            <sz val="9"/>
            <color indexed="81"/>
            <rFont val="Tahoma"/>
            <family val="2"/>
          </rPr>
          <t>Gurgen Muradyan:</t>
        </r>
        <r>
          <rPr>
            <sz val="9"/>
            <color indexed="81"/>
            <rFont val="Tahoma"/>
            <family val="2"/>
          </rPr>
          <t xml:space="preserve">
27,5 partq e mnum</t>
        </r>
      </text>
    </comment>
  </commentList>
</comments>
</file>

<file path=xl/sharedStrings.xml><?xml version="1.0" encoding="utf-8"?>
<sst xmlns="http://schemas.openxmlformats.org/spreadsheetml/2006/main" count="257" uniqueCount="64">
  <si>
    <t>Ընդամենը</t>
  </si>
  <si>
    <t>I</t>
  </si>
  <si>
    <t>II</t>
  </si>
  <si>
    <t>III</t>
  </si>
  <si>
    <t>Կուրսը</t>
  </si>
  <si>
    <t>2019-2020 ուսումական տարվա երկրորդ կիսամյակ</t>
  </si>
  <si>
    <t xml:space="preserve">  Ուսանողների ընդհանուր թիվը</t>
  </si>
  <si>
    <t xml:space="preserve">   Ուսանողների թիվը, որոնք պետության կողմից ՀՀ օրենսդրության համաձայն ստացել են փոխհատուցում</t>
  </si>
  <si>
    <t>Պետության կողմից ՀՀ օրենսդրության համաձայն փոխհատուցում ստացած ուսանողների համար ակնակալվող լրացուցիչ աջակցության գումարը                          /հազար դրամ/</t>
  </si>
  <si>
    <t>Պետության կողմից ակնկալվող աջակցության գումարը՝ նվազեցնելով պետության կողմից ՀՀ օրենսդրության համաձայն փոխհատուցում ստացած ուսանողների համար ակնակալվող լրացուցիչ աջակցության գումարը                                     /հազար դրամ/</t>
  </si>
  <si>
    <t>Պետության կողմից ՀՀ օրենսդրության համաձայն ուսման վարձի փոխհատուցում ստացող ուսանողների գծով  (սյունակ N3-ում նշված)  հատկացված գումարի  չափը  կիսամյակի հաշվարկով                               /հազար դրամ/</t>
  </si>
  <si>
    <t>Պետության կողմից ՀՀ օրենսդրության համաձայն ուսման վարձի փոխհատուցում ստացող ուսանողների գծով  (սյունակ N4-ում նշված)  հատկացված գումարի  չափը  կիսամյակի հաշվարկով                             /հազար դրամ/</t>
  </si>
  <si>
    <t>Ուսանողների թիվը, որոնք պետության կողմից ՀՀ օրենսդրության համաձայն ստացել են փոխհատուցում</t>
  </si>
  <si>
    <t>Ուսանողների ուսման վարձի գծով կիսամյակի վճարման ենթակա գումարի ընդհանուր չափը՝ չնվազեցնելով բուհի կողմից տրված կիսամյակի զեղչերի գումարը                                                                                               /հազար դրամ/</t>
  </si>
  <si>
    <t>Առկա ուսուցմամբ բակալավրի կրթական աստիճանում վճարովի համակարգում ուսումնառող  90 և ավել տոկոս հանրագումարային ՄՈԳ ունեցող (ուսումնառության սկզբից մինչև 2019-2020 ուսումնական տարվա 1-ին կիսամյակի ավարտը)  ՀՀ քաղաքացի հանդիսացող ուսանողների վերաբերյալ տեղեկատվություն</t>
  </si>
  <si>
    <r>
      <rPr>
        <b/>
        <sz val="12"/>
        <rFont val="GHEA Grapalat"/>
        <family val="3"/>
      </rPr>
      <t xml:space="preserve">Առկա ուսուցմամբ մագիստրոսի կրթական աստիճանում վճարովի համակարգում ուսումնառող  90 և ավել տոկոս հանրագումարային ՄՈԳ ունեցող (ուսումնառության սկզբից մինչև 2019-2020 ուսումնական տարվա 1-ին կիսամյակի ավարտը) </t>
    </r>
    <r>
      <rPr>
        <b/>
        <sz val="14"/>
        <rFont val="GHEA Grapalat"/>
        <family val="3"/>
      </rPr>
      <t xml:space="preserve"> </t>
    </r>
    <r>
      <rPr>
        <b/>
        <sz val="12"/>
        <rFont val="GHEA Grapalat"/>
        <family val="3"/>
      </rPr>
      <t>ՀՀ քաղաքացի հանդիսացող ուսանողների վերաբերյալ տեղեկատվություն</t>
    </r>
  </si>
  <si>
    <t>Երևանի պետական համալսարան</t>
  </si>
  <si>
    <t>Պետության կողմից ակնկալվող աջակցության գումարը՝ նվազեցնելով պետության կողմից ՀՀ օրենսդրության համաձայն փոխհատուցում ստացած ուսանողների համար ակնակալվող լրացուցիչ աջակցության գումարը                                     /հազար դրամ/ (4-6)</t>
  </si>
  <si>
    <t>Երևանի Մ.Հերացու անվան պետական բժշկական համալսարան</t>
  </si>
  <si>
    <t>Երևանի Վ.Բրյուսովի անվան պետական համալսարան</t>
  </si>
  <si>
    <t>Հայաստանի պետական տնտեսագիտական համալսարան</t>
  </si>
  <si>
    <t>Ճարտարապետության և շինարարության Հայաստանի ազգային համալսարան</t>
  </si>
  <si>
    <t>Հայաստանի ազգային ագրարային համալսարան</t>
  </si>
  <si>
    <t xml:space="preserve">Ավարտական
</t>
  </si>
  <si>
    <t>Հայաստանի ֆիզիկական կուլտուրայի և սպորտի պետական ինստիտուտ</t>
  </si>
  <si>
    <t>Շիրակի Մ.Նալբանդյանի անվան պետական համալսարան</t>
  </si>
  <si>
    <t>Գավառի պետական համալսարան</t>
  </si>
  <si>
    <t>Ճգնաժամային կառավարման պետական ակադեմիա</t>
  </si>
  <si>
    <t>Վանաձորի Հ.Թումանյանի անվան պետական համալսարան</t>
  </si>
  <si>
    <t>Գորիսի պետական համալսարան</t>
  </si>
  <si>
    <t>ՀՀ ոստիկանության կրթահամալիրի ակադեմիա</t>
  </si>
  <si>
    <t>0.0</t>
  </si>
  <si>
    <t>Հայաստանի գեղարվեստի պետական ակադեմիա</t>
  </si>
  <si>
    <t>Հայաստանի ազգային պոլիտեխնիկական համալսարան</t>
  </si>
  <si>
    <t>Երևանի թատրոնի և կինոյի պետական ինստիտուտ</t>
  </si>
  <si>
    <t>Խ.Աբովյանի անվան հայկական պետական մանկավարժական համալսարան</t>
  </si>
  <si>
    <t>Երևանի Կոմիտասի անվան պետական կոնսերվատորիա</t>
  </si>
  <si>
    <t>ԸՆԴԱՄԵՆԸ</t>
  </si>
  <si>
    <t>III,IV,V</t>
  </si>
  <si>
    <t>Ավարտական</t>
  </si>
  <si>
    <t>III,IV</t>
  </si>
  <si>
    <t>(4) - (5) - (6)*</t>
  </si>
  <si>
    <t>Պետական կառավարման ակադեմիա</t>
  </si>
  <si>
    <t>ՀՀ ԳԱԱ գիտակրթական միջազգային կենտրոն</t>
  </si>
  <si>
    <t>Ուսանողների քանակը</t>
  </si>
  <si>
    <t>ընդ որում, ավարտական</t>
  </si>
  <si>
    <t>ընդ որում, բակալավր 1-3</t>
  </si>
  <si>
    <t>հատկացվող գումար</t>
  </si>
  <si>
    <t>գերազանց առաջադիմություն ունեցող օրդինատորների ընդհանուր թիվը</t>
  </si>
  <si>
    <t xml:space="preserve">  օրդինատորների ուսման վարձի գծով կիսամյակի վճարման ենթակա գումարի ընդհանուր չափը՝ չնվազեցնելով բուհի կողմից տրված կիսամյակի զեղչերի գումարը                                                                                               /հազար դրամ/</t>
  </si>
  <si>
    <t>Երևանի Հերացու անվան պետական բժշկական համալսարան</t>
  </si>
  <si>
    <t xml:space="preserve">ոչ ավարտական </t>
  </si>
  <si>
    <t>ավարտական</t>
  </si>
  <si>
    <t>Ակադեմիկոս Ս. Ավդալբեկյանի  անվան առողջապահության ազգային ինստիտուտ</t>
  </si>
  <si>
    <t>բակալավր</t>
  </si>
  <si>
    <t xml:space="preserve">մագիստր </t>
  </si>
  <si>
    <t>ընդ որում՝ 1-ին կուրս</t>
  </si>
  <si>
    <t xml:space="preserve"> ԲՈՒՀ</t>
  </si>
  <si>
    <t>կլինիկական օրդինատուրա</t>
  </si>
  <si>
    <t>u</t>
  </si>
  <si>
    <t>վարկերի սուբսիդավորում</t>
  </si>
  <si>
    <t>գոյություն ունեցող վարկերի մասով</t>
  </si>
  <si>
    <t>նոր վարկերի մասով /կանխատեսում/</t>
  </si>
  <si>
    <t>ԸՆԴԱՄԵՆԸ 14-րդ միջոցառում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</si>
</sst>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₽_-;\-* #,##0.00\ _₽_-;_-* &quot;-&quot;??\ _₽_-;_-@_-"/>
    <numFmt numFmtId="165" formatCode="_-* #,##0\ _₽_-;\-* #,##0\ _₽_-;_-* &quot;-&quot;??\ _₽_-;_-@_-"/>
  </numFmts>
  <fonts count="28" x14ac:knownFonts="1">
    <font>
      <sz val="10"/>
      <name val="Arial"/>
    </font>
    <font>
      <sz val="10"/>
      <name val="Arial"/>
      <family val="2"/>
    </font>
    <font>
      <sz val="14"/>
      <name val="GHEA Grapalat"/>
      <family val="3"/>
    </font>
    <font>
      <b/>
      <sz val="14"/>
      <name val="GHEA Grapalat"/>
      <family val="3"/>
    </font>
    <font>
      <b/>
      <sz val="16"/>
      <name val="GHEA Grapalat"/>
      <family val="3"/>
    </font>
    <font>
      <b/>
      <sz val="12"/>
      <name val="GHEA Grapalat"/>
      <family val="3"/>
    </font>
    <font>
      <b/>
      <sz val="14"/>
      <name val="GHEA Grapalat"/>
      <family val="3"/>
    </font>
    <font>
      <b/>
      <sz val="16"/>
      <name val="GHEA Grapalat"/>
      <family val="3"/>
    </font>
    <font>
      <b/>
      <sz val="14"/>
      <name val="GHEA Grapalat"/>
      <family val="3"/>
    </font>
    <font>
      <b/>
      <i/>
      <sz val="14"/>
      <name val="GHEA Grapalat"/>
      <family val="3"/>
    </font>
    <font>
      <sz val="14"/>
      <name val="GHEA Grapalat"/>
      <family val="3"/>
    </font>
    <font>
      <sz val="11"/>
      <color theme="1"/>
      <name val="Calibri"/>
      <family val="2"/>
      <scheme val="minor"/>
    </font>
    <font>
      <sz val="14"/>
      <color theme="1"/>
      <name val="GHEA Grapalat"/>
      <family val="3"/>
    </font>
    <font>
      <b/>
      <sz val="14"/>
      <color theme="1"/>
      <name val="GHEA Grapalat"/>
      <family val="3"/>
    </font>
    <font>
      <sz val="12"/>
      <color theme="1"/>
      <name val="Calibri"/>
      <family val="2"/>
      <charset val="204"/>
      <scheme val="minor"/>
    </font>
    <font>
      <b/>
      <i/>
      <sz val="14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6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0" fontId="1" fillId="0" borderId="0"/>
  </cellStyleXfs>
  <cellXfs count="140"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top" wrapText="1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4" borderId="10" xfId="0" applyFont="1" applyFill="1" applyBorder="1" applyAlignment="1" applyProtection="1">
      <alignment horizontal="center" vertical="top" wrapText="1"/>
      <protection locked="0"/>
    </xf>
    <xf numFmtId="0" fontId="2" fillId="4" borderId="11" xfId="0" applyFont="1" applyFill="1" applyBorder="1" applyAlignment="1" applyProtection="1">
      <alignment horizontal="center" vertical="top" wrapText="1"/>
      <protection locked="0"/>
    </xf>
    <xf numFmtId="0" fontId="2" fillId="4" borderId="12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/>
      <protection locked="0"/>
    </xf>
    <xf numFmtId="3" fontId="2" fillId="0" borderId="6" xfId="0" applyNumberFormat="1" applyFont="1" applyBorder="1" applyAlignment="1" applyProtection="1">
      <alignment horizontal="center" vertical="top" wrapText="1"/>
      <protection locked="0"/>
    </xf>
    <xf numFmtId="3" fontId="2" fillId="0" borderId="1" xfId="0" applyNumberFormat="1" applyFont="1" applyBorder="1" applyAlignment="1" applyProtection="1">
      <alignment horizontal="center" vertical="top" wrapText="1"/>
      <protection locked="0"/>
    </xf>
    <xf numFmtId="0" fontId="10" fillId="0" borderId="14" xfId="0" applyFont="1" applyBorder="1" applyAlignment="1" applyProtection="1">
      <alignment horizontal="center"/>
      <protection locked="0"/>
    </xf>
    <xf numFmtId="0" fontId="9" fillId="0" borderId="14" xfId="0" applyFont="1" applyBorder="1" applyAlignment="1" applyProtection="1">
      <alignment horizontal="center"/>
      <protection locked="0"/>
    </xf>
    <xf numFmtId="3" fontId="2" fillId="0" borderId="0" xfId="0" applyNumberFormat="1" applyFont="1" applyProtection="1">
      <protection locked="0"/>
    </xf>
    <xf numFmtId="0" fontId="10" fillId="0" borderId="9" xfId="0" applyFont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alignment horizontal="center"/>
      <protection locked="0"/>
    </xf>
    <xf numFmtId="0" fontId="1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right" vertical="center" wrapText="1"/>
    </xf>
    <xf numFmtId="165" fontId="14" fillId="0" borderId="1" xfId="1" applyNumberFormat="1" applyFont="1" applyBorder="1" applyAlignment="1">
      <alignment horizontal="right" vertical="center" wrapText="1"/>
    </xf>
    <xf numFmtId="165" fontId="2" fillId="0" borderId="0" xfId="0" applyNumberFormat="1" applyFont="1" applyProtection="1">
      <protection locked="0"/>
    </xf>
    <xf numFmtId="0" fontId="16" fillId="3" borderId="8" xfId="0" applyFont="1" applyFill="1" applyBorder="1" applyAlignment="1" applyProtection="1">
      <alignment horizontal="center" vertical="center" wrapText="1"/>
      <protection locked="0"/>
    </xf>
    <xf numFmtId="0" fontId="16" fillId="3" borderId="14" xfId="0" applyFont="1" applyFill="1" applyBorder="1" applyAlignment="1" applyProtection="1">
      <alignment horizontal="center" wrapText="1"/>
      <protection locked="0"/>
    </xf>
    <xf numFmtId="3" fontId="3" fillId="0" borderId="3" xfId="0" applyNumberFormat="1" applyFont="1" applyBorder="1" applyAlignment="1" applyProtection="1">
      <alignment horizontal="center"/>
      <protection locked="0"/>
    </xf>
    <xf numFmtId="3" fontId="2" fillId="0" borderId="9" xfId="0" applyNumberFormat="1" applyFont="1" applyBorder="1" applyAlignment="1" applyProtection="1">
      <alignment horizontal="center"/>
      <protection locked="0"/>
    </xf>
    <xf numFmtId="3" fontId="2" fillId="0" borderId="14" xfId="0" applyNumberFormat="1" applyFont="1" applyBorder="1" applyAlignment="1" applyProtection="1">
      <alignment horizontal="center"/>
      <protection locked="0"/>
    </xf>
    <xf numFmtId="3" fontId="2" fillId="3" borderId="1" xfId="0" applyNumberFormat="1" applyFont="1" applyFill="1" applyBorder="1" applyAlignment="1" applyProtection="1">
      <alignment horizontal="center"/>
      <protection locked="0"/>
    </xf>
    <xf numFmtId="3" fontId="2" fillId="3" borderId="4" xfId="0" applyNumberFormat="1" applyFont="1" applyFill="1" applyBorder="1" applyAlignment="1" applyProtection="1">
      <alignment horizontal="center"/>
      <protection locked="0"/>
    </xf>
    <xf numFmtId="3" fontId="3" fillId="0" borderId="15" xfId="0" applyNumberFormat="1" applyFont="1" applyBorder="1" applyAlignment="1" applyProtection="1">
      <alignment horizontal="center"/>
      <protection locked="0"/>
    </xf>
    <xf numFmtId="3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6" fillId="3" borderId="1" xfId="0" applyFont="1" applyFill="1" applyBorder="1" applyAlignment="1" applyProtection="1">
      <alignment horizontal="center" wrapText="1"/>
      <protection locked="0"/>
    </xf>
    <xf numFmtId="3" fontId="3" fillId="0" borderId="1" xfId="0" applyNumberFormat="1" applyFont="1" applyBorder="1" applyAlignment="1" applyProtection="1">
      <alignment horizontal="center"/>
      <protection locked="0"/>
    </xf>
    <xf numFmtId="0" fontId="16" fillId="3" borderId="8" xfId="0" applyFont="1" applyFill="1" applyBorder="1" applyAlignment="1" applyProtection="1">
      <alignment horizontal="center"/>
      <protection locked="0"/>
    </xf>
    <xf numFmtId="3" fontId="0" fillId="0" borderId="0" xfId="0" applyNumberFormat="1" applyProtection="1">
      <protection locked="0"/>
    </xf>
    <xf numFmtId="3" fontId="2" fillId="0" borderId="1" xfId="0" applyNumberFormat="1" applyFont="1" applyBorder="1" applyProtection="1">
      <protection locked="0"/>
    </xf>
    <xf numFmtId="3" fontId="2" fillId="0" borderId="1" xfId="2" applyNumberFormat="1" applyFont="1" applyBorder="1" applyAlignment="1" applyProtection="1">
      <alignment horizontal="center" vertical="top" wrapText="1"/>
      <protection locked="0"/>
    </xf>
    <xf numFmtId="3" fontId="3" fillId="0" borderId="17" xfId="0" applyNumberFormat="1" applyFont="1" applyBorder="1" applyAlignment="1" applyProtection="1">
      <alignment horizontal="center"/>
      <protection locked="0"/>
    </xf>
    <xf numFmtId="3" fontId="2" fillId="0" borderId="17" xfId="0" applyNumberFormat="1" applyFont="1" applyBorder="1" applyProtection="1">
      <protection locked="0"/>
    </xf>
    <xf numFmtId="0" fontId="17" fillId="0" borderId="1" xfId="0" applyFont="1" applyBorder="1" applyAlignment="1">
      <alignment horizontal="right" wrapText="1"/>
    </xf>
    <xf numFmtId="0" fontId="14" fillId="7" borderId="1" xfId="0" applyFont="1" applyFill="1" applyBorder="1" applyAlignment="1">
      <alignment horizontal="right" vertical="center" wrapText="1"/>
    </xf>
    <xf numFmtId="0" fontId="18" fillId="0" borderId="1" xfId="0" applyFont="1" applyBorder="1" applyAlignment="1">
      <alignment horizontal="right" wrapText="1"/>
    </xf>
    <xf numFmtId="3" fontId="16" fillId="0" borderId="9" xfId="0" applyNumberFormat="1" applyFont="1" applyBorder="1" applyAlignment="1" applyProtection="1">
      <alignment horizontal="center"/>
      <protection locked="0"/>
    </xf>
    <xf numFmtId="3" fontId="16" fillId="0" borderId="6" xfId="0" applyNumberFormat="1" applyFont="1" applyBorder="1" applyAlignment="1" applyProtection="1">
      <alignment horizontal="center" vertical="top" wrapText="1"/>
      <protection locked="0"/>
    </xf>
    <xf numFmtId="3" fontId="16" fillId="3" borderId="4" xfId="0" applyNumberFormat="1" applyFont="1" applyFill="1" applyBorder="1" applyAlignment="1" applyProtection="1">
      <alignment horizontal="center"/>
      <protection locked="0"/>
    </xf>
    <xf numFmtId="3" fontId="5" fillId="0" borderId="2" xfId="0" applyNumberFormat="1" applyFont="1" applyBorder="1" applyAlignment="1" applyProtection="1">
      <alignment horizontal="center"/>
      <protection locked="0"/>
    </xf>
    <xf numFmtId="3" fontId="5" fillId="0" borderId="3" xfId="0" applyNumberFormat="1" applyFont="1" applyBorder="1" applyAlignment="1" applyProtection="1">
      <alignment horizontal="center"/>
      <protection locked="0"/>
    </xf>
    <xf numFmtId="0" fontId="16" fillId="0" borderId="9" xfId="0" applyFont="1" applyBorder="1" applyAlignment="1" applyProtection="1">
      <alignment horizontal="center"/>
      <protection locked="0"/>
    </xf>
    <xf numFmtId="3" fontId="16" fillId="0" borderId="6" xfId="0" applyNumberFormat="1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3" fontId="16" fillId="0" borderId="19" xfId="0" applyNumberFormat="1" applyFont="1" applyBorder="1" applyAlignment="1" applyProtection="1">
      <alignment horizontal="center" vertical="top" wrapText="1"/>
      <protection locked="0"/>
    </xf>
    <xf numFmtId="3" fontId="16" fillId="3" borderId="19" xfId="0" applyNumberFormat="1" applyFont="1" applyFill="1" applyBorder="1" applyAlignment="1" applyProtection="1">
      <alignment horizontal="center"/>
      <protection locked="0"/>
    </xf>
    <xf numFmtId="3" fontId="5" fillId="0" borderId="11" xfId="0" applyNumberFormat="1" applyFont="1" applyBorder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3" fontId="22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3" borderId="4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1" fontId="12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1" fontId="15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horizontal="center" vertical="center" wrapText="1"/>
      <protection locked="0"/>
    </xf>
    <xf numFmtId="3" fontId="10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 wrapText="1"/>
      <protection locked="0"/>
    </xf>
    <xf numFmtId="3" fontId="9" fillId="0" borderId="6" xfId="0" applyNumberFormat="1" applyFont="1" applyBorder="1" applyAlignment="1" applyProtection="1">
      <alignment horizontal="center" vertical="center" wrapText="1"/>
      <protection locked="0"/>
    </xf>
    <xf numFmtId="3" fontId="9" fillId="0" borderId="1" xfId="0" applyNumberFormat="1" applyFont="1" applyBorder="1" applyAlignment="1" applyProtection="1">
      <alignment horizontal="center" vertical="center"/>
      <protection locked="0"/>
    </xf>
    <xf numFmtId="3" fontId="3" fillId="0" borderId="16" xfId="0" applyNumberFormat="1" applyFont="1" applyBorder="1" applyAlignment="1" applyProtection="1">
      <alignment horizontal="center" vertical="center"/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3" borderId="1" xfId="0" applyNumberFormat="1" applyFont="1" applyFill="1" applyBorder="1" applyAlignment="1" applyProtection="1">
      <alignment horizontal="center" vertical="center"/>
      <protection locked="0"/>
    </xf>
    <xf numFmtId="3" fontId="9" fillId="3" borderId="17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3" fontId="8" fillId="0" borderId="18" xfId="0" applyNumberFormat="1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3" fontId="8" fillId="0" borderId="16" xfId="0" applyNumberFormat="1" applyFont="1" applyBorder="1" applyAlignment="1" applyProtection="1">
      <alignment horizontal="center" vertical="center"/>
      <protection locked="0"/>
    </xf>
    <xf numFmtId="3" fontId="10" fillId="0" borderId="17" xfId="0" applyNumberFormat="1" applyFont="1" applyBorder="1" applyAlignment="1" applyProtection="1">
      <alignment horizontal="center" vertical="center" wrapText="1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3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6" xfId="0" applyNumberFormat="1" applyFont="1" applyBorder="1" applyAlignment="1" applyProtection="1">
      <alignment horizontal="center" vertical="center"/>
      <protection locked="0"/>
    </xf>
    <xf numFmtId="3" fontId="12" fillId="0" borderId="1" xfId="1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4" borderId="11" xfId="0" applyNumberFormat="1" applyFont="1" applyFill="1" applyBorder="1" applyAlignment="1" applyProtection="1">
      <alignment horizontal="center" vertical="top" wrapText="1"/>
      <protection locked="0"/>
    </xf>
    <xf numFmtId="0" fontId="23" fillId="5" borderId="0" xfId="0" applyFont="1" applyFill="1" applyProtection="1">
      <protection locked="0"/>
    </xf>
    <xf numFmtId="3" fontId="0" fillId="5" borderId="0" xfId="0" applyNumberFormat="1" applyFill="1" applyProtection="1">
      <protection locked="0"/>
    </xf>
    <xf numFmtId="0" fontId="0" fillId="0" borderId="1" xfId="0" applyBorder="1" applyProtection="1">
      <protection locked="0"/>
    </xf>
    <xf numFmtId="0" fontId="1" fillId="0" borderId="1" xfId="0" applyFont="1" applyBorder="1" applyProtection="1">
      <protection locked="0"/>
    </xf>
    <xf numFmtId="0" fontId="24" fillId="0" borderId="1" xfId="0" applyFont="1" applyBorder="1" applyProtection="1">
      <protection locked="0"/>
    </xf>
    <xf numFmtId="3" fontId="24" fillId="0" borderId="1" xfId="0" applyNumberFormat="1" applyFont="1" applyBorder="1" applyProtection="1">
      <protection locked="0"/>
    </xf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3" fontId="0" fillId="0" borderId="1" xfId="0" applyNumberFormat="1" applyBorder="1" applyProtection="1">
      <protection locked="0"/>
    </xf>
    <xf numFmtId="3" fontId="1" fillId="3" borderId="1" xfId="0" applyNumberFormat="1" applyFont="1" applyFill="1" applyBorder="1" applyProtection="1">
      <protection locked="0"/>
    </xf>
    <xf numFmtId="3" fontId="24" fillId="3" borderId="1" xfId="0" applyNumberFormat="1" applyFont="1" applyFill="1" applyBorder="1" applyProtection="1">
      <protection locked="0"/>
    </xf>
    <xf numFmtId="3" fontId="2" fillId="0" borderId="0" xfId="0" quotePrefix="1" applyNumberFormat="1" applyFont="1" applyProtection="1">
      <protection locked="0"/>
    </xf>
    <xf numFmtId="3" fontId="1" fillId="0" borderId="1" xfId="0" applyNumberFormat="1" applyFont="1" applyBorder="1" applyAlignment="1" applyProtection="1">
      <alignment horizontal="center"/>
      <protection locked="0"/>
    </xf>
    <xf numFmtId="0" fontId="27" fillId="5" borderId="0" xfId="0" applyFont="1" applyFill="1" applyProtection="1">
      <protection locked="0"/>
    </xf>
    <xf numFmtId="3" fontId="27" fillId="5" borderId="0" xfId="0" applyNumberFormat="1" applyFont="1" applyFill="1" applyProtection="1"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 applyProtection="1">
      <alignment horizontal="center"/>
      <protection locked="0"/>
    </xf>
    <xf numFmtId="0" fontId="8" fillId="5" borderId="1" xfId="0" applyFont="1" applyFill="1" applyBorder="1" applyAlignment="1" applyProtection="1">
      <alignment horizontal="center"/>
      <protection locked="0"/>
    </xf>
    <xf numFmtId="0" fontId="9" fillId="5" borderId="17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6" borderId="21" xfId="0" applyFont="1" applyFill="1" applyBorder="1" applyAlignment="1" applyProtection="1">
      <alignment horizontal="center"/>
      <protection locked="0"/>
    </xf>
    <xf numFmtId="0" fontId="3" fillId="6" borderId="22" xfId="0" applyFont="1" applyFill="1" applyBorder="1" applyAlignment="1" applyProtection="1">
      <alignment horizontal="center"/>
      <protection locked="0"/>
    </xf>
    <xf numFmtId="0" fontId="3" fillId="6" borderId="23" xfId="0" applyFont="1" applyFill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25" xfId="0" applyFont="1" applyBorder="1" applyAlignment="1" applyProtection="1">
      <alignment horizontal="center"/>
      <protection locked="0"/>
    </xf>
    <xf numFmtId="0" fontId="3" fillId="0" borderId="26" xfId="0" applyFont="1" applyBorder="1" applyAlignment="1" applyProtection="1">
      <alignment horizontal="center"/>
      <protection locked="0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FE9F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view="pageBreakPreview" topLeftCell="A126" zoomScale="85" zoomScaleNormal="84" zoomScaleSheetLayoutView="85" workbookViewId="0">
      <selection activeCell="F141" sqref="F141"/>
    </sheetView>
  </sheetViews>
  <sheetFormatPr defaultColWidth="8.85546875" defaultRowHeight="20.25" x14ac:dyDescent="0.35"/>
  <cols>
    <col min="1" max="1" width="18.28515625" style="1" customWidth="1"/>
    <col min="2" max="2" width="14.5703125" style="75" customWidth="1"/>
    <col min="3" max="3" width="9.85546875" style="75" customWidth="1"/>
    <col min="4" max="4" width="26.85546875" style="99" customWidth="1"/>
    <col min="5" max="5" width="21" style="99" customWidth="1"/>
    <col min="6" max="6" width="26.85546875" style="99" customWidth="1"/>
    <col min="7" max="7" width="26" style="99" customWidth="1"/>
    <col min="8" max="8" width="18.7109375" style="1" bestFit="1" customWidth="1"/>
    <col min="9" max="9" width="20" style="1" customWidth="1"/>
    <col min="10" max="16384" width="8.85546875" style="1"/>
  </cols>
  <sheetData>
    <row r="1" spans="1:7" ht="45.75" customHeight="1" x14ac:dyDescent="0.35">
      <c r="B1" s="127" t="s">
        <v>5</v>
      </c>
      <c r="C1" s="127"/>
      <c r="D1" s="127"/>
      <c r="E1" s="127"/>
      <c r="F1" s="127"/>
      <c r="G1" s="127"/>
    </row>
    <row r="2" spans="1:7" ht="69.75" customHeight="1" thickBot="1" x14ac:dyDescent="0.4">
      <c r="B2" s="128" t="s">
        <v>14</v>
      </c>
      <c r="C2" s="129"/>
      <c r="D2" s="129"/>
      <c r="E2" s="129"/>
      <c r="F2" s="129"/>
      <c r="G2" s="129"/>
    </row>
    <row r="3" spans="1:7" ht="175.5" customHeight="1" thickBot="1" x14ac:dyDescent="0.4">
      <c r="A3" s="11" t="s">
        <v>4</v>
      </c>
      <c r="B3" s="13" t="s">
        <v>6</v>
      </c>
      <c r="C3" s="3" t="s">
        <v>12</v>
      </c>
      <c r="D3" s="100" t="s">
        <v>13</v>
      </c>
      <c r="E3" s="101" t="s">
        <v>10</v>
      </c>
      <c r="F3" s="101" t="s">
        <v>8</v>
      </c>
      <c r="G3" s="101" t="s">
        <v>17</v>
      </c>
    </row>
    <row r="4" spans="1:7" ht="29.25" customHeight="1" x14ac:dyDescent="0.35">
      <c r="A4" s="15">
        <v>1</v>
      </c>
      <c r="B4" s="76">
        <v>2</v>
      </c>
      <c r="C4" s="76">
        <v>3</v>
      </c>
      <c r="D4" s="102">
        <v>4</v>
      </c>
      <c r="E4" s="102">
        <v>5</v>
      </c>
      <c r="F4" s="102">
        <v>6</v>
      </c>
      <c r="G4" s="102">
        <v>7</v>
      </c>
    </row>
    <row r="5" spans="1:7" ht="29.25" customHeight="1" x14ac:dyDescent="0.35">
      <c r="A5" s="130" t="s">
        <v>16</v>
      </c>
      <c r="B5" s="130"/>
      <c r="C5" s="130"/>
      <c r="D5" s="130"/>
      <c r="E5" s="130"/>
      <c r="F5" s="130"/>
      <c r="G5" s="130"/>
    </row>
    <row r="6" spans="1:7" ht="29.25" customHeight="1" x14ac:dyDescent="0.35">
      <c r="A6" s="7" t="s">
        <v>1</v>
      </c>
      <c r="B6" s="77">
        <f>195+8</f>
        <v>203</v>
      </c>
      <c r="C6" s="77">
        <v>23</v>
      </c>
      <c r="D6" s="78">
        <f>58785000+1080000</f>
        <v>59865000</v>
      </c>
      <c r="E6" s="78">
        <v>3960500</v>
      </c>
      <c r="F6" s="78">
        <v>2789500</v>
      </c>
      <c r="G6" s="79">
        <f>+(D6-E6-F6)*0.75+F6</f>
        <v>42625750</v>
      </c>
    </row>
    <row r="7" spans="1:7" ht="29.25" customHeight="1" x14ac:dyDescent="0.35">
      <c r="A7" s="14" t="s">
        <v>2</v>
      </c>
      <c r="B7" s="80">
        <f>57+2</f>
        <v>59</v>
      </c>
      <c r="C7" s="80">
        <v>7</v>
      </c>
      <c r="D7" s="81">
        <f>17740000+350000</f>
        <v>18090000</v>
      </c>
      <c r="E7" s="81">
        <v>1353500</v>
      </c>
      <c r="F7" s="81">
        <v>621500</v>
      </c>
      <c r="G7" s="79">
        <f t="shared" ref="G7:G8" si="0">+(D7-E7-F7)*0.75+F7</f>
        <v>12707750</v>
      </c>
    </row>
    <row r="8" spans="1:7" ht="29.25" customHeight="1" x14ac:dyDescent="0.35">
      <c r="A8" s="14" t="s">
        <v>3</v>
      </c>
      <c r="B8" s="80">
        <f>114+1</f>
        <v>115</v>
      </c>
      <c r="C8" s="80">
        <v>12</v>
      </c>
      <c r="D8" s="81">
        <f>33090000+175000</f>
        <v>33265000</v>
      </c>
      <c r="E8" s="81">
        <v>2102000</v>
      </c>
      <c r="F8" s="81">
        <v>1203000</v>
      </c>
      <c r="G8" s="79">
        <f t="shared" si="0"/>
        <v>23673000</v>
      </c>
    </row>
    <row r="9" spans="1:7" ht="29.25" customHeight="1" x14ac:dyDescent="0.35">
      <c r="A9" s="19" t="s">
        <v>0</v>
      </c>
      <c r="B9" s="82">
        <f t="shared" ref="B9:F9" si="1">SUM(B6:B8)</f>
        <v>377</v>
      </c>
      <c r="C9" s="82">
        <f t="shared" si="1"/>
        <v>42</v>
      </c>
      <c r="D9" s="82">
        <f t="shared" si="1"/>
        <v>111220000</v>
      </c>
      <c r="E9" s="82">
        <f t="shared" si="1"/>
        <v>7416000</v>
      </c>
      <c r="F9" s="82">
        <f t="shared" si="1"/>
        <v>4614000</v>
      </c>
      <c r="G9" s="94">
        <f>SUM(G6:G8)</f>
        <v>79006500</v>
      </c>
    </row>
    <row r="10" spans="1:7" ht="29.25" customHeight="1" thickBot="1" x14ac:dyDescent="0.4">
      <c r="A10" s="29" t="s">
        <v>23</v>
      </c>
      <c r="B10" s="80">
        <f>190+14</f>
        <v>204</v>
      </c>
      <c r="C10" s="80">
        <v>17</v>
      </c>
      <c r="D10" s="81">
        <f>58000000+2446000</f>
        <v>60446000</v>
      </c>
      <c r="E10" s="81">
        <v>3181000</v>
      </c>
      <c r="F10" s="81">
        <v>1894000</v>
      </c>
      <c r="G10" s="79">
        <f>D10-E10</f>
        <v>57265000</v>
      </c>
    </row>
    <row r="11" spans="1:7" x14ac:dyDescent="0.35">
      <c r="A11" s="15" t="s">
        <v>0</v>
      </c>
      <c r="B11" s="84">
        <f>SUM(B10,B9)</f>
        <v>581</v>
      </c>
      <c r="C11" s="84">
        <f>SUM(C9,C10)</f>
        <v>59</v>
      </c>
      <c r="D11" s="84">
        <f>SUM(D9,D10)</f>
        <v>171666000</v>
      </c>
      <c r="E11" s="84">
        <f>SUM(E9,E10)</f>
        <v>10597000</v>
      </c>
      <c r="F11" s="84">
        <f>SUM(F9,F10)</f>
        <v>6508000</v>
      </c>
      <c r="G11" s="96">
        <f>G9+G10</f>
        <v>136271500</v>
      </c>
    </row>
    <row r="12" spans="1:7" x14ac:dyDescent="0.35">
      <c r="A12" s="125" t="s">
        <v>18</v>
      </c>
      <c r="B12" s="125"/>
      <c r="C12" s="125"/>
      <c r="D12" s="125"/>
      <c r="E12" s="125"/>
      <c r="F12" s="125"/>
      <c r="G12" s="125"/>
    </row>
    <row r="13" spans="1:7" x14ac:dyDescent="0.35">
      <c r="A13" s="21" t="s">
        <v>1</v>
      </c>
      <c r="B13" s="79">
        <v>8</v>
      </c>
      <c r="C13" s="79">
        <v>1</v>
      </c>
      <c r="D13" s="79">
        <v>4000000</v>
      </c>
      <c r="E13" s="79">
        <v>300000</v>
      </c>
      <c r="F13" s="79">
        <v>200000</v>
      </c>
      <c r="G13" s="79">
        <f>+(D13-E13-F13)*0.75+F13</f>
        <v>2825000</v>
      </c>
    </row>
    <row r="14" spans="1:7" customFormat="1" x14ac:dyDescent="0.35">
      <c r="A14" s="18" t="s">
        <v>2</v>
      </c>
      <c r="B14" s="85">
        <v>0</v>
      </c>
      <c r="C14" s="85">
        <v>0</v>
      </c>
      <c r="D14" s="85">
        <v>0</v>
      </c>
      <c r="E14" s="85">
        <v>0</v>
      </c>
      <c r="F14" s="85">
        <v>0</v>
      </c>
      <c r="G14" s="79">
        <f t="shared" ref="G14:G15" si="2">+(D14-E14-F14)*0.75+F14</f>
        <v>0</v>
      </c>
    </row>
    <row r="15" spans="1:7" x14ac:dyDescent="0.35">
      <c r="A15" s="14" t="s">
        <v>38</v>
      </c>
      <c r="B15" s="86">
        <v>3</v>
      </c>
      <c r="C15" s="86">
        <v>0</v>
      </c>
      <c r="D15" s="86">
        <v>1200000</v>
      </c>
      <c r="E15" s="86">
        <v>0</v>
      </c>
      <c r="F15" s="85">
        <v>0</v>
      </c>
      <c r="G15" s="79">
        <f t="shared" si="2"/>
        <v>900000</v>
      </c>
    </row>
    <row r="16" spans="1:7" x14ac:dyDescent="0.35">
      <c r="A16" s="19" t="s">
        <v>0</v>
      </c>
      <c r="B16" s="87">
        <f t="shared" ref="B16:F16" si="3">SUM(B13:B15)</f>
        <v>11</v>
      </c>
      <c r="C16" s="87">
        <f t="shared" si="3"/>
        <v>1</v>
      </c>
      <c r="D16" s="87">
        <f t="shared" si="3"/>
        <v>5200000</v>
      </c>
      <c r="E16" s="87">
        <f t="shared" si="3"/>
        <v>300000</v>
      </c>
      <c r="F16" s="87">
        <f t="shared" si="3"/>
        <v>200000</v>
      </c>
      <c r="G16" s="94">
        <f>SUM(G13:G15)</f>
        <v>3725000</v>
      </c>
    </row>
    <row r="17" spans="1:9" ht="35.25" thickBot="1" x14ac:dyDescent="0.4">
      <c r="A17" s="29" t="s">
        <v>23</v>
      </c>
      <c r="B17" s="88">
        <v>2</v>
      </c>
      <c r="C17" s="89">
        <v>0</v>
      </c>
      <c r="D17" s="98">
        <v>650000</v>
      </c>
      <c r="E17" s="98">
        <v>0</v>
      </c>
      <c r="F17" s="98">
        <v>0</v>
      </c>
      <c r="G17" s="79">
        <f>D17-E17</f>
        <v>650000</v>
      </c>
    </row>
    <row r="18" spans="1:9" x14ac:dyDescent="0.35">
      <c r="A18" s="22" t="s">
        <v>0</v>
      </c>
      <c r="B18" s="90">
        <f t="shared" ref="B18:F18" si="4">B16+B17</f>
        <v>13</v>
      </c>
      <c r="C18" s="90">
        <f t="shared" si="4"/>
        <v>1</v>
      </c>
      <c r="D18" s="90">
        <f t="shared" si="4"/>
        <v>5850000</v>
      </c>
      <c r="E18" s="90">
        <f t="shared" si="4"/>
        <v>300000</v>
      </c>
      <c r="F18" s="90">
        <f t="shared" si="4"/>
        <v>200000</v>
      </c>
      <c r="G18" s="96">
        <f>G16+G17</f>
        <v>4375000</v>
      </c>
    </row>
    <row r="19" spans="1:9" x14ac:dyDescent="0.35">
      <c r="A19" s="125" t="s">
        <v>19</v>
      </c>
      <c r="B19" s="125"/>
      <c r="C19" s="125"/>
      <c r="D19" s="125"/>
      <c r="E19" s="125"/>
      <c r="F19" s="125"/>
      <c r="G19" s="125"/>
    </row>
    <row r="20" spans="1:9" x14ac:dyDescent="0.35">
      <c r="A20" s="21" t="s">
        <v>1</v>
      </c>
      <c r="B20" s="91">
        <v>49</v>
      </c>
      <c r="C20" s="91">
        <v>3</v>
      </c>
      <c r="D20" s="79">
        <f>B20*225000</f>
        <v>11025000</v>
      </c>
      <c r="E20" s="79">
        <f>382500</f>
        <v>382500</v>
      </c>
      <c r="F20" s="79">
        <f>+C20*225000-E20</f>
        <v>292500</v>
      </c>
      <c r="G20" s="79">
        <f>+(D20-E20-F20)*0.75+F20</f>
        <v>8055000</v>
      </c>
      <c r="H20" s="1" t="e">
        <f>+#REF!*0.75</f>
        <v>#REF!</v>
      </c>
      <c r="I20" s="20" t="e">
        <f>+H20+F20</f>
        <v>#REF!</v>
      </c>
    </row>
    <row r="21" spans="1:9" x14ac:dyDescent="0.35">
      <c r="A21" s="18" t="s">
        <v>2</v>
      </c>
      <c r="B21" s="92">
        <v>13</v>
      </c>
      <c r="C21" s="92">
        <v>2</v>
      </c>
      <c r="D21" s="79">
        <f>B21*200000</f>
        <v>2600000</v>
      </c>
      <c r="E21" s="85">
        <f>195000</f>
        <v>195000</v>
      </c>
      <c r="F21" s="79">
        <f>+C21*200000-E21</f>
        <v>205000</v>
      </c>
      <c r="G21" s="79">
        <f t="shared" ref="G21:G22" si="5">+(D21-E21-F21)*0.75+F21</f>
        <v>1855000</v>
      </c>
      <c r="H21" s="1" t="e">
        <f>+#REF!*0.75</f>
        <v>#REF!</v>
      </c>
      <c r="I21" s="20" t="e">
        <f>+H21+F21</f>
        <v>#REF!</v>
      </c>
    </row>
    <row r="22" spans="1:9" x14ac:dyDescent="0.35">
      <c r="A22" s="18" t="s">
        <v>3</v>
      </c>
      <c r="B22" s="92">
        <v>44</v>
      </c>
      <c r="C22" s="92">
        <v>4</v>
      </c>
      <c r="D22" s="79">
        <f>B22*200000</f>
        <v>8800000</v>
      </c>
      <c r="E22" s="85">
        <f>440000</f>
        <v>440000</v>
      </c>
      <c r="F22" s="79">
        <f>+C22*200000-E22</f>
        <v>360000</v>
      </c>
      <c r="G22" s="79">
        <f t="shared" si="5"/>
        <v>6360000</v>
      </c>
      <c r="H22" s="1" t="e">
        <f>+#REF!*0.75</f>
        <v>#REF!</v>
      </c>
      <c r="I22" s="20" t="e">
        <f>+H22+F22</f>
        <v>#REF!</v>
      </c>
    </row>
    <row r="23" spans="1:9" x14ac:dyDescent="0.35">
      <c r="A23" s="19" t="s">
        <v>0</v>
      </c>
      <c r="B23" s="93">
        <f t="shared" ref="B23:F23" si="6">SUM(B20:B22)</f>
        <v>106</v>
      </c>
      <c r="C23" s="93">
        <f t="shared" si="6"/>
        <v>9</v>
      </c>
      <c r="D23" s="94">
        <f t="shared" si="6"/>
        <v>22425000</v>
      </c>
      <c r="E23" s="94">
        <f t="shared" si="6"/>
        <v>1017500</v>
      </c>
      <c r="F23" s="94">
        <f t="shared" si="6"/>
        <v>857500</v>
      </c>
      <c r="G23" s="94">
        <f>SUM(G20:G22)</f>
        <v>16270000</v>
      </c>
      <c r="H23" s="83"/>
      <c r="I23" s="83" t="e">
        <f>+I20+I21+I22</f>
        <v>#REF!</v>
      </c>
    </row>
    <row r="24" spans="1:9" ht="35.25" thickBot="1" x14ac:dyDescent="0.4">
      <c r="A24" s="29" t="s">
        <v>23</v>
      </c>
      <c r="B24" s="92">
        <v>31</v>
      </c>
      <c r="C24" s="92">
        <v>1</v>
      </c>
      <c r="D24" s="79">
        <f>B24*200000</f>
        <v>6200000</v>
      </c>
      <c r="E24" s="85">
        <f>120000</f>
        <v>120000</v>
      </c>
      <c r="F24" s="79">
        <f>+C24*200000-E24</f>
        <v>80000</v>
      </c>
      <c r="G24" s="79">
        <f>D24-E24</f>
        <v>6080000</v>
      </c>
      <c r="I24" s="20" t="e">
        <f>+#REF!+F24</f>
        <v>#REF!</v>
      </c>
    </row>
    <row r="25" spans="1:9" x14ac:dyDescent="0.35">
      <c r="A25" s="22" t="s">
        <v>0</v>
      </c>
      <c r="B25" s="95">
        <f t="shared" ref="B25:F25" si="7">B23+B24</f>
        <v>137</v>
      </c>
      <c r="C25" s="95">
        <f t="shared" si="7"/>
        <v>10</v>
      </c>
      <c r="D25" s="96">
        <f t="shared" si="7"/>
        <v>28625000</v>
      </c>
      <c r="E25" s="96">
        <f t="shared" si="7"/>
        <v>1137500</v>
      </c>
      <c r="F25" s="96">
        <f t="shared" si="7"/>
        <v>937500</v>
      </c>
      <c r="G25" s="96">
        <f>G23+G24</f>
        <v>22350000</v>
      </c>
      <c r="H25" s="20"/>
      <c r="I25" s="119" t="e">
        <f>+I23+I24</f>
        <v>#REF!</v>
      </c>
    </row>
    <row r="26" spans="1:9" x14ac:dyDescent="0.35">
      <c r="A26" s="125" t="s">
        <v>20</v>
      </c>
      <c r="B26" s="125"/>
      <c r="C26" s="125"/>
      <c r="D26" s="125"/>
      <c r="E26" s="125"/>
      <c r="F26" s="125"/>
      <c r="G26" s="125"/>
      <c r="I26" s="1" t="s">
        <v>59</v>
      </c>
    </row>
    <row r="27" spans="1:9" x14ac:dyDescent="0.35">
      <c r="A27" s="21" t="s">
        <v>1</v>
      </c>
      <c r="B27" s="79">
        <v>56</v>
      </c>
      <c r="C27" s="79">
        <v>9</v>
      </c>
      <c r="D27" s="79">
        <v>15050000</v>
      </c>
      <c r="E27" s="79">
        <v>1177500</v>
      </c>
      <c r="F27" s="79">
        <v>1297500</v>
      </c>
      <c r="G27" s="79">
        <f>+(D27-E27-F27)*0.75+F27</f>
        <v>10728750</v>
      </c>
    </row>
    <row r="28" spans="1:9" x14ac:dyDescent="0.35">
      <c r="A28" s="18" t="s">
        <v>2</v>
      </c>
      <c r="B28" s="85">
        <v>2</v>
      </c>
      <c r="C28" s="85">
        <v>0</v>
      </c>
      <c r="D28" s="85">
        <v>600000</v>
      </c>
      <c r="E28" s="85">
        <v>0</v>
      </c>
      <c r="F28" s="85">
        <v>0</v>
      </c>
      <c r="G28" s="79">
        <f t="shared" ref="G28:G29" si="8">+(D28-E28-F28)*0.75+F28</f>
        <v>450000</v>
      </c>
    </row>
    <row r="29" spans="1:9" x14ac:dyDescent="0.35">
      <c r="A29" s="18" t="s">
        <v>3</v>
      </c>
      <c r="B29" s="85">
        <v>44</v>
      </c>
      <c r="C29" s="85">
        <v>4</v>
      </c>
      <c r="D29" s="85">
        <v>12900000</v>
      </c>
      <c r="E29" s="85">
        <v>677500</v>
      </c>
      <c r="F29" s="85">
        <v>497500</v>
      </c>
      <c r="G29" s="79">
        <f t="shared" si="8"/>
        <v>9291250</v>
      </c>
    </row>
    <row r="30" spans="1:9" x14ac:dyDescent="0.35">
      <c r="A30" s="19" t="s">
        <v>0</v>
      </c>
      <c r="B30" s="94">
        <f t="shared" ref="B30:F30" si="9">SUM(B27:B29)</f>
        <v>102</v>
      </c>
      <c r="C30" s="94">
        <f t="shared" si="9"/>
        <v>13</v>
      </c>
      <c r="D30" s="94">
        <f t="shared" si="9"/>
        <v>28550000</v>
      </c>
      <c r="E30" s="94">
        <f t="shared" si="9"/>
        <v>1855000</v>
      </c>
      <c r="F30" s="94">
        <f t="shared" si="9"/>
        <v>1795000</v>
      </c>
      <c r="G30" s="94">
        <f>SUM(G27:G29)</f>
        <v>20470000</v>
      </c>
    </row>
    <row r="31" spans="1:9" ht="35.25" thickBot="1" x14ac:dyDescent="0.4">
      <c r="A31" s="29" t="s">
        <v>23</v>
      </c>
      <c r="B31" s="85">
        <v>66</v>
      </c>
      <c r="C31" s="85">
        <v>1</v>
      </c>
      <c r="D31" s="85">
        <v>15975000</v>
      </c>
      <c r="E31" s="85">
        <v>180000</v>
      </c>
      <c r="F31" s="85">
        <v>120000</v>
      </c>
      <c r="G31" s="79">
        <f>D31-E31</f>
        <v>15795000</v>
      </c>
    </row>
    <row r="32" spans="1:9" x14ac:dyDescent="0.35">
      <c r="A32" s="22" t="s">
        <v>0</v>
      </c>
      <c r="B32" s="96">
        <f t="shared" ref="B32:F32" si="10">B30+B31</f>
        <v>168</v>
      </c>
      <c r="C32" s="96">
        <f t="shared" si="10"/>
        <v>14</v>
      </c>
      <c r="D32" s="96">
        <f t="shared" si="10"/>
        <v>44525000</v>
      </c>
      <c r="E32" s="96">
        <f t="shared" si="10"/>
        <v>2035000</v>
      </c>
      <c r="F32" s="96">
        <f t="shared" si="10"/>
        <v>1915000</v>
      </c>
      <c r="G32" s="96">
        <f>G30+G31</f>
        <v>36265000</v>
      </c>
    </row>
    <row r="33" spans="1:7" x14ac:dyDescent="0.35">
      <c r="A33" s="124" t="s">
        <v>21</v>
      </c>
      <c r="B33" s="124"/>
      <c r="C33" s="124"/>
      <c r="D33" s="124"/>
      <c r="E33" s="124"/>
      <c r="F33" s="124"/>
      <c r="G33" s="124"/>
    </row>
    <row r="34" spans="1:7" x14ac:dyDescent="0.35">
      <c r="A34" s="21" t="s">
        <v>1</v>
      </c>
      <c r="B34" s="79">
        <v>9</v>
      </c>
      <c r="C34" s="79">
        <v>1</v>
      </c>
      <c r="D34" s="79">
        <v>2466000</v>
      </c>
      <c r="E34" s="79">
        <v>168000</v>
      </c>
      <c r="F34" s="79">
        <v>72000</v>
      </c>
      <c r="G34" s="79">
        <f>+(D34-E34-F34)*0.75+F34</f>
        <v>1741500</v>
      </c>
    </row>
    <row r="35" spans="1:7" x14ac:dyDescent="0.35">
      <c r="A35" s="18" t="s">
        <v>2</v>
      </c>
      <c r="B35" s="85">
        <v>0</v>
      </c>
      <c r="C35" s="85">
        <v>0</v>
      </c>
      <c r="D35" s="85">
        <v>0</v>
      </c>
      <c r="E35" s="85">
        <v>0</v>
      </c>
      <c r="F35" s="85">
        <v>0</v>
      </c>
      <c r="G35" s="79">
        <f t="shared" ref="G35:G36" si="11">+(D35-E35-F35)*0.75+F35</f>
        <v>0</v>
      </c>
    </row>
    <row r="36" spans="1:7" ht="21" thickBot="1" x14ac:dyDescent="0.4">
      <c r="A36" s="18" t="s">
        <v>3</v>
      </c>
      <c r="B36" s="85">
        <v>7</v>
      </c>
      <c r="C36" s="85">
        <v>0</v>
      </c>
      <c r="D36" s="85">
        <v>1778000</v>
      </c>
      <c r="E36" s="85">
        <v>0</v>
      </c>
      <c r="F36" s="85">
        <v>0</v>
      </c>
      <c r="G36" s="79">
        <f t="shared" si="11"/>
        <v>1333500</v>
      </c>
    </row>
    <row r="37" spans="1:7" x14ac:dyDescent="0.35">
      <c r="A37" s="23" t="s">
        <v>0</v>
      </c>
      <c r="B37" s="94">
        <f t="shared" ref="B37:F37" si="12">SUM(B34:B36)</f>
        <v>16</v>
      </c>
      <c r="C37" s="94">
        <f t="shared" si="12"/>
        <v>1</v>
      </c>
      <c r="D37" s="94">
        <f t="shared" si="12"/>
        <v>4244000</v>
      </c>
      <c r="E37" s="94">
        <f t="shared" si="12"/>
        <v>168000</v>
      </c>
      <c r="F37" s="94">
        <f t="shared" si="12"/>
        <v>72000</v>
      </c>
      <c r="G37" s="94">
        <f>SUM(G34:G36)</f>
        <v>3075000</v>
      </c>
    </row>
    <row r="38" spans="1:7" ht="35.25" thickBot="1" x14ac:dyDescent="0.4">
      <c r="A38" s="29" t="s">
        <v>23</v>
      </c>
      <c r="B38" s="85">
        <v>17</v>
      </c>
      <c r="C38" s="85">
        <v>1</v>
      </c>
      <c r="D38" s="85">
        <v>4800000</v>
      </c>
      <c r="E38" s="85">
        <v>52000</v>
      </c>
      <c r="F38" s="85">
        <v>208000</v>
      </c>
      <c r="G38" s="79">
        <f>D38-E38</f>
        <v>4748000</v>
      </c>
    </row>
    <row r="39" spans="1:7" x14ac:dyDescent="0.35">
      <c r="A39" s="22" t="s">
        <v>0</v>
      </c>
      <c r="B39" s="96">
        <f t="shared" ref="B39:F39" si="13">B37+B38</f>
        <v>33</v>
      </c>
      <c r="C39" s="96">
        <f t="shared" si="13"/>
        <v>2</v>
      </c>
      <c r="D39" s="96">
        <f t="shared" si="13"/>
        <v>9044000</v>
      </c>
      <c r="E39" s="96">
        <f t="shared" si="13"/>
        <v>220000</v>
      </c>
      <c r="F39" s="96">
        <f t="shared" si="13"/>
        <v>280000</v>
      </c>
      <c r="G39" s="96">
        <f>G37+G38</f>
        <v>7823000</v>
      </c>
    </row>
    <row r="40" spans="1:7" x14ac:dyDescent="0.35">
      <c r="A40" s="124" t="s">
        <v>22</v>
      </c>
      <c r="B40" s="124"/>
      <c r="C40" s="124"/>
      <c r="D40" s="124"/>
      <c r="E40" s="124"/>
      <c r="F40" s="124"/>
      <c r="G40" s="124"/>
    </row>
    <row r="41" spans="1:7" x14ac:dyDescent="0.35">
      <c r="A41" s="21" t="s">
        <v>1</v>
      </c>
      <c r="B41" s="91"/>
      <c r="C41" s="91"/>
      <c r="D41" s="79"/>
      <c r="E41" s="79"/>
      <c r="F41" s="79"/>
      <c r="G41" s="79">
        <f>+(D41-E41-F41)*0.75+F41</f>
        <v>0</v>
      </c>
    </row>
    <row r="42" spans="1:7" x14ac:dyDescent="0.35">
      <c r="A42" s="18" t="s">
        <v>2</v>
      </c>
      <c r="B42" s="92"/>
      <c r="C42" s="92"/>
      <c r="D42" s="85"/>
      <c r="E42" s="85"/>
      <c r="F42" s="85"/>
      <c r="G42" s="79">
        <f t="shared" ref="G42:G43" si="14">+(D42-E42-F42)*0.75+F42</f>
        <v>0</v>
      </c>
    </row>
    <row r="43" spans="1:7" ht="21" thickBot="1" x14ac:dyDescent="0.4">
      <c r="A43" s="14" t="s">
        <v>40</v>
      </c>
      <c r="B43" s="97">
        <v>8</v>
      </c>
      <c r="C43" s="97"/>
      <c r="D43" s="97">
        <v>2150000</v>
      </c>
      <c r="E43" s="97"/>
      <c r="F43" s="97"/>
      <c r="G43" s="79">
        <f t="shared" si="14"/>
        <v>1612500</v>
      </c>
    </row>
    <row r="44" spans="1:7" x14ac:dyDescent="0.35">
      <c r="A44" s="22" t="s">
        <v>0</v>
      </c>
      <c r="B44" s="94">
        <f t="shared" ref="B44:F44" si="15">SUM(B43:B43)</f>
        <v>8</v>
      </c>
      <c r="C44" s="94">
        <f t="shared" si="15"/>
        <v>0</v>
      </c>
      <c r="D44" s="94">
        <f t="shared" si="15"/>
        <v>2150000</v>
      </c>
      <c r="E44" s="94">
        <f t="shared" si="15"/>
        <v>0</v>
      </c>
      <c r="F44" s="94">
        <f t="shared" si="15"/>
        <v>0</v>
      </c>
      <c r="G44" s="94">
        <f>SUM(G41:G43)</f>
        <v>1612500</v>
      </c>
    </row>
    <row r="45" spans="1:7" ht="36" thickBot="1" x14ac:dyDescent="0.4">
      <c r="A45" s="30" t="s">
        <v>23</v>
      </c>
      <c r="B45" s="86">
        <v>14</v>
      </c>
      <c r="C45" s="86">
        <v>1</v>
      </c>
      <c r="D45" s="37">
        <v>2935000</v>
      </c>
      <c r="E45" s="86">
        <v>120000</v>
      </c>
      <c r="F45" s="86">
        <v>80000</v>
      </c>
      <c r="G45" s="79">
        <f>D45-E45</f>
        <v>2815000</v>
      </c>
    </row>
    <row r="46" spans="1:7" x14ac:dyDescent="0.35">
      <c r="A46" s="22" t="s">
        <v>0</v>
      </c>
      <c r="B46" s="96">
        <f>B44+B45</f>
        <v>22</v>
      </c>
      <c r="C46" s="96">
        <f t="shared" ref="C46" si="16">C44+C45</f>
        <v>1</v>
      </c>
      <c r="D46" s="96">
        <f>D43+D45</f>
        <v>5085000</v>
      </c>
      <c r="E46" s="96">
        <f>E43+E45</f>
        <v>120000</v>
      </c>
      <c r="F46" s="96">
        <f>F43+F45</f>
        <v>80000</v>
      </c>
      <c r="G46" s="96">
        <f>G44+G45</f>
        <v>4427500</v>
      </c>
    </row>
    <row r="47" spans="1:7" x14ac:dyDescent="0.35">
      <c r="A47" s="126" t="s">
        <v>24</v>
      </c>
      <c r="B47" s="126"/>
      <c r="C47" s="126"/>
      <c r="D47" s="126"/>
      <c r="E47" s="126"/>
      <c r="F47" s="126"/>
      <c r="G47" s="126"/>
    </row>
    <row r="48" spans="1:7" x14ac:dyDescent="0.35">
      <c r="A48" s="24" t="s">
        <v>1</v>
      </c>
      <c r="B48" s="72">
        <v>15</v>
      </c>
      <c r="C48" s="72">
        <v>4</v>
      </c>
      <c r="D48" s="103">
        <f>+B48*180000</f>
        <v>2700000</v>
      </c>
      <c r="E48" s="103">
        <v>522000</v>
      </c>
      <c r="F48" s="103">
        <v>198000</v>
      </c>
      <c r="G48" s="79">
        <f>+(D48-E48-F48)*0.75+F48</f>
        <v>1683000</v>
      </c>
    </row>
    <row r="49" spans="1:8" x14ac:dyDescent="0.35">
      <c r="A49" s="24" t="s">
        <v>2</v>
      </c>
      <c r="B49" s="72">
        <v>17</v>
      </c>
      <c r="C49" s="72">
        <v>0</v>
      </c>
      <c r="D49" s="103">
        <f>+B49*180000</f>
        <v>3060000</v>
      </c>
      <c r="E49" s="103"/>
      <c r="F49" s="103"/>
      <c r="G49" s="79">
        <f t="shared" ref="G49:G50" si="17">+(D49-E49-F49)*0.75+F49</f>
        <v>2295000</v>
      </c>
    </row>
    <row r="50" spans="1:8" ht="21" thickBot="1" x14ac:dyDescent="0.4">
      <c r="A50" s="24" t="s">
        <v>3</v>
      </c>
      <c r="B50" s="72">
        <v>27</v>
      </c>
      <c r="C50" s="72">
        <v>0</v>
      </c>
      <c r="D50" s="103">
        <f>+B50*180000</f>
        <v>4860000</v>
      </c>
      <c r="E50" s="103"/>
      <c r="F50" s="103"/>
      <c r="G50" s="79">
        <f t="shared" si="17"/>
        <v>3645000</v>
      </c>
    </row>
    <row r="51" spans="1:8" x14ac:dyDescent="0.35">
      <c r="A51" s="22" t="s">
        <v>0</v>
      </c>
      <c r="B51" s="73">
        <f t="shared" ref="B51:F51" si="18">SUM(B48:B50)</f>
        <v>59</v>
      </c>
      <c r="C51" s="73">
        <f t="shared" si="18"/>
        <v>4</v>
      </c>
      <c r="D51" s="104">
        <f t="shared" si="18"/>
        <v>10620000</v>
      </c>
      <c r="E51" s="104">
        <f t="shared" si="18"/>
        <v>522000</v>
      </c>
      <c r="F51" s="104">
        <f t="shared" si="18"/>
        <v>198000</v>
      </c>
      <c r="G51" s="94">
        <f>SUM(G48:G50)</f>
        <v>7623000</v>
      </c>
    </row>
    <row r="52" spans="1:8" ht="36" thickBot="1" x14ac:dyDescent="0.4">
      <c r="A52" s="30" t="s">
        <v>23</v>
      </c>
      <c r="B52" s="72">
        <v>34</v>
      </c>
      <c r="C52" s="72">
        <v>2</v>
      </c>
      <c r="D52" s="103">
        <f>+B52*180000</f>
        <v>6120000</v>
      </c>
      <c r="E52" s="103">
        <v>126000</v>
      </c>
      <c r="F52" s="103">
        <v>234000</v>
      </c>
      <c r="G52" s="79">
        <f>D52-E52</f>
        <v>5994000</v>
      </c>
      <c r="H52" s="28"/>
    </row>
    <row r="53" spans="1:8" x14ac:dyDescent="0.35">
      <c r="A53" s="25" t="s">
        <v>0</v>
      </c>
      <c r="B53" s="74">
        <f t="shared" ref="B53:F53" si="19">B51+B52</f>
        <v>93</v>
      </c>
      <c r="C53" s="74">
        <f t="shared" si="19"/>
        <v>6</v>
      </c>
      <c r="D53" s="105">
        <f t="shared" si="19"/>
        <v>16740000</v>
      </c>
      <c r="E53" s="105">
        <f t="shared" si="19"/>
        <v>648000</v>
      </c>
      <c r="F53" s="105">
        <f t="shared" si="19"/>
        <v>432000</v>
      </c>
      <c r="G53" s="96">
        <f>G51+G52</f>
        <v>13617000</v>
      </c>
    </row>
    <row r="54" spans="1:8" x14ac:dyDescent="0.35">
      <c r="A54" s="124" t="s">
        <v>25</v>
      </c>
      <c r="B54" s="124"/>
      <c r="C54" s="124"/>
      <c r="D54" s="124"/>
      <c r="E54" s="124"/>
      <c r="F54" s="124"/>
      <c r="G54" s="124"/>
    </row>
    <row r="55" spans="1:8" x14ac:dyDescent="0.35">
      <c r="A55" s="7" t="s">
        <v>1</v>
      </c>
      <c r="B55" s="78">
        <v>38</v>
      </c>
      <c r="C55" s="78">
        <v>7</v>
      </c>
      <c r="D55" s="78">
        <v>6175000</v>
      </c>
      <c r="E55" s="78">
        <v>577500</v>
      </c>
      <c r="F55" s="78">
        <v>547500</v>
      </c>
      <c r="G55" s="79">
        <f>+(D55-E55-F55)*0.75+F55</f>
        <v>4335000</v>
      </c>
    </row>
    <row r="56" spans="1:8" x14ac:dyDescent="0.35">
      <c r="A56" s="14" t="s">
        <v>2</v>
      </c>
      <c r="B56" s="81">
        <v>4</v>
      </c>
      <c r="C56" s="81">
        <v>2</v>
      </c>
      <c r="D56" s="81">
        <v>650000</v>
      </c>
      <c r="E56" s="81">
        <v>150000</v>
      </c>
      <c r="F56" s="81">
        <v>150000</v>
      </c>
      <c r="G56" s="79">
        <f t="shared" ref="G56:G57" si="20">+(D56-E56-F56)*0.75+F56</f>
        <v>412500</v>
      </c>
    </row>
    <row r="57" spans="1:8" ht="21" thickBot="1" x14ac:dyDescent="0.4">
      <c r="A57" s="14" t="s">
        <v>3</v>
      </c>
      <c r="B57" s="81">
        <v>13</v>
      </c>
      <c r="C57" s="81">
        <v>3</v>
      </c>
      <c r="D57" s="81">
        <v>1875000</v>
      </c>
      <c r="E57" s="81">
        <v>250000</v>
      </c>
      <c r="F57" s="81">
        <v>175000</v>
      </c>
      <c r="G57" s="79">
        <f t="shared" si="20"/>
        <v>1262500</v>
      </c>
    </row>
    <row r="58" spans="1:8" x14ac:dyDescent="0.35">
      <c r="A58" s="23" t="s">
        <v>0</v>
      </c>
      <c r="B58" s="94">
        <f>SUM(B55:B57)</f>
        <v>55</v>
      </c>
      <c r="C58" s="94">
        <f t="shared" ref="C58:F58" si="21">SUM(C55:C57)</f>
        <v>12</v>
      </c>
      <c r="D58" s="94">
        <f t="shared" si="21"/>
        <v>8700000</v>
      </c>
      <c r="E58" s="94">
        <f t="shared" si="21"/>
        <v>977500</v>
      </c>
      <c r="F58" s="94">
        <f t="shared" si="21"/>
        <v>872500</v>
      </c>
      <c r="G58" s="94">
        <f>SUM(G55:G57)</f>
        <v>6010000</v>
      </c>
    </row>
    <row r="59" spans="1:8" ht="36" thickBot="1" x14ac:dyDescent="0.4">
      <c r="A59" s="30" t="s">
        <v>23</v>
      </c>
      <c r="B59" s="81">
        <v>8</v>
      </c>
      <c r="C59" s="81">
        <v>1</v>
      </c>
      <c r="D59" s="81">
        <v>1090000</v>
      </c>
      <c r="E59" s="81">
        <v>62500</v>
      </c>
      <c r="F59" s="81">
        <v>62500</v>
      </c>
      <c r="G59" s="79">
        <f>D59-E59</f>
        <v>1027500</v>
      </c>
    </row>
    <row r="60" spans="1:8" x14ac:dyDescent="0.35">
      <c r="A60" s="15" t="s">
        <v>0</v>
      </c>
      <c r="B60" s="84">
        <f>B58+B59</f>
        <v>63</v>
      </c>
      <c r="C60" s="84">
        <f t="shared" ref="C60:F60" si="22">C58+C59</f>
        <v>13</v>
      </c>
      <c r="D60" s="84">
        <f t="shared" si="22"/>
        <v>9790000</v>
      </c>
      <c r="E60" s="84">
        <f t="shared" si="22"/>
        <v>1040000</v>
      </c>
      <c r="F60" s="84">
        <f t="shared" si="22"/>
        <v>935000</v>
      </c>
      <c r="G60" s="96">
        <f>G58+G59</f>
        <v>7037500</v>
      </c>
    </row>
    <row r="61" spans="1:8" x14ac:dyDescent="0.35">
      <c r="A61" s="124" t="s">
        <v>26</v>
      </c>
      <c r="B61" s="124"/>
      <c r="C61" s="124"/>
      <c r="D61" s="124"/>
      <c r="E61" s="124"/>
      <c r="F61" s="124"/>
      <c r="G61" s="124"/>
    </row>
    <row r="62" spans="1:8" x14ac:dyDescent="0.35">
      <c r="A62" s="32" t="s">
        <v>1</v>
      </c>
      <c r="B62" s="78">
        <v>9</v>
      </c>
      <c r="C62" s="78">
        <v>6</v>
      </c>
      <c r="D62" s="78">
        <v>1685000</v>
      </c>
      <c r="E62" s="78">
        <v>564000</v>
      </c>
      <c r="F62" s="78">
        <v>491000</v>
      </c>
      <c r="G62" s="79">
        <f>+(D62-E62-F62)*0.75+F62</f>
        <v>963500</v>
      </c>
    </row>
    <row r="63" spans="1:8" x14ac:dyDescent="0.35">
      <c r="A63" s="33" t="s">
        <v>2</v>
      </c>
      <c r="B63" s="81">
        <v>6</v>
      </c>
      <c r="C63" s="81">
        <v>1</v>
      </c>
      <c r="D63" s="81">
        <v>1255000</v>
      </c>
      <c r="E63" s="81">
        <v>97500</v>
      </c>
      <c r="F63" s="81">
        <v>97500</v>
      </c>
      <c r="G63" s="79">
        <f t="shared" ref="G63:G64" si="23">+(D63-E63-F63)*0.75+F63</f>
        <v>892500</v>
      </c>
    </row>
    <row r="64" spans="1:8" ht="21" thickBot="1" x14ac:dyDescent="0.4">
      <c r="A64" s="33" t="s">
        <v>3</v>
      </c>
      <c r="B64" s="81">
        <v>13</v>
      </c>
      <c r="C64" s="81">
        <v>2</v>
      </c>
      <c r="D64" s="81">
        <v>2330000</v>
      </c>
      <c r="E64" s="81">
        <v>175000</v>
      </c>
      <c r="F64" s="81">
        <v>175000</v>
      </c>
      <c r="G64" s="79">
        <f t="shared" si="23"/>
        <v>1660000</v>
      </c>
    </row>
    <row r="65" spans="1:7" x14ac:dyDescent="0.35">
      <c r="A65" s="23" t="s">
        <v>0</v>
      </c>
      <c r="B65" s="94">
        <f>SUM(B62:B64)</f>
        <v>28</v>
      </c>
      <c r="C65" s="94">
        <f t="shared" ref="C65:F65" si="24">SUM(C62:C64)</f>
        <v>9</v>
      </c>
      <c r="D65" s="94">
        <f t="shared" si="24"/>
        <v>5270000</v>
      </c>
      <c r="E65" s="94">
        <f t="shared" si="24"/>
        <v>836500</v>
      </c>
      <c r="F65" s="94">
        <f t="shared" si="24"/>
        <v>763500</v>
      </c>
      <c r="G65" s="94">
        <f>SUM(G62:G64)</f>
        <v>3516000</v>
      </c>
    </row>
    <row r="66" spans="1:7" ht="36" thickBot="1" x14ac:dyDescent="0.4">
      <c r="A66" s="30" t="s">
        <v>23</v>
      </c>
      <c r="B66" s="81">
        <v>13</v>
      </c>
      <c r="C66" s="81">
        <v>3</v>
      </c>
      <c r="D66" s="81">
        <v>2590000</v>
      </c>
      <c r="E66" s="81">
        <v>378500</v>
      </c>
      <c r="F66" s="81">
        <v>326500</v>
      </c>
      <c r="G66" s="79">
        <f>D66-E66</f>
        <v>2211500</v>
      </c>
    </row>
    <row r="67" spans="1:7" x14ac:dyDescent="0.35">
      <c r="A67" s="36" t="s">
        <v>0</v>
      </c>
      <c r="B67" s="84">
        <f>B65+B66</f>
        <v>41</v>
      </c>
      <c r="C67" s="84">
        <f t="shared" ref="C67:F67" si="25">C65+C66</f>
        <v>12</v>
      </c>
      <c r="D67" s="84">
        <f t="shared" si="25"/>
        <v>7860000</v>
      </c>
      <c r="E67" s="84">
        <f t="shared" si="25"/>
        <v>1215000</v>
      </c>
      <c r="F67" s="84">
        <f t="shared" si="25"/>
        <v>1090000</v>
      </c>
      <c r="G67" s="96">
        <f>G65+G66</f>
        <v>5727500</v>
      </c>
    </row>
    <row r="68" spans="1:7" x14ac:dyDescent="0.35">
      <c r="A68" s="124" t="s">
        <v>27</v>
      </c>
      <c r="B68" s="124"/>
      <c r="C68" s="124"/>
      <c r="D68" s="124"/>
      <c r="E68" s="124"/>
      <c r="F68" s="124"/>
      <c r="G68" s="124"/>
    </row>
    <row r="69" spans="1:7" x14ac:dyDescent="0.35">
      <c r="A69" s="7" t="s">
        <v>1</v>
      </c>
      <c r="B69" s="78">
        <v>2</v>
      </c>
      <c r="C69" s="78">
        <v>1</v>
      </c>
      <c r="D69" s="81">
        <v>272000</v>
      </c>
      <c r="E69" s="78">
        <v>48000</v>
      </c>
      <c r="F69" s="78">
        <v>112000</v>
      </c>
      <c r="G69" s="79">
        <f>+(D69-E69-F69)*0.75+F69</f>
        <v>196000</v>
      </c>
    </row>
    <row r="70" spans="1:7" x14ac:dyDescent="0.35">
      <c r="A70" s="14" t="s">
        <v>2</v>
      </c>
      <c r="B70" s="81">
        <v>3</v>
      </c>
      <c r="C70" s="81">
        <v>0</v>
      </c>
      <c r="D70" s="81">
        <v>480000</v>
      </c>
      <c r="E70" s="81">
        <v>0</v>
      </c>
      <c r="F70" s="81">
        <v>0</v>
      </c>
      <c r="G70" s="79">
        <f t="shared" ref="G70:G71" si="26">+(D70-E70-F70)*0.75+F70</f>
        <v>360000</v>
      </c>
    </row>
    <row r="71" spans="1:7" ht="21" thickBot="1" x14ac:dyDescent="0.4">
      <c r="A71" s="14" t="s">
        <v>3</v>
      </c>
      <c r="B71" s="81">
        <v>12</v>
      </c>
      <c r="C71" s="81">
        <v>2</v>
      </c>
      <c r="D71" s="81">
        <v>1668000</v>
      </c>
      <c r="E71" s="81">
        <v>192000</v>
      </c>
      <c r="F71" s="81">
        <v>128000</v>
      </c>
      <c r="G71" s="79">
        <f t="shared" si="26"/>
        <v>1139000</v>
      </c>
    </row>
    <row r="72" spans="1:7" x14ac:dyDescent="0.35">
      <c r="A72" s="23" t="s">
        <v>0</v>
      </c>
      <c r="B72" s="94">
        <f>SUM(B69:B71)</f>
        <v>17</v>
      </c>
      <c r="C72" s="94">
        <f t="shared" ref="C72:F72" si="27">SUM(C69:C71)</f>
        <v>3</v>
      </c>
      <c r="D72" s="94">
        <f t="shared" si="27"/>
        <v>2420000</v>
      </c>
      <c r="E72" s="94">
        <f t="shared" si="27"/>
        <v>240000</v>
      </c>
      <c r="F72" s="94">
        <f t="shared" si="27"/>
        <v>240000</v>
      </c>
      <c r="G72" s="94">
        <f>SUM(G69:G71)</f>
        <v>1695000</v>
      </c>
    </row>
    <row r="73" spans="1:7" ht="36" thickBot="1" x14ac:dyDescent="0.4">
      <c r="A73" s="30" t="s">
        <v>23</v>
      </c>
      <c r="B73" s="81">
        <v>5</v>
      </c>
      <c r="C73" s="81">
        <v>0</v>
      </c>
      <c r="D73" s="81">
        <v>780000</v>
      </c>
      <c r="E73" s="81">
        <v>0</v>
      </c>
      <c r="F73" s="81">
        <v>0</v>
      </c>
      <c r="G73" s="79">
        <f>D73-E73</f>
        <v>780000</v>
      </c>
    </row>
    <row r="74" spans="1:7" x14ac:dyDescent="0.35">
      <c r="A74" s="15" t="s">
        <v>0</v>
      </c>
      <c r="B74" s="84">
        <f>B72+B73</f>
        <v>22</v>
      </c>
      <c r="C74" s="84">
        <f t="shared" ref="C74:F74" si="28">C72+C73</f>
        <v>3</v>
      </c>
      <c r="D74" s="84">
        <f t="shared" si="28"/>
        <v>3200000</v>
      </c>
      <c r="E74" s="84">
        <f t="shared" si="28"/>
        <v>240000</v>
      </c>
      <c r="F74" s="84">
        <f t="shared" si="28"/>
        <v>240000</v>
      </c>
      <c r="G74" s="96">
        <f>G72+G73</f>
        <v>2475000</v>
      </c>
    </row>
    <row r="75" spans="1:7" x14ac:dyDescent="0.35">
      <c r="A75" s="124" t="s">
        <v>28</v>
      </c>
      <c r="B75" s="124"/>
      <c r="C75" s="124"/>
      <c r="D75" s="124"/>
      <c r="E75" s="124"/>
      <c r="F75" s="124"/>
      <c r="G75" s="124"/>
    </row>
    <row r="76" spans="1:7" x14ac:dyDescent="0.35">
      <c r="A76" s="32" t="s">
        <v>1</v>
      </c>
      <c r="B76" s="78">
        <v>69</v>
      </c>
      <c r="C76" s="78">
        <v>18</v>
      </c>
      <c r="D76" s="78">
        <v>13725000</v>
      </c>
      <c r="E76" s="78">
        <v>2107500</v>
      </c>
      <c r="F76" s="78">
        <v>0</v>
      </c>
      <c r="G76" s="79">
        <f>+(D76-E76-F76)*0.75+F76</f>
        <v>8713125</v>
      </c>
    </row>
    <row r="77" spans="1:7" x14ac:dyDescent="0.35">
      <c r="A77" s="33" t="s">
        <v>2</v>
      </c>
      <c r="B77" s="81">
        <v>25</v>
      </c>
      <c r="C77" s="81">
        <v>2</v>
      </c>
      <c r="D77" s="81">
        <v>5225000</v>
      </c>
      <c r="E77" s="81">
        <v>280000</v>
      </c>
      <c r="F77" s="81">
        <v>0</v>
      </c>
      <c r="G77" s="79">
        <f t="shared" ref="G77:G78" si="29">+(D77-E77-F77)*0.75+F77</f>
        <v>3708750</v>
      </c>
    </row>
    <row r="78" spans="1:7" ht="21" thickBot="1" x14ac:dyDescent="0.4">
      <c r="A78" s="33" t="s">
        <v>3</v>
      </c>
      <c r="B78" s="81">
        <v>67</v>
      </c>
      <c r="C78" s="81">
        <v>21</v>
      </c>
      <c r="D78" s="81">
        <v>12750000</v>
      </c>
      <c r="E78" s="81">
        <v>2090000</v>
      </c>
      <c r="F78" s="81">
        <v>0</v>
      </c>
      <c r="G78" s="79">
        <f t="shared" si="29"/>
        <v>7995000</v>
      </c>
    </row>
    <row r="79" spans="1:7" x14ac:dyDescent="0.35">
      <c r="A79" s="23" t="s">
        <v>0</v>
      </c>
      <c r="B79" s="94">
        <f>SUM(B76:B78)</f>
        <v>161</v>
      </c>
      <c r="C79" s="94">
        <f t="shared" ref="C79:F79" si="30">SUM(C76:C78)</f>
        <v>41</v>
      </c>
      <c r="D79" s="94">
        <f t="shared" si="30"/>
        <v>31700000</v>
      </c>
      <c r="E79" s="94">
        <f t="shared" si="30"/>
        <v>4477500</v>
      </c>
      <c r="F79" s="94">
        <f t="shared" si="30"/>
        <v>0</v>
      </c>
      <c r="G79" s="94">
        <f>SUM(G76:G78)</f>
        <v>20416875</v>
      </c>
    </row>
    <row r="80" spans="1:7" ht="36" thickBot="1" x14ac:dyDescent="0.4">
      <c r="A80" s="30" t="s">
        <v>23</v>
      </c>
      <c r="B80" s="81">
        <v>96</v>
      </c>
      <c r="C80" s="81">
        <v>17</v>
      </c>
      <c r="D80" s="81">
        <v>18650000</v>
      </c>
      <c r="E80" s="81">
        <v>1747500</v>
      </c>
      <c r="F80" s="81">
        <v>0</v>
      </c>
      <c r="G80" s="79">
        <f>D80-E80</f>
        <v>16902500</v>
      </c>
    </row>
    <row r="81" spans="1:7" x14ac:dyDescent="0.35">
      <c r="A81" s="36" t="s">
        <v>0</v>
      </c>
      <c r="B81" s="84">
        <f>B79+B80</f>
        <v>257</v>
      </c>
      <c r="C81" s="84">
        <f t="shared" ref="C81:F81" si="31">C79+C80</f>
        <v>58</v>
      </c>
      <c r="D81" s="84">
        <f t="shared" si="31"/>
        <v>50350000</v>
      </c>
      <c r="E81" s="84">
        <f t="shared" si="31"/>
        <v>6225000</v>
      </c>
      <c r="F81" s="84">
        <f t="shared" si="31"/>
        <v>0</v>
      </c>
      <c r="G81" s="96">
        <f>G79+G80</f>
        <v>37319375</v>
      </c>
    </row>
    <row r="82" spans="1:7" x14ac:dyDescent="0.35">
      <c r="A82" s="124" t="s">
        <v>29</v>
      </c>
      <c r="B82" s="124"/>
      <c r="C82" s="124"/>
      <c r="D82" s="124"/>
      <c r="E82" s="124"/>
      <c r="F82" s="124"/>
      <c r="G82" s="124"/>
    </row>
    <row r="83" spans="1:7" x14ac:dyDescent="0.35">
      <c r="A83" s="7" t="s">
        <v>1</v>
      </c>
      <c r="B83" s="78">
        <v>1</v>
      </c>
      <c r="C83" s="78"/>
      <c r="D83" s="78">
        <v>120000</v>
      </c>
      <c r="E83" s="78"/>
      <c r="F83" s="78"/>
      <c r="G83" s="79">
        <f>+(D83-E83-F83)*0.75+F83</f>
        <v>90000</v>
      </c>
    </row>
    <row r="84" spans="1:7" x14ac:dyDescent="0.35">
      <c r="A84" s="14" t="s">
        <v>2</v>
      </c>
      <c r="B84" s="81">
        <v>6</v>
      </c>
      <c r="C84" s="81">
        <v>3</v>
      </c>
      <c r="D84" s="81">
        <v>1045000</v>
      </c>
      <c r="E84" s="81">
        <v>271000</v>
      </c>
      <c r="F84" s="81">
        <v>198000</v>
      </c>
      <c r="G84" s="79">
        <f t="shared" ref="G84:G85" si="32">+(D84-E84-F84)*0.75+F84</f>
        <v>630000</v>
      </c>
    </row>
    <row r="85" spans="1:7" ht="21" thickBot="1" x14ac:dyDescent="0.4">
      <c r="A85" s="14" t="s">
        <v>3</v>
      </c>
      <c r="B85" s="81">
        <v>2</v>
      </c>
      <c r="C85" s="81"/>
      <c r="D85" s="81">
        <v>345000</v>
      </c>
      <c r="E85" s="81"/>
      <c r="F85" s="81"/>
      <c r="G85" s="79">
        <f t="shared" si="32"/>
        <v>258750</v>
      </c>
    </row>
    <row r="86" spans="1:7" x14ac:dyDescent="0.35">
      <c r="A86" s="23" t="s">
        <v>0</v>
      </c>
      <c r="B86" s="94">
        <f>SUM(B83:B85)</f>
        <v>9</v>
      </c>
      <c r="C86" s="94">
        <f t="shared" ref="C86:F86" si="33">SUM(C83:C85)</f>
        <v>3</v>
      </c>
      <c r="D86" s="94">
        <f t="shared" si="33"/>
        <v>1510000</v>
      </c>
      <c r="E86" s="94">
        <f t="shared" si="33"/>
        <v>271000</v>
      </c>
      <c r="F86" s="94">
        <f t="shared" si="33"/>
        <v>198000</v>
      </c>
      <c r="G86" s="94">
        <f>SUM(G83:G85)</f>
        <v>978750</v>
      </c>
    </row>
    <row r="87" spans="1:7" ht="36" thickBot="1" x14ac:dyDescent="0.4">
      <c r="A87" s="30" t="s">
        <v>23</v>
      </c>
      <c r="B87" s="81">
        <v>2</v>
      </c>
      <c r="C87" s="81"/>
      <c r="D87" s="81">
        <v>295000</v>
      </c>
      <c r="E87" s="81"/>
      <c r="F87" s="81"/>
      <c r="G87" s="79">
        <f>D87-E87</f>
        <v>295000</v>
      </c>
    </row>
    <row r="88" spans="1:7" x14ac:dyDescent="0.35">
      <c r="A88" s="15" t="s">
        <v>0</v>
      </c>
      <c r="B88" s="84">
        <f>B86+B87</f>
        <v>11</v>
      </c>
      <c r="C88" s="84">
        <f t="shared" ref="C88:F88" si="34">C86+C87</f>
        <v>3</v>
      </c>
      <c r="D88" s="84">
        <f t="shared" si="34"/>
        <v>1805000</v>
      </c>
      <c r="E88" s="84">
        <f t="shared" si="34"/>
        <v>271000</v>
      </c>
      <c r="F88" s="84">
        <f t="shared" si="34"/>
        <v>198000</v>
      </c>
      <c r="G88" s="96">
        <f>G86+G87</f>
        <v>1273750</v>
      </c>
    </row>
    <row r="89" spans="1:7" x14ac:dyDescent="0.35">
      <c r="A89" s="124" t="s">
        <v>30</v>
      </c>
      <c r="B89" s="124"/>
      <c r="C89" s="124"/>
      <c r="D89" s="124"/>
      <c r="E89" s="124"/>
      <c r="F89" s="124"/>
      <c r="G89" s="124"/>
    </row>
    <row r="90" spans="1:7" x14ac:dyDescent="0.35">
      <c r="A90" s="7" t="s">
        <v>1</v>
      </c>
      <c r="B90" s="78">
        <v>2</v>
      </c>
      <c r="C90" s="78">
        <v>1</v>
      </c>
      <c r="D90" s="78">
        <v>500000</v>
      </c>
      <c r="E90" s="78">
        <v>100000</v>
      </c>
      <c r="F90" s="78">
        <v>150000</v>
      </c>
      <c r="G90" s="79">
        <f>+(D90-E90-F90)*0.75+F90</f>
        <v>337500</v>
      </c>
    </row>
    <row r="91" spans="1:7" x14ac:dyDescent="0.35">
      <c r="A91" s="14" t="s">
        <v>2</v>
      </c>
      <c r="B91" s="81">
        <v>6</v>
      </c>
      <c r="C91" s="81">
        <v>1</v>
      </c>
      <c r="D91" s="81">
        <v>1500000</v>
      </c>
      <c r="E91" s="81">
        <v>100000</v>
      </c>
      <c r="F91" s="81">
        <v>150000</v>
      </c>
      <c r="G91" s="79">
        <f t="shared" ref="G91:G92" si="35">+(D91-E91-F91)*0.75+F91</f>
        <v>1087500</v>
      </c>
    </row>
    <row r="92" spans="1:7" ht="21" thickBot="1" x14ac:dyDescent="0.4">
      <c r="A92" s="14" t="s">
        <v>3</v>
      </c>
      <c r="B92" s="81">
        <v>0</v>
      </c>
      <c r="C92" s="81">
        <v>0</v>
      </c>
      <c r="D92" s="81">
        <v>0</v>
      </c>
      <c r="E92" s="81" t="s">
        <v>31</v>
      </c>
      <c r="F92" s="81" t="s">
        <v>31</v>
      </c>
      <c r="G92" s="79">
        <f t="shared" si="35"/>
        <v>0</v>
      </c>
    </row>
    <row r="93" spans="1:7" x14ac:dyDescent="0.35">
      <c r="A93" s="23" t="s">
        <v>0</v>
      </c>
      <c r="B93" s="94">
        <f>SUM(B90:B92)</f>
        <v>8</v>
      </c>
      <c r="C93" s="94">
        <f t="shared" ref="C93:F93" si="36">SUM(C90:C92)</f>
        <v>2</v>
      </c>
      <c r="D93" s="94">
        <f t="shared" si="36"/>
        <v>2000000</v>
      </c>
      <c r="E93" s="94">
        <f t="shared" si="36"/>
        <v>200000</v>
      </c>
      <c r="F93" s="94">
        <f t="shared" si="36"/>
        <v>300000</v>
      </c>
      <c r="G93" s="94">
        <f>SUM(G90:G92)</f>
        <v>1425000</v>
      </c>
    </row>
    <row r="94" spans="1:7" ht="36" thickBot="1" x14ac:dyDescent="0.4">
      <c r="A94" s="30" t="s">
        <v>23</v>
      </c>
      <c r="B94" s="81">
        <v>11</v>
      </c>
      <c r="C94" s="81">
        <v>5</v>
      </c>
      <c r="D94" s="81">
        <v>2750000</v>
      </c>
      <c r="E94" s="81">
        <v>1075000</v>
      </c>
      <c r="F94" s="81">
        <v>175000</v>
      </c>
      <c r="G94" s="79">
        <f>D94-E94</f>
        <v>1675000</v>
      </c>
    </row>
    <row r="95" spans="1:7" x14ac:dyDescent="0.35">
      <c r="A95" s="15" t="s">
        <v>0</v>
      </c>
      <c r="B95" s="84">
        <f>B93+B94</f>
        <v>19</v>
      </c>
      <c r="C95" s="84">
        <f t="shared" ref="C95:F95" si="37">C93+C94</f>
        <v>7</v>
      </c>
      <c r="D95" s="84">
        <f t="shared" si="37"/>
        <v>4750000</v>
      </c>
      <c r="E95" s="84">
        <f t="shared" si="37"/>
        <v>1275000</v>
      </c>
      <c r="F95" s="84">
        <f t="shared" si="37"/>
        <v>475000</v>
      </c>
      <c r="G95" s="96">
        <f>G93+G94</f>
        <v>3100000</v>
      </c>
    </row>
    <row r="96" spans="1:7" x14ac:dyDescent="0.35">
      <c r="A96" s="124" t="s">
        <v>32</v>
      </c>
      <c r="B96" s="124"/>
      <c r="C96" s="124"/>
      <c r="D96" s="124"/>
      <c r="E96" s="124"/>
      <c r="F96" s="124"/>
      <c r="G96" s="124"/>
    </row>
    <row r="97" spans="1:7" x14ac:dyDescent="0.35">
      <c r="A97" s="7" t="s">
        <v>1</v>
      </c>
      <c r="B97" s="78">
        <f>16+3+19+4</f>
        <v>42</v>
      </c>
      <c r="C97" s="78">
        <f>2+5</f>
        <v>7</v>
      </c>
      <c r="D97" s="78">
        <v>10275000</v>
      </c>
      <c r="E97" s="78">
        <v>738500</v>
      </c>
      <c r="F97" s="78">
        <f>+E97</f>
        <v>738500</v>
      </c>
      <c r="G97" s="79">
        <f>+(D97-E97-F97)*0.75+F97</f>
        <v>7337000</v>
      </c>
    </row>
    <row r="98" spans="1:7" x14ac:dyDescent="0.35">
      <c r="A98" s="14" t="s">
        <v>2</v>
      </c>
      <c r="B98" s="81">
        <f>18+8+2+1</f>
        <v>29</v>
      </c>
      <c r="C98" s="81">
        <v>2</v>
      </c>
      <c r="D98" s="81">
        <v>8320000</v>
      </c>
      <c r="E98" s="81">
        <v>378000</v>
      </c>
      <c r="F98" s="81">
        <f>+E98</f>
        <v>378000</v>
      </c>
      <c r="G98" s="79">
        <f t="shared" ref="G98:G99" si="38">+(D98-E98-F98)*0.75+F98</f>
        <v>6051000</v>
      </c>
    </row>
    <row r="99" spans="1:7" ht="21" thickBot="1" x14ac:dyDescent="0.4">
      <c r="A99" s="14" t="s">
        <v>3</v>
      </c>
      <c r="B99" s="81">
        <f>22+6+5+3</f>
        <v>36</v>
      </c>
      <c r="C99" s="81">
        <v>0</v>
      </c>
      <c r="D99" s="81">
        <v>10330000</v>
      </c>
      <c r="E99" s="81">
        <v>0</v>
      </c>
      <c r="F99" s="81">
        <v>0</v>
      </c>
      <c r="G99" s="79">
        <f t="shared" si="38"/>
        <v>7747500</v>
      </c>
    </row>
    <row r="100" spans="1:7" x14ac:dyDescent="0.35">
      <c r="A100" s="23" t="s">
        <v>0</v>
      </c>
      <c r="B100" s="94">
        <f>SUM(B97:B99)</f>
        <v>107</v>
      </c>
      <c r="C100" s="94">
        <f t="shared" ref="C100:F100" si="39">SUM(C97:C99)</f>
        <v>9</v>
      </c>
      <c r="D100" s="94">
        <f t="shared" si="39"/>
        <v>28925000</v>
      </c>
      <c r="E100" s="94">
        <f t="shared" si="39"/>
        <v>1116500</v>
      </c>
      <c r="F100" s="94">
        <f t="shared" si="39"/>
        <v>1116500</v>
      </c>
      <c r="G100" s="94">
        <f>SUM(G97:G99)</f>
        <v>21135500</v>
      </c>
    </row>
    <row r="101" spans="1:7" ht="36" thickBot="1" x14ac:dyDescent="0.4">
      <c r="A101" s="30" t="s">
        <v>23</v>
      </c>
      <c r="B101" s="81">
        <f>29+18+9+4</f>
        <v>60</v>
      </c>
      <c r="C101" s="81">
        <v>0</v>
      </c>
      <c r="D101" s="81">
        <v>15595000</v>
      </c>
      <c r="E101" s="81">
        <v>0</v>
      </c>
      <c r="F101" s="81">
        <v>0</v>
      </c>
      <c r="G101" s="79">
        <f>D101-E101</f>
        <v>15595000</v>
      </c>
    </row>
    <row r="102" spans="1:7" x14ac:dyDescent="0.35">
      <c r="A102" s="15" t="s">
        <v>0</v>
      </c>
      <c r="B102" s="84">
        <f>B100+B101</f>
        <v>167</v>
      </c>
      <c r="C102" s="84">
        <f t="shared" ref="C102:F102" si="40">C100+C101</f>
        <v>9</v>
      </c>
      <c r="D102" s="84">
        <f t="shared" si="40"/>
        <v>44520000</v>
      </c>
      <c r="E102" s="84">
        <f t="shared" si="40"/>
        <v>1116500</v>
      </c>
      <c r="F102" s="84">
        <f t="shared" si="40"/>
        <v>1116500</v>
      </c>
      <c r="G102" s="96">
        <f>G100+G101</f>
        <v>36730500</v>
      </c>
    </row>
    <row r="103" spans="1:7" x14ac:dyDescent="0.35">
      <c r="A103" s="124" t="s">
        <v>33</v>
      </c>
      <c r="B103" s="124"/>
      <c r="C103" s="124"/>
      <c r="D103" s="124"/>
      <c r="E103" s="124"/>
      <c r="F103" s="124"/>
      <c r="G103" s="124"/>
    </row>
    <row r="104" spans="1:7" x14ac:dyDescent="0.35">
      <c r="A104" s="32" t="s">
        <v>1</v>
      </c>
      <c r="B104" s="78">
        <v>16</v>
      </c>
      <c r="C104" s="78"/>
      <c r="D104" s="78">
        <v>4041000</v>
      </c>
      <c r="E104" s="78"/>
      <c r="F104" s="78"/>
      <c r="G104" s="79">
        <f>+(D104-E104-F104)*0.75+F104</f>
        <v>3030750</v>
      </c>
    </row>
    <row r="105" spans="1:7" x14ac:dyDescent="0.35">
      <c r="A105" s="33" t="s">
        <v>2</v>
      </c>
      <c r="B105" s="81"/>
      <c r="C105" s="81"/>
      <c r="D105" s="81"/>
      <c r="E105" s="81"/>
      <c r="F105" s="81"/>
      <c r="G105" s="79">
        <f t="shared" ref="G105:G106" si="41">+(D105-E105-F105)*0.75+F105</f>
        <v>0</v>
      </c>
    </row>
    <row r="106" spans="1:7" ht="21" thickBot="1" x14ac:dyDescent="0.4">
      <c r="A106" s="33" t="s">
        <v>3</v>
      </c>
      <c r="B106" s="81">
        <v>2</v>
      </c>
      <c r="C106" s="81"/>
      <c r="D106" s="81">
        <v>522000</v>
      </c>
      <c r="E106" s="81"/>
      <c r="F106" s="81"/>
      <c r="G106" s="79">
        <f t="shared" si="41"/>
        <v>391500</v>
      </c>
    </row>
    <row r="107" spans="1:7" x14ac:dyDescent="0.35">
      <c r="A107" s="23" t="s">
        <v>0</v>
      </c>
      <c r="B107" s="94">
        <f>SUM(B104:B106)</f>
        <v>18</v>
      </c>
      <c r="C107" s="94">
        <f t="shared" ref="C107:F107" si="42">SUM(C104:C106)</f>
        <v>0</v>
      </c>
      <c r="D107" s="94">
        <f t="shared" si="42"/>
        <v>4563000</v>
      </c>
      <c r="E107" s="94">
        <f t="shared" si="42"/>
        <v>0</v>
      </c>
      <c r="F107" s="94">
        <f t="shared" si="42"/>
        <v>0</v>
      </c>
      <c r="G107" s="94">
        <f>SUM(G104:G106)</f>
        <v>3422250</v>
      </c>
    </row>
    <row r="108" spans="1:7" ht="36" thickBot="1" x14ac:dyDescent="0.4">
      <c r="A108" s="30" t="s">
        <v>23</v>
      </c>
      <c r="B108" s="81">
        <v>14</v>
      </c>
      <c r="C108" s="81">
        <v>1</v>
      </c>
      <c r="D108" s="81">
        <v>3447000</v>
      </c>
      <c r="E108" s="81">
        <v>151000</v>
      </c>
      <c r="F108" s="81">
        <v>151200</v>
      </c>
      <c r="G108" s="79">
        <f>D108-E108</f>
        <v>3296000</v>
      </c>
    </row>
    <row r="109" spans="1:7" x14ac:dyDescent="0.35">
      <c r="A109" s="36" t="s">
        <v>0</v>
      </c>
      <c r="B109" s="84">
        <f>B107+B108</f>
        <v>32</v>
      </c>
      <c r="C109" s="84">
        <f t="shared" ref="C109:F109" si="43">C107+C108</f>
        <v>1</v>
      </c>
      <c r="D109" s="84">
        <f t="shared" si="43"/>
        <v>8010000</v>
      </c>
      <c r="E109" s="84">
        <f t="shared" si="43"/>
        <v>151000</v>
      </c>
      <c r="F109" s="84">
        <f t="shared" si="43"/>
        <v>151200</v>
      </c>
      <c r="G109" s="96">
        <f>G107+G108</f>
        <v>6718250</v>
      </c>
    </row>
    <row r="110" spans="1:7" x14ac:dyDescent="0.35">
      <c r="A110" s="124" t="s">
        <v>34</v>
      </c>
      <c r="B110" s="124"/>
      <c r="C110" s="124"/>
      <c r="D110" s="124"/>
      <c r="E110" s="124"/>
      <c r="F110" s="124"/>
      <c r="G110" s="124"/>
    </row>
    <row r="111" spans="1:7" x14ac:dyDescent="0.35">
      <c r="A111" s="38" t="s">
        <v>1</v>
      </c>
      <c r="B111" s="81">
        <v>3</v>
      </c>
      <c r="C111" s="81">
        <v>0</v>
      </c>
      <c r="D111" s="81">
        <v>900000</v>
      </c>
      <c r="E111" s="81"/>
      <c r="F111" s="81"/>
      <c r="G111" s="79">
        <f>+(D111-E111-F111)*0.75+F111</f>
        <v>675000</v>
      </c>
    </row>
    <row r="112" spans="1:7" x14ac:dyDescent="0.35">
      <c r="A112" s="38" t="s">
        <v>2</v>
      </c>
      <c r="B112" s="81">
        <v>0</v>
      </c>
      <c r="C112" s="81">
        <v>0</v>
      </c>
      <c r="D112" s="81">
        <v>0</v>
      </c>
      <c r="E112" s="81"/>
      <c r="F112" s="81"/>
      <c r="G112" s="79">
        <f t="shared" ref="G112:G113" si="44">+(D112-E112-F112)*0.75+F112</f>
        <v>0</v>
      </c>
    </row>
    <row r="113" spans="1:7" x14ac:dyDescent="0.35">
      <c r="A113" s="38" t="s">
        <v>3</v>
      </c>
      <c r="B113" s="81">
        <v>1</v>
      </c>
      <c r="C113" s="81">
        <v>0</v>
      </c>
      <c r="D113" s="81">
        <v>300000</v>
      </c>
      <c r="E113" s="81"/>
      <c r="F113" s="81"/>
      <c r="G113" s="79">
        <f t="shared" si="44"/>
        <v>225000</v>
      </c>
    </row>
    <row r="114" spans="1:7" x14ac:dyDescent="0.35">
      <c r="A114" s="39" t="s">
        <v>0</v>
      </c>
      <c r="B114" s="94">
        <f>SUM(B111:B113)</f>
        <v>4</v>
      </c>
      <c r="C114" s="94">
        <f t="shared" ref="C114" si="45">SUM(C111:C113)</f>
        <v>0</v>
      </c>
      <c r="D114" s="94">
        <f t="shared" ref="D114" si="46">SUM(D111:D113)</f>
        <v>1200000</v>
      </c>
      <c r="E114" s="94">
        <f t="shared" ref="E114" si="47">SUM(E111:E113)</f>
        <v>0</v>
      </c>
      <c r="F114" s="94">
        <f t="shared" ref="F114" si="48">SUM(F111:F113)</f>
        <v>0</v>
      </c>
      <c r="G114" s="94">
        <f>SUM(G111:G113)</f>
        <v>900000</v>
      </c>
    </row>
    <row r="115" spans="1:7" ht="36" thickBot="1" x14ac:dyDescent="0.4">
      <c r="A115" s="40" t="s">
        <v>23</v>
      </c>
      <c r="B115" s="81">
        <v>1</v>
      </c>
      <c r="C115" s="81">
        <v>0</v>
      </c>
      <c r="D115" s="81">
        <v>300000</v>
      </c>
      <c r="E115" s="81"/>
      <c r="F115" s="81"/>
      <c r="G115" s="79">
        <f>D115-E115</f>
        <v>300000</v>
      </c>
    </row>
    <row r="116" spans="1:7" x14ac:dyDescent="0.35">
      <c r="A116" s="41" t="s">
        <v>0</v>
      </c>
      <c r="B116" s="98">
        <f>B114+B115</f>
        <v>5</v>
      </c>
      <c r="C116" s="98">
        <f t="shared" ref="C116" si="49">C114+C115</f>
        <v>0</v>
      </c>
      <c r="D116" s="98">
        <f t="shared" ref="D116" si="50">D114+D115</f>
        <v>1500000</v>
      </c>
      <c r="E116" s="98">
        <f t="shared" ref="E116" si="51">E114+E115</f>
        <v>0</v>
      </c>
      <c r="F116" s="98">
        <f t="shared" ref="F116" si="52">F114+F115</f>
        <v>0</v>
      </c>
      <c r="G116" s="96">
        <f>G114+G115</f>
        <v>1200000</v>
      </c>
    </row>
    <row r="117" spans="1:7" x14ac:dyDescent="0.35">
      <c r="A117" s="124" t="s">
        <v>35</v>
      </c>
      <c r="B117" s="124"/>
      <c r="C117" s="124"/>
      <c r="D117" s="124"/>
      <c r="E117" s="124"/>
      <c r="F117" s="124"/>
      <c r="G117" s="124"/>
    </row>
    <row r="118" spans="1:7" x14ac:dyDescent="0.35">
      <c r="A118" s="38" t="s">
        <v>1</v>
      </c>
      <c r="B118" s="81">
        <v>37</v>
      </c>
      <c r="C118" s="81">
        <v>6</v>
      </c>
      <c r="D118" s="81">
        <v>8395000</v>
      </c>
      <c r="E118" s="81">
        <v>673000</v>
      </c>
      <c r="F118" s="81">
        <v>602000</v>
      </c>
      <c r="G118" s="79">
        <f>+(D118-E118-F118)*0.75+F118</f>
        <v>5942000</v>
      </c>
    </row>
    <row r="119" spans="1:7" x14ac:dyDescent="0.35">
      <c r="A119" s="38" t="s">
        <v>2</v>
      </c>
      <c r="B119" s="81">
        <v>26</v>
      </c>
      <c r="C119" s="81">
        <v>2</v>
      </c>
      <c r="D119" s="81">
        <v>4402500</v>
      </c>
      <c r="E119" s="81">
        <v>162500</v>
      </c>
      <c r="F119" s="81">
        <v>162500</v>
      </c>
      <c r="G119" s="79">
        <f t="shared" ref="G119:G120" si="53">+(D119-E119-F119)*0.75+F119</f>
        <v>3220625</v>
      </c>
    </row>
    <row r="120" spans="1:7" x14ac:dyDescent="0.35">
      <c r="A120" s="38" t="s">
        <v>3</v>
      </c>
      <c r="B120" s="81">
        <v>58</v>
      </c>
      <c r="C120" s="81">
        <v>4</v>
      </c>
      <c r="D120" s="81">
        <v>10752500</v>
      </c>
      <c r="E120" s="81">
        <v>359500</v>
      </c>
      <c r="F120" s="81">
        <v>325500</v>
      </c>
      <c r="G120" s="79">
        <f t="shared" si="53"/>
        <v>7876125</v>
      </c>
    </row>
    <row r="121" spans="1:7" x14ac:dyDescent="0.35">
      <c r="A121" s="39" t="s">
        <v>0</v>
      </c>
      <c r="B121" s="94">
        <f>SUM(B118:B120)</f>
        <v>121</v>
      </c>
      <c r="C121" s="94">
        <f t="shared" ref="C121" si="54">SUM(C118:C120)</f>
        <v>12</v>
      </c>
      <c r="D121" s="94">
        <f t="shared" ref="D121" si="55">SUM(D118:D120)</f>
        <v>23550000</v>
      </c>
      <c r="E121" s="94">
        <f t="shared" ref="E121" si="56">SUM(E118:E120)</f>
        <v>1195000</v>
      </c>
      <c r="F121" s="94">
        <f t="shared" ref="F121" si="57">SUM(F118:F120)</f>
        <v>1090000</v>
      </c>
      <c r="G121" s="94">
        <f>SUM(G118:G120)</f>
        <v>17038750</v>
      </c>
    </row>
    <row r="122" spans="1:7" ht="36" thickBot="1" x14ac:dyDescent="0.4">
      <c r="A122" s="40" t="s">
        <v>23</v>
      </c>
      <c r="B122" s="81">
        <v>76</v>
      </c>
      <c r="C122" s="81">
        <v>6</v>
      </c>
      <c r="D122" s="81">
        <v>12927500</v>
      </c>
      <c r="E122" s="81">
        <v>645750</v>
      </c>
      <c r="F122" s="81">
        <v>424250</v>
      </c>
      <c r="G122" s="79">
        <f>D122-E122</f>
        <v>12281750</v>
      </c>
    </row>
    <row r="123" spans="1:7" x14ac:dyDescent="0.35">
      <c r="A123" s="41" t="s">
        <v>0</v>
      </c>
      <c r="B123" s="98">
        <f>B121+B122</f>
        <v>197</v>
      </c>
      <c r="C123" s="98">
        <f t="shared" ref="C123" si="58">C121+C122</f>
        <v>18</v>
      </c>
      <c r="D123" s="98">
        <f t="shared" ref="D123" si="59">D121+D122</f>
        <v>36477500</v>
      </c>
      <c r="E123" s="98">
        <f t="shared" ref="E123" si="60">E121+E122</f>
        <v>1840750</v>
      </c>
      <c r="F123" s="98">
        <f t="shared" ref="F123" si="61">F121+F122</f>
        <v>1514250</v>
      </c>
      <c r="G123" s="96">
        <f>G121+G122</f>
        <v>29320500</v>
      </c>
    </row>
    <row r="124" spans="1:7" x14ac:dyDescent="0.35">
      <c r="A124" s="124" t="s">
        <v>36</v>
      </c>
      <c r="B124" s="124"/>
      <c r="C124" s="124"/>
      <c r="D124" s="124"/>
      <c r="E124" s="124"/>
      <c r="F124" s="124"/>
      <c r="G124" s="124"/>
    </row>
    <row r="125" spans="1:7" x14ac:dyDescent="0.35">
      <c r="A125" s="38" t="s">
        <v>1</v>
      </c>
      <c r="B125" s="81">
        <v>3</v>
      </c>
      <c r="C125" s="81"/>
      <c r="D125" s="81">
        <v>1150000</v>
      </c>
      <c r="E125" s="81"/>
      <c r="F125" s="81"/>
      <c r="G125" s="79">
        <f>+(D125-E125-F125)*0.75+F125</f>
        <v>862500</v>
      </c>
    </row>
    <row r="126" spans="1:7" x14ac:dyDescent="0.35">
      <c r="A126" s="38" t="s">
        <v>2</v>
      </c>
      <c r="B126" s="81">
        <v>5</v>
      </c>
      <c r="C126" s="81"/>
      <c r="D126" s="81">
        <v>1850000</v>
      </c>
      <c r="E126" s="81"/>
      <c r="F126" s="81"/>
      <c r="G126" s="79">
        <f t="shared" ref="G126:G127" si="62">+(D126-E126-F126)*0.75+F126</f>
        <v>1387500</v>
      </c>
    </row>
    <row r="127" spans="1:7" x14ac:dyDescent="0.35">
      <c r="A127" s="38" t="s">
        <v>3</v>
      </c>
      <c r="B127" s="81">
        <v>5</v>
      </c>
      <c r="C127" s="81"/>
      <c r="D127" s="81">
        <v>1650000</v>
      </c>
      <c r="E127" s="81"/>
      <c r="F127" s="81"/>
      <c r="G127" s="79">
        <f t="shared" si="62"/>
        <v>1237500</v>
      </c>
    </row>
    <row r="128" spans="1:7" x14ac:dyDescent="0.35">
      <c r="A128" s="39" t="s">
        <v>0</v>
      </c>
      <c r="B128" s="94">
        <f>SUM(B125:B127)</f>
        <v>13</v>
      </c>
      <c r="C128" s="94">
        <f t="shared" ref="C128" si="63">SUM(C125:C127)</f>
        <v>0</v>
      </c>
      <c r="D128" s="94">
        <f t="shared" ref="D128" si="64">SUM(D125:D127)</f>
        <v>4650000</v>
      </c>
      <c r="E128" s="94">
        <f t="shared" ref="E128" si="65">SUM(E125:E127)</f>
        <v>0</v>
      </c>
      <c r="F128" s="94">
        <f t="shared" ref="F128" si="66">SUM(F125:F127)</f>
        <v>0</v>
      </c>
      <c r="G128" s="94">
        <f>SUM(G125:G127)</f>
        <v>3487500</v>
      </c>
    </row>
    <row r="129" spans="1:8" ht="36" thickBot="1" x14ac:dyDescent="0.4">
      <c r="A129" s="40" t="s">
        <v>23</v>
      </c>
      <c r="B129" s="81">
        <v>31</v>
      </c>
      <c r="C129" s="81"/>
      <c r="D129" s="81">
        <v>11542000</v>
      </c>
      <c r="E129" s="81"/>
      <c r="F129" s="81"/>
      <c r="G129" s="79">
        <f>D129-E129</f>
        <v>11542000</v>
      </c>
    </row>
    <row r="130" spans="1:8" x14ac:dyDescent="0.35">
      <c r="A130" s="41" t="s">
        <v>0</v>
      </c>
      <c r="B130" s="98">
        <f>B128+B129</f>
        <v>44</v>
      </c>
      <c r="C130" s="98">
        <f t="shared" ref="C130" si="67">C128+C129</f>
        <v>0</v>
      </c>
      <c r="D130" s="98">
        <f t="shared" ref="D130" si="68">D128+D129</f>
        <v>16192000</v>
      </c>
      <c r="E130" s="98">
        <f t="shared" ref="E130" si="69">E128+E129</f>
        <v>0</v>
      </c>
      <c r="F130" s="98">
        <f t="shared" ref="F130" si="70">F128+F129</f>
        <v>0</v>
      </c>
      <c r="G130" s="96">
        <f>G128+G129</f>
        <v>15029500</v>
      </c>
    </row>
    <row r="131" spans="1:8" x14ac:dyDescent="0.35">
      <c r="A131" s="123" t="s">
        <v>37</v>
      </c>
      <c r="B131" s="123"/>
      <c r="C131" s="123"/>
      <c r="D131" s="123"/>
      <c r="E131" s="123"/>
      <c r="F131" s="123"/>
      <c r="G131" s="123"/>
    </row>
    <row r="132" spans="1:8" x14ac:dyDescent="0.35">
      <c r="A132" s="38" t="s">
        <v>1</v>
      </c>
      <c r="B132" s="81">
        <f t="shared" ref="B132:G134" si="71">SUM(B125,B118,B111,B104,B97,B90,B83,B76,B69,B62,B55,B48,B41,B34,B27,B20,B13,B6)</f>
        <v>562</v>
      </c>
      <c r="C132" s="81">
        <f t="shared" si="71"/>
        <v>87</v>
      </c>
      <c r="D132" s="81">
        <f t="shared" si="71"/>
        <v>142344000</v>
      </c>
      <c r="E132" s="81">
        <f t="shared" si="71"/>
        <v>11319000</v>
      </c>
      <c r="F132" s="81">
        <f t="shared" si="71"/>
        <v>7490500</v>
      </c>
      <c r="G132" s="81">
        <f>SUM(G125,G118,G111,G104,G97,G90,G83,G76,G69,G62,G55,G48,G41,G34,G27,G20,G13,G6)</f>
        <v>100141375</v>
      </c>
    </row>
    <row r="133" spans="1:8" x14ac:dyDescent="0.35">
      <c r="A133" s="38" t="s">
        <v>2</v>
      </c>
      <c r="B133" s="81">
        <f t="shared" si="71"/>
        <v>201</v>
      </c>
      <c r="C133" s="81">
        <f t="shared" si="71"/>
        <v>22</v>
      </c>
      <c r="D133" s="81">
        <f t="shared" si="71"/>
        <v>49077500</v>
      </c>
      <c r="E133" s="81">
        <f t="shared" si="71"/>
        <v>2987500</v>
      </c>
      <c r="F133" s="81">
        <f t="shared" si="71"/>
        <v>1962500</v>
      </c>
      <c r="G133" s="81">
        <f t="shared" si="71"/>
        <v>35058125</v>
      </c>
    </row>
    <row r="134" spans="1:8" x14ac:dyDescent="0.35">
      <c r="A134" s="38" t="s">
        <v>3</v>
      </c>
      <c r="B134" s="81">
        <f t="shared" si="71"/>
        <v>457</v>
      </c>
      <c r="C134" s="81">
        <f t="shared" si="71"/>
        <v>52</v>
      </c>
      <c r="D134" s="81">
        <f t="shared" si="71"/>
        <v>107475500</v>
      </c>
      <c r="E134" s="81">
        <f t="shared" si="71"/>
        <v>6286000</v>
      </c>
      <c r="F134" s="81">
        <f t="shared" si="71"/>
        <v>2864000</v>
      </c>
      <c r="G134" s="81">
        <f t="shared" si="71"/>
        <v>76608125</v>
      </c>
    </row>
    <row r="135" spans="1:8" x14ac:dyDescent="0.35">
      <c r="A135" s="39" t="s">
        <v>0</v>
      </c>
      <c r="B135" s="94">
        <f>SUM(B132:B134)</f>
        <v>1220</v>
      </c>
      <c r="C135" s="94">
        <f t="shared" ref="C135" si="72">SUM(C132:C134)</f>
        <v>161</v>
      </c>
      <c r="D135" s="94">
        <f t="shared" ref="D135" si="73">SUM(D132:D134)</f>
        <v>298897000</v>
      </c>
      <c r="E135" s="94">
        <f t="shared" ref="E135" si="74">SUM(E132:E134)</f>
        <v>20592500</v>
      </c>
      <c r="F135" s="94">
        <f t="shared" ref="F135" si="75">SUM(F132:F134)</f>
        <v>12317000</v>
      </c>
      <c r="G135" s="94">
        <f>SUM(G132:G134)</f>
        <v>211807625</v>
      </c>
    </row>
    <row r="136" spans="1:8" ht="35.25" x14ac:dyDescent="0.35">
      <c r="A136" s="40" t="s">
        <v>23</v>
      </c>
      <c r="B136" s="81">
        <f>SUM(B129,B122,B115,B108,B101,B94,B87,B80,B73,B66,B59,B52,B45,B38,B31,B24,B17,B10)</f>
        <v>685</v>
      </c>
      <c r="C136" s="81">
        <f t="shared" ref="C136:G136" si="76">SUM(C129,C122,C115,C108,C101,C94,C87,C80,C73,C66,C59,C52,C45,C38,C31,C24,C17,C10)</f>
        <v>56</v>
      </c>
      <c r="D136" s="81">
        <f t="shared" si="76"/>
        <v>167092500</v>
      </c>
      <c r="E136" s="81">
        <f t="shared" si="76"/>
        <v>7839250</v>
      </c>
      <c r="F136" s="81">
        <f t="shared" si="76"/>
        <v>3755450</v>
      </c>
      <c r="G136" s="81">
        <f>SUM(G129,G122,G115,G108,G101,G94,G87,G80,G73,G66,G59,G52,G45,G38,G31,G24,G17,G10)</f>
        <v>159253250</v>
      </c>
    </row>
    <row r="137" spans="1:8" x14ac:dyDescent="0.35">
      <c r="A137" s="41" t="s">
        <v>0</v>
      </c>
      <c r="B137" s="98">
        <f>B135+B136</f>
        <v>1905</v>
      </c>
      <c r="C137" s="98">
        <f t="shared" ref="C137" si="77">C135+C136</f>
        <v>217</v>
      </c>
      <c r="D137" s="98">
        <f t="shared" ref="D137" si="78">D135+D136</f>
        <v>465989500</v>
      </c>
      <c r="E137" s="98">
        <f t="shared" ref="E137" si="79">E135+E136</f>
        <v>28431750</v>
      </c>
      <c r="F137" s="98">
        <f t="shared" ref="F137" si="80">F135+F136</f>
        <v>16072450</v>
      </c>
      <c r="G137" s="98">
        <f>G135+G136</f>
        <v>371060875</v>
      </c>
      <c r="H137" s="20"/>
    </row>
  </sheetData>
  <mergeCells count="21">
    <mergeCell ref="A26:G26"/>
    <mergeCell ref="A47:G47"/>
    <mergeCell ref="A33:G33"/>
    <mergeCell ref="A40:G40"/>
    <mergeCell ref="B1:G1"/>
    <mergeCell ref="B2:G2"/>
    <mergeCell ref="A5:G5"/>
    <mergeCell ref="A12:G12"/>
    <mergeCell ref="A19:G19"/>
    <mergeCell ref="A131:G131"/>
    <mergeCell ref="A54:G54"/>
    <mergeCell ref="A61:G61"/>
    <mergeCell ref="A68:G68"/>
    <mergeCell ref="A75:G75"/>
    <mergeCell ref="A82:G82"/>
    <mergeCell ref="A89:G89"/>
    <mergeCell ref="A96:G96"/>
    <mergeCell ref="A103:G103"/>
    <mergeCell ref="A110:G110"/>
    <mergeCell ref="A117:G117"/>
    <mergeCell ref="A124:G124"/>
  </mergeCells>
  <pageMargins left="0.19685039400000001" right="0.25" top="0.511811023622047" bottom="0.23622047244094499" header="0.31496062992126" footer="0.31496062992126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J83"/>
  <sheetViews>
    <sheetView view="pageBreakPreview" topLeftCell="A64" zoomScale="60" zoomScaleNormal="100" workbookViewId="0">
      <selection activeCell="G87" sqref="G87"/>
    </sheetView>
  </sheetViews>
  <sheetFormatPr defaultRowHeight="15" x14ac:dyDescent="0.2"/>
  <cols>
    <col min="1" max="1" width="15.42578125" bestFit="1" customWidth="1"/>
    <col min="2" max="2" width="37" bestFit="1" customWidth="1"/>
    <col min="3" max="3" width="20.5703125" customWidth="1"/>
    <col min="4" max="4" width="29.28515625" customWidth="1"/>
    <col min="5" max="5" width="26.42578125" customWidth="1"/>
    <col min="6" max="6" width="15.7109375" customWidth="1"/>
    <col min="7" max="7" width="28.5703125" customWidth="1"/>
    <col min="8" max="8" width="26.85546875" style="64" hidden="1" customWidth="1"/>
    <col min="10" max="10" width="10.140625" bestFit="1" customWidth="1"/>
  </cols>
  <sheetData>
    <row r="6" spans="1:10" ht="22.5" x14ac:dyDescent="0.4">
      <c r="A6" s="1"/>
      <c r="B6" s="134" t="s">
        <v>5</v>
      </c>
      <c r="C6" s="135"/>
      <c r="D6" s="135"/>
      <c r="E6" s="135"/>
      <c r="F6" s="135"/>
      <c r="G6" s="135"/>
    </row>
    <row r="7" spans="1:10" ht="20.25" x14ac:dyDescent="0.35">
      <c r="A7" s="1"/>
      <c r="B7" s="136" t="s">
        <v>15</v>
      </c>
      <c r="C7" s="136"/>
      <c r="D7" s="136"/>
      <c r="E7" s="136"/>
      <c r="F7" s="136"/>
      <c r="G7" s="136"/>
    </row>
    <row r="8" spans="1:10" ht="20.25" x14ac:dyDescent="0.35">
      <c r="A8" s="1"/>
      <c r="B8" s="1"/>
      <c r="C8" s="1"/>
      <c r="D8" s="1"/>
      <c r="E8" s="1"/>
      <c r="F8" s="1"/>
      <c r="G8" s="1"/>
    </row>
    <row r="9" spans="1:10" ht="258.75" x14ac:dyDescent="0.2">
      <c r="A9" s="11" t="s">
        <v>4</v>
      </c>
      <c r="B9" s="12" t="s">
        <v>6</v>
      </c>
      <c r="C9" s="12" t="s">
        <v>7</v>
      </c>
      <c r="D9" s="12" t="s">
        <v>13</v>
      </c>
      <c r="E9" s="12" t="s">
        <v>11</v>
      </c>
      <c r="F9" s="12" t="s">
        <v>8</v>
      </c>
      <c r="G9" s="12" t="s">
        <v>9</v>
      </c>
    </row>
    <row r="10" spans="1:10" ht="21" thickBot="1" x14ac:dyDescent="0.25">
      <c r="A10" s="8"/>
      <c r="B10" s="9"/>
      <c r="C10" s="9"/>
      <c r="D10" s="9"/>
      <c r="E10" s="9"/>
      <c r="F10" s="9"/>
      <c r="G10" s="10" t="s">
        <v>41</v>
      </c>
    </row>
    <row r="11" spans="1:10" ht="23.25" thickBot="1" x14ac:dyDescent="0.45">
      <c r="A11" s="5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</row>
    <row r="12" spans="1:10" ht="22.5" customHeight="1" x14ac:dyDescent="0.35">
      <c r="A12" s="130" t="s">
        <v>16</v>
      </c>
      <c r="B12" s="130"/>
      <c r="C12" s="130"/>
      <c r="D12" s="130"/>
      <c r="E12" s="130"/>
      <c r="F12" s="130"/>
      <c r="G12" s="130"/>
    </row>
    <row r="13" spans="1:10" ht="20.25" x14ac:dyDescent="0.35">
      <c r="A13" s="7" t="s">
        <v>1</v>
      </c>
      <c r="B13" s="16">
        <f>255+11</f>
        <v>266</v>
      </c>
      <c r="C13" s="16">
        <v>14</v>
      </c>
      <c r="D13" s="16">
        <f>71794000+2840000</f>
        <v>74634000</v>
      </c>
      <c r="E13" s="16">
        <v>2368500</v>
      </c>
      <c r="F13" s="16">
        <v>1471500</v>
      </c>
      <c r="G13" s="79">
        <f>+(D13-E13-F13)*0.75+F13</f>
        <v>54567000</v>
      </c>
      <c r="H13" s="94">
        <f>SUM(H10:H12)</f>
        <v>0</v>
      </c>
    </row>
    <row r="14" spans="1:10" ht="21" thickBot="1" x14ac:dyDescent="0.4">
      <c r="A14" s="42" t="s">
        <v>39</v>
      </c>
      <c r="B14" s="35">
        <v>151</v>
      </c>
      <c r="C14" s="35">
        <v>3</v>
      </c>
      <c r="D14" s="35">
        <v>39755000</v>
      </c>
      <c r="E14" s="35">
        <v>399000</v>
      </c>
      <c r="F14" s="35">
        <v>356000</v>
      </c>
      <c r="G14" s="79">
        <f>D14-E14</f>
        <v>39356000</v>
      </c>
      <c r="H14" s="65">
        <f>+G14</f>
        <v>39356000</v>
      </c>
      <c r="J14" s="43"/>
    </row>
    <row r="15" spans="1:10" ht="21" thickBot="1" x14ac:dyDescent="0.4">
      <c r="A15" s="2" t="s">
        <v>0</v>
      </c>
      <c r="B15" s="31">
        <f t="shared" ref="B15:G15" si="0">SUM(B13:B14)</f>
        <v>417</v>
      </c>
      <c r="C15" s="31">
        <f t="shared" si="0"/>
        <v>17</v>
      </c>
      <c r="D15" s="31">
        <f t="shared" si="0"/>
        <v>114389000</v>
      </c>
      <c r="E15" s="31">
        <f t="shared" si="0"/>
        <v>2767500</v>
      </c>
      <c r="F15" s="31">
        <f t="shared" si="0"/>
        <v>1827500</v>
      </c>
      <c r="G15" s="31">
        <f t="shared" si="0"/>
        <v>93923000</v>
      </c>
      <c r="H15" s="65">
        <f>+H13+H14</f>
        <v>39356000</v>
      </c>
    </row>
    <row r="16" spans="1:10" ht="20.25" x14ac:dyDescent="0.35">
      <c r="A16" s="125" t="s">
        <v>19</v>
      </c>
      <c r="B16" s="125"/>
      <c r="C16" s="125"/>
      <c r="D16" s="125"/>
      <c r="E16" s="125"/>
      <c r="F16" s="125"/>
      <c r="G16" s="125"/>
      <c r="H16" s="66"/>
    </row>
    <row r="17" spans="1:8" ht="20.25" x14ac:dyDescent="0.35">
      <c r="A17" s="7" t="s">
        <v>1</v>
      </c>
      <c r="B17" s="16">
        <v>30</v>
      </c>
      <c r="C17" s="16">
        <v>0</v>
      </c>
      <c r="D17" s="16">
        <v>7500000</v>
      </c>
      <c r="E17" s="16">
        <v>0</v>
      </c>
      <c r="F17" s="16">
        <v>0</v>
      </c>
      <c r="G17" s="79">
        <f>+(D17-E17-F17)*0.75+F17</f>
        <v>5625000</v>
      </c>
      <c r="H17" s="65">
        <f>G17*0.75</f>
        <v>4218750</v>
      </c>
    </row>
    <row r="18" spans="1:8" ht="21" thickBot="1" x14ac:dyDescent="0.4">
      <c r="A18" s="42" t="s">
        <v>39</v>
      </c>
      <c r="B18" s="35">
        <v>11</v>
      </c>
      <c r="C18" s="35">
        <v>0</v>
      </c>
      <c r="D18" s="35">
        <v>2475000</v>
      </c>
      <c r="E18" s="35">
        <v>0</v>
      </c>
      <c r="F18" s="35">
        <v>0</v>
      </c>
      <c r="G18" s="79">
        <f>D18-E18</f>
        <v>2475000</v>
      </c>
      <c r="H18" s="65">
        <f>+G18</f>
        <v>2475000</v>
      </c>
    </row>
    <row r="19" spans="1:8" ht="21" thickBot="1" x14ac:dyDescent="0.4">
      <c r="A19" s="2" t="s">
        <v>0</v>
      </c>
      <c r="B19" s="31">
        <f t="shared" ref="B19" si="1">SUM(B17:B18)</f>
        <v>41</v>
      </c>
      <c r="C19" s="31">
        <f t="shared" ref="C19" si="2">SUM(C17:C18)</f>
        <v>0</v>
      </c>
      <c r="D19" s="31">
        <f t="shared" ref="D19" si="3">SUM(D17:D18)</f>
        <v>9975000</v>
      </c>
      <c r="E19" s="31">
        <f t="shared" ref="E19" si="4">SUM(E17:E18)</f>
        <v>0</v>
      </c>
      <c r="F19" s="31">
        <f t="shared" ref="F19" si="5">SUM(F17:F18)</f>
        <v>0</v>
      </c>
      <c r="G19" s="31">
        <f t="shared" ref="G19" si="6">SUM(G17:G18)</f>
        <v>8100000</v>
      </c>
      <c r="H19" s="65">
        <f>+H17+H18</f>
        <v>6693750</v>
      </c>
    </row>
    <row r="20" spans="1:8" ht="20.25" x14ac:dyDescent="0.35">
      <c r="A20" s="125" t="s">
        <v>20</v>
      </c>
      <c r="B20" s="125"/>
      <c r="C20" s="125"/>
      <c r="D20" s="125"/>
      <c r="E20" s="125"/>
      <c r="F20" s="125"/>
      <c r="G20" s="125"/>
    </row>
    <row r="21" spans="1:8" ht="20.25" x14ac:dyDescent="0.35">
      <c r="A21" s="7" t="s">
        <v>1</v>
      </c>
      <c r="B21" s="16">
        <v>100</v>
      </c>
      <c r="C21" s="16">
        <v>4</v>
      </c>
      <c r="D21" s="16">
        <v>30675000</v>
      </c>
      <c r="E21" s="16">
        <v>487500</v>
      </c>
      <c r="F21" s="16">
        <v>573000</v>
      </c>
      <c r="G21" s="79">
        <f>+(D21-E21-F21)*0.75+F21</f>
        <v>22783875</v>
      </c>
      <c r="H21" s="65">
        <f>G21*0.75</f>
        <v>17087906.25</v>
      </c>
    </row>
    <row r="22" spans="1:8" ht="21" thickBot="1" x14ac:dyDescent="0.4">
      <c r="A22" s="42" t="s">
        <v>39</v>
      </c>
      <c r="B22" s="35">
        <v>66</v>
      </c>
      <c r="C22" s="35">
        <v>3</v>
      </c>
      <c r="D22" s="35">
        <v>18640000</v>
      </c>
      <c r="E22" s="35">
        <v>354000</v>
      </c>
      <c r="F22" s="35">
        <v>366500</v>
      </c>
      <c r="G22" s="79">
        <f>D22-E22</f>
        <v>18286000</v>
      </c>
      <c r="H22" s="65">
        <f>+G22</f>
        <v>18286000</v>
      </c>
    </row>
    <row r="23" spans="1:8" ht="21" thickBot="1" x14ac:dyDescent="0.4">
      <c r="A23" s="2" t="s">
        <v>0</v>
      </c>
      <c r="B23" s="31">
        <f t="shared" ref="B23" si="7">SUM(B21:B22)</f>
        <v>166</v>
      </c>
      <c r="C23" s="31">
        <f t="shared" ref="C23" si="8">SUM(C21:C22)</f>
        <v>7</v>
      </c>
      <c r="D23" s="31">
        <f t="shared" ref="D23" si="9">SUM(D21:D22)</f>
        <v>49315000</v>
      </c>
      <c r="E23" s="31">
        <f t="shared" ref="E23" si="10">SUM(E21:E22)</f>
        <v>841500</v>
      </c>
      <c r="F23" s="31">
        <f t="shared" ref="F23" si="11">SUM(F21:F22)</f>
        <v>939500</v>
      </c>
      <c r="G23" s="31">
        <f t="shared" ref="G23" si="12">SUM(G21:G22)</f>
        <v>41069875</v>
      </c>
      <c r="H23" s="65">
        <f>+H21+H22</f>
        <v>35373906.25</v>
      </c>
    </row>
    <row r="24" spans="1:8" ht="20.25" x14ac:dyDescent="0.35">
      <c r="A24" s="124" t="s">
        <v>21</v>
      </c>
      <c r="B24" s="124"/>
      <c r="C24" s="124"/>
      <c r="D24" s="124"/>
      <c r="E24" s="124"/>
      <c r="F24" s="124"/>
      <c r="G24" s="124"/>
    </row>
    <row r="25" spans="1:8" ht="20.25" x14ac:dyDescent="0.35">
      <c r="A25" s="7" t="s">
        <v>1</v>
      </c>
      <c r="B25" s="16">
        <v>14</v>
      </c>
      <c r="C25" s="16"/>
      <c r="D25" s="16">
        <v>5064000</v>
      </c>
      <c r="E25" s="16"/>
      <c r="F25" s="16"/>
      <c r="G25" s="79">
        <f>+(D25-E25-F25)*0.75+F25</f>
        <v>3798000</v>
      </c>
      <c r="H25" s="65">
        <f>G25*0.75</f>
        <v>2848500</v>
      </c>
    </row>
    <row r="26" spans="1:8" ht="21" thickBot="1" x14ac:dyDescent="0.4">
      <c r="A26" s="42" t="s">
        <v>39</v>
      </c>
      <c r="B26" s="35">
        <v>9</v>
      </c>
      <c r="C26" s="35"/>
      <c r="D26" s="35">
        <v>3498000</v>
      </c>
      <c r="E26" s="35"/>
      <c r="F26" s="35"/>
      <c r="G26" s="79">
        <f>D26-E26</f>
        <v>3498000</v>
      </c>
      <c r="H26" s="65">
        <f>+G26</f>
        <v>3498000</v>
      </c>
    </row>
    <row r="27" spans="1:8" ht="21" thickBot="1" x14ac:dyDescent="0.4">
      <c r="A27" s="2" t="s">
        <v>0</v>
      </c>
      <c r="B27" s="31">
        <f t="shared" ref="B27:F27" si="13">SUM(B25:B26)</f>
        <v>23</v>
      </c>
      <c r="C27" s="31">
        <f t="shared" si="13"/>
        <v>0</v>
      </c>
      <c r="D27" s="31">
        <f t="shared" si="13"/>
        <v>8562000</v>
      </c>
      <c r="E27" s="31">
        <f t="shared" si="13"/>
        <v>0</v>
      </c>
      <c r="F27" s="31">
        <f t="shared" si="13"/>
        <v>0</v>
      </c>
      <c r="G27" s="31">
        <f t="shared" ref="G27" si="14">SUM(G25:G26)</f>
        <v>7296000</v>
      </c>
      <c r="H27" s="65">
        <f>+H25+H26</f>
        <v>6346500</v>
      </c>
    </row>
    <row r="28" spans="1:8" ht="20.25" x14ac:dyDescent="0.35">
      <c r="A28" s="124" t="s">
        <v>22</v>
      </c>
      <c r="B28" s="124"/>
      <c r="C28" s="124"/>
      <c r="D28" s="124"/>
      <c r="E28" s="124"/>
      <c r="F28" s="124"/>
      <c r="G28" s="124"/>
    </row>
    <row r="29" spans="1:8" ht="20.25" x14ac:dyDescent="0.35">
      <c r="A29" s="7" t="s">
        <v>1</v>
      </c>
      <c r="B29" s="17">
        <v>1</v>
      </c>
      <c r="C29" s="17"/>
      <c r="D29" s="34">
        <v>250000</v>
      </c>
      <c r="E29" s="17"/>
      <c r="F29" s="17"/>
      <c r="G29" s="79">
        <f>+(D29-E29-F29)*0.75+F29</f>
        <v>187500</v>
      </c>
      <c r="H29" s="65">
        <f>G29*0.75</f>
        <v>140625</v>
      </c>
    </row>
    <row r="30" spans="1:8" ht="21" thickBot="1" x14ac:dyDescent="0.4">
      <c r="A30" s="42" t="s">
        <v>39</v>
      </c>
      <c r="B30" s="34">
        <v>7</v>
      </c>
      <c r="C30" s="44"/>
      <c r="D30" s="45">
        <v>1581143</v>
      </c>
      <c r="E30" s="34"/>
      <c r="F30" s="34"/>
      <c r="G30" s="79">
        <f>D30-E30</f>
        <v>1581143</v>
      </c>
      <c r="H30" s="65">
        <f>+G30</f>
        <v>1581143</v>
      </c>
    </row>
    <row r="31" spans="1:8" ht="21" thickBot="1" x14ac:dyDescent="0.4">
      <c r="A31" s="15" t="s">
        <v>0</v>
      </c>
      <c r="B31" s="46">
        <v>8</v>
      </c>
      <c r="C31" s="47"/>
      <c r="D31" s="46">
        <v>1831143</v>
      </c>
      <c r="E31" s="46"/>
      <c r="F31" s="46"/>
      <c r="G31" s="31">
        <f t="shared" ref="G31" si="15">SUM(G29:G30)</f>
        <v>1768643</v>
      </c>
      <c r="H31" s="65">
        <f>+H29+H30</f>
        <v>1721768</v>
      </c>
    </row>
    <row r="32" spans="1:8" ht="20.25" x14ac:dyDescent="0.35">
      <c r="A32" s="124" t="s">
        <v>24</v>
      </c>
      <c r="B32" s="124"/>
      <c r="C32" s="124"/>
      <c r="D32" s="124"/>
      <c r="E32" s="124"/>
      <c r="F32" s="124"/>
      <c r="G32" s="124"/>
    </row>
    <row r="33" spans="1:8" ht="20.25" x14ac:dyDescent="0.3">
      <c r="A33" s="48" t="s">
        <v>1</v>
      </c>
      <c r="B33" s="26">
        <v>22</v>
      </c>
      <c r="C33" s="26">
        <v>1</v>
      </c>
      <c r="D33" s="27">
        <f>+B33*225000</f>
        <v>4950000</v>
      </c>
      <c r="E33" s="27">
        <v>67500</v>
      </c>
      <c r="F33" s="27">
        <v>157500</v>
      </c>
      <c r="G33" s="79">
        <f>+(D33-E33-F33)*0.75+F33</f>
        <v>3701250</v>
      </c>
      <c r="H33" s="65">
        <f>G33*0.75</f>
        <v>2775937.5</v>
      </c>
    </row>
    <row r="34" spans="1:8" ht="21" thickBot="1" x14ac:dyDescent="0.35">
      <c r="A34" s="42" t="s">
        <v>39</v>
      </c>
      <c r="B34" s="49"/>
      <c r="C34" s="49"/>
      <c r="D34" s="49"/>
      <c r="E34" s="49"/>
      <c r="F34" s="49"/>
      <c r="G34" s="79">
        <f>D34-E34</f>
        <v>0</v>
      </c>
      <c r="H34" s="65">
        <f>+G34</f>
        <v>0</v>
      </c>
    </row>
    <row r="35" spans="1:8" ht="21" thickBot="1" x14ac:dyDescent="0.4">
      <c r="A35" s="50" t="s">
        <v>0</v>
      </c>
      <c r="B35" s="55">
        <f t="shared" ref="B35" si="16">SUM(B33:B34)</f>
        <v>22</v>
      </c>
      <c r="C35" s="55">
        <f t="shared" ref="C35" si="17">SUM(C33:C34)</f>
        <v>1</v>
      </c>
      <c r="D35" s="55">
        <f t="shared" ref="D35" si="18">SUM(D33:D34)</f>
        <v>4950000</v>
      </c>
      <c r="E35" s="55">
        <f t="shared" ref="E35" si="19">SUM(E33:E34)</f>
        <v>67500</v>
      </c>
      <c r="F35" s="55">
        <f t="shared" ref="F35" si="20">SUM(F33:F34)</f>
        <v>157500</v>
      </c>
      <c r="G35" s="31">
        <f t="shared" ref="G35" si="21">SUM(G33:G34)</f>
        <v>3701250</v>
      </c>
      <c r="H35" s="65">
        <f>+H33+H34</f>
        <v>2775937.5</v>
      </c>
    </row>
    <row r="36" spans="1:8" ht="20.25" x14ac:dyDescent="0.35">
      <c r="A36" s="124" t="s">
        <v>25</v>
      </c>
      <c r="B36" s="124"/>
      <c r="C36" s="124"/>
      <c r="D36" s="124"/>
      <c r="E36" s="124"/>
      <c r="F36" s="124"/>
      <c r="G36" s="124"/>
    </row>
    <row r="37" spans="1:8" ht="20.25" x14ac:dyDescent="0.3">
      <c r="A37" s="51" t="s">
        <v>1</v>
      </c>
      <c r="B37" s="52">
        <v>46</v>
      </c>
      <c r="C37" s="52">
        <v>10</v>
      </c>
      <c r="D37" s="52">
        <v>7630000</v>
      </c>
      <c r="E37" s="52">
        <v>727500</v>
      </c>
      <c r="F37" s="52">
        <v>727500</v>
      </c>
      <c r="G37" s="79">
        <f>+(D37-E37-F37)*0.75+F37</f>
        <v>5358750</v>
      </c>
      <c r="H37" s="65">
        <f>G37*0.75</f>
        <v>4019062.5</v>
      </c>
    </row>
    <row r="38" spans="1:8" ht="21" thickBot="1" x14ac:dyDescent="0.35">
      <c r="A38" s="42" t="s">
        <v>39</v>
      </c>
      <c r="B38" s="53">
        <v>41</v>
      </c>
      <c r="C38" s="53">
        <v>3</v>
      </c>
      <c r="D38" s="53">
        <v>5715000</v>
      </c>
      <c r="E38" s="53">
        <v>252500</v>
      </c>
      <c r="F38" s="53">
        <v>50000</v>
      </c>
      <c r="G38" s="79">
        <f>D38-E38</f>
        <v>5462500</v>
      </c>
      <c r="H38" s="65">
        <f>+G38</f>
        <v>5462500</v>
      </c>
    </row>
    <row r="39" spans="1:8" ht="21" thickBot="1" x14ac:dyDescent="0.4">
      <c r="A39" s="54" t="s">
        <v>0</v>
      </c>
      <c r="B39" s="55">
        <f t="shared" ref="B39" si="22">SUM(B37:B38)</f>
        <v>87</v>
      </c>
      <c r="C39" s="55">
        <f t="shared" ref="C39" si="23">SUM(C37:C38)</f>
        <v>13</v>
      </c>
      <c r="D39" s="55">
        <f t="shared" ref="D39" si="24">SUM(D37:D38)</f>
        <v>13345000</v>
      </c>
      <c r="E39" s="55">
        <f t="shared" ref="E39" si="25">SUM(E37:E38)</f>
        <v>980000</v>
      </c>
      <c r="F39" s="55">
        <f t="shared" ref="F39" si="26">SUM(F37:F38)</f>
        <v>777500</v>
      </c>
      <c r="G39" s="31">
        <f t="shared" ref="G39" si="27">SUM(G37:G38)</f>
        <v>10821250</v>
      </c>
      <c r="H39" s="65">
        <f>+H37+H38</f>
        <v>9481562.5</v>
      </c>
    </row>
    <row r="40" spans="1:8" ht="20.25" x14ac:dyDescent="0.35">
      <c r="A40" s="124" t="s">
        <v>26</v>
      </c>
      <c r="B40" s="124"/>
      <c r="C40" s="124"/>
      <c r="D40" s="124"/>
      <c r="E40" s="124"/>
      <c r="F40" s="124"/>
      <c r="G40" s="124"/>
    </row>
    <row r="41" spans="1:8" ht="20.25" x14ac:dyDescent="0.3">
      <c r="A41" s="56" t="s">
        <v>1</v>
      </c>
      <c r="B41" s="52">
        <v>18</v>
      </c>
      <c r="C41" s="52">
        <v>2</v>
      </c>
      <c r="D41" s="52">
        <v>3665000</v>
      </c>
      <c r="E41" s="52">
        <v>175000</v>
      </c>
      <c r="F41" s="57">
        <v>175000</v>
      </c>
      <c r="G41" s="79">
        <f>+(D41-E41-F41)*0.75+F41</f>
        <v>2661250</v>
      </c>
      <c r="H41" s="65">
        <f>G41*0.75</f>
        <v>1995937.5</v>
      </c>
    </row>
    <row r="42" spans="1:8" ht="21" thickBot="1" x14ac:dyDescent="0.35">
      <c r="A42" s="42" t="s">
        <v>39</v>
      </c>
      <c r="B42" s="53">
        <v>24</v>
      </c>
      <c r="C42" s="53">
        <v>1</v>
      </c>
      <c r="D42" s="53">
        <v>4960000</v>
      </c>
      <c r="E42" s="53">
        <v>119000</v>
      </c>
      <c r="F42" s="53">
        <v>51000</v>
      </c>
      <c r="G42" s="79">
        <f>D42-E42</f>
        <v>4841000</v>
      </c>
      <c r="H42" s="65">
        <f>+G42</f>
        <v>4841000</v>
      </c>
    </row>
    <row r="43" spans="1:8" ht="21" thickBot="1" x14ac:dyDescent="0.4">
      <c r="A43" s="58" t="s">
        <v>0</v>
      </c>
      <c r="B43" s="55">
        <f t="shared" ref="B43:F43" si="28">SUM(B41:B42)</f>
        <v>42</v>
      </c>
      <c r="C43" s="55">
        <f t="shared" si="28"/>
        <v>3</v>
      </c>
      <c r="D43" s="55">
        <f t="shared" si="28"/>
        <v>8625000</v>
      </c>
      <c r="E43" s="55">
        <f t="shared" si="28"/>
        <v>294000</v>
      </c>
      <c r="F43" s="55">
        <f t="shared" si="28"/>
        <v>226000</v>
      </c>
      <c r="G43" s="31">
        <f t="shared" ref="G43" si="29">SUM(G41:G42)</f>
        <v>7502250</v>
      </c>
      <c r="H43" s="65">
        <f>+H41+H42</f>
        <v>6836937.5</v>
      </c>
    </row>
    <row r="44" spans="1:8" ht="20.25" x14ac:dyDescent="0.35">
      <c r="A44" s="124" t="s">
        <v>28</v>
      </c>
      <c r="B44" s="124"/>
      <c r="C44" s="124"/>
      <c r="D44" s="124"/>
      <c r="E44" s="124"/>
      <c r="F44" s="124"/>
      <c r="G44" s="124"/>
    </row>
    <row r="45" spans="1:8" ht="20.25" x14ac:dyDescent="0.35">
      <c r="A45" s="7" t="s">
        <v>1</v>
      </c>
      <c r="B45" s="67">
        <v>21</v>
      </c>
      <c r="C45" s="67">
        <v>1</v>
      </c>
      <c r="D45" s="52">
        <v>3900000</v>
      </c>
      <c r="E45" s="52">
        <v>125000</v>
      </c>
      <c r="F45" s="52">
        <v>0</v>
      </c>
      <c r="G45" s="79">
        <f>+(D45-E45-F45)*0.75+F45</f>
        <v>2831250</v>
      </c>
      <c r="H45" s="65">
        <f>G45*0.75</f>
        <v>2123437.5</v>
      </c>
    </row>
    <row r="46" spans="1:8" ht="21" thickBot="1" x14ac:dyDescent="0.35">
      <c r="A46" s="42" t="s">
        <v>39</v>
      </c>
      <c r="B46" s="68">
        <v>31</v>
      </c>
      <c r="C46" s="68">
        <v>1</v>
      </c>
      <c r="D46" s="53">
        <v>5575000</v>
      </c>
      <c r="E46" s="53">
        <v>87500</v>
      </c>
      <c r="F46" s="53">
        <v>0</v>
      </c>
      <c r="G46" s="79">
        <f>D46-E46</f>
        <v>5487500</v>
      </c>
      <c r="H46" s="65">
        <f>+G46</f>
        <v>5487500</v>
      </c>
    </row>
    <row r="47" spans="1:8" ht="21" thickBot="1" x14ac:dyDescent="0.4">
      <c r="A47" s="2" t="s">
        <v>0</v>
      </c>
      <c r="B47" s="55">
        <f>SUM(B45:B46)</f>
        <v>52</v>
      </c>
      <c r="C47" s="55">
        <f t="shared" ref="C47:F47" si="30">SUM(C45:C46)</f>
        <v>2</v>
      </c>
      <c r="D47" s="55">
        <f t="shared" si="30"/>
        <v>9475000</v>
      </c>
      <c r="E47" s="55">
        <f t="shared" si="30"/>
        <v>212500</v>
      </c>
      <c r="F47" s="55">
        <f t="shared" si="30"/>
        <v>0</v>
      </c>
      <c r="G47" s="31">
        <f t="shared" ref="G47" si="31">SUM(G45:G46)</f>
        <v>8318750</v>
      </c>
      <c r="H47" s="65">
        <f>+H45+H46</f>
        <v>7610937.5</v>
      </c>
    </row>
    <row r="48" spans="1:8" ht="20.25" x14ac:dyDescent="0.35">
      <c r="A48" s="124" t="s">
        <v>29</v>
      </c>
      <c r="B48" s="124"/>
      <c r="C48" s="124"/>
      <c r="D48" s="124"/>
      <c r="E48" s="124"/>
      <c r="F48" s="124"/>
      <c r="G48" s="124"/>
    </row>
    <row r="49" spans="1:8" ht="20.25" x14ac:dyDescent="0.35">
      <c r="A49" s="7" t="s">
        <v>1</v>
      </c>
      <c r="B49" s="52">
        <v>6</v>
      </c>
      <c r="C49" s="52"/>
      <c r="D49" s="52">
        <v>980000</v>
      </c>
      <c r="E49" s="52"/>
      <c r="F49" s="52"/>
      <c r="G49" s="79">
        <f>+(D49-E49-F49)*0.75+F49</f>
        <v>735000</v>
      </c>
      <c r="H49" s="65">
        <f>G49*0.75</f>
        <v>551250</v>
      </c>
    </row>
    <row r="50" spans="1:8" ht="21" thickBot="1" x14ac:dyDescent="0.35">
      <c r="A50" s="42" t="s">
        <v>39</v>
      </c>
      <c r="B50" s="53">
        <v>8</v>
      </c>
      <c r="C50" s="53"/>
      <c r="D50" s="53">
        <v>1145000</v>
      </c>
      <c r="E50" s="53"/>
      <c r="F50" s="53"/>
      <c r="G50" s="79">
        <f>D50-E50</f>
        <v>1145000</v>
      </c>
      <c r="H50" s="65">
        <f>+G50</f>
        <v>1145000</v>
      </c>
    </row>
    <row r="51" spans="1:8" ht="21" thickBot="1" x14ac:dyDescent="0.4">
      <c r="A51" s="2" t="s">
        <v>0</v>
      </c>
      <c r="B51" s="55">
        <f>SUM(B49:B50)</f>
        <v>14</v>
      </c>
      <c r="C51" s="55">
        <f t="shared" ref="C51:F51" si="32">SUM(C49:C50)</f>
        <v>0</v>
      </c>
      <c r="D51" s="55">
        <f t="shared" si="32"/>
        <v>2125000</v>
      </c>
      <c r="E51" s="55">
        <f t="shared" si="32"/>
        <v>0</v>
      </c>
      <c r="F51" s="55">
        <f t="shared" si="32"/>
        <v>0</v>
      </c>
      <c r="G51" s="31">
        <f t="shared" ref="G51" si="33">SUM(G49:G50)</f>
        <v>1880000</v>
      </c>
      <c r="H51" s="65">
        <f>+H49+H50</f>
        <v>1696250</v>
      </c>
    </row>
    <row r="52" spans="1:8" ht="20.25" x14ac:dyDescent="0.35">
      <c r="A52" s="124" t="s">
        <v>32</v>
      </c>
      <c r="B52" s="124"/>
      <c r="C52" s="124"/>
      <c r="D52" s="124"/>
      <c r="E52" s="124"/>
      <c r="F52" s="124"/>
      <c r="G52" s="124"/>
    </row>
    <row r="53" spans="1:8" ht="20.25" x14ac:dyDescent="0.35">
      <c r="A53" s="7" t="s">
        <v>1</v>
      </c>
      <c r="B53" s="67">
        <v>18</v>
      </c>
      <c r="C53" s="52">
        <v>2</v>
      </c>
      <c r="D53" s="52">
        <v>3665000</v>
      </c>
      <c r="E53" s="52">
        <v>175000</v>
      </c>
      <c r="F53" s="57">
        <v>175000</v>
      </c>
      <c r="G53" s="79">
        <f>+(D53-E53-F53)*0.75+F53</f>
        <v>2661250</v>
      </c>
      <c r="H53" s="65">
        <f>G53*0.75</f>
        <v>1995937.5</v>
      </c>
    </row>
    <row r="54" spans="1:8" ht="21" thickBot="1" x14ac:dyDescent="0.35">
      <c r="A54" s="42" t="s">
        <v>39</v>
      </c>
      <c r="B54" s="68">
        <v>24</v>
      </c>
      <c r="C54" s="53">
        <v>1</v>
      </c>
      <c r="D54" s="53">
        <v>4960000</v>
      </c>
      <c r="E54" s="53">
        <v>119000</v>
      </c>
      <c r="F54" s="53">
        <v>51000</v>
      </c>
      <c r="G54" s="79">
        <f>D54-E54</f>
        <v>4841000</v>
      </c>
      <c r="H54" s="65">
        <f>+G54</f>
        <v>4841000</v>
      </c>
    </row>
    <row r="55" spans="1:8" ht="21" thickBot="1" x14ac:dyDescent="0.4">
      <c r="A55" s="2" t="s">
        <v>0</v>
      </c>
      <c r="B55" s="55">
        <f>SUM(B53:B54)</f>
        <v>42</v>
      </c>
      <c r="C55" s="55">
        <f t="shared" ref="C55:F55" si="34">SUM(C53:C54)</f>
        <v>3</v>
      </c>
      <c r="D55" s="55">
        <f t="shared" si="34"/>
        <v>8625000</v>
      </c>
      <c r="E55" s="55">
        <f t="shared" si="34"/>
        <v>294000</v>
      </c>
      <c r="F55" s="55">
        <f t="shared" si="34"/>
        <v>226000</v>
      </c>
      <c r="G55" s="31">
        <f t="shared" ref="G55" si="35">SUM(G53:G54)</f>
        <v>7502250</v>
      </c>
      <c r="H55" s="65">
        <f>+H53+H54</f>
        <v>6836937.5</v>
      </c>
    </row>
    <row r="56" spans="1:8" ht="20.25" x14ac:dyDescent="0.35">
      <c r="A56" s="124" t="s">
        <v>33</v>
      </c>
      <c r="B56" s="124"/>
      <c r="C56" s="124"/>
      <c r="D56" s="124"/>
      <c r="E56" s="124"/>
      <c r="F56" s="124"/>
      <c r="G56" s="124"/>
    </row>
    <row r="57" spans="1:8" ht="20.25" x14ac:dyDescent="0.35">
      <c r="A57" s="7" t="s">
        <v>1</v>
      </c>
      <c r="B57" s="52">
        <v>14</v>
      </c>
      <c r="C57" s="52"/>
      <c r="D57" s="52">
        <v>3915000</v>
      </c>
      <c r="E57" s="52"/>
      <c r="F57" s="52"/>
      <c r="G57" s="79">
        <f>+(D57-E57-F57)*0.75+F57</f>
        <v>2936250</v>
      </c>
      <c r="H57" s="65">
        <f>G57*0.75</f>
        <v>2202187.5</v>
      </c>
    </row>
    <row r="58" spans="1:8" ht="21" thickBot="1" x14ac:dyDescent="0.35">
      <c r="A58" s="42" t="s">
        <v>39</v>
      </c>
      <c r="B58" s="53">
        <v>10</v>
      </c>
      <c r="C58" s="53"/>
      <c r="D58" s="53">
        <v>2685000</v>
      </c>
      <c r="E58" s="53"/>
      <c r="F58" s="53"/>
      <c r="G58" s="79">
        <f>D58-E58</f>
        <v>2685000</v>
      </c>
      <c r="H58" s="65">
        <f>+G58</f>
        <v>2685000</v>
      </c>
    </row>
    <row r="59" spans="1:8" ht="21" thickBot="1" x14ac:dyDescent="0.4">
      <c r="A59" s="2" t="s">
        <v>0</v>
      </c>
      <c r="B59" s="55">
        <f>SUM(B57:B58)</f>
        <v>24</v>
      </c>
      <c r="C59" s="55">
        <f t="shared" ref="C59:F59" si="36">SUM(C57:C58)</f>
        <v>0</v>
      </c>
      <c r="D59" s="55">
        <f t="shared" si="36"/>
        <v>6600000</v>
      </c>
      <c r="E59" s="55">
        <f t="shared" si="36"/>
        <v>0</v>
      </c>
      <c r="F59" s="55">
        <f t="shared" si="36"/>
        <v>0</v>
      </c>
      <c r="G59" s="31">
        <f t="shared" ref="G59" si="37">SUM(G57:G58)</f>
        <v>5621250</v>
      </c>
      <c r="H59" s="65">
        <f>+H57+H58</f>
        <v>4887187.5</v>
      </c>
    </row>
    <row r="60" spans="1:8" ht="20.25" x14ac:dyDescent="0.35">
      <c r="A60" s="124" t="s">
        <v>34</v>
      </c>
      <c r="B60" s="124"/>
      <c r="C60" s="124"/>
      <c r="D60" s="124"/>
      <c r="E60" s="124"/>
      <c r="F60" s="124"/>
      <c r="G60" s="124"/>
    </row>
    <row r="61" spans="1:8" ht="20.25" x14ac:dyDescent="0.35">
      <c r="A61" s="7" t="s">
        <v>1</v>
      </c>
      <c r="B61" s="52">
        <v>2</v>
      </c>
      <c r="C61" s="52">
        <v>0</v>
      </c>
      <c r="D61" s="52">
        <v>600000</v>
      </c>
      <c r="E61" s="52">
        <v>0</v>
      </c>
      <c r="F61" s="52">
        <v>0</v>
      </c>
      <c r="G61" s="79">
        <f>+(D61-E61-F61)*0.75+F61</f>
        <v>450000</v>
      </c>
      <c r="H61" s="65">
        <f>G61*0.75</f>
        <v>337500</v>
      </c>
    </row>
    <row r="62" spans="1:8" ht="21" thickBot="1" x14ac:dyDescent="0.35">
      <c r="A62" s="42" t="s">
        <v>39</v>
      </c>
      <c r="B62" s="53">
        <v>1</v>
      </c>
      <c r="C62" s="53">
        <v>0</v>
      </c>
      <c r="D62" s="53">
        <v>300000</v>
      </c>
      <c r="E62" s="53">
        <v>0</v>
      </c>
      <c r="F62" s="53">
        <v>0</v>
      </c>
      <c r="G62" s="79">
        <f>D62-E62</f>
        <v>300000</v>
      </c>
      <c r="H62" s="65">
        <f>+G62</f>
        <v>300000</v>
      </c>
    </row>
    <row r="63" spans="1:8" ht="21" thickBot="1" x14ac:dyDescent="0.4">
      <c r="A63" s="2" t="s">
        <v>0</v>
      </c>
      <c r="B63" s="55">
        <f>SUM(B61:B62)</f>
        <v>3</v>
      </c>
      <c r="C63" s="55">
        <f t="shared" ref="C63:F63" si="38">SUM(C61:C62)</f>
        <v>0</v>
      </c>
      <c r="D63" s="55">
        <f t="shared" si="38"/>
        <v>900000</v>
      </c>
      <c r="E63" s="55">
        <f t="shared" si="38"/>
        <v>0</v>
      </c>
      <c r="F63" s="55">
        <f t="shared" si="38"/>
        <v>0</v>
      </c>
      <c r="G63" s="31">
        <f t="shared" ref="G63" si="39">SUM(G61:G62)</f>
        <v>750000</v>
      </c>
      <c r="H63" s="65">
        <f>+H61+H62</f>
        <v>637500</v>
      </c>
    </row>
    <row r="64" spans="1:8" ht="20.25" x14ac:dyDescent="0.35">
      <c r="A64" s="124" t="s">
        <v>35</v>
      </c>
      <c r="B64" s="124"/>
      <c r="C64" s="124"/>
      <c r="D64" s="124"/>
      <c r="E64" s="124"/>
      <c r="F64" s="124"/>
      <c r="G64" s="124"/>
    </row>
    <row r="65" spans="1:8" ht="20.25" x14ac:dyDescent="0.35">
      <c r="A65" s="7" t="s">
        <v>1</v>
      </c>
      <c r="B65" s="52">
        <v>60</v>
      </c>
      <c r="C65" s="52">
        <v>0</v>
      </c>
      <c r="D65" s="52">
        <v>12195000</v>
      </c>
      <c r="E65" s="52">
        <v>0</v>
      </c>
      <c r="F65" s="52">
        <v>0</v>
      </c>
      <c r="G65" s="79">
        <f>+(D65-E65-F65)*0.75+F65</f>
        <v>9146250</v>
      </c>
      <c r="H65" s="65">
        <f>G65*0.75</f>
        <v>6859687.5</v>
      </c>
    </row>
    <row r="66" spans="1:8" ht="21" thickBot="1" x14ac:dyDescent="0.35">
      <c r="A66" s="42" t="s">
        <v>39</v>
      </c>
      <c r="B66" s="53">
        <v>70</v>
      </c>
      <c r="C66" s="53">
        <v>2</v>
      </c>
      <c r="D66" s="53">
        <v>10920000</v>
      </c>
      <c r="E66" s="53">
        <v>280000</v>
      </c>
      <c r="F66" s="53">
        <v>90000</v>
      </c>
      <c r="G66" s="79">
        <f>D66-E66</f>
        <v>10640000</v>
      </c>
      <c r="H66" s="65">
        <f>+G66</f>
        <v>10640000</v>
      </c>
    </row>
    <row r="67" spans="1:8" ht="21" thickBot="1" x14ac:dyDescent="0.4">
      <c r="A67" s="2" t="s">
        <v>0</v>
      </c>
      <c r="B67" s="55">
        <f>SUM(B65:B66)</f>
        <v>130</v>
      </c>
      <c r="C67" s="55">
        <f t="shared" ref="C67" si="40">SUM(C65:C66)</f>
        <v>2</v>
      </c>
      <c r="D67" s="55">
        <f t="shared" ref="D67" si="41">SUM(D65:D66)</f>
        <v>23115000</v>
      </c>
      <c r="E67" s="55">
        <f t="shared" ref="E67" si="42">SUM(E65:E66)</f>
        <v>280000</v>
      </c>
      <c r="F67" s="55">
        <f t="shared" ref="F67" si="43">SUM(F65:F66)</f>
        <v>90000</v>
      </c>
      <c r="G67" s="31">
        <f t="shared" ref="G67" si="44">SUM(G65:G66)</f>
        <v>19786250</v>
      </c>
      <c r="H67" s="65">
        <f>+H65+H66</f>
        <v>17499687.5</v>
      </c>
    </row>
    <row r="68" spans="1:8" ht="20.25" x14ac:dyDescent="0.35">
      <c r="A68" s="124" t="s">
        <v>36</v>
      </c>
      <c r="B68" s="124"/>
      <c r="C68" s="124"/>
      <c r="D68" s="124"/>
      <c r="E68" s="124"/>
      <c r="F68" s="124"/>
      <c r="G68" s="124"/>
    </row>
    <row r="69" spans="1:8" ht="20.25" x14ac:dyDescent="0.35">
      <c r="A69" s="7" t="s">
        <v>1</v>
      </c>
      <c r="B69" s="52">
        <v>25</v>
      </c>
      <c r="C69" s="52"/>
      <c r="D69" s="52">
        <v>7950000</v>
      </c>
      <c r="E69" s="52"/>
      <c r="F69" s="52"/>
      <c r="G69" s="79">
        <f>+(D69-E69-F69)*0.75+F69</f>
        <v>5962500</v>
      </c>
      <c r="H69" s="65">
        <f>G69*0.75</f>
        <v>4471875</v>
      </c>
    </row>
    <row r="70" spans="1:8" ht="21" thickBot="1" x14ac:dyDescent="0.35">
      <c r="A70" s="42" t="s">
        <v>39</v>
      </c>
      <c r="B70" s="53">
        <v>5</v>
      </c>
      <c r="C70" s="53"/>
      <c r="D70" s="53">
        <v>1890000</v>
      </c>
      <c r="E70" s="53"/>
      <c r="F70" s="53"/>
      <c r="G70" s="79">
        <f>D70-E70</f>
        <v>1890000</v>
      </c>
      <c r="H70" s="65">
        <f>+G70</f>
        <v>1890000</v>
      </c>
    </row>
    <row r="71" spans="1:8" ht="21" thickBot="1" x14ac:dyDescent="0.4">
      <c r="A71" s="2" t="s">
        <v>0</v>
      </c>
      <c r="B71" s="55">
        <f>SUM(B69:B70)</f>
        <v>30</v>
      </c>
      <c r="C71" s="55">
        <f t="shared" ref="C71" si="45">SUM(C69:C70)</f>
        <v>0</v>
      </c>
      <c r="D71" s="55">
        <f t="shared" ref="D71" si="46">SUM(D69:D70)</f>
        <v>9840000</v>
      </c>
      <c r="E71" s="55">
        <f t="shared" ref="E71" si="47">SUM(E69:E70)</f>
        <v>0</v>
      </c>
      <c r="F71" s="55">
        <f t="shared" ref="F71" si="48">SUM(F69:F70)</f>
        <v>0</v>
      </c>
      <c r="G71" s="31">
        <f t="shared" ref="G71" si="49">SUM(G69:G70)</f>
        <v>7852500</v>
      </c>
      <c r="H71" s="65">
        <f>+H69+H70</f>
        <v>6361875</v>
      </c>
    </row>
    <row r="72" spans="1:8" ht="21" thickBot="1" x14ac:dyDescent="0.4">
      <c r="A72" s="124" t="s">
        <v>42</v>
      </c>
      <c r="B72" s="124"/>
      <c r="C72" s="124"/>
      <c r="D72" s="124"/>
      <c r="E72" s="124"/>
      <c r="F72" s="124"/>
      <c r="G72" s="124"/>
    </row>
    <row r="73" spans="1:8" ht="20.25" x14ac:dyDescent="0.35">
      <c r="A73" s="59" t="s">
        <v>1</v>
      </c>
      <c r="B73" s="61">
        <v>32</v>
      </c>
      <c r="C73" s="61">
        <v>1</v>
      </c>
      <c r="D73" s="61">
        <v>9375000</v>
      </c>
      <c r="E73" s="61">
        <v>300000</v>
      </c>
      <c r="F73" s="62">
        <v>0</v>
      </c>
      <c r="G73" s="79">
        <f>+(D73-E73-F73)*0.75+F73</f>
        <v>6806250</v>
      </c>
      <c r="H73" s="65">
        <f>G73*0.75</f>
        <v>5104687.5</v>
      </c>
    </row>
    <row r="74" spans="1:8" ht="21" thickBot="1" x14ac:dyDescent="0.35">
      <c r="A74" s="42" t="s">
        <v>39</v>
      </c>
      <c r="B74" s="53">
        <v>25</v>
      </c>
      <c r="C74" s="53">
        <v>0</v>
      </c>
      <c r="D74" s="53">
        <v>6400000</v>
      </c>
      <c r="E74" s="53">
        <v>0</v>
      </c>
      <c r="F74" s="53">
        <v>0</v>
      </c>
      <c r="G74" s="79">
        <f>D74-E74</f>
        <v>6400000</v>
      </c>
      <c r="H74" s="65">
        <f>+G74</f>
        <v>6400000</v>
      </c>
    </row>
    <row r="75" spans="1:8" ht="21" thickBot="1" x14ac:dyDescent="0.4">
      <c r="A75" s="60" t="s">
        <v>0</v>
      </c>
      <c r="B75" s="63">
        <f t="shared" ref="B75:F75" si="50">SUM(B73:B74)</f>
        <v>57</v>
      </c>
      <c r="C75" s="63">
        <f t="shared" si="50"/>
        <v>1</v>
      </c>
      <c r="D75" s="63">
        <f t="shared" si="50"/>
        <v>15775000</v>
      </c>
      <c r="E75" s="63">
        <f t="shared" si="50"/>
        <v>300000</v>
      </c>
      <c r="F75" s="63">
        <f t="shared" si="50"/>
        <v>0</v>
      </c>
      <c r="G75" s="31">
        <f t="shared" ref="G75" si="51">SUM(G73:G74)</f>
        <v>13206250</v>
      </c>
      <c r="H75" s="65">
        <f>+H73+H74</f>
        <v>11504687.5</v>
      </c>
    </row>
    <row r="76" spans="1:8" ht="21" thickBot="1" x14ac:dyDescent="0.4">
      <c r="A76" s="124" t="s">
        <v>43</v>
      </c>
      <c r="B76" s="124"/>
      <c r="C76" s="124"/>
      <c r="D76" s="124"/>
      <c r="E76" s="124"/>
      <c r="F76" s="124"/>
      <c r="G76" s="124"/>
    </row>
    <row r="77" spans="1:8" ht="20.25" x14ac:dyDescent="0.35">
      <c r="A77" s="59" t="s">
        <v>1</v>
      </c>
      <c r="B77" s="61">
        <v>15</v>
      </c>
      <c r="C77" s="61">
        <v>1</v>
      </c>
      <c r="D77" s="61">
        <v>4147500</v>
      </c>
      <c r="E77" s="61">
        <v>122500</v>
      </c>
      <c r="F77" s="62">
        <v>52500</v>
      </c>
      <c r="G77" s="79">
        <f>+(D77-E77-F77)*0.75+F77</f>
        <v>3031875</v>
      </c>
      <c r="H77" s="65">
        <f>G77*0.75</f>
        <v>2273906.25</v>
      </c>
    </row>
    <row r="78" spans="1:8" ht="21" thickBot="1" x14ac:dyDescent="0.35">
      <c r="A78" s="42" t="s">
        <v>39</v>
      </c>
      <c r="B78" s="53">
        <v>14</v>
      </c>
      <c r="C78" s="53"/>
      <c r="D78" s="53">
        <v>2450000</v>
      </c>
      <c r="E78" s="53"/>
      <c r="F78" s="53">
        <v>0</v>
      </c>
      <c r="G78" s="79">
        <f>D78-E78</f>
        <v>2450000</v>
      </c>
      <c r="H78" s="65">
        <f>D78-E78-F78</f>
        <v>2450000</v>
      </c>
    </row>
    <row r="79" spans="1:8" ht="21" thickBot="1" x14ac:dyDescent="0.4">
      <c r="A79" s="60" t="s">
        <v>0</v>
      </c>
      <c r="B79" s="63">
        <f t="shared" ref="B79:G79" si="52">SUM(B77:B78)</f>
        <v>29</v>
      </c>
      <c r="C79" s="63">
        <f t="shared" si="52"/>
        <v>1</v>
      </c>
      <c r="D79" s="63">
        <f t="shared" si="52"/>
        <v>6597500</v>
      </c>
      <c r="E79" s="63">
        <f t="shared" si="52"/>
        <v>122500</v>
      </c>
      <c r="F79" s="63">
        <f t="shared" si="52"/>
        <v>52500</v>
      </c>
      <c r="G79" s="31">
        <f t="shared" ref="G79" si="53">SUM(G77:G78)</f>
        <v>5481875</v>
      </c>
      <c r="H79" s="65">
        <f>SUM(H77:H78)+F79</f>
        <v>4776406.25</v>
      </c>
    </row>
    <row r="80" spans="1:8" ht="20.25" x14ac:dyDescent="0.35">
      <c r="A80" s="131" t="s">
        <v>37</v>
      </c>
      <c r="B80" s="132"/>
      <c r="C80" s="132"/>
      <c r="D80" s="132"/>
      <c r="E80" s="132"/>
      <c r="F80" s="132"/>
      <c r="G80" s="133"/>
    </row>
    <row r="81" spans="1:8" ht="20.25" x14ac:dyDescent="0.35">
      <c r="A81" s="7" t="s">
        <v>1</v>
      </c>
      <c r="B81" s="52">
        <f>SUM(B77,B73,B69,B65,B61,B57,B53,B49,B45,B41,B37,B33,B29,B25,B21,B17,B13)</f>
        <v>690</v>
      </c>
      <c r="C81" s="52">
        <f t="shared" ref="C81:D81" si="54">SUM(C77,C73,C69,C65,C61,C57,C53,C49,C45,C41,C37,C33,C29,C25,C21,C17,C13)</f>
        <v>36</v>
      </c>
      <c r="D81" s="52">
        <f t="shared" si="54"/>
        <v>181095500</v>
      </c>
      <c r="E81" s="52">
        <f>SUM(E77,E73,E69,E65,E61,E57,E53,E49,E45,E41,E37,E33,E29,E25,E21,E17,E13)</f>
        <v>4548500</v>
      </c>
      <c r="F81" s="52">
        <f>SUM(F77,F73,F69,F65,F61,F57,F53,F49,F45,F41,F37,F33,F29,F25,F21,F17,F13)</f>
        <v>3332000</v>
      </c>
      <c r="G81" s="52">
        <f>SUM(G77,G73,G69,G65,G61,G57,G53,G49,G45,G41,G37,G33,G29,G25,G21,G17,G13)</f>
        <v>133243250</v>
      </c>
      <c r="H81" s="52">
        <f>SUM(H77,H73,H69,H65,H61,H57,H53,H49,H45,H41,H37,H33,H29,H25,H21,H17,H13)</f>
        <v>59007187.5</v>
      </c>
    </row>
    <row r="82" spans="1:8" ht="18" thickBot="1" x14ac:dyDescent="0.35">
      <c r="A82" s="42" t="s">
        <v>39</v>
      </c>
      <c r="B82" s="52">
        <f>SUM(B78,B74,B70,B66,B62,B58,B54,B50,B46,B42,B38,B34,B30,B26,B22,B18,B14)</f>
        <v>497</v>
      </c>
      <c r="C82" s="52">
        <f t="shared" ref="C82:H82" si="55">SUM(C78,C74,C70,C66,C62,C58,C54,C50,C46,C42,C38,C34,C30,C26,C22,C18,C14)</f>
        <v>14</v>
      </c>
      <c r="D82" s="52">
        <f t="shared" si="55"/>
        <v>112949143</v>
      </c>
      <c r="E82" s="52">
        <f t="shared" si="55"/>
        <v>1611000</v>
      </c>
      <c r="F82" s="52">
        <f>SUM(F78,F74,F70,F66,F62,F58,F54,F50,F46,F42,F38,F34,F30,F26,F22,F18,F14)</f>
        <v>964500</v>
      </c>
      <c r="G82" s="52">
        <f t="shared" si="55"/>
        <v>111338143</v>
      </c>
      <c r="H82" s="52">
        <f t="shared" si="55"/>
        <v>111338143</v>
      </c>
    </row>
    <row r="83" spans="1:8" ht="21" thickBot="1" x14ac:dyDescent="0.4">
      <c r="A83" s="2" t="s">
        <v>0</v>
      </c>
      <c r="B83" s="55">
        <f>SUM(B81:B82)</f>
        <v>1187</v>
      </c>
      <c r="C83" s="55">
        <f t="shared" ref="C83" si="56">SUM(C81:C82)</f>
        <v>50</v>
      </c>
      <c r="D83" s="55">
        <f t="shared" ref="D83" si="57">SUM(D81:D82)</f>
        <v>294044643</v>
      </c>
      <c r="E83" s="55">
        <f t="shared" ref="E83" si="58">SUM(E81:E82)</f>
        <v>6159500</v>
      </c>
      <c r="F83" s="55">
        <f t="shared" ref="F83" si="59">SUM(F81:F82)</f>
        <v>4296500</v>
      </c>
      <c r="G83" s="55">
        <f t="shared" ref="G83:H83" si="60">SUM(G81:G82)</f>
        <v>244581393</v>
      </c>
      <c r="H83" s="55">
        <f t="shared" si="60"/>
        <v>170345330.5</v>
      </c>
    </row>
  </sheetData>
  <mergeCells count="20">
    <mergeCell ref="A48:G48"/>
    <mergeCell ref="B6:G6"/>
    <mergeCell ref="B7:G7"/>
    <mergeCell ref="A12:G12"/>
    <mergeCell ref="A16:G16"/>
    <mergeCell ref="A20:G20"/>
    <mergeCell ref="A24:G24"/>
    <mergeCell ref="A28:G28"/>
    <mergeCell ref="A32:G32"/>
    <mergeCell ref="A36:G36"/>
    <mergeCell ref="A40:G40"/>
    <mergeCell ref="A44:G44"/>
    <mergeCell ref="A76:G76"/>
    <mergeCell ref="A80:G80"/>
    <mergeCell ref="A52:G52"/>
    <mergeCell ref="A56:G56"/>
    <mergeCell ref="A60:G60"/>
    <mergeCell ref="A64:G64"/>
    <mergeCell ref="A68:G68"/>
    <mergeCell ref="A72:G72"/>
  </mergeCells>
  <pageMargins left="0.25" right="0.25" top="0.75" bottom="0.75" header="0.3" footer="0.3"/>
  <pageSetup paperSize="9" scale="5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5"/>
  <sheetViews>
    <sheetView tabSelected="1" workbookViewId="0">
      <selection activeCell="I15" sqref="I15"/>
    </sheetView>
  </sheetViews>
  <sheetFormatPr defaultRowHeight="12.75" x14ac:dyDescent="0.2"/>
  <cols>
    <col min="1" max="1" width="37.7109375" customWidth="1"/>
    <col min="2" max="2" width="22.28515625" style="43" customWidth="1"/>
    <col min="3" max="3" width="19" style="43" bestFit="1" customWidth="1"/>
    <col min="6" max="6" width="0" hidden="1" customWidth="1"/>
  </cols>
  <sheetData>
    <row r="3" spans="1:3" x14ac:dyDescent="0.2">
      <c r="A3" s="110"/>
      <c r="B3" s="116"/>
      <c r="C3" s="116"/>
    </row>
    <row r="4" spans="1:3" x14ac:dyDescent="0.2">
      <c r="A4" s="110"/>
      <c r="B4" s="120" t="s">
        <v>44</v>
      </c>
      <c r="C4" s="120" t="s">
        <v>47</v>
      </c>
    </row>
    <row r="5" spans="1:3" x14ac:dyDescent="0.2">
      <c r="A5" s="112" t="s">
        <v>57</v>
      </c>
      <c r="B5" s="113">
        <f>+B6+B9</f>
        <v>3092</v>
      </c>
      <c r="C5" s="113">
        <f>+C6+C9</f>
        <v>615642268</v>
      </c>
    </row>
    <row r="6" spans="1:3" x14ac:dyDescent="0.2">
      <c r="A6" s="112" t="s">
        <v>54</v>
      </c>
      <c r="B6" s="113">
        <f>+B7+B8</f>
        <v>1905</v>
      </c>
      <c r="C6" s="113">
        <f>+C7+C8</f>
        <v>371060875</v>
      </c>
    </row>
    <row r="7" spans="1:3" x14ac:dyDescent="0.2">
      <c r="A7" s="114" t="s">
        <v>45</v>
      </c>
      <c r="B7" s="117">
        <f>+բակալավր!B136</f>
        <v>685</v>
      </c>
      <c r="C7" s="117">
        <f>+բակալավր!G136</f>
        <v>159253250</v>
      </c>
    </row>
    <row r="8" spans="1:3" x14ac:dyDescent="0.2">
      <c r="A8" s="114" t="s">
        <v>46</v>
      </c>
      <c r="B8" s="117">
        <f>+բակալավր!B135</f>
        <v>1220</v>
      </c>
      <c r="C8" s="117">
        <f>+բակալավր!G135</f>
        <v>211807625</v>
      </c>
    </row>
    <row r="9" spans="1:3" x14ac:dyDescent="0.2">
      <c r="A9" s="115" t="s">
        <v>55</v>
      </c>
      <c r="B9" s="118">
        <f>+B10+B11</f>
        <v>1187</v>
      </c>
      <c r="C9" s="118">
        <f>+C10+C11</f>
        <v>244581393</v>
      </c>
    </row>
    <row r="10" spans="1:3" x14ac:dyDescent="0.2">
      <c r="A10" s="114" t="s">
        <v>56</v>
      </c>
      <c r="B10" s="117">
        <f>+Մագիստր!B81</f>
        <v>690</v>
      </c>
      <c r="C10" s="117">
        <f>+Մագիստր!G81</f>
        <v>133243250</v>
      </c>
    </row>
    <row r="11" spans="1:3" x14ac:dyDescent="0.2">
      <c r="A11" s="114" t="s">
        <v>52</v>
      </c>
      <c r="B11" s="117">
        <f>+Մագիստր!B82</f>
        <v>497</v>
      </c>
      <c r="C11" s="117">
        <f>+Մագիստր!G82</f>
        <v>111338143</v>
      </c>
    </row>
    <row r="12" spans="1:3" x14ac:dyDescent="0.2">
      <c r="A12" s="114"/>
      <c r="B12" s="117"/>
      <c r="C12" s="117"/>
    </row>
    <row r="13" spans="1:3" x14ac:dyDescent="0.2">
      <c r="A13" s="112" t="s">
        <v>58</v>
      </c>
      <c r="B13" s="113">
        <f>+օրդինատուրա!B12</f>
        <v>424</v>
      </c>
      <c r="C13" s="113">
        <f>+օրդինատուրա!D12</f>
        <v>148259375</v>
      </c>
    </row>
    <row r="14" spans="1:3" x14ac:dyDescent="0.2">
      <c r="A14" s="110"/>
      <c r="B14" s="116"/>
      <c r="C14" s="116"/>
    </row>
    <row r="15" spans="1:3" x14ac:dyDescent="0.2">
      <c r="A15" s="111" t="s">
        <v>0</v>
      </c>
      <c r="B15" s="116">
        <f>B5+B13</f>
        <v>3516</v>
      </c>
      <c r="C15" s="116">
        <f>C5+C13</f>
        <v>763901643</v>
      </c>
    </row>
    <row r="19" spans="1:6" x14ac:dyDescent="0.2">
      <c r="A19" s="110" t="s">
        <v>60</v>
      </c>
      <c r="B19" s="120" t="s">
        <v>44</v>
      </c>
      <c r="C19" s="120" t="s">
        <v>47</v>
      </c>
    </row>
    <row r="20" spans="1:6" x14ac:dyDescent="0.2">
      <c r="A20" s="110" t="s">
        <v>61</v>
      </c>
      <c r="B20" s="116">
        <v>11150</v>
      </c>
      <c r="C20" s="116">
        <v>71000000</v>
      </c>
    </row>
    <row r="21" spans="1:6" x14ac:dyDescent="0.2">
      <c r="A21" s="110" t="s">
        <v>62</v>
      </c>
      <c r="B21" s="116">
        <v>5000</v>
      </c>
      <c r="C21" s="116">
        <v>79166666.666666672</v>
      </c>
      <c r="F21">
        <v>15833.333333333334</v>
      </c>
    </row>
    <row r="22" spans="1:6" x14ac:dyDescent="0.2">
      <c r="A22" s="111" t="s">
        <v>0</v>
      </c>
      <c r="B22" s="116">
        <f>+B20+B21</f>
        <v>16150</v>
      </c>
      <c r="C22" s="116">
        <f>+C20+C21</f>
        <v>150166666.66666669</v>
      </c>
    </row>
    <row r="25" spans="1:6" ht="15.75" x14ac:dyDescent="0.25">
      <c r="A25" s="121" t="s">
        <v>63</v>
      </c>
      <c r="B25" s="122">
        <f>+B22+B15</f>
        <v>19666</v>
      </c>
      <c r="C25" s="122">
        <f>+C22+C15</f>
        <v>914068309.66666675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2" zoomScaleNormal="100" workbookViewId="0">
      <selection activeCell="E10" sqref="E10"/>
    </sheetView>
  </sheetViews>
  <sheetFormatPr defaultRowHeight="12.75" x14ac:dyDescent="0.2"/>
  <cols>
    <col min="1" max="1" width="28.140625" customWidth="1"/>
    <col min="2" max="2" width="32.28515625" customWidth="1"/>
    <col min="3" max="3" width="27.28515625" style="43" customWidth="1"/>
    <col min="4" max="4" width="28.85546875" style="43" customWidth="1"/>
  </cols>
  <sheetData>
    <row r="1" spans="1:4" ht="172.5" x14ac:dyDescent="0.2">
      <c r="A1" s="11" t="s">
        <v>4</v>
      </c>
      <c r="B1" s="12" t="s">
        <v>48</v>
      </c>
      <c r="C1" s="106" t="s">
        <v>49</v>
      </c>
      <c r="D1" s="106"/>
    </row>
    <row r="2" spans="1:4" ht="21" thickBot="1" x14ac:dyDescent="0.25">
      <c r="A2" s="8">
        <v>1</v>
      </c>
      <c r="B2" s="9">
        <v>2</v>
      </c>
      <c r="C2" s="107">
        <v>3</v>
      </c>
      <c r="D2" s="107"/>
    </row>
    <row r="3" spans="1:4" ht="21" thickBot="1" x14ac:dyDescent="0.25">
      <c r="A3" s="8"/>
      <c r="B3" s="9"/>
      <c r="C3" s="107"/>
      <c r="D3" s="107"/>
    </row>
    <row r="4" spans="1:4" ht="21" thickBot="1" x14ac:dyDescent="0.4">
      <c r="A4" s="137" t="s">
        <v>50</v>
      </c>
      <c r="B4" s="138"/>
      <c r="C4" s="138"/>
      <c r="D4" s="139"/>
    </row>
    <row r="5" spans="1:4" ht="20.25" x14ac:dyDescent="0.35">
      <c r="A5" s="7" t="s">
        <v>51</v>
      </c>
      <c r="B5" s="4">
        <v>185</v>
      </c>
      <c r="C5" s="16">
        <v>73812500</v>
      </c>
      <c r="D5" s="16">
        <f>+C5*0.75</f>
        <v>55359375</v>
      </c>
    </row>
    <row r="6" spans="1:4" ht="21" thickBot="1" x14ac:dyDescent="0.4">
      <c r="A6" s="69" t="s">
        <v>52</v>
      </c>
      <c r="B6" s="70">
        <v>193</v>
      </c>
      <c r="C6" s="35">
        <v>76925000</v>
      </c>
      <c r="D6" s="35">
        <f>+C6</f>
        <v>76925000</v>
      </c>
    </row>
    <row r="7" spans="1:4" ht="21" thickBot="1" x14ac:dyDescent="0.4">
      <c r="A7" s="2" t="s">
        <v>0</v>
      </c>
      <c r="B7" s="71">
        <f>SUM(B5:B6)</f>
        <v>378</v>
      </c>
      <c r="C7" s="31">
        <f>SUM(C5:C6)</f>
        <v>150737500</v>
      </c>
      <c r="D7" s="31">
        <f>SUM(D5:D6)</f>
        <v>132284375</v>
      </c>
    </row>
    <row r="8" spans="1:4" ht="21" thickBot="1" x14ac:dyDescent="0.4">
      <c r="A8" s="137" t="s">
        <v>53</v>
      </c>
      <c r="B8" s="138"/>
      <c r="C8" s="138"/>
      <c r="D8" s="139"/>
    </row>
    <row r="9" spans="1:4" ht="20.25" x14ac:dyDescent="0.35">
      <c r="A9" s="7" t="s">
        <v>51</v>
      </c>
      <c r="B9" s="4">
        <v>33</v>
      </c>
      <c r="C9" s="16">
        <v>14900000</v>
      </c>
      <c r="D9" s="16">
        <f>+C9*0.75</f>
        <v>11175000</v>
      </c>
    </row>
    <row r="10" spans="1:4" ht="21" thickBot="1" x14ac:dyDescent="0.4">
      <c r="A10" s="69" t="s">
        <v>52</v>
      </c>
      <c r="B10" s="70">
        <v>13</v>
      </c>
      <c r="C10" s="35">
        <v>4800000</v>
      </c>
      <c r="D10" s="35">
        <f>+C10</f>
        <v>4800000</v>
      </c>
    </row>
    <row r="11" spans="1:4" ht="21" thickBot="1" x14ac:dyDescent="0.4">
      <c r="A11" s="2" t="s">
        <v>0</v>
      </c>
      <c r="B11" s="71">
        <f>SUM(B9:B10)</f>
        <v>46</v>
      </c>
      <c r="C11" s="31">
        <f>SUM(C9:C10)</f>
        <v>19700000</v>
      </c>
      <c r="D11" s="31">
        <f>SUM(D9:D10)</f>
        <v>15975000</v>
      </c>
    </row>
    <row r="12" spans="1:4" ht="18" x14ac:dyDescent="0.25">
      <c r="A12" s="108" t="s">
        <v>0</v>
      </c>
      <c r="B12" s="109">
        <f>SUM(B11,B7)</f>
        <v>424</v>
      </c>
      <c r="C12" s="109">
        <f>SUM(C11,C7)</f>
        <v>170437500</v>
      </c>
      <c r="D12" s="109">
        <f>SUM(D11,D7)</f>
        <v>148259375</v>
      </c>
    </row>
  </sheetData>
  <mergeCells count="2">
    <mergeCell ref="A4:D4"/>
    <mergeCell ref="A8:D8"/>
  </mergeCells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բակալավր</vt:lpstr>
      <vt:lpstr>Մագիստր</vt:lpstr>
      <vt:lpstr>Sheet1</vt:lpstr>
      <vt:lpstr>օրդինատուրա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https://mul-edu.gov.am/tasks/docs/attachment.php?id=336000&amp;fn=Covid-HEIs-data-22.04.2020+%282%29.xlsx&amp;out=1&amp;token=</cp:keywords>
</cp:coreProperties>
</file>